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525" windowWidth="15105" windowHeight="6240" tabRatio="836" firstSheet="1" activeTab="1"/>
  </bookViews>
  <sheets>
    <sheet name="__FDSCACHE__" sheetId="49" state="veryHidden" r:id="rId1"/>
    <sheet name="ImportantDisclosures" sheetId="82" r:id="rId2"/>
    <sheet name="BullBaseBear" sheetId="67" r:id="rId3"/>
    <sheet name="earnings" sheetId="65" r:id="rId4"/>
    <sheet name="sumry" sheetId="20" r:id="rId5"/>
    <sheet name="MW-Cache" sheetId="54" state="veryHidden" r:id="rId6"/>
    <sheet name="segQtrSales" sheetId="38" r:id="rId7"/>
    <sheet name="qtrSales" sheetId="9" r:id="rId8"/>
    <sheet name="qtrP&amp;L" sheetId="1" r:id="rId9"/>
    <sheet name="yrSales" sheetId="5" r:id="rId10"/>
    <sheet name="yrP&amp;L" sheetId="15" r:id="rId11"/>
    <sheet name="bal" sheetId="2" r:id="rId12"/>
    <sheet name="flow" sheetId="3" r:id="rId13"/>
    <sheet name="turn" sheetId="10" r:id="rId14"/>
    <sheet name="dtc" sheetId="23" r:id="rId15"/>
    <sheet name="work" sheetId="11" r:id="rId16"/>
    <sheet name="DCF" sheetId="72" r:id="rId17"/>
    <sheet name="valuation" sheetId="68" r:id="rId18"/>
    <sheet name="MWA Lease" sheetId="74" r:id="rId19"/>
    <sheet name="IndexInformation" sheetId="83" r:id="rId20"/>
    <sheet name="ModPubIndex" sheetId="84" r:id="rId21"/>
  </sheets>
  <functionGroups builtInGroupCount="17"/>
  <externalReferences>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s>
  <definedNames>
    <definedName name="__FDS_HYPERLINK_TOGGLE_STATE__" hidden="1">"ON"</definedName>
    <definedName name="__FDS_UNIQUE_RANGE_ID_GENERATOR_COUNTER" localSheetId="16" hidden="1">1</definedName>
    <definedName name="__FDS_UNIQUE_RANGE_ID_GENERATOR_COUNTER" localSheetId="18" hidden="1">1</definedName>
    <definedName name="__FDS_UNIQUE_RANGE_ID_GENERATOR_COUNTER">155</definedName>
    <definedName name="_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0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00__FDSAUDITLINK__" hidden="1">{"fdsup://Directions/FactSet Auditing Viewer?action=AUDIT_VALUE&amp;DB=129&amp;ID1=07589610&amp;VALUEID=01001&amp;SDATE=200702&amp;PERIODTYPE=QTR_STD&amp;window=popup_no_bar&amp;width=385&amp;height=120&amp;START_MAXIMIZED=FALSE&amp;creator=factset&amp;display_string=Audit"}</definedName>
    <definedName name="_101__FDSAUDITLINK__" hidden="1">{"fdsup://Directions/FactSet Auditing Viewer?action=AUDIT_VALUE&amp;DB=129&amp;ID1=07589610&amp;VALUEID=01001&amp;SDATE=200701&amp;PERIODTYPE=QTR_STD&amp;window=popup_no_bar&amp;width=385&amp;height=120&amp;START_MAXIMIZED=FALSE&amp;creator=factset&amp;display_string=Audit"}</definedName>
    <definedName name="_102__FDSAUDITLINK__" hidden="1">{"fdsup://Directions/FactSet Auditing Viewer?action=AUDIT_VALUE&amp;DB=129&amp;ID1=07589610&amp;VALUEID=01001&amp;SDATE=200604&amp;PERIODTYPE=QTR_STD&amp;window=popup_no_bar&amp;width=385&amp;height=120&amp;START_MAXIMIZED=FALSE&amp;creator=factset&amp;display_string=Audit"}</definedName>
    <definedName name="_103__FDSAUDITLINK__" hidden="1">{"fdsup://Directions/FactSet Auditing Viewer?action=AUDIT_VALUE&amp;DB=129&amp;ID1=07589610&amp;VALUEID=01001&amp;SDATE=200603&amp;PERIODTYPE=QTR_STD&amp;window=popup_no_bar&amp;width=385&amp;height=120&amp;START_MAXIMIZED=FALSE&amp;creator=factset&amp;display_string=Audit"}</definedName>
    <definedName name="_104__FDSAUDITLINK__" hidden="1">{"fdsup://Directions/FactSet Auditing Viewer?action=AUDIT_VALUE&amp;DB=129&amp;ID1=07589610&amp;VALUEID=01001&amp;SDATE=200602&amp;PERIODTYPE=QTR_STD&amp;window=popup_no_bar&amp;width=385&amp;height=120&amp;START_MAXIMIZED=FALSE&amp;creator=factset&amp;display_string=Audit"}</definedName>
    <definedName name="_105__FDSAUDITLINK__" hidden="1">{"fdsup://Directions/FactSet Auditing Viewer?action=AUDIT_VALUE&amp;DB=129&amp;ID1=07589610&amp;VALUEID=01001&amp;SDATE=200601&amp;PERIODTYPE=QTR_STD&amp;window=popup_no_bar&amp;width=385&amp;height=120&amp;START_MAXIMIZED=FALSE&amp;creator=factset&amp;display_string=Audit"}</definedName>
    <definedName name="_106__FDSAUDITLINK__" hidden="1">{"fdsup://Directions/FactSet Auditing Viewer?action=AUDIT_VALUE&amp;DB=129&amp;ID1=07589610&amp;VALUEID=01001&amp;SDATE=200503&amp;PERIODTYPE=QTR_STD&amp;window=popup_no_bar&amp;width=385&amp;height=120&amp;START_MAXIMIZED=FALSE&amp;creator=factset&amp;display_string=Audit"}</definedName>
    <definedName name="_107__FDSAUDITLINK__" hidden="1">{"fdsup://Directions/FactSet Auditing Viewer?action=AUDIT_VALUE&amp;DB=129&amp;ID1=96990410&amp;VALUEID=01001&amp;SDATE=200903&amp;PERIODTYPE=QTR_STD&amp;window=popup_no_bar&amp;width=385&amp;height=120&amp;START_MAXIMIZED=FALSE&amp;creator=factset&amp;display_string=Audit"}</definedName>
    <definedName name="_108__FDSAUDITLINK__" hidden="1">{"fdsup://Directions/FactSet Auditing Viewer?action=AUDIT_VALUE&amp;DB=129&amp;ID1=96990410&amp;VALUEID=01001&amp;SDATE=200902&amp;PERIODTYPE=QTR_STD&amp;window=popup_no_bar&amp;width=385&amp;height=120&amp;START_MAXIMIZED=FALSE&amp;creator=factset&amp;display_string=Audit"}</definedName>
    <definedName name="_109__FDSAUDITLINK__" hidden="1">{"fdsup://Directions/FactSet Auditing Viewer?action=AUDIT_VALUE&amp;DB=129&amp;ID1=96990410&amp;VALUEID=01001&amp;SDATE=200901&amp;PERIODTYPE=QTR_STD&amp;window=popup_no_bar&amp;width=385&amp;height=120&amp;START_MAXIMIZED=FALSE&amp;creator=factset&amp;display_string=Audit"}</definedName>
    <definedName name="_11__123Graph_XLIQUIDS" hidden="1">[1]P!$R$29:$AK$29</definedName>
    <definedName name="_11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10__FDSAUDITLINK__" hidden="1">{"fdsup://Directions/FactSet Auditing Viewer?action=AUDIT_VALUE&amp;DB=129&amp;ID1=96990410&amp;VALUEID=01001&amp;SDATE=200804&amp;PERIODTYPE=QTR_STD&amp;window=popup_no_bar&amp;width=385&amp;height=120&amp;START_MAXIMIZED=FALSE&amp;creator=factset&amp;display_string=Audit"}</definedName>
    <definedName name="_111__FDSAUDITLINK__" hidden="1">{"fdsup://Directions/FactSet Auditing Viewer?action=AUDIT_VALUE&amp;DB=129&amp;ID1=96990410&amp;VALUEID=01001&amp;SDATE=200803&amp;PERIODTYPE=QTR_STD&amp;window=popup_no_bar&amp;width=385&amp;height=120&amp;START_MAXIMIZED=FALSE&amp;creator=factset&amp;display_string=Audit"}</definedName>
    <definedName name="_112__FDSAUDITLINK__" hidden="1">{"fdsup://Directions/FactSet Auditing Viewer?action=AUDIT_VALUE&amp;DB=129&amp;ID1=96990410&amp;VALUEID=01001&amp;SDATE=200802&amp;PERIODTYPE=QTR_STD&amp;window=popup_no_bar&amp;width=385&amp;height=120&amp;START_MAXIMIZED=FALSE&amp;creator=factset&amp;display_string=Audit"}</definedName>
    <definedName name="_113__FDSAUDITLINK__" hidden="1">{"fdsup://Directions/FactSet Auditing Viewer?action=AUDIT_VALUE&amp;DB=129&amp;ID1=96990410&amp;VALUEID=01001&amp;SDATE=200801&amp;PERIODTYPE=QTR_STD&amp;window=popup_no_bar&amp;width=385&amp;height=120&amp;START_MAXIMIZED=FALSE&amp;creator=factset&amp;display_string=Audit"}</definedName>
    <definedName name="_114__FDSAUDITLINK__" hidden="1">{"fdsup://Directions/FactSet Auditing Viewer?action=AUDIT_VALUE&amp;DB=129&amp;ID1=96990410&amp;VALUEID=01001&amp;SDATE=200704&amp;PERIODTYPE=QTR_STD&amp;window=popup_no_bar&amp;width=385&amp;height=120&amp;START_MAXIMIZED=FALSE&amp;creator=factset&amp;display_string=Audit"}</definedName>
    <definedName name="_115__FDSAUDITLINK__" hidden="1">{"fdsup://Directions/FactSet Auditing Viewer?action=AUDIT_VALUE&amp;DB=129&amp;ID1=96990410&amp;VALUEID=01001&amp;SDATE=200703&amp;PERIODTYPE=QTR_STD&amp;window=popup_no_bar&amp;width=385&amp;height=120&amp;START_MAXIMIZED=FALSE&amp;creator=factset&amp;display_string=Audit"}</definedName>
    <definedName name="_116__FDSAUDITLINK__" hidden="1">{"fdsup://Directions/FactSet Auditing Viewer?action=AUDIT_VALUE&amp;DB=129&amp;ID1=96990410&amp;VALUEID=01001&amp;SDATE=200702&amp;PERIODTYPE=QTR_STD&amp;window=popup_no_bar&amp;width=385&amp;height=120&amp;START_MAXIMIZED=FALSE&amp;creator=factset&amp;display_string=Audit"}</definedName>
    <definedName name="_117__FDSAUDITLINK__" hidden="1">{"fdsup://Directions/FactSet Auditing Viewer?action=AUDIT_VALUE&amp;DB=129&amp;ID1=96990410&amp;VALUEID=01001&amp;SDATE=200701&amp;PERIODTYPE=QTR_STD&amp;window=popup_no_bar&amp;width=385&amp;height=120&amp;START_MAXIMIZED=FALSE&amp;creator=factset&amp;display_string=Audit"}</definedName>
    <definedName name="_118__FDSAUDITLINK__" hidden="1">{"fdsup://Directions/FactSet Auditing Viewer?action=AUDIT_VALUE&amp;DB=129&amp;ID1=96990410&amp;VALUEID=01001&amp;SDATE=200604&amp;PERIODTYPE=QTR_STD&amp;window=popup_no_bar&amp;width=385&amp;height=120&amp;START_MAXIMIZED=FALSE&amp;creator=factset&amp;display_string=Audit"}</definedName>
    <definedName name="_119__FDSAUDITLINK__" hidden="1">{"fdsup://Directions/FactSet Auditing Viewer?action=AUDIT_VALUE&amp;DB=129&amp;ID1=96990410&amp;VALUEID=01001&amp;SDATE=200603&amp;PERIODTYPE=QTR_STD&amp;window=popup_no_bar&amp;width=385&amp;height=120&amp;START_MAXIMIZED=FALSE&amp;creator=factset&amp;display_string=Audit"}</definedName>
    <definedName name="_12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20__FDSAUDITLINK__" hidden="1">{"fdsup://Directions/FactSet Auditing Viewer?action=AUDIT_VALUE&amp;DB=129&amp;ID1=96990410&amp;VALUEID=01001&amp;SDATE=200602&amp;PERIODTYPE=QTR_STD&amp;window=popup_no_bar&amp;width=385&amp;height=120&amp;START_MAXIMIZED=FALSE&amp;creator=factset&amp;display_string=Audit"}</definedName>
    <definedName name="_121__FDSAUDITLINK__" hidden="1">{"fdsup://Directions/FactSet Auditing Viewer?action=AUDIT_VALUE&amp;DB=129&amp;ID1=96990410&amp;VALUEID=01001&amp;SDATE=200601&amp;PERIODTYPE=QTR_STD&amp;window=popup_no_bar&amp;width=385&amp;height=120&amp;START_MAXIMIZED=FALSE&amp;creator=factset&amp;display_string=Audit"}</definedName>
    <definedName name="_122__FDSAUDITLINK__" hidden="1">{"fdsup://Directions/FactSet Auditing Viewer?action=AUDIT_VALUE&amp;DB=129&amp;ID1=81235010&amp;VALUEID=01001&amp;SDATE=200903&amp;PERIODTYPE=QTR_STD&amp;window=popup_no_bar&amp;width=385&amp;height=120&amp;START_MAXIMIZED=FALSE&amp;creator=factset&amp;display_string=Audit"}</definedName>
    <definedName name="_123__FDSAUDITLINK__" hidden="1">{"fdsup://Directions/FactSet Auditing Viewer?action=AUDIT_VALUE&amp;DB=129&amp;ID1=81235010&amp;VALUEID=01001&amp;SDATE=200902&amp;PERIODTYPE=QTR_STD&amp;window=popup_no_bar&amp;width=385&amp;height=120&amp;START_MAXIMIZED=FALSE&amp;creator=factset&amp;display_string=Audit"}</definedName>
    <definedName name="_124__FDSAUDITLINK__" hidden="1">{"fdsup://Directions/FactSet Auditing Viewer?action=AUDIT_VALUE&amp;DB=129&amp;ID1=81235010&amp;VALUEID=01001&amp;SDATE=200901&amp;PERIODTYPE=QTR_STD&amp;window=popup_no_bar&amp;width=385&amp;height=120&amp;START_MAXIMIZED=FALSE&amp;creator=factset&amp;display_string=Audit"}</definedName>
    <definedName name="_125__FDSAUDITLINK__" hidden="1">{"fdsup://Directions/FactSet Auditing Viewer?action=AUDIT_VALUE&amp;DB=129&amp;ID1=81235010&amp;VALUEID=01001&amp;SDATE=200804&amp;PERIODTYPE=QTR_STD&amp;window=popup_no_bar&amp;width=385&amp;height=120&amp;START_MAXIMIZED=FALSE&amp;creator=factset&amp;display_string=Audit"}</definedName>
    <definedName name="_126__FDSAUDITLINK__" hidden="1">{"fdsup://Directions/FactSet Auditing Viewer?action=AUDIT_VALUE&amp;DB=129&amp;ID1=81235010&amp;VALUEID=01001&amp;SDATE=200803&amp;PERIODTYPE=QTR_STD&amp;window=popup_no_bar&amp;width=385&amp;height=120&amp;START_MAXIMIZED=FALSE&amp;creator=factset&amp;display_string=Audit"}</definedName>
    <definedName name="_127__FDSAUDITLINK__" hidden="1">{"fdsup://Directions/FactSet Auditing Viewer?action=AUDIT_VALUE&amp;DB=129&amp;ID1=81235010&amp;VALUEID=01001&amp;SDATE=200802&amp;PERIODTYPE=QTR_STD&amp;window=popup_no_bar&amp;width=385&amp;height=120&amp;START_MAXIMIZED=FALSE&amp;creator=factset&amp;display_string=Audit"}</definedName>
    <definedName name="_128__FDSAUDITLINK__" hidden="1">{"fdsup://Directions/FactSet Auditing Viewer?action=AUDIT_VALUE&amp;DB=129&amp;ID1=81235010&amp;VALUEID=01001&amp;SDATE=200801&amp;PERIODTYPE=QTR_STD&amp;window=popup_no_bar&amp;width=385&amp;height=120&amp;START_MAXIMIZED=FALSE&amp;creator=factset&amp;display_string=Audit"}</definedName>
    <definedName name="_129__FDSAUDITLINK__" hidden="1">{"fdsup://Directions/FactSet Auditing Viewer?action=AUDIT_VALUE&amp;DB=129&amp;ID1=81235010&amp;VALUEID=01001&amp;SDATE=200704&amp;PERIODTYPE=QTR_STD&amp;window=popup_no_bar&amp;width=385&amp;height=120&amp;START_MAXIMIZED=FALSE&amp;creator=factset&amp;display_string=Audit"}</definedName>
    <definedName name="_13__123Graph_XR_M_MARG" hidden="1">[1]P!$R$29:$AK$29</definedName>
    <definedName name="_13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30__FDSAUDITLINK__" hidden="1">{"fdsup://Directions/FactSet Auditing Viewer?action=AUDIT_VALUE&amp;DB=129&amp;ID1=81235010&amp;VALUEID=01001&amp;SDATE=200703&amp;PERIODTYPE=QTR_STD&amp;window=popup_no_bar&amp;width=385&amp;height=120&amp;START_MAXIMIZED=FALSE&amp;creator=factset&amp;display_string=Audit"}</definedName>
    <definedName name="_131__FDSAUDITLINK__" hidden="1">{"fdsup://Directions/FactSet Auditing Viewer?action=AUDIT_VALUE&amp;DB=129&amp;ID1=81235010&amp;VALUEID=01001&amp;SDATE=200702&amp;PERIODTYPE=QTR_STD&amp;window=popup_no_bar&amp;width=385&amp;height=120&amp;START_MAXIMIZED=FALSE&amp;creator=factset&amp;display_string=Audit"}</definedName>
    <definedName name="_132__FDSAUDITLINK__" hidden="1">{"fdsup://Directions/FactSet Auditing Viewer?action=AUDIT_VALUE&amp;DB=129&amp;ID1=81235010&amp;VALUEID=01001&amp;SDATE=200701&amp;PERIODTYPE=QTR_STD&amp;window=popup_no_bar&amp;width=385&amp;height=120&amp;START_MAXIMIZED=FALSE&amp;creator=factset&amp;display_string=Audit"}</definedName>
    <definedName name="_133__FDSAUDITLINK__" hidden="1">{"fdsup://Directions/FactSet Auditing Viewer?action=AUDIT_VALUE&amp;DB=129&amp;ID1=81235010&amp;VALUEID=01001&amp;SDATE=200604&amp;PERIODTYPE=QTR_STD&amp;window=popup_no_bar&amp;width=385&amp;height=120&amp;START_MAXIMIZED=FALSE&amp;creator=factset&amp;display_string=Audit"}</definedName>
    <definedName name="_134__FDSAUDITLINK__" hidden="1">{"fdsup://Directions/FactSet Auditing Viewer?action=AUDIT_VALUE&amp;DB=129&amp;ID1=81235010&amp;VALUEID=01001&amp;SDATE=200603&amp;PERIODTYPE=QTR_STD&amp;window=popup_no_bar&amp;width=385&amp;height=120&amp;START_MAXIMIZED=FALSE&amp;creator=factset&amp;display_string=Audit"}</definedName>
    <definedName name="_135__FDSAUDITLINK__" hidden="1">{"fdsup://Directions/FactSet Auditing Viewer?action=AUDIT_VALUE&amp;DB=129&amp;ID1=81235010&amp;VALUEID=01001&amp;SDATE=200602&amp;PERIODTYPE=QTR_STD&amp;window=popup_no_bar&amp;width=385&amp;height=120&amp;START_MAXIMIZED=FALSE&amp;creator=factset&amp;display_string=Audit"}</definedName>
    <definedName name="_136__FDSAUDITLINK__" hidden="1">{"fdsup://Directions/FactSet Auditing Viewer?action=AUDIT_VALUE&amp;DB=129&amp;ID1=81235010&amp;VALUEID=01001&amp;SDATE=200601&amp;PERIODTYPE=QTR_STD&amp;window=popup_no_bar&amp;width=385&amp;height=120&amp;START_MAXIMIZED=FALSE&amp;creator=factset&amp;display_string=Audit"}</definedName>
    <definedName name="_137__FDSAUDITLINK__" hidden="1">{"fdsup://Directions/FactSet Auditing Viewer?action=AUDIT_VALUE&amp;DB=129&amp;ID1=82434810&amp;VALUEID=01001&amp;SDATE=200903&amp;PERIODTYPE=QTR_STD&amp;window=popup_no_bar&amp;width=385&amp;height=120&amp;START_MAXIMIZED=FALSE&amp;creator=factset&amp;display_string=Audit"}</definedName>
    <definedName name="_138__FDSAUDITLINK__" hidden="1">{"fdsup://Directions/FactSet Auditing Viewer?action=AUDIT_VALUE&amp;DB=129&amp;ID1=82434810&amp;VALUEID=01001&amp;SDATE=200902&amp;PERIODTYPE=QTR_STD&amp;window=popup_no_bar&amp;width=385&amp;height=120&amp;START_MAXIMIZED=FALSE&amp;creator=factset&amp;display_string=Audit"}</definedName>
    <definedName name="_139__FDSAUDITLINK__" hidden="1">{"fdsup://Directions/FactSet Auditing Viewer?action=AUDIT_VALUE&amp;DB=129&amp;ID1=82434810&amp;VALUEID=01001&amp;SDATE=200901&amp;PERIODTYPE=QTR_STD&amp;window=popup_no_bar&amp;width=385&amp;height=120&amp;START_MAXIMIZED=FALSE&amp;creator=factset&amp;display_string=Audit"}</definedName>
    <definedName name="_14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40__FDSAUDITLINK__" hidden="1">{"fdsup://Directions/FactSet Auditing Viewer?action=AUDIT_VALUE&amp;DB=129&amp;ID1=82434810&amp;VALUEID=01001&amp;SDATE=200803&amp;PERIODTYPE=QTR_STD&amp;window=popup_no_bar&amp;width=385&amp;height=120&amp;START_MAXIMIZED=FALSE&amp;creator=factset&amp;display_string=Audit"}</definedName>
    <definedName name="_141__FDSAUDITLINK__" hidden="1">{"fdsup://Directions/FactSet Auditing Viewer?action=AUDIT_VALUE&amp;DB=129&amp;ID1=82434810&amp;VALUEID=01001&amp;SDATE=200802&amp;PERIODTYPE=QTR_STD&amp;window=popup_no_bar&amp;width=385&amp;height=120&amp;START_MAXIMIZED=FALSE&amp;creator=factset&amp;display_string=Audit"}</definedName>
    <definedName name="_142__FDSAUDITLINK__" hidden="1">{"fdsup://Directions/FactSet Auditing Viewer?action=AUDIT_VALUE&amp;DB=129&amp;ID1=82434810&amp;VALUEID=01001&amp;SDATE=200801&amp;PERIODTYPE=QTR_STD&amp;window=popup_no_bar&amp;width=385&amp;height=120&amp;START_MAXIMIZED=FALSE&amp;creator=factset&amp;display_string=Audit"}</definedName>
    <definedName name="_143__FDSAUDITLINK__" hidden="1">{"fdsup://Directions/FactSet Auditing Viewer?action=AUDIT_VALUE&amp;DB=129&amp;ID1=82434810&amp;VALUEID=01001&amp;SDATE=200704&amp;PERIODTYPE=QTR_STD&amp;window=popup_no_bar&amp;width=385&amp;height=120&amp;START_MAXIMIZED=FALSE&amp;creator=factset&amp;display_string=Audit"}</definedName>
    <definedName name="_144__FDSAUDITLINK__" hidden="1">{"fdsup://Directions/FactSet Auditing Viewer?action=AUDIT_VALUE&amp;DB=129&amp;ID1=82434810&amp;VALUEID=01001&amp;SDATE=200703&amp;PERIODTYPE=QTR_STD&amp;window=popup_no_bar&amp;width=385&amp;height=120&amp;START_MAXIMIZED=FALSE&amp;creator=factset&amp;display_string=Audit"}</definedName>
    <definedName name="_145__FDSAUDITLINK__" hidden="1">{"fdsup://Directions/FactSet Auditing Viewer?action=AUDIT_VALUE&amp;DB=129&amp;ID1=82434810&amp;VALUEID=01001&amp;SDATE=200702&amp;PERIODTYPE=QTR_STD&amp;window=popup_no_bar&amp;width=385&amp;height=120&amp;START_MAXIMIZED=FALSE&amp;creator=factset&amp;display_string=Audit"}</definedName>
    <definedName name="_146__FDSAUDITLINK__" hidden="1">{"fdsup://Directions/FactSet Auditing Viewer?action=AUDIT_VALUE&amp;DB=129&amp;ID1=82434810&amp;VALUEID=01001&amp;SDATE=200701&amp;PERIODTYPE=QTR_STD&amp;window=popup_no_bar&amp;width=385&amp;height=120&amp;START_MAXIMIZED=FALSE&amp;creator=factset&amp;display_string=Audit"}</definedName>
    <definedName name="_147__FDSAUDITLINK__" hidden="1">{"fdsup://Directions/FactSet Auditing Viewer?action=AUDIT_VALUE&amp;DB=129&amp;ID1=82434810&amp;VALUEID=01001&amp;SDATE=200603&amp;PERIODTYPE=QTR_STD&amp;window=popup_no_bar&amp;width=385&amp;height=120&amp;START_MAXIMIZED=FALSE&amp;creator=factset&amp;display_string=Audit"}</definedName>
    <definedName name="_148__FDSAUDITLINK__" hidden="1">{"fdsup://Directions/FactSet Auditing Viewer?action=AUDIT_VALUE&amp;DB=129&amp;ID1=82434810&amp;VALUEID=01001&amp;SDATE=200602&amp;PERIODTYPE=QTR_STD&amp;window=popup_no_bar&amp;width=385&amp;height=120&amp;START_MAXIMIZED=FALSE&amp;creator=factset&amp;display_string=Audit"}</definedName>
    <definedName name="_149__FDSAUDITLINK__" hidden="1">{"fdsup://Directions/FactSet Auditing Viewer?action=AUDIT_VALUE&amp;DB=129&amp;ID1=82434810&amp;VALUEID=01001&amp;SDATE=200601&amp;PERIODTYPE=QTR_STD&amp;window=popup_no_bar&amp;width=385&amp;height=120&amp;START_MAXIMIZED=FALSE&amp;creator=factset&amp;display_string=Audit"}</definedName>
    <definedName name="_15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50__FDSAUDITLINK__" hidden="1">{"fdsup://Directions/FactSet Auditing Viewer?action=AUDIT_VALUE&amp;DB=129&amp;ID1=57459910&amp;VALUEID=01001&amp;SDATE=200903&amp;PERIODTYPE=QTR_STD&amp;window=popup_no_bar&amp;width=385&amp;height=120&amp;START_MAXIMIZED=FALSE&amp;creator=factset&amp;display_string=Audit"}</definedName>
    <definedName name="_151__FDSAUDITLINK__" hidden="1">{"fdsup://Directions/FactSet Auditing Viewer?action=AUDIT_VALUE&amp;DB=129&amp;ID1=57459910&amp;VALUEID=01001&amp;SDATE=200902&amp;PERIODTYPE=QTR_STD&amp;window=popup_no_bar&amp;width=385&amp;height=120&amp;START_MAXIMIZED=FALSE&amp;creator=factset&amp;display_string=Audit"}</definedName>
    <definedName name="_152__FDSAUDITLINK__" hidden="1">{"fdsup://Directions/FactSet Auditing Viewer?action=AUDIT_VALUE&amp;DB=129&amp;ID1=57459910&amp;VALUEID=01001&amp;SDATE=200901&amp;PERIODTYPE=QTR_STD&amp;window=popup_no_bar&amp;width=385&amp;height=120&amp;START_MAXIMIZED=FALSE&amp;creator=factset&amp;display_string=Audit"}</definedName>
    <definedName name="_153__FDSAUDITLINK__" hidden="1">{"fdsup://Directions/FactSet Auditing Viewer?action=AUDIT_VALUE&amp;DB=129&amp;ID1=57459910&amp;VALUEID=01001&amp;SDATE=200804&amp;PERIODTYPE=QTR_STD&amp;window=popup_no_bar&amp;width=385&amp;height=120&amp;START_MAXIMIZED=FALSE&amp;creator=factset&amp;display_string=Audit"}</definedName>
    <definedName name="_154__FDSAUDITLINK__" hidden="1">{"fdsup://Directions/FactSet Auditing Viewer?action=AUDIT_VALUE&amp;DB=129&amp;ID1=57459910&amp;VALUEID=01001&amp;SDATE=200803&amp;PERIODTYPE=QTR_STD&amp;window=popup_no_bar&amp;width=385&amp;height=120&amp;START_MAXIMIZED=FALSE&amp;creator=factset&amp;display_string=Audit"}</definedName>
    <definedName name="_1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6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7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8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9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1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2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3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4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4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4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4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7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48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49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50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5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5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5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5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5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5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57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58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59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60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6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6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6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6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6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6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67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68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69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70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1__FDSAUDITLINK__" hidden="1">{"fdsup://Directions/FactSet Auditing Viewer?action=AUDIT_VALUE&amp;DB=129&amp;ID1=87612E10&amp;VALUEID=01001&amp;SDATE=200604&amp;PERIODTYPE=QTR_STD&amp;window=popup_no_bar&amp;width=385&amp;height=120&amp;START_MAXIMIZED=FALSE&amp;creator=factset&amp;display_string=Audit"}</definedName>
    <definedName name="_3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2__FDSAUDITLINK__" hidden="1">{"fdsup://Directions/FactSet Auditing Viewer?action=AUDIT_VALUE&amp;DB=129&amp;ID1=87612E10&amp;VALUEID=01001&amp;SDATE=200701&amp;PERIODTYPE=QTR_STD&amp;window=popup_no_bar&amp;width=385&amp;height=120&amp;START_MAXIMIZED=FALSE&amp;creator=factset&amp;display_string=Audit"}</definedName>
    <definedName name="_3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3__FDSAUDITLINK__" hidden="1">{"fdsup://Directions/FactSet Auditing Viewer?action=AUDIT_VALUE&amp;DB=129&amp;ID1=87612E10&amp;VALUEID=01001&amp;SDATE=200702&amp;PERIODTYPE=QTR_STD&amp;window=popup_no_bar&amp;width=385&amp;height=120&amp;START_MAXIMIZED=FALSE&amp;creator=factset&amp;display_string=Audit"}</definedName>
    <definedName name="_3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4__FDSAUDITLINK__" hidden="1">{"fdsup://Directions/FactSet Auditing Viewer?action=AUDIT_VALUE&amp;DB=129&amp;ID1=87612E10&amp;VALUEID=01001&amp;SDATE=200703&amp;PERIODTYPE=QTR_STD&amp;window=popup_no_bar&amp;width=385&amp;height=120&amp;START_MAXIMIZED=FALSE&amp;creator=factset&amp;display_string=Audit"}</definedName>
    <definedName name="_3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5__FDSAUDITLINK__" hidden="1">{"fdsup://Directions/FactSet Auditing Viewer?action=AUDIT_VALUE&amp;DB=129&amp;ID1=87612E10&amp;VALUEID=01001&amp;SDATE=200704&amp;PERIODTYPE=QTR_STD&amp;window=popup_no_bar&amp;width=385&amp;height=120&amp;START_MAXIMIZED=FALSE&amp;creator=factset&amp;display_string=Audit"}</definedName>
    <definedName name="_3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6__FDSAUDITLINK__" hidden="1">{"fdsup://Directions/FactSet Auditing Viewer?action=AUDIT_VALUE&amp;DB=129&amp;ID1=87612E10&amp;VALUEID=01001&amp;SDATE=200801&amp;PERIODTYPE=QTR_STD&amp;window=popup_no_bar&amp;width=385&amp;height=120&amp;START_MAXIMIZED=FALSE&amp;creator=factset&amp;display_string=Audit"}</definedName>
    <definedName name="_3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7__FDSAUDITLINK__" hidden="1">{"fdsup://Directions/FactSet Auditing Viewer?action=AUDIT_VALUE&amp;DB=129&amp;ID1=87612E10&amp;VALUEID=01001&amp;SDATE=200802&amp;PERIODTYPE=QTR_STD&amp;window=popup_no_bar&amp;width=385&amp;height=120&amp;START_MAXIMIZED=FALSE&amp;creator=factset&amp;display_string=Audit"}</definedName>
    <definedName name="_3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8__FDSAUDITLINK__" hidden="1">{"fdsup://Directions/FactSet Auditing Viewer?action=AUDIT_VALUE&amp;DB=129&amp;ID1=87612E10&amp;VALUEID=01001&amp;SDATE=200803&amp;PERIODTYPE=QTR_STD&amp;window=popup_no_bar&amp;width=385&amp;height=120&amp;START_MAXIMIZED=FALSE&amp;creator=factset&amp;display_string=Audit"}</definedName>
    <definedName name="_3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9__FDSAUDITLINK__" hidden="1">{"fdsup://Directions/FactSet Auditing Viewer?action=AUDIT_VALUE&amp;DB=129&amp;ID1=87612E10&amp;VALUEID=01001&amp;SDATE=200804&amp;PERIODTYPE=QTR_STD&amp;window=popup_no_bar&amp;width=385&amp;height=120&amp;START_MAXIMIZED=FALSE&amp;creator=factset&amp;display_string=Audit"}</definedName>
    <definedName name="_3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0__FDSAUDITLINK__" hidden="1">{"fdsup://Directions/FactSet Auditing Viewer?action=AUDIT_VALUE&amp;DB=129&amp;ID1=87612E10&amp;VALUEID=01001&amp;SDATE=200902&amp;PERIODTYPE=QTR_STD&amp;window=popup_no_bar&amp;width=385&amp;height=120&amp;START_MAXIMIZED=FALSE&amp;creator=factset&amp;display_string=Audit"}</definedName>
    <definedName name="_4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1__FDSAUDITLINK__" hidden="1">{"fdsup://Directions/FactSet Auditing Viewer?action=AUDIT_VALUE&amp;DB=129&amp;ID1=87612E10&amp;VALUEID=01001&amp;SDATE=200903&amp;PERIODTYPE=QTR_STD&amp;window=popup_no_bar&amp;width=385&amp;height=120&amp;START_MAXIMIZED=FALSE&amp;creator=factset&amp;display_string=Audit"}</definedName>
    <definedName name="_4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2__FDSAUDITLINK__" hidden="1">{"fdsup://Directions/FactSet Auditing Viewer?action=AUDIT_VALUE&amp;DB=129&amp;ID1=05548J10&amp;VALUEID=01001&amp;SDATE=200601&amp;PERIODTYPE=QTR_STD&amp;window=popup_no_bar&amp;width=385&amp;height=120&amp;START_MAXIMIZED=FALSE&amp;creator=factset&amp;display_string=Audit"}</definedName>
    <definedName name="_4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3__FDSAUDITLINK__" hidden="1">{"fdsup://Directions/FactSet Auditing Viewer?action=AUDIT_VALUE&amp;DB=129&amp;ID1=05548J10&amp;VALUEID=01001&amp;SDATE=200602&amp;PERIODTYPE=QTR_STD&amp;window=popup_no_bar&amp;width=385&amp;height=120&amp;START_MAXIMIZED=FALSE&amp;creator=factset&amp;display_string=Audit"}</definedName>
    <definedName name="_4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4__FDSAUDITLINK__" hidden="1">{"fdsup://Directions/FactSet Auditing Viewer?action=AUDIT_VALUE&amp;DB=129&amp;ID1=05548J10&amp;VALUEID=01001&amp;SDATE=200603&amp;PERIODTYPE=QTR_STD&amp;window=popup_no_bar&amp;width=385&amp;height=120&amp;START_MAXIMIZED=FALSE&amp;creator=factset&amp;display_string=Audit"}</definedName>
    <definedName name="_4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5__FDSAUDITLINK__" hidden="1">{"fdsup://Directions/FactSet Auditing Viewer?action=AUDIT_VALUE&amp;DB=129&amp;ID1=05548J10&amp;VALUEID=01001&amp;SDATE=200604&amp;PERIODTYPE=QTR_STD&amp;window=popup_no_bar&amp;width=385&amp;height=120&amp;START_MAXIMIZED=FALSE&amp;creator=factset&amp;display_string=Audit"}</definedName>
    <definedName name="_4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6__FDSAUDITLINK__" hidden="1">{"fdsup://Directions/FactSet Auditing Viewer?action=AUDIT_VALUE&amp;DB=129&amp;ID1=05548J10&amp;VALUEID=01001&amp;SDATE=200701&amp;PERIODTYPE=QTR_STD&amp;window=popup_no_bar&amp;width=385&amp;height=120&amp;START_MAXIMIZED=FALSE&amp;creator=factset&amp;display_string=Audit"}</definedName>
    <definedName name="_4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7__FDSAUDITLINK__" hidden="1">{"fdsup://Directions/FactSet Auditing Viewer?action=AUDIT_VALUE&amp;DB=129&amp;ID1=05548J10&amp;VALUEID=01001&amp;SDATE=200702&amp;PERIODTYPE=QTR_STD&amp;window=popup_no_bar&amp;width=385&amp;height=120&amp;START_MAXIMIZED=FALSE&amp;creator=factset&amp;display_string=Audit"}</definedName>
    <definedName name="_4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8__FDSAUDITLINK__" hidden="1">{"fdsup://Directions/FactSet Auditing Viewer?action=AUDIT_VALUE&amp;DB=129&amp;ID1=05548J10&amp;VALUEID=01001&amp;SDATE=200703&amp;PERIODTYPE=QTR_STD&amp;window=popup_no_bar&amp;width=385&amp;height=120&amp;START_MAXIMIZED=FALSE&amp;creator=factset&amp;display_string=Audit"}</definedName>
    <definedName name="_4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9__FDSAUDITLINK__" hidden="1">{"fdsup://Directions/FactSet Auditing Viewer?action=AUDIT_VALUE&amp;DB=129&amp;ID1=05548J10&amp;VALUEID=01001&amp;SDATE=200704&amp;PERIODTYPE=QTR_STD&amp;window=popup_no_bar&amp;width=385&amp;height=120&amp;START_MAXIMIZED=FALSE&amp;creator=factset&amp;display_string=Audit"}</definedName>
    <definedName name="_4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__123Graph_Aｸﾞﾗﾌ_1" hidden="1">[2]ｾｸﾞﾒﾝﾄ!$E$164:$I$164</definedName>
    <definedName name="_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0__FDSAUDITLINK__" hidden="1">{"fdsup://Directions/FactSet Auditing Viewer?action=AUDIT_VALUE&amp;DB=129&amp;ID1=05548J10&amp;VALUEID=01001&amp;SDATE=200801&amp;PERIODTYPE=QTR_STD&amp;window=popup_no_bar&amp;width=385&amp;height=120&amp;START_MAXIMIZED=FALSE&amp;creator=factset&amp;display_string=Audit"}</definedName>
    <definedName name="_5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1__FDSAUDITLINK__" hidden="1">{"fdsup://Directions/FactSet Auditing Viewer?action=AUDIT_VALUE&amp;DB=129&amp;ID1=05548J10&amp;VALUEID=01001&amp;SDATE=200802&amp;PERIODTYPE=QTR_STD&amp;window=popup_no_bar&amp;width=385&amp;height=120&amp;START_MAXIMIZED=FALSE&amp;creator=factset&amp;display_string=Audit"}</definedName>
    <definedName name="_5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2__FDSAUDITLINK__" hidden="1">{"fdsup://Directions/FactSet Auditing Viewer?action=AUDIT_VALUE&amp;DB=129&amp;ID1=05548J10&amp;VALUEID=01001&amp;SDATE=200803&amp;PERIODTYPE=QTR_STD&amp;window=popup_no_bar&amp;width=385&amp;height=120&amp;START_MAXIMIZED=FALSE&amp;creator=factset&amp;display_string=Audit"}</definedName>
    <definedName name="_5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3__FDSAUDITLINK__" hidden="1">{"fdsup://Directions/FactSet Auditing Viewer?action=AUDIT_VALUE&amp;DB=129&amp;ID1=05548J10&amp;VALUEID=01001&amp;SDATE=200804&amp;PERIODTYPE=QTR_STD&amp;window=popup_no_bar&amp;width=385&amp;height=120&amp;START_MAXIMIZED=FALSE&amp;creator=factset&amp;display_string=Audit"}</definedName>
    <definedName name="_5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4__FDSAUDITLINK__" hidden="1">{"fdsup://Directions/FactSet Auditing Viewer?action=AUDIT_VALUE&amp;DB=129&amp;ID1=05548J10&amp;VALUEID=01001&amp;SDATE=200901&amp;PERIODTYPE=QTR_STD&amp;window=popup_no_bar&amp;width=385&amp;height=120&amp;START_MAXIMIZED=FALSE&amp;creator=factset&amp;display_string=Audit"}</definedName>
    <definedName name="_5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5__FDSAUDITLINK__" hidden="1">{"fdsup://Directions/FactSet Auditing Viewer?action=AUDIT_VALUE&amp;DB=129&amp;ID1=05548J10&amp;VALUEID=01001&amp;SDATE=200902&amp;PERIODTYPE=QTR_STD&amp;window=popup_no_bar&amp;width=385&amp;height=120&amp;START_MAXIMIZED=FALSE&amp;creator=factset&amp;display_string=Audit"}</definedName>
    <definedName name="_5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6__FDSAUDITLINK__" hidden="1">{"fdsup://Directions/FactSet Auditing Viewer?action=AUDIT_VALUE&amp;DB=129&amp;ID1=05548J10&amp;VALUEID=01001&amp;SDATE=200903&amp;PERIODTYPE=QTR_STD&amp;window=popup_no_bar&amp;width=385&amp;height=120&amp;START_MAXIMIZED=FALSE&amp;creator=factset&amp;display_string=Audit"}</definedName>
    <definedName name="_5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7__FDSAUDITLINK__" hidden="1">{"fdsup://Directions/FactSet Auditing Viewer?action=AUDIT_VALUE&amp;DB=129&amp;ID1=22160K10&amp;VALUEID=01001&amp;SDATE=200602&amp;PERIODTYPE=QTR_STD&amp;window=popup_no_bar&amp;width=385&amp;height=120&amp;START_MAXIMIZED=FALSE&amp;creator=factset&amp;display_string=Audit"}</definedName>
    <definedName name="_5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8__FDSAUDITLINK__" hidden="1">{"fdsup://Directions/FactSet Auditing Viewer?action=AUDIT_VALUE&amp;DB=129&amp;ID1=22160K10&amp;VALUEID=01001&amp;SDATE=200603&amp;PERIODTYPE=QTR_STD&amp;window=popup_no_bar&amp;width=385&amp;height=120&amp;START_MAXIMIZED=FALSE&amp;creator=factset&amp;display_string=Audit"}</definedName>
    <definedName name="_5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9__FDSAUDITLINK__" hidden="1">{"fdsup://Directions/FactSet Auditing Viewer?action=AUDIT_VALUE&amp;DB=129&amp;ID1=22160K10&amp;VALUEID=01001&amp;SDATE=200701&amp;PERIODTYPE=QTR_STD&amp;window=popup_no_bar&amp;width=385&amp;height=120&amp;START_MAXIMIZED=FALSE&amp;creator=factset&amp;display_string=Audit"}</definedName>
    <definedName name="_5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__123Graph_Aｸﾞﾗﾌ_2" hidden="1">[2]単独!$AR$14:$AR$18</definedName>
    <definedName name="_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0__FDSAUDITLINK__" hidden="1">{"fdsup://Directions/FactSet Auditing Viewer?action=AUDIT_VALUE&amp;DB=129&amp;ID1=22160K10&amp;VALUEID=01001&amp;SDATE=200702&amp;PERIODTYPE=QTR_STD&amp;window=popup_no_bar&amp;width=385&amp;height=120&amp;START_MAXIMIZED=FALSE&amp;creator=factset&amp;display_string=Audit"}</definedName>
    <definedName name="_6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1__FDSAUDITLINK__" hidden="1">{"fdsup://Directions/FactSet Auditing Viewer?action=AUDIT_VALUE&amp;DB=129&amp;ID1=22160K10&amp;VALUEID=01001&amp;SDATE=200703&amp;PERIODTYPE=QTR_STD&amp;window=popup_no_bar&amp;width=385&amp;height=120&amp;START_MAXIMIZED=FALSE&amp;creator=factset&amp;display_string=Audit"}</definedName>
    <definedName name="_6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2__FDSAUDITLINK__" hidden="1">{"fdsup://Directions/FactSet Auditing Viewer?action=AUDIT_VALUE&amp;DB=129&amp;ID1=22160K10&amp;VALUEID=01001&amp;SDATE=200801&amp;PERIODTYPE=QTR_STD&amp;window=popup_no_bar&amp;width=385&amp;height=120&amp;START_MAXIMIZED=FALSE&amp;creator=factset&amp;display_string=Audit"}</definedName>
    <definedName name="_6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3__FDSAUDITLINK__" hidden="1">{"fdsup://Directions/FactSet Auditing Viewer?action=AUDIT_VALUE&amp;DB=129&amp;ID1=22160K10&amp;VALUEID=01001&amp;SDATE=200802&amp;PERIODTYPE=QTR_STD&amp;window=popup_no_bar&amp;width=385&amp;height=120&amp;START_MAXIMIZED=FALSE&amp;creator=factset&amp;display_string=Audit"}</definedName>
    <definedName name="_6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4__FDSAUDITLINK__" hidden="1">{"fdsup://Directions/FactSet Auditing Viewer?action=AUDIT_VALUE&amp;DB=129&amp;ID1=22160K10&amp;VALUEID=01001&amp;SDATE=200803&amp;PERIODTYPE=QTR_STD&amp;window=popup_no_bar&amp;width=385&amp;height=120&amp;START_MAXIMIZED=FALSE&amp;creator=factset&amp;display_string=Audit"}</definedName>
    <definedName name="_6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5__FDSAUDITLINK__" hidden="1">{"fdsup://Directions/FactSet Auditing Viewer?action=AUDIT_VALUE&amp;DB=129&amp;ID1=22160K10&amp;VALUEID=01001&amp;SDATE=200804&amp;PERIODTYPE=QTR_STD&amp;window=popup_no_bar&amp;width=385&amp;height=120&amp;START_MAXIMIZED=FALSE&amp;creator=factset&amp;display_string=Audit"}</definedName>
    <definedName name="_6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6__FDSAUDITLINK__" hidden="1">{"fdsup://Directions/FactSet Auditing Viewer?action=AUDIT_VALUE&amp;DB=129&amp;ID1=22160K10&amp;VALUEID=01001&amp;SDATE=200901&amp;PERIODTYPE=QTR_STD&amp;window=popup_no_bar&amp;width=385&amp;height=120&amp;START_MAXIMIZED=FALSE&amp;creator=factset&amp;display_string=Audit"}</definedName>
    <definedName name="_6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7__FDSAUDITLINK__" hidden="1">{"fdsup://Directions/FactSet Auditing Viewer?action=AUDIT_VALUE&amp;DB=129&amp;ID1=22160K10&amp;VALUEID=01001&amp;SDATE=200902&amp;PERIODTYPE=QTR_STD&amp;window=popup_no_bar&amp;width=385&amp;height=120&amp;START_MAXIMIZED=FALSE&amp;creator=factset&amp;display_string=Audit"}</definedName>
    <definedName name="_6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8__FDSAUDITLINK__" hidden="1">{"fdsup://Directions/FactSet Auditing Viewer?action=AUDIT_VALUE&amp;DB=129&amp;ID1=22160K10&amp;VALUEID=01001&amp;SDATE=200903&amp;PERIODTYPE=QTR_STD&amp;window=popup_no_bar&amp;width=385&amp;height=120&amp;START_MAXIMIZED=FALSE&amp;creator=factset&amp;display_string=Audit"}</definedName>
    <definedName name="_6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9__FDSAUDITLINK__" hidden="1">{"fdsup://Directions/FactSet Auditing Viewer?action=AUDIT_VALUE&amp;DB=129&amp;ID1=25674610&amp;VALUEID=01001&amp;SDATE=200902&amp;PERIODTYPE=QTR_STD&amp;window=popup_no_bar&amp;width=385&amp;height=120&amp;START_MAXIMIZED=FALSE&amp;creator=factset&amp;display_string=Audit"}</definedName>
    <definedName name="_6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7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70__FDSAUDITLINK__" hidden="1">{"fdsup://Directions/FactSet Auditing Viewer?action=AUDIT_VALUE&amp;DB=129&amp;ID1=25674610&amp;VALUEID=01001&amp;SDATE=200901&amp;PERIODTYPE=QTR_STD&amp;window=popup_no_bar&amp;width=385&amp;height=120&amp;START_MAXIMIZED=FALSE&amp;creator=factset&amp;display_string=Audit"}</definedName>
    <definedName name="_71__FDSAUDITLINK__" hidden="1">{"fdsup://Directions/FactSet Auditing Viewer?action=AUDIT_VALUE&amp;DB=129&amp;ID1=25674610&amp;VALUEID=01001&amp;SDATE=200804&amp;PERIODTYPE=QTR_STD&amp;window=popup_no_bar&amp;width=385&amp;height=120&amp;START_MAXIMIZED=FALSE&amp;creator=factset&amp;display_string=Audit"}</definedName>
    <definedName name="_72__FDSAUDITLINK__" hidden="1">{"fdsup://Directions/FactSet Auditing Viewer?action=AUDIT_VALUE&amp;DB=129&amp;ID1=25674610&amp;VALUEID=01001&amp;SDATE=200803&amp;PERIODTYPE=QTR_STD&amp;window=popup_no_bar&amp;width=385&amp;height=120&amp;START_MAXIMIZED=FALSE&amp;creator=factset&amp;display_string=Audit"}</definedName>
    <definedName name="_73__FDSAUDITLINK__" hidden="1">{"fdsup://Directions/FactSet Auditing Viewer?action=AUDIT_VALUE&amp;DB=129&amp;ID1=25674610&amp;VALUEID=01001&amp;SDATE=200802&amp;PERIODTYPE=QTR_STD&amp;window=popup_no_bar&amp;width=385&amp;height=120&amp;START_MAXIMIZED=FALSE&amp;creator=factset&amp;display_string=Audit"}</definedName>
    <definedName name="_74__FDSAUDITLINK__" hidden="1">{"fdsup://Directions/FactSet Auditing Viewer?action=AUDIT_VALUE&amp;DB=129&amp;ID1=25674610&amp;VALUEID=01001&amp;SDATE=200801&amp;PERIODTYPE=QTR_STD&amp;window=popup_no_bar&amp;width=385&amp;height=120&amp;START_MAXIMIZED=FALSE&amp;creator=factset&amp;display_string=Audit"}</definedName>
    <definedName name="_75__FDSAUDITLINK__" hidden="1">{"fdsup://Directions/FactSet Auditing Viewer?action=AUDIT_VALUE&amp;DB=129&amp;ID1=25674610&amp;VALUEID=01001&amp;SDATE=200704&amp;PERIODTYPE=QTR_STD&amp;window=popup_no_bar&amp;width=385&amp;height=120&amp;START_MAXIMIZED=FALSE&amp;creator=factset&amp;display_string=Audit"}</definedName>
    <definedName name="_76__FDSAUDITLINK__" hidden="1">{"fdsup://Directions/FactSet Auditing Viewer?action=AUDIT_VALUE&amp;DB=129&amp;ID1=25674610&amp;VALUEID=01001&amp;SDATE=200703&amp;PERIODTYPE=QTR_STD&amp;window=popup_no_bar&amp;width=385&amp;height=120&amp;START_MAXIMIZED=FALSE&amp;creator=factset&amp;display_string=Audit"}</definedName>
    <definedName name="_77__FDSAUDITLINK__" hidden="1">{"fdsup://Directions/FactSet Auditing Viewer?action=AUDIT_VALUE&amp;DB=129&amp;ID1=25674610&amp;VALUEID=01001&amp;SDATE=200702&amp;PERIODTYPE=QTR_STD&amp;window=popup_no_bar&amp;width=385&amp;height=120&amp;START_MAXIMIZED=FALSE&amp;creator=factset&amp;display_string=Audit"}</definedName>
    <definedName name="_78__FDSAUDITLINK__" hidden="1">{"fdsup://Directions/FactSet Auditing Viewer?action=AUDIT_VALUE&amp;DB=129&amp;ID1=25674610&amp;VALUEID=01001&amp;SDATE=200701&amp;PERIODTYPE=QTR_STD&amp;window=popup_no_bar&amp;width=385&amp;height=120&amp;START_MAXIMIZED=FALSE&amp;creator=factset&amp;display_string=Audit"}</definedName>
    <definedName name="_79__FDSAUDITLINK__" hidden="1">{"fdsup://Directions/FactSet Auditing Viewer?action=AUDIT_VALUE&amp;DB=129&amp;ID1=25674610&amp;VALUEID=01001&amp;SDATE=200604&amp;PERIODTYPE=QTR_STD&amp;window=popup_no_bar&amp;width=385&amp;height=120&amp;START_MAXIMIZED=FALSE&amp;creator=factset&amp;display_string=Audit"}</definedName>
    <definedName name="_8__123Graph_Bｸﾞﾗﾌ_1" hidden="1">[2]ｾｸﾞﾒﾝﾄ!$E$165:$I$165</definedName>
    <definedName name="_8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80__FDSAUDITLINK__" hidden="1">{"fdsup://Directions/FactSet Auditing Viewer?action=AUDIT_VALUE&amp;DB=129&amp;ID1=25674610&amp;VALUEID=01001&amp;SDATE=200603&amp;PERIODTYPE=QTR_STD&amp;window=popup_no_bar&amp;width=385&amp;height=120&amp;START_MAXIMIZED=FALSE&amp;creator=factset&amp;display_string=Audit"}</definedName>
    <definedName name="_81__FDSAUDITLINK__" hidden="1">{"fdsup://Directions/FactSet Auditing Viewer?action=AUDIT_VALUE&amp;DB=129&amp;ID1=25674610&amp;VALUEID=01001&amp;SDATE=200602&amp;PERIODTYPE=QTR_STD&amp;window=popup_no_bar&amp;width=385&amp;height=120&amp;START_MAXIMIZED=FALSE&amp;creator=factset&amp;display_string=Audit"}</definedName>
    <definedName name="_82__FDSAUDITLINK__" hidden="1">{"fdsup://Directions/FactSet Auditing Viewer?action=AUDIT_VALUE&amp;DB=129&amp;ID1=25667710&amp;VALUEID=01001&amp;SDATE=200903&amp;PERIODTYPE=QTR_STD&amp;window=popup_no_bar&amp;width=385&amp;height=120&amp;START_MAXIMIZED=FALSE&amp;creator=factset&amp;display_string=Audit"}</definedName>
    <definedName name="_83__FDSAUDITLINK__" hidden="1">{"fdsup://Directions/FactSet Auditing Viewer?action=AUDIT_VALUE&amp;DB=129&amp;ID1=25667710&amp;VALUEID=01001&amp;SDATE=200902&amp;PERIODTYPE=QTR_STD&amp;window=popup_no_bar&amp;width=385&amp;height=120&amp;START_MAXIMIZED=FALSE&amp;creator=factset&amp;display_string=Audit"}</definedName>
    <definedName name="_84__FDSAUDITLINK__" hidden="1">{"fdsup://Directions/FactSet Auditing Viewer?action=AUDIT_VALUE&amp;DB=129&amp;ID1=25667710&amp;VALUEID=01001&amp;SDATE=200901&amp;PERIODTYPE=QTR_STD&amp;window=popup_no_bar&amp;width=385&amp;height=120&amp;START_MAXIMIZED=FALSE&amp;creator=factset&amp;display_string=Audit"}</definedName>
    <definedName name="_85__FDSAUDITLINK__" hidden="1">{"fdsup://Directions/FactSet Auditing Viewer?action=AUDIT_VALUE&amp;DB=129&amp;ID1=25667710&amp;VALUEID=01001&amp;SDATE=200803&amp;PERIODTYPE=QTR_STD&amp;window=popup_no_bar&amp;width=385&amp;height=120&amp;START_MAXIMIZED=FALSE&amp;creator=factset&amp;display_string=Audit"}</definedName>
    <definedName name="_86__FDSAUDITLINK__" hidden="1">{"fdsup://Directions/FactSet Auditing Viewer?action=AUDIT_VALUE&amp;DB=129&amp;ID1=25667710&amp;VALUEID=01001&amp;SDATE=200802&amp;PERIODTYPE=QTR_STD&amp;window=popup_no_bar&amp;width=385&amp;height=120&amp;START_MAXIMIZED=FALSE&amp;creator=factset&amp;display_string=Audit"}</definedName>
    <definedName name="_87__FDSAUDITLINK__" hidden="1">{"fdsup://Directions/FactSet Auditing Viewer?action=AUDIT_VALUE&amp;DB=129&amp;ID1=25667710&amp;VALUEID=01001&amp;SDATE=200801&amp;PERIODTYPE=QTR_STD&amp;window=popup_no_bar&amp;width=385&amp;height=120&amp;START_MAXIMIZED=FALSE&amp;creator=factset&amp;display_string=Audit"}</definedName>
    <definedName name="_88__FDSAUDITLINK__" hidden="1">{"fdsup://Directions/FactSet Auditing Viewer?action=AUDIT_VALUE&amp;DB=129&amp;ID1=25667710&amp;VALUEID=01001&amp;SDATE=200701&amp;PERIODTYPE=QTR_STD&amp;window=popup_no_bar&amp;width=385&amp;height=120&amp;START_MAXIMIZED=FALSE&amp;creator=factset&amp;display_string=Audit"}</definedName>
    <definedName name="_89__FDSAUDITLINK__" hidden="1">{"fdsup://Directions/FactSet Auditing Viewer?action=AUDIT_VALUE&amp;DB=129&amp;ID1=25667710&amp;VALUEID=01001&amp;SDATE=200603&amp;PERIODTYPE=QTR_STD&amp;window=popup_no_bar&amp;width=385&amp;height=120&amp;START_MAXIMIZED=FALSE&amp;creator=factset&amp;display_string=Audit"}</definedName>
    <definedName name="_9__123Graph_Dｸﾞﾗﾌ_1" hidden="1">[2]ｾｸﾞﾒﾝﾄ!$E$167:$I$167</definedName>
    <definedName name="_9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90__FDSAUDITLINK__" hidden="1">{"fdsup://Directions/FactSet Auditing Viewer?action=AUDIT_VALUE&amp;DB=129&amp;ID1=25667710&amp;VALUEID=01001&amp;SDATE=200602&amp;PERIODTYPE=QTR_STD&amp;window=popup_no_bar&amp;width=385&amp;height=120&amp;START_MAXIMIZED=FALSE&amp;creator=factset&amp;display_string=Audit"}</definedName>
    <definedName name="_91__FDSAUDITLINK__" hidden="1">{"fdsup://Directions/FactSet Auditing Viewer?action=AUDIT_VALUE&amp;DB=129&amp;ID1=25667710&amp;VALUEID=01001&amp;SDATE=200601&amp;PERIODTYPE=QTR_STD&amp;window=popup_no_bar&amp;width=385&amp;height=120&amp;START_MAXIMIZED=FALSE&amp;creator=factset&amp;display_string=Audit"}</definedName>
    <definedName name="_92__FDSAUDITLINK__" hidden="1">{"fdsup://Directions/FactSet Auditing Viewer?action=AUDIT_VALUE&amp;DB=129&amp;ID1=07589610&amp;VALUEID=01001&amp;SDATE=200903&amp;PERIODTYPE=QTR_STD&amp;window=popup_no_bar&amp;width=385&amp;height=120&amp;START_MAXIMIZED=FALSE&amp;creator=factset&amp;display_string=Audit"}</definedName>
    <definedName name="_93__FDSAUDITLINK__" hidden="1">{"fdsup://Directions/FactSet Auditing Viewer?action=AUDIT_VALUE&amp;DB=129&amp;ID1=07589610&amp;VALUEID=01001&amp;SDATE=200902&amp;PERIODTYPE=QTR_STD&amp;window=popup_no_bar&amp;width=385&amp;height=120&amp;START_MAXIMIZED=FALSE&amp;creator=factset&amp;display_string=Audit"}</definedName>
    <definedName name="_94__FDSAUDITLINK__" hidden="1">{"fdsup://Directions/FactSet Auditing Viewer?action=AUDIT_VALUE&amp;DB=129&amp;ID1=07589610&amp;VALUEID=01001&amp;SDATE=200901&amp;PERIODTYPE=QTR_STD&amp;window=popup_no_bar&amp;width=385&amp;height=120&amp;START_MAXIMIZED=FALSE&amp;creator=factset&amp;display_string=Audit"}</definedName>
    <definedName name="_95__FDSAUDITLINK__" hidden="1">{"fdsup://Directions/FactSet Auditing Viewer?action=AUDIT_VALUE&amp;DB=129&amp;ID1=07589610&amp;VALUEID=01001&amp;SDATE=200804&amp;PERIODTYPE=QTR_STD&amp;window=popup_no_bar&amp;width=385&amp;height=120&amp;START_MAXIMIZED=FALSE&amp;creator=factset&amp;display_string=Audit"}</definedName>
    <definedName name="_96__FDSAUDITLINK__" hidden="1">{"fdsup://Directions/FactSet Auditing Viewer?action=AUDIT_VALUE&amp;DB=129&amp;ID1=07589610&amp;VALUEID=01001&amp;SDATE=200803&amp;PERIODTYPE=QTR_STD&amp;window=popup_no_bar&amp;width=385&amp;height=120&amp;START_MAXIMIZED=FALSE&amp;creator=factset&amp;display_string=Audit"}</definedName>
    <definedName name="_97__FDSAUDITLINK__" hidden="1">{"fdsup://Directions/FactSet Auditing Viewer?action=AUDIT_VALUE&amp;DB=129&amp;ID1=07589610&amp;VALUEID=01001&amp;SDATE=200802&amp;PERIODTYPE=QTR_STD&amp;window=popup_no_bar&amp;width=385&amp;height=120&amp;START_MAXIMIZED=FALSE&amp;creator=factset&amp;display_string=Audit"}</definedName>
    <definedName name="_98__FDSAUDITLINK__" hidden="1">{"fdsup://Directions/FactSet Auditing Viewer?action=AUDIT_VALUE&amp;DB=129&amp;ID1=07589610&amp;VALUEID=01001&amp;SDATE=200801&amp;PERIODTYPE=QTR_STD&amp;window=popup_no_bar&amp;width=385&amp;height=120&amp;START_MAXIMIZED=FALSE&amp;creator=factset&amp;display_string=Audit"}</definedName>
    <definedName name="_99__FDSAUDITLINK__" hidden="1">{"fdsup://Directions/FactSet Auditing Viewer?action=AUDIT_VALUE&amp;DB=129&amp;ID1=07589610&amp;VALUEID=01001&amp;SDATE=200703&amp;PERIODTYPE=QTR_STD&amp;window=popup_no_bar&amp;width=385&amp;height=120&amp;START_MAXIMIZED=FALSE&amp;creator=factset&amp;display_string=Audit"}</definedName>
    <definedName name="_bdm.02E29E7B1053433EA3CCCBE4E5141596.edm" hidden="1">[3]Sheet1!$A:$IV</definedName>
    <definedName name="_bdm.0A2F11DA94EF47F4ADD86D073DA8EE13.edm" hidden="1">'[4]LTD Variance Chart Data'!$A:$IV</definedName>
    <definedName name="_bdm.120A6CD7BBA043F1B92D8520E23CB84B.edm" localSheetId="12">flow!$A$8:$AL$54</definedName>
    <definedName name="_bdm.186193C0C6844AB18E99154BE239556B.edm" hidden="1" xml:space="preserve">                  '[5]Scenario Inputs'!$A:$IV</definedName>
    <definedName name="_bdm.1D8CE2C45CB1434C98B4307C73C41BB3.edm" hidden="1" xml:space="preserve">                  '[5]Scenario Inputs'!$A:$IV</definedName>
    <definedName name="_bdm.1DF4B3E45DCE4C2A9D635C38C907064B.edm" hidden="1">[5]LIZ!$A:$IV</definedName>
    <definedName name="_bdm.239033D1CBDF4B34B065E13D4FA9D589.edm" hidden="1">'[4]COH Variance Chart Data'!$A:$IV</definedName>
    <definedName name="_bdm.240E5CC7D1A3433BA930B1D7FED87980.edm" hidden="1" xml:space="preserve">                    '[5]Scenario Inputs'!$A:$IV</definedName>
    <definedName name="_bdm.261112BAE8204F8280374C78A1E02552.edm" hidden="1" xml:space="preserve"> [6]C1000!$A:$IV</definedName>
    <definedName name="_bdm.297446E2985E45DCA44E1E58B339ED35.edm" hidden="1" xml:space="preserve">                                    '[5]Scenario Inputs'!$A:$IV</definedName>
    <definedName name="_bdm.2DDFFB15C42A449AADB01F909D897844.edm" hidden="1" xml:space="preserve">                                    '[5]Scenario Inputs'!$A:$IV</definedName>
    <definedName name="_bdm.36700029454B46269809EAC509E70B0B.edm" hidden="1" xml:space="preserve">                                    '[5]Scenario Inputs'!$A:$IV</definedName>
    <definedName name="_bdm.38FC3AFFD8DF49F6B1CB73376921CBB3.edm" hidden="1">'[7]Coverage Universe Comp'!$A:$IV</definedName>
    <definedName name="_bdm.4176AC4C677F4FBC8C99A951BC121C6E.edm" hidden="1" xml:space="preserve">                                    '[5]Scenario Inputs'!$A:$IV</definedName>
    <definedName name="_bdm.42F67CCC3C1C45638B5EC98256E90947.edm" hidden="1">'[8]Good 12-00 (2)'!$A:$IV</definedName>
    <definedName name="_bdm.43FA48142E7E4CED84E86C6CCE4A15D5.edm" hidden="1">'[4]M Variance Chart Data'!$A:$IV</definedName>
    <definedName name="_bdm.46D56600DB7840728F138544F8E425DB.edm" hidden="1">'[8]Good 11-36'!$A:$IV</definedName>
    <definedName name="_bdm.4FEEBEF4482944F2ACBBD6254ED033B8.edm">flow!$1:$1048576</definedName>
    <definedName name="_bdm.5A83112C29EC4C69A48721E38A1BFD32.edm">sumry!$1:$1048576</definedName>
    <definedName name="_bdm.5F55189316304861B1E09137E617846B.edm" hidden="1" xml:space="preserve">                  '[5]Scenario Inputs'!$A:$IV</definedName>
    <definedName name="_bdm.60A1016E4A5045B0B4BE42FB21AAF6D6.edm" hidden="1">'[8]Good 11-50'!$A:$IV</definedName>
    <definedName name="_bdm.64050905C6744CC7AA6C4FC93BDCEAE5.edm" localSheetId="12">flow!$A$8:$AL$47</definedName>
    <definedName name="_bdm.7087D4AB48F64E19BD2C8BDFB7209C3F.edm" hidden="1" xml:space="preserve">                  '[5]Scenario Inputs'!$A:$IV</definedName>
    <definedName name="_bdm.72D868114C7B455FB2DD8E1894509A24.edm" hidden="1" xml:space="preserve">                  '[5]Scenario Inputs'!$A:$IV</definedName>
    <definedName name="_bdm.828EF922B3BF49D5A4BB507669E667E8.edm" hidden="1">'[5]UA Drivers'!$IV$1</definedName>
    <definedName name="_bdm.82DE466B2822439DAA29C1CD467BDF3A.edm">bal!$1:$1048576</definedName>
    <definedName name="_bdm.84245E63505C4AFEAADE86E343E612C8.edm" hidden="1">'[7]Earnings Snapshot'!$A:$IV</definedName>
    <definedName name="_bdm.87A284D940C446AD91946159E6CF1627.edm" localSheetId="4">sumry!$A$5:$DF$72</definedName>
    <definedName name="_bdm.88BE57C8E16441C3844ACB2DCE4DA074.edm" hidden="1" xml:space="preserve">                  '[5]Scenario Inputs'!$A:$IV</definedName>
    <definedName name="_bdm.891E1CD31091472985F208F6CBFD955B.edm" localSheetId="11">bal!$A$6:$AO$54</definedName>
    <definedName name="_bdm.9280AC3F9F7C4C4DBA4D9C6414A1F504.edm" localSheetId="4">sumry!$A$5:$DI$60</definedName>
    <definedName name="_bdm.9A0F9A3877A9479AB7B77DDF59A937D6.edm" hidden="1" xml:space="preserve">                  '[5]Scenario Inputs'!$A:$IV</definedName>
    <definedName name="_bdm.9EB8FE0446E347D4B59325F189FA9F31.edm" hidden="1" xml:space="preserve">                  '[5]Scenario Inputs'!$A:$IV</definedName>
    <definedName name="_bdm.9FE9C8C243E64742BDD82BE514C99289.edm" localSheetId="12">flow!$A$8:$AN$54</definedName>
    <definedName name="_bdm.A2D0F3FA285649B7BDDF87BD9C153DE1.edm" hidden="1" xml:space="preserve">                                    '[5]Scenario Inputs'!$A:$IV</definedName>
    <definedName name="_bdm.A339904D6D0347AA9B2B187BC3316370.edm" hidden="1">[9]JWN!$A:$IV</definedName>
    <definedName name="_bdm.A772A7E12EE949A2B2ED88CF7248DD14.edm" hidden="1" xml:space="preserve">                                    '[5]Scenario Inputs'!$A:$IV</definedName>
    <definedName name="_bdm.ACB5FDEFB23449D0A31DB42371EF4F3B.edm" localSheetId="4">sumry!$A$5:$DF$60</definedName>
    <definedName name="_bdm.AF41298052B5438BB5863CF33374793F.edm" hidden="1">[9]JCP!$A:$IV</definedName>
    <definedName name="_bdm.B232A23EC303428E9F3B15E3162F750B.edm" hidden="1">[4]Tables!$A:$IV</definedName>
    <definedName name="_bdm.B8E7F8D146B34C039CAD519CB46A2D63.edm" hidden="1" xml:space="preserve">                                    '[5]Scenario Inputs'!$A:$IV</definedName>
    <definedName name="_bdm.C7C6FBA36F39444B8BCEC128D5B7F931.edm" hidden="1">'[8]Sheet3 (5)'!$A:$IV</definedName>
    <definedName name="_bdm.D1498A7BEDD14B6AB492DE0F97893C72.edm" localSheetId="11">bal!$A$6:$AO$55</definedName>
    <definedName name="_bdm.D49DCDB7FF224CB1BC63C5534A11A85A.edm" hidden="1" xml:space="preserve">                  '[5]Scenario Inputs'!$A:$IV</definedName>
    <definedName name="_bdm.E0B0E8A77D684FB58AA9469766A75613.edm" hidden="1">'[7]Relative Risk Reward Chart'!$A:$IV</definedName>
    <definedName name="_bdm.E12FB90E97504D9FB610451A2A55636E.edm" hidden="1">'[7]For 2010 Report - misc calc'!$A:$IV</definedName>
    <definedName name="_bdm.EAD1FD3B1C5B4B008EDB79939D83C388.edm" hidden="1" xml:space="preserve">                  '[5]Scenario Inputs'!$A:$IV</definedName>
    <definedName name="_bdm.EF325A886A3842DD8CC90984D4D28C9C.edm" hidden="1">[10]Bear_to_Bull_Data!$A:$IV</definedName>
    <definedName name="_bdm.F30073110F694A8597AF2E62515D28EF.edm" hidden="1">[10]Value_of_Growth_Data!$A:$IV</definedName>
    <definedName name="_bdm.F423A6AE5A8649509F62F904E14CB3AE.edm" localSheetId="11">bal!$A$6:$AQ$54</definedName>
    <definedName name="_bdm.FB89892EBDAE4620819709C7B13FFB90.edm" hidden="1">'[10]Comparative_Risk-Reward_Data'!$A:$IV</definedName>
    <definedName name="_bdm.FC5CA615F4824D84868898D9DFAE1BAC.edm" hidden="1" xml:space="preserve">                  '[5]Scenario Inputs'!$A:$IV</definedName>
    <definedName name="_bdm.FE2CE930D155417CB1C4D24A021793F8.edm" hidden="1">'[4]TJX Variance Chart Data'!$A:$IV</definedName>
    <definedName name="_Order1" localSheetId="16">0</definedName>
    <definedName name="_Order1">255</definedName>
    <definedName name="a">{"Client Name or Project Name"}</definedName>
    <definedName name="AAB_GSPPG">"AAB_Goldman Sachs PPG Chart Utilities 1.0g"</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_Price" localSheetId="16">OFFSET(Date_Range,0,1,,1)</definedName>
    <definedName name="Act_Price">OFFSET(Date_Range,0,1,,1)</definedName>
    <definedName name="AdditionalInstructions">IndexInformation!$B$42</definedName>
    <definedName name="Address" localSheetId="1">ImportantDisclosures!$A$2:$A$2</definedName>
    <definedName name="ANA" localSheetId="20">ModPubIndex!$A$7</definedName>
    <definedName name="ann_is_short">[11]Income!$C$1:$H$105</definedName>
    <definedName name="anscount">1</definedName>
    <definedName name="Authors" localSheetId="1">ImportantDisclosures!$A$7</definedName>
    <definedName name="Authors" localSheetId="19">IndexInformation!$B$18</definedName>
    <definedName name="Avg">"Avg"</definedName>
    <definedName name="BRO" localSheetId="20">ModPubIndex!$A$1</definedName>
    <definedName name="check" localSheetId="18">'MWA Lease'!$H$190:$P$190</definedName>
    <definedName name="comps_1">[11]Income!$A$119:$IV$119</definedName>
    <definedName name="comps_2">[11]Income!$A$120:$IV$120</definedName>
    <definedName name="comps_3">[11]Income!$A$121:$IV$121</definedName>
    <definedName name="CopyrightStamp">ImportantDisclosures!$A$27</definedName>
    <definedName name="COU" localSheetId="20">ModPubIndex!$A$5</definedName>
    <definedName name="CQEnd" localSheetId="19">IndexInformation!$B$31</definedName>
    <definedName name="Currency" localSheetId="19">IndexInformation!$B$24</definedName>
    <definedName name="CurrentStockPrice" localSheetId="19">IndexInformation!$B$23</definedName>
    <definedName name="CurrQtrEPS" localSheetId="19">IndexInformation!$B$29</definedName>
    <definedName name="CurrYearEPS" localSheetId="19">IndexInformation!$B$11</definedName>
    <definedName name="CurrYearTotalRevenue" localSheetId="19">IndexInformation!$B$10</definedName>
    <definedName name="CurrYearTotalRevenueActual" localSheetId="19">IndexInformation!$B$32</definedName>
    <definedName name="CUSIP" localSheetId="19">IndexInformation!$B$20</definedName>
    <definedName name="CYEnd" localSheetId="19">IndexInformation!$B$30</definedName>
    <definedName name="d">'[12]LEASES NEW'!$A$19</definedName>
    <definedName name="dataseries_minus_space_2">OFFSET([5]LIZ!$AE$31,0,0,COUNTA([5]LIZ!$AE$31:$AE$37)+1,1)</definedName>
    <definedName name="dataseries4">OFFSET([13]c1!$G$12,0,0,COUNTA([13]c1!$G$12:$G$31),1)</definedName>
    <definedName name="Date" localSheetId="1">ImportantDisclosures!$A$8</definedName>
    <definedName name="Deleted" localSheetId="19">IndexInformation!$B$27</definedName>
    <definedName name="Description" localSheetId="19">IndexInformation!$B$7</definedName>
    <definedName name="DEVELOPMENT">5</definedName>
    <definedName name="Discipline" localSheetId="19">IndexInformation!$B$3</definedName>
    <definedName name="DISCIPLINE" localSheetId="20">ModPubIndex!$A$12</definedName>
    <definedName name="DisclosuresText">ImportantDisclosures!$A$22</definedName>
    <definedName name="Distribution" localSheetId="19">IndexInformation!$B$26</definedName>
    <definedName name="DistTable" localSheetId="1">ImportantDisclosures!#REF!</definedName>
    <definedName name="DistTablePreamble" localSheetId="1">ImportantDisclosures!#REF!</definedName>
    <definedName name="Djzh15" xlm="1" functionGroupId="14">0</definedName>
    <definedName name="Djzh16" xlm="1" functionGroupId="14">0</definedName>
    <definedName name="DOCDAT" localSheetId="20">ModPubIndex!$A$2</definedName>
    <definedName name="DOCTIME" localSheetId="20">ModPubIndex!$A$3</definedName>
    <definedName name="DocType" localSheetId="19">IndexInformation!$B$5</definedName>
    <definedName name="Download_series">[14]!Download_series</definedName>
    <definedName name="e">[11]Income!$EP$106</definedName>
    <definedName name="EMAIL_ALERT" localSheetId="20">ModPubIndex!$A$10</definedName>
    <definedName name="EmailAlert" localSheetId="19">IndexInformation!$B$28</definedName>
    <definedName name="ExpandModel" localSheetId="16">DCF!ExpandModel</definedName>
    <definedName name="ExpandModel">[0]!ExpandModel</definedName>
    <definedName name="ExpandOutputs" localSheetId="16">DCF!ExpandOutputs</definedName>
    <definedName name="ExpandOutputs">[0]!ExpandOutputs</definedName>
    <definedName name="ExpandVPeriods" localSheetId="16">DCF!ExpandVPeriods</definedName>
    <definedName name="ExpandVPeriods">[0]!ExpandVPeriods</definedName>
    <definedName name="ExportFile" localSheetId="16">DCF!ExportFile</definedName>
    <definedName name="ExportFile">[0]!ExportFile</definedName>
    <definedName name="ｆ" hidden="1">"iQShowAnnual"</definedName>
    <definedName name="FINCopyDirection">1</definedName>
    <definedName name="FINCriteriaType">1</definedName>
    <definedName name="FiveYearGrowthRate" localSheetId="19">IndexInformation!$B$16</definedName>
    <definedName name="FollowingYearEPS" localSheetId="19">IndexInformation!$B$15</definedName>
    <definedName name="FollowingYearTotalRevenue" localSheetId="19">IndexInformation!$B$14</definedName>
    <definedName name="FollowingYearTotalRevenueActual" localSheetId="19">IndexInformation!$B$34</definedName>
    <definedName name="Growth_ROIC" localSheetId="18">OFFSET([0]!XRange,10,0)</definedName>
    <definedName name="HL" localSheetId="20">ModPubIndex!$A$8</definedName>
    <definedName name="ImportFile" localSheetId="16">DCF!ImportFile</definedName>
    <definedName name="ImportFile">[0]!ImportFile</definedName>
    <definedName name="income">[11]Income!$A:$IV</definedName>
    <definedName name="IND" localSheetId="20">ModPubIndex!$A$9</definedName>
    <definedName name="Industry" localSheetId="1">ImportantDisclosures!$A$12</definedName>
    <definedName name="IndustryId">IndexInformation!$B$40</definedName>
    <definedName name="IndustryRating" localSheetId="1">ImportantDisclosures!$A$13</definedName>
    <definedName name="InvestCapGrowth" localSheetId="18">OFFSET([0]!XRange2,4,0)</definedName>
    <definedName name="IQ_ACCOUNT_CHANGE">"c1449"</definedName>
    <definedName name="IQ_ACCOUNTS_PAY">"c1343"</definedName>
    <definedName name="IQ_ACCR_INT_PAY">"c1"</definedName>
    <definedName name="IQ_ACCR_INT_PAY_CF">"c2"</definedName>
    <definedName name="IQ_ACCR_INT_RECEIV">"c3"</definedName>
    <definedName name="IQ_ACCR_INT_RECEIV_CF">"c4"</definedName>
    <definedName name="IQ_ACCRUED_EXP">"c1341"</definedName>
    <definedName name="IQ_ACCT_RECV_10YR_ANN_GROWTH">"c1924"</definedName>
    <definedName name="IQ_ACCT_RECV_1YR_ANN_GROWTH">"c1919"</definedName>
    <definedName name="IQ_ACCT_RECV_2YR_ANN_GROWTH">"c1920"</definedName>
    <definedName name="IQ_ACCT_RECV_3YR_ANN_GROWTH">"c1921"</definedName>
    <definedName name="IQ_ACCT_RECV_5YR_ANN_GROWTH">"c1922"</definedName>
    <definedName name="IQ_ACCT_RECV_7YR_ANN_GROWTH">"c1923"</definedName>
    <definedName name="IQ_ACCUM_DEP">"c1340"</definedName>
    <definedName name="IQ_ACCUMULATED_PENSION_OBLIGATION">"c2244"</definedName>
    <definedName name="IQ_ACCUMULATED_PENSION_OBLIGATION_DOMESTIC">"c2657"</definedName>
    <definedName name="IQ_ACCUMULATED_PENSION_OBLIGATION_FOREIGN">"c2665"</definedName>
    <definedName name="IQ_ACQ_COST_SUB">"c2125"</definedName>
    <definedName name="IQ_ACQ_COSTS_CAPITALIZED">"c5"</definedName>
    <definedName name="IQ_ACQUIRE_REAL_ESTATE_CF">"c6"</definedName>
    <definedName name="IQ_ACQUISITION_RE_ASSETS">"c1628"</definedName>
    <definedName name="IQ_AD">"c7"</definedName>
    <definedName name="IQ_ADD_PAID_IN">"c1344"</definedName>
    <definedName name="IQ_ADJ_AVG_BANK_ASSETS">"c2671"</definedName>
    <definedName name="IQ_ADMIN_RATIO">"c2784"</definedName>
    <definedName name="IQ_ADVERTISING">"c2246"</definedName>
    <definedName name="IQ_ADVERTISING_MARKETING">"c1566"</definedName>
    <definedName name="IQ_AE">"c8"</definedName>
    <definedName name="IQ_AE_BNK">"c9"</definedName>
    <definedName name="IQ_AE_BR">"c10"</definedName>
    <definedName name="IQ_AE_FIN">"c11"</definedName>
    <definedName name="IQ_AE_INS">"c12"</definedName>
    <definedName name="IQ_AE_REIT">"c13"</definedName>
    <definedName name="IQ_AE_UTI">"c14"</definedName>
    <definedName name="IQ_AH_EARNED">"c2744"</definedName>
    <definedName name="IQ_AH_POLICY_BENEFITS_EXP">"c2789"</definedName>
    <definedName name="IQ_AIR_AIRPLANES_NOT_IN_SERVICE">"c2842"</definedName>
    <definedName name="IQ_AIR_AIRPLANES_SUBLEASED">"c2841"</definedName>
    <definedName name="IQ_AIR_ASK">"c2813"</definedName>
    <definedName name="IQ_AIR_ASK_INCREASE">"c2826"</definedName>
    <definedName name="IQ_AIR_ASM">"c2812"</definedName>
    <definedName name="IQ_AIR_ASM_INCREASE">"c2825"</definedName>
    <definedName name="IQ_AIR_AVG_AGE">"c2843"</definedName>
    <definedName name="IQ_AIR_BREAK_EVEN_FACTOR">"c2822"</definedName>
    <definedName name="IQ_AIR_CAPITAL_LEASE">"c2833"</definedName>
    <definedName name="IQ_AIR_COMPLETION_FACTOR">"c2824"</definedName>
    <definedName name="IQ_AIR_ENPLANED_PSGRS">"c2809"</definedName>
    <definedName name="IQ_AIR_FUEL_CONSUMED">"c2806"</definedName>
    <definedName name="IQ_AIR_FUEL_CONSUMED_L">"c2807"</definedName>
    <definedName name="IQ_AIR_FUEL_COST">"c2803"</definedName>
    <definedName name="IQ_AIR_FUEL_COST_L">"c2804"</definedName>
    <definedName name="IQ_AIR_FUEL_EXP">"c2802"</definedName>
    <definedName name="IQ_AIR_FUEL_EXP_PERCENT">"c2805"</definedName>
    <definedName name="IQ_AIR_LEASED">"c2835"</definedName>
    <definedName name="IQ_AIR_LOAD_FACTOR">"c2823"</definedName>
    <definedName name="IQ_AIR_NEW_AIRPLANES">"c2839"</definedName>
    <definedName name="IQ_AIR_OPER_EXP_ASK">"c2821"</definedName>
    <definedName name="IQ_AIR_OPER_EXP_ASM">"c2820"</definedName>
    <definedName name="IQ_AIR_OPER_LEASE">"c2834"</definedName>
    <definedName name="IQ_AIR_OPER_REV_YIELD_ASK">"c2819"</definedName>
    <definedName name="IQ_AIR_OPER_REV_YIELD_ASM">"c2818"</definedName>
    <definedName name="IQ_AIR_OPTIONS">"c2837"</definedName>
    <definedName name="IQ_AIR_ORDERS">"c2836"</definedName>
    <definedName name="IQ_AIR_OWNED">"c2832"</definedName>
    <definedName name="IQ_AIR_PSGR_REV_YIELD_ASK">"c2817"</definedName>
    <definedName name="IQ_AIR_PSGR_REV_YIELD_ASM">"c2816"</definedName>
    <definedName name="IQ_AIR_PSGR_REV_YIELD_RPK">"c2815"</definedName>
    <definedName name="IQ_AIR_PSGR_REV_YIELD_RPM">"c2814"</definedName>
    <definedName name="IQ_AIR_PURCHASE_RIGHTS">"c2838"</definedName>
    <definedName name="IQ_AIR_RETIRED_AIRPLANES">"c2840"</definedName>
    <definedName name="IQ_AIR_REV_PSGRS_CARRIED">"c2808"</definedName>
    <definedName name="IQ_AIR_REV_SCHEDULED_SERVICE">"c2830"</definedName>
    <definedName name="IQ_AIR_RPK">"c2811"</definedName>
    <definedName name="IQ_AIR_RPM">"c2810"</definedName>
    <definedName name="IQ_AIR_STAGE_LENGTH">"c2828"</definedName>
    <definedName name="IQ_AIR_STAGE_LENGTH_KM">"c2829"</definedName>
    <definedName name="IQ_AIR_TOTAL">"c2831"</definedName>
    <definedName name="IQ_AIR_UTILIZATION">"c2827"</definedName>
    <definedName name="IQ_ALLOW_BORROW_CONST">"c15"</definedName>
    <definedName name="IQ_ALLOW_CONST">"c1342"</definedName>
    <definedName name="IQ_ALLOW_DOUBT_ACCT">"c2092"</definedName>
    <definedName name="IQ_ALLOW_EQUITY_CONST">"c16"</definedName>
    <definedName name="IQ_ALLOW_LL">"c17"</definedName>
    <definedName name="IQ_ALLOWANCE_10YR_ANN_GROWTH">"c18"</definedName>
    <definedName name="IQ_ALLOWANCE_1YR_ANN_GROWTH">"c19"</definedName>
    <definedName name="IQ_ALLOWANCE_2YR_ANN_GROWTH">"c20"</definedName>
    <definedName name="IQ_ALLOWANCE_3YR_ANN_GROWTH">"c21"</definedName>
    <definedName name="IQ_ALLOWANCE_5YR_ANN_GROWTH">"c22"</definedName>
    <definedName name="IQ_ALLOWANCE_7YR_ANN_GROWTH">"c23"</definedName>
    <definedName name="IQ_ALLOWANCE_CHARGE_OFFS">"c24"</definedName>
    <definedName name="IQ_ALLOWANCE_NON_PERF_LOANS">"c25"</definedName>
    <definedName name="IQ_ALLOWANCE_TOTAL_LOANS">"c26"</definedName>
    <definedName name="IQ_AMORTIZATION">"c1591"</definedName>
    <definedName name="IQ_AMT_OUT">"c2145"</definedName>
    <definedName name="IQ_ANNU_DISTRIBUTION_UNIT">"c3004"</definedName>
    <definedName name="IQ_ANNUALIZED_DIVIDEND">"c1579"</definedName>
    <definedName name="IQ_ANNUITY_LIAB">"c27"</definedName>
    <definedName name="IQ_ANNUITY_PAY">"c28"</definedName>
    <definedName name="IQ_ANNUITY_POLICY_EXP">"c29"</definedName>
    <definedName name="IQ_ANNUITY_REC">"c30"</definedName>
    <definedName name="IQ_ANNUITY_REV">"c31"</definedName>
    <definedName name="IQ_AP">"c32"</definedName>
    <definedName name="IQ_AP_BNK">"c33"</definedName>
    <definedName name="IQ_AP_BR">"c34"</definedName>
    <definedName name="IQ_AP_FIN">"c35"</definedName>
    <definedName name="IQ_AP_INS">"c36"</definedName>
    <definedName name="IQ_AP_REIT">"c37"</definedName>
    <definedName name="IQ_AP_UTI">"c38"</definedName>
    <definedName name="IQ_APIC">"c39"</definedName>
    <definedName name="IQ_AR">"c40"</definedName>
    <definedName name="IQ_AR_BR">"c41"</definedName>
    <definedName name="IQ_AR_LT">"c42"</definedName>
    <definedName name="IQ_AR_REIT">"c43"</definedName>
    <definedName name="IQ_AR_TURNS">"c44"</definedName>
    <definedName name="IQ_AR_UTI">"c45"</definedName>
    <definedName name="IQ_ARPU">"c2126"</definedName>
    <definedName name="IQ_ASSET_MGMT_FEE">"c46"</definedName>
    <definedName name="IQ_ASSET_TURNS">"c47"</definedName>
    <definedName name="IQ_ASSET_WRITEDOWN">"c48"</definedName>
    <definedName name="IQ_ASSET_WRITEDOWN_BNK">"c49"</definedName>
    <definedName name="IQ_ASSET_WRITEDOWN_BR">"c50"</definedName>
    <definedName name="IQ_ASSET_WRITEDOWN_CF">"c51"</definedName>
    <definedName name="IQ_ASSET_WRITEDOWN_CF_BNK">"c52"</definedName>
    <definedName name="IQ_ASSET_WRITEDOWN_CF_BR">"c53"</definedName>
    <definedName name="IQ_ASSET_WRITEDOWN_CF_FIN">"c54"</definedName>
    <definedName name="IQ_ASSET_WRITEDOWN_CF_INS">"c55"</definedName>
    <definedName name="IQ_ASSET_WRITEDOWN_CF_REIT">"c56"</definedName>
    <definedName name="IQ_ASSET_WRITEDOWN_CF_UTI">"c57"</definedName>
    <definedName name="IQ_ASSET_WRITEDOWN_FIN">"c58"</definedName>
    <definedName name="IQ_ASSET_WRITEDOWN_INS">"c59"</definedName>
    <definedName name="IQ_ASSET_WRITEDOWN_REIT">"c60"</definedName>
    <definedName name="IQ_ASSET_WRITEDOWN_UTI">"c61"</definedName>
    <definedName name="IQ_ASSETS_CAP_LEASE_DEPR">"c2068"</definedName>
    <definedName name="IQ_ASSETS_CAP_LEASE_GROSS">"c2069"</definedName>
    <definedName name="IQ_ASSETS_OPER_LEASE_DEPR">"c2070"</definedName>
    <definedName name="IQ_ASSETS_OPER_LEASE_GROSS">"c2071"</definedName>
    <definedName name="IQ_ASSUMED_AH_EARNED">"c2741"</definedName>
    <definedName name="IQ_ASSUMED_EARNED">"c2731"</definedName>
    <definedName name="IQ_ASSUMED_LIFE_EARNED">"c2736"</definedName>
    <definedName name="IQ_ASSUMED_LIFE_IN_FORCE">"c2766"</definedName>
    <definedName name="IQ_ASSUMED_PC_EARNED">"c2746"</definedName>
    <definedName name="IQ_ASSUMED_WRITTEN">"c2725"</definedName>
    <definedName name="IQ_AUDITOR_NAME">"c1539"</definedName>
    <definedName name="IQ_AUDITOR_OPINION">"c1540"</definedName>
    <definedName name="IQ_AUTO_WRITTEN">"c62"</definedName>
    <definedName name="IQ_AVG_BANK_ASSETS">"c2072"</definedName>
    <definedName name="IQ_AVG_BANK_LOANS">"c2073"</definedName>
    <definedName name="IQ_AVG_BROKER_REC">"c63"</definedName>
    <definedName name="IQ_AVG_BROKER_REC_NO">"c64"</definedName>
    <definedName name="IQ_AVG_BROKER_REC_NO_REUT">"c5315"</definedName>
    <definedName name="IQ_AVG_BROKER_REC_REUT">"c3630"</definedName>
    <definedName name="IQ_AVG_DAILY_VOL">"c65"</definedName>
    <definedName name="IQ_AVG_INDUSTRY_REC">"c4455"</definedName>
    <definedName name="IQ_AVG_INT_BEAR_LIAB">"c66"</definedName>
    <definedName name="IQ_AVG_INT_BEAR_LIAB_10YR_ANN_GROWTH">"c67"</definedName>
    <definedName name="IQ_AVG_INT_BEAR_LIAB_1YR_ANN_GROWTH">"c68"</definedName>
    <definedName name="IQ_AVG_INT_BEAR_LIAB_2YR_ANN_GROWTH">"c69"</definedName>
    <definedName name="IQ_AVG_INT_BEAR_LIAB_3YR_ANN_GROWTH">"c70"</definedName>
    <definedName name="IQ_AVG_INT_BEAR_LIAB_5YR_ANN_GROWTH">"c71"</definedName>
    <definedName name="IQ_AVG_INT_BEAR_LIAB_7YR_ANN_GROWTH">"c72"</definedName>
    <definedName name="IQ_AVG_INT_EARN_ASSETS">"c73"</definedName>
    <definedName name="IQ_AVG_INT_EARN_ASSETS_10YR_ANN_GROWTH">"c74"</definedName>
    <definedName name="IQ_AVG_INT_EARN_ASSETS_1YR_ANN_GROWTH">"c75"</definedName>
    <definedName name="IQ_AVG_INT_EARN_ASSETS_2YR_ANN_GROWTH">"c76"</definedName>
    <definedName name="IQ_AVG_INT_EARN_ASSETS_3YR_ANN_GROWTH">"c77"</definedName>
    <definedName name="IQ_AVG_INT_EARN_ASSETS_5YR_ANN_GROWTH">"c78"</definedName>
    <definedName name="IQ_AVG_INT_EARN_ASSETS_7YR_ANN_GROWTH">"c79"</definedName>
    <definedName name="IQ_AVG_MKTCAP">"c80"</definedName>
    <definedName name="IQ_AVG_PRICE">"c81"</definedName>
    <definedName name="IQ_AVG_SHAREOUTSTANDING">"c83"</definedName>
    <definedName name="IQ_AVG_TEV">"c84"</definedName>
    <definedName name="IQ_AVG_VOLUME">"c1346"</definedName>
    <definedName name="IQ_BANK_DEBT">"c2544"</definedName>
    <definedName name="IQ_BANK_DEBT_PCT">"c2545"</definedName>
    <definedName name="IQ_BASIC_EPS_EXCL">"c85"</definedName>
    <definedName name="IQ_BASIC_EPS_INCL">"c86"</definedName>
    <definedName name="IQ_BASIC_NORMAL_EPS">"c1592"</definedName>
    <definedName name="IQ_BASIC_WEIGHT">"c87"</definedName>
    <definedName name="IQ_BENCHMARK_SECURITY">"c2154"</definedName>
    <definedName name="IQ_BENCHMARK_SPRD">"c2153"</definedName>
    <definedName name="IQ_BETA">"c2133"</definedName>
    <definedName name="IQ_BETA_1YR">"c1966"</definedName>
    <definedName name="IQ_BETA_1YR_RSQ">"c2132"</definedName>
    <definedName name="IQ_BETA_2YR">"c1965"</definedName>
    <definedName name="IQ_BETA_2YR_RSQ">"c2131"</definedName>
    <definedName name="IQ_BETA_5YR">"c88"</definedName>
    <definedName name="IQ_BETA_5YR_RSQ">"c2130"</definedName>
    <definedName name="IQ_BIG_INT_BEAR_CD">"c89"</definedName>
    <definedName name="IQ_BOARD_MEMBER">"c96"</definedName>
    <definedName name="IQ_BOARD_MEMBER_BACKGROUND">"c2101"</definedName>
    <definedName name="IQ_BOARD_MEMBER_TITLE">"c97"</definedName>
    <definedName name="IQ_BOND_COUPON">"c2183"</definedName>
    <definedName name="IQ_BOND_COUPON_TYPE">"c2184"</definedName>
    <definedName name="IQ_BOND_PRICE">"c2162"</definedName>
    <definedName name="IQ_BROK_COMISSION">"c98"</definedName>
    <definedName name="IQ_BROK_COMMISSION">"c3514"</definedName>
    <definedName name="IQ_BUILDINGS">"c99"</definedName>
    <definedName name="IQ_BUS_SEG_ASSETS">"c4067"</definedName>
    <definedName name="IQ_BUS_SEG_ASSETS_ABS">"c4089"</definedName>
    <definedName name="IQ_BUS_SEG_ASSETS_TOTAL">"c4112"</definedName>
    <definedName name="IQ_BUS_SEG_CAPEX">"c4079"</definedName>
    <definedName name="IQ_BUS_SEG_CAPEX_ABS">"c4101"</definedName>
    <definedName name="IQ_BUS_SEG_CAPEX_TOTAL">"c4116"</definedName>
    <definedName name="IQ_BUS_SEG_DA">"c4078"</definedName>
    <definedName name="IQ_BUS_SEG_DA_ABS">"c4100"</definedName>
    <definedName name="IQ_BUS_SEG_DA_TOTAL">"c4115"</definedName>
    <definedName name="IQ_BUS_SEG_EARNINGS_OP">"c4063"</definedName>
    <definedName name="IQ_BUS_SEG_EARNINGS_OP_ABS">"c4085"</definedName>
    <definedName name="IQ_BUS_SEG_EARNINGS_OP_TOTAL">"c4108"</definedName>
    <definedName name="IQ_BUS_SEG_EBT">"c4064"</definedName>
    <definedName name="IQ_BUS_SEG_EBT_ABS">"c4086"</definedName>
    <definedName name="IQ_BUS_SEG_EBT_TOTAL">"c4110"</definedName>
    <definedName name="IQ_BUS_SEG_GP">"c4066"</definedName>
    <definedName name="IQ_BUS_SEG_GP_ABS">"c4088"</definedName>
    <definedName name="IQ_BUS_SEG_GP_TOTAL">"c4109"</definedName>
    <definedName name="IQ_BUS_SEG_INC_TAX">"c4077"</definedName>
    <definedName name="IQ_BUS_SEG_INC_TAX_ABS">"c4099"</definedName>
    <definedName name="IQ_BUS_SEG_INC_TAX_TOTAL">"c4114"</definedName>
    <definedName name="IQ_BUS_SEG_INTEREST_EXP">"c4076"</definedName>
    <definedName name="IQ_BUS_SEG_INTEREST_EXP_ABS">"c4098"</definedName>
    <definedName name="IQ_BUS_SEG_INTEREST_EXP_TOTAL">"c4113"</definedName>
    <definedName name="IQ_BUS_SEG_NAME">"c5482"</definedName>
    <definedName name="IQ_BUS_SEG_NAME_ABS">"c5483"</definedName>
    <definedName name="IQ_BUS_SEG_NI">"c4065"</definedName>
    <definedName name="IQ_BUS_SEG_NI_ABS">"c4087"</definedName>
    <definedName name="IQ_BUS_SEG_NI_TOTAL">"c4111"</definedName>
    <definedName name="IQ_BUS_SEG_OPER_INC">"c4062"</definedName>
    <definedName name="IQ_BUS_SEG_OPER_INC_ABS">"c4084"</definedName>
    <definedName name="IQ_BUS_SEG_OPER_INC_TOTAL">"c4107"</definedName>
    <definedName name="IQ_BUS_SEG_REV">"c4068"</definedName>
    <definedName name="IQ_BUS_SEG_REV_ABS">"c4090"</definedName>
    <definedName name="IQ_BUS_SEG_REV_TOTAL">"c4106"</definedName>
    <definedName name="IQ_BUSINESS_DESCRIPTION">"c322"</definedName>
    <definedName name="IQ_BV_OVER_SHARES">"c1349"</definedName>
    <definedName name="IQ_BV_SHARE">"c100"</definedName>
    <definedName name="IQ_CABLE_ARPU">"c2869"</definedName>
    <definedName name="IQ_CABLE_ARPU_ANALOG">"c2864"</definedName>
    <definedName name="IQ_CABLE_ARPU_BASIC">"c2866"</definedName>
    <definedName name="IQ_CABLE_ARPU_BBAND">"c2867"</definedName>
    <definedName name="IQ_CABLE_ARPU_DIG">"c2865"</definedName>
    <definedName name="IQ_CABLE_ARPU_PHONE">"c2868"</definedName>
    <definedName name="IQ_CABLE_BASIC_PENETRATION">"c2850"</definedName>
    <definedName name="IQ_CABLE_BBAND_PENETRATION">"c2852"</definedName>
    <definedName name="IQ_CABLE_BBAND_PENETRATION_THP">"c2851"</definedName>
    <definedName name="IQ_CABLE_CHURN">"c2874"</definedName>
    <definedName name="IQ_CABLE_CHURN_BASIC">"c2871"</definedName>
    <definedName name="IQ_CABLE_CHURN_BBAND">"c2872"</definedName>
    <definedName name="IQ_CABLE_CHURN_DIG">"c2870"</definedName>
    <definedName name="IQ_CABLE_CHURN_PHONE">"c2873"</definedName>
    <definedName name="IQ_CABLE_HOMES_PER_MILE">"c2849"</definedName>
    <definedName name="IQ_CABLE_HP_BBAND">"c2845"</definedName>
    <definedName name="IQ_CABLE_HP_DIG">"c2844"</definedName>
    <definedName name="IQ_CABLE_HP_PHONE">"c2846"</definedName>
    <definedName name="IQ_CABLE_MILES_PASSED">"c2848"</definedName>
    <definedName name="IQ_CABLE_OTHER_REV">"c2882"</definedName>
    <definedName name="IQ_CABLE_PHONE_PENETRATION">"c2853"</definedName>
    <definedName name="IQ_CABLE_PROGRAMMING_COSTS">"c2884"</definedName>
    <definedName name="IQ_CABLE_REV_ADVERT">"c2880"</definedName>
    <definedName name="IQ_CABLE_REV_ANALOG">"c2875"</definedName>
    <definedName name="IQ_CABLE_REV_BASIC">"c2877"</definedName>
    <definedName name="IQ_CABLE_REV_BBAND">"c2878"</definedName>
    <definedName name="IQ_CABLE_REV_COMMERCIAL">"c2881"</definedName>
    <definedName name="IQ_CABLE_REV_DIG">"c2876"</definedName>
    <definedName name="IQ_CABLE_REV_PHONE">"c2879"</definedName>
    <definedName name="IQ_CABLE_RGU">"c2863"</definedName>
    <definedName name="IQ_CABLE_SUBS_ANALOG">"c2855"</definedName>
    <definedName name="IQ_CABLE_SUBS_BASIC">"c2857"</definedName>
    <definedName name="IQ_CABLE_SUBS_BBAND">"c2858"</definedName>
    <definedName name="IQ_CABLE_SUBS_BUNDLED">"c2861"</definedName>
    <definedName name="IQ_CABLE_SUBS_DIG">"c2856"</definedName>
    <definedName name="IQ_CABLE_SUBS_NON_VIDEO">"c2860"</definedName>
    <definedName name="IQ_CABLE_SUBS_PHONE">"c2859"</definedName>
    <definedName name="IQ_CABLE_SUBS_TOTAL">"c2862"</definedName>
    <definedName name="IQ_CABLE_THP">"c2847"</definedName>
    <definedName name="IQ_CABLE_TOTAL_PENETRATION">"c2854"</definedName>
    <definedName name="IQ_CABLE_TOTAL_REV">"c2883"</definedName>
    <definedName name="IQ_CAL_Q">"c101"</definedName>
    <definedName name="IQ_CAL_Y">"c102"</definedName>
    <definedName name="IQ_CALC_TYPE_BS">"c3086"</definedName>
    <definedName name="IQ_CALC_TYPE_CF">"c3085"</definedName>
    <definedName name="IQ_CALC_TYPE_IS">"c3084"</definedName>
    <definedName name="IQ_CALL_DATE_SCHEDULE">"c2481"</definedName>
    <definedName name="IQ_CALL_FEATURE">"c2197"</definedName>
    <definedName name="IQ_CALL_PRICE_SCHEDULE">"c2482"</definedName>
    <definedName name="IQ_CALLABLE">"c2196"</definedName>
    <definedName name="IQ_CAP_LOSS_CF_1YR">"c3474"</definedName>
    <definedName name="IQ_CAP_LOSS_CF_2YR">"c3475"</definedName>
    <definedName name="IQ_CAP_LOSS_CF_3YR">"c3476"</definedName>
    <definedName name="IQ_CAP_LOSS_CF_4YR">"c3477"</definedName>
    <definedName name="IQ_CAP_LOSS_CF_5YR">"c3478"</definedName>
    <definedName name="IQ_CAP_LOSS_CF_AFTER_FIVE">"c3479"</definedName>
    <definedName name="IQ_CAP_LOSS_CF_MAX_YEAR">"c3482"</definedName>
    <definedName name="IQ_CAP_LOSS_CF_NO_EXP">"c3480"</definedName>
    <definedName name="IQ_CAP_LOSS_CF_TOTAL">"c3481"</definedName>
    <definedName name="IQ_CAPEX">"c103"</definedName>
    <definedName name="IQ_CAPEX_10YR_ANN_GROWTH">"c104"</definedName>
    <definedName name="IQ_CAPEX_1YR_ANN_GROWTH">"c105"</definedName>
    <definedName name="IQ_CAPEX_2YR_ANN_GROWTH">"c106"</definedName>
    <definedName name="IQ_CAPEX_3YR_ANN_GROWTH">"c107"</definedName>
    <definedName name="IQ_CAPEX_5YR_ANN_GROWTH">"c108"</definedName>
    <definedName name="IQ_CAPEX_7YR_ANN_GROWTH">"c109"</definedName>
    <definedName name="IQ_CAPEX_BNK">"c110"</definedName>
    <definedName name="IQ_CAPEX_BR">"c111"</definedName>
    <definedName name="IQ_CAPEX_FIN">"c112"</definedName>
    <definedName name="IQ_CAPEX_INS">"c113"</definedName>
    <definedName name="IQ_CAPEX_UTI">"c114"</definedName>
    <definedName name="IQ_CAPITAL_LEASE">"c1350"</definedName>
    <definedName name="IQ_CAPITAL_LEASES">"c115"</definedName>
    <definedName name="IQ_CAPITAL_LEASES_TOTAL">"c3031"</definedName>
    <definedName name="IQ_CAPITAL_LEASES_TOTAL_PCT">"c2506"</definedName>
    <definedName name="IQ_CAPITALIZED_INTEREST" localSheetId="16">"c3460"</definedName>
    <definedName name="IQ_CAPITALIZED_INTEREST" localSheetId="18" hidden="1">"c3460"</definedName>
    <definedName name="IQ_CAPITALIZED_INTEREST">"c2076"</definedName>
    <definedName name="IQ_CAPITALIZED_INTEREST_1">"c2076"</definedName>
    <definedName name="IQ_CAPITALIZED_INTEREST_BOP">"c3459"</definedName>
    <definedName name="IQ_CAPITALIZED_INTEREST_EOP">"c3464"</definedName>
    <definedName name="IQ_CAPITALIZED_INTEREST_EXP">"c3461"</definedName>
    <definedName name="IQ_CAPITALIZED_INTEREST_OTHER_ADJ">"c3463"</definedName>
    <definedName name="IQ_CAPITALIZED_INTEREST_WRITE_OFF">"c3462"</definedName>
    <definedName name="IQ_CASH">"c1458"</definedName>
    <definedName name="IQ_CASH_ACQUIRE_CF">"c116"</definedName>
    <definedName name="IQ_CASH_ACQUIRE_CF_1">"c116"</definedName>
    <definedName name="IQ_CASH_CONVERSION">"c117"</definedName>
    <definedName name="IQ_CASH_DUE_BANKS">"c1351"</definedName>
    <definedName name="IQ_CASH_EQUIV">"c118"</definedName>
    <definedName name="IQ_CASH_FINAN">"c119"</definedName>
    <definedName name="IQ_CASH_FLOW_ACT_OR_EST">"c4154"</definedName>
    <definedName name="IQ_CASH_INTEREST">"c120"</definedName>
    <definedName name="IQ_CASH_INVEST">"c121"</definedName>
    <definedName name="IQ_CASH_OPER">"c122"</definedName>
    <definedName name="IQ_CASH_OPER_ACT_OR_EST">"c4164"</definedName>
    <definedName name="IQ_CASH_SEGREG">"c123"</definedName>
    <definedName name="IQ_CASH_SHARE">"c1911"</definedName>
    <definedName name="IQ_CASH_ST">"c1355"</definedName>
    <definedName name="IQ_CASH_ST_INVEST">"c124"</definedName>
    <definedName name="IQ_CASH_TAXES">"c125"</definedName>
    <definedName name="IQ_CEDED_AH_EARNED">"c2743"</definedName>
    <definedName name="IQ_CEDED_CLAIM_EXP_INCUR">"c2756"</definedName>
    <definedName name="IQ_CEDED_CLAIM_EXP_PAID">"c2759"</definedName>
    <definedName name="IQ_CEDED_CLAIM_EXP_RES">"c2753"</definedName>
    <definedName name="IQ_CEDED_EARNED">"c2733"</definedName>
    <definedName name="IQ_CEDED_LIFE_EARNED">"c2738"</definedName>
    <definedName name="IQ_CEDED_LIFE_IN_FORCE">"c2768"</definedName>
    <definedName name="IQ_CEDED_PC_EARNED">"c2748"</definedName>
    <definedName name="IQ_CEDED_WRITTEN">"c2727"</definedName>
    <definedName name="IQ_CFO_10YR_ANN_GROWTH">"c126"</definedName>
    <definedName name="IQ_CFO_1YR_ANN_GROWTH">"c127"</definedName>
    <definedName name="IQ_CFO_2YR_ANN_GROWTH">"c128"</definedName>
    <definedName name="IQ_CFO_3YR_ANN_GROWTH">"c129"</definedName>
    <definedName name="IQ_CFO_5YR_ANN_GROWTH">"c130"</definedName>
    <definedName name="IQ_CFO_7YR_ANN_GROWTH">"c131"</definedName>
    <definedName name="IQ_CFO_CURRENT_LIAB">"c132"</definedName>
    <definedName name="IQ_CHANGE_AP">"c133"</definedName>
    <definedName name="IQ_CHANGE_AP_BNK">"c134"</definedName>
    <definedName name="IQ_CHANGE_AP_BR">"c135"</definedName>
    <definedName name="IQ_CHANGE_AP_FIN">"c136"</definedName>
    <definedName name="IQ_CHANGE_AP_INS">"c137"</definedName>
    <definedName name="IQ_CHANGE_AP_REIT">"c138"</definedName>
    <definedName name="IQ_CHANGE_AP_UTI">"c139"</definedName>
    <definedName name="IQ_CHANGE_AR">"c140"</definedName>
    <definedName name="IQ_CHANGE_AR_BNK">"c141"</definedName>
    <definedName name="IQ_CHANGE_AR_BR">"c142"</definedName>
    <definedName name="IQ_CHANGE_AR_FIN">"c143"</definedName>
    <definedName name="IQ_CHANGE_AR_INS">"c144"</definedName>
    <definedName name="IQ_CHANGE_AR_REIT">"c145"</definedName>
    <definedName name="IQ_CHANGE_AR_UTI">"c146"</definedName>
    <definedName name="IQ_CHANGE_DEF_TAX">"c147"</definedName>
    <definedName name="IQ_CHANGE_DEPOSIT_ACCT">"c148"</definedName>
    <definedName name="IQ_CHANGE_INC_TAX">"c149"</definedName>
    <definedName name="IQ_CHANGE_INS_RES_LIAB">"c150"</definedName>
    <definedName name="IQ_CHANGE_INVENTORY">"c151"</definedName>
    <definedName name="IQ_CHANGE_NET_OPER_ASSETS">"c3592"</definedName>
    <definedName name="IQ_CHANGE_NET_WORKING_CAPITAL">"c1909"</definedName>
    <definedName name="IQ_CHANGE_OTHER_NET_OPER_ASSETS">"c3593"</definedName>
    <definedName name="IQ_CHANGE_OTHER_NET_OPER_ASSETS_BNK">"c3594"</definedName>
    <definedName name="IQ_CHANGE_OTHER_NET_OPER_ASSETS_BR">"c3595"</definedName>
    <definedName name="IQ_CHANGE_OTHER_NET_OPER_ASSETS_FIN">"c3596"</definedName>
    <definedName name="IQ_CHANGE_OTHER_NET_OPER_ASSETS_INS">"c3597"</definedName>
    <definedName name="IQ_CHANGE_OTHER_NET_OPER_ASSETS_REIT">"c3598"</definedName>
    <definedName name="IQ_CHANGE_OTHER_NET_OPER_ASSETS_UTI">"c3599"</definedName>
    <definedName name="IQ_CHANGE_OTHER_WORK_CAP">"c152"</definedName>
    <definedName name="IQ_CHANGE_OTHER_WORK_CAP_BNK">"c153"</definedName>
    <definedName name="IQ_CHANGE_OTHER_WORK_CAP_BR">"c154"</definedName>
    <definedName name="IQ_CHANGE_OTHER_WORK_CAP_FIN">"c155"</definedName>
    <definedName name="IQ_CHANGE_OTHER_WORK_CAP_INS">"c156"</definedName>
    <definedName name="IQ_CHANGE_OTHER_WORK_CAP_REIT">"c157"</definedName>
    <definedName name="IQ_CHANGE_OTHER_WORK_CAP_UTI">"c158"</definedName>
    <definedName name="IQ_CHANGE_TRADING_ASSETS">"c159"</definedName>
    <definedName name="IQ_CHANGE_UNEARN_REV">"c160"</definedName>
    <definedName name="IQ_CHANGE_WORK_CAP">"c161"</definedName>
    <definedName name="IQ_CHANGES_WORK_CAP">"c1357"</definedName>
    <definedName name="IQ_CHARGE_OFFS_GROSS">"c162"</definedName>
    <definedName name="IQ_CHARGE_OFFS_NET">"c163"</definedName>
    <definedName name="IQ_CHARGE_OFFS_RECOVERED">"c164"</definedName>
    <definedName name="IQ_CHARGE_OFFS_TOTAL_AVG_LOANS">"c165"</definedName>
    <definedName name="IQ_CITY">"c166"</definedName>
    <definedName name="IQ_CL_DUE_AFTER_FIVE">"c167"</definedName>
    <definedName name="IQ_CL_DUE_CY">"c168"</definedName>
    <definedName name="IQ_CL_DUE_CY1">"c169"</definedName>
    <definedName name="IQ_CL_DUE_CY2">"c170"</definedName>
    <definedName name="IQ_CL_DUE_CY3">"c171"</definedName>
    <definedName name="IQ_CL_DUE_CY4">"c172"</definedName>
    <definedName name="IQ_CL_DUE_NEXT_FIVE">"c173"</definedName>
    <definedName name="IQ_CL_OBLIGATION_IMMEDIATE">"c2253"</definedName>
    <definedName name="IQ_CLASSA_OPTIONS_BEG_OS">"c2679"</definedName>
    <definedName name="IQ_CLASSA_OPTIONS_CANCELLED">"c2682"</definedName>
    <definedName name="IQ_CLASSA_OPTIONS_END_OS">"c2683"</definedName>
    <definedName name="IQ_CLASSA_OPTIONS_EXERCISED">"c2681"</definedName>
    <definedName name="IQ_CLASSA_OPTIONS_GRANTED">"c2680"</definedName>
    <definedName name="IQ_CLASSA_OPTIONS_STRIKE_PRICE_OS">"c2684"</definedName>
    <definedName name="IQ_CLASSA_OUTSTANDING_BS_DATE">"c1971"</definedName>
    <definedName name="IQ_CLASSA_OUTSTANDING_FILING_DATE">"c1973"</definedName>
    <definedName name="IQ_CLASSA_STRIKE_PRICE_GRANTED">"c2685"</definedName>
    <definedName name="IQ_CLASSA_WARRANTS_BEG_OS">"c2705"</definedName>
    <definedName name="IQ_CLASSA_WARRANTS_CANCELLED">"c2708"</definedName>
    <definedName name="IQ_CLASSA_WARRANTS_END_OS">"c2709"</definedName>
    <definedName name="IQ_CLASSA_WARRANTS_EXERCISED">"c2707"</definedName>
    <definedName name="IQ_CLASSA_WARRANTS_ISSUED">"c2706"</definedName>
    <definedName name="IQ_CLASSA_WARRANTS_STRIKE_PRICE_ISSUED">"c2711"</definedName>
    <definedName name="IQ_CLASSA_WARRANTS_STRIKE_PRICE_OS">"c2710"</definedName>
    <definedName name="IQ_CLOSEPRICE">"c174"</definedName>
    <definedName name="IQ_CLOSEPRICE_ADJ">"c2115"</definedName>
    <definedName name="IQ_COGS">"c175"</definedName>
    <definedName name="IQ_COMBINED_RATIO">"c176"</definedName>
    <definedName name="IQ_COMMERCIAL_DOM">"c177"</definedName>
    <definedName name="IQ_COMMERCIAL_FIRE_WRITTEN">"c178"</definedName>
    <definedName name="IQ_COMMERCIAL_MORT">"c179"</definedName>
    <definedName name="IQ_COMMISS_FEES">"c180"</definedName>
    <definedName name="IQ_COMMISSION_DEF">"c181"</definedName>
    <definedName name="IQ_COMMON">"c182"</definedName>
    <definedName name="IQ_COMMON_APIC">"c183"</definedName>
    <definedName name="IQ_COMMON_APIC_BNK">"c184"</definedName>
    <definedName name="IQ_COMMON_APIC_BR">"c185"</definedName>
    <definedName name="IQ_COMMON_APIC_FIN">"c186"</definedName>
    <definedName name="IQ_COMMON_APIC_INS">"c187"</definedName>
    <definedName name="IQ_COMMON_APIC_REIT">"c188"</definedName>
    <definedName name="IQ_COMMON_APIC_UTI">"c189"</definedName>
    <definedName name="IQ_COMMON_DIV">"c3006"</definedName>
    <definedName name="IQ_COMMON_DIV_CF">"c190"</definedName>
    <definedName name="IQ_COMMON_EQUITY_10YR_ANN_GROWTH">"c191"</definedName>
    <definedName name="IQ_COMMON_EQUITY_1YR_ANN_GROWTH">"c192"</definedName>
    <definedName name="IQ_COMMON_EQUITY_2YR_ANN_GROWTH">"c193"</definedName>
    <definedName name="IQ_COMMON_EQUITY_3YR_ANN_GROWTH">"c194"</definedName>
    <definedName name="IQ_COMMON_EQUITY_5YR_ANN_GROWTH">"c195"</definedName>
    <definedName name="IQ_COMMON_EQUITY_7YR_ANN_GROWTH">"c196"</definedName>
    <definedName name="IQ_COMMON_ISSUED">"c197"</definedName>
    <definedName name="IQ_COMMON_ISSUED_BNK">"c198"</definedName>
    <definedName name="IQ_COMMON_ISSUED_BR">"c199"</definedName>
    <definedName name="IQ_COMMON_ISSUED_FIN">"c200"</definedName>
    <definedName name="IQ_COMMON_ISSUED_INS">"c201"</definedName>
    <definedName name="IQ_COMMON_ISSUED_REIT">"c202"</definedName>
    <definedName name="IQ_COMMON_ISSUED_UTI">"c203"</definedName>
    <definedName name="IQ_COMMON_PER_ADR">"c204"</definedName>
    <definedName name="IQ_COMMON_PREF_DIV_CF">"c205"</definedName>
    <definedName name="IQ_COMMON_REP">"c206"</definedName>
    <definedName name="IQ_COMMON_REP_BNK">"c207"</definedName>
    <definedName name="IQ_COMMON_REP_BR">"c208"</definedName>
    <definedName name="IQ_COMMON_REP_FIN">"c209"</definedName>
    <definedName name="IQ_COMMON_REP_INS">"c210"</definedName>
    <definedName name="IQ_COMMON_REP_REIT">"c211"</definedName>
    <definedName name="IQ_COMMON_REP_UTI">"c212"</definedName>
    <definedName name="IQ_COMMON_STOCK">"c1358"</definedName>
    <definedName name="IQ_COMP_BENEFITS">"c213"</definedName>
    <definedName name="IQ_COMPANY_ADDRESS">"c214"</definedName>
    <definedName name="IQ_COMPANY_ID">"c3513"</definedName>
    <definedName name="IQ_COMPANY_NAME">"c215"</definedName>
    <definedName name="IQ_COMPANY_NAME_LONG">"c1585"</definedName>
    <definedName name="IQ_COMPANY_PHONE">"c216"</definedName>
    <definedName name="IQ_COMPANY_STATUS">"c2097"</definedName>
    <definedName name="IQ_COMPANY_STREET1">"c217"</definedName>
    <definedName name="IQ_COMPANY_STREET2">"c218"</definedName>
    <definedName name="IQ_COMPANY_TICKER">"c219"</definedName>
    <definedName name="IQ_COMPANY_TYPE">"c2096"</definedName>
    <definedName name="IQ_COMPANY_WEBSITE">"c220"</definedName>
    <definedName name="IQ_COMPANY_ZIP">"c221"</definedName>
    <definedName name="IQ_CONSTRUCTION_LOANS">"c222"</definedName>
    <definedName name="IQ_CONSUMER_LOANS">"c223"</definedName>
    <definedName name="IQ_CONV_DATE">"c2191"</definedName>
    <definedName name="IQ_CONV_EXP_DATE">"c3043"</definedName>
    <definedName name="IQ_CONV_PREMIUM">"c2195"</definedName>
    <definedName name="IQ_CONV_PRICE">"c2193"</definedName>
    <definedName name="IQ_CONV_RATE">"c2192"</definedName>
    <definedName name="IQ_CONV_RATIO">"c2192"</definedName>
    <definedName name="IQ_CONV_SECURITY">"c2189"</definedName>
    <definedName name="IQ_CONV_SECURITY_ISSUER">"c2190"</definedName>
    <definedName name="IQ_CONV_SECURITY_PRICE">"c2194"</definedName>
    <definedName name="IQ_CONVERT">"c2536"</definedName>
    <definedName name="IQ_CONVERT_PCT">"c2537"</definedName>
    <definedName name="IQ_CONVEXITY">"c2182"</definedName>
    <definedName name="IQ_COST_BORROWING">"c2936"</definedName>
    <definedName name="IQ_COST_BORROWINGS">"c225"</definedName>
    <definedName name="IQ_COST_REV">"c226"</definedName>
    <definedName name="IQ_COST_REVENUE">"c1359"</definedName>
    <definedName name="IQ_COST_SAVINGS">"c227"</definedName>
    <definedName name="IQ_COST_SERVICE">"c228"</definedName>
    <definedName name="IQ_COST_TOTAL_BORROWINGS">"c229"</definedName>
    <definedName name="IQ_COUNTRY_NAME">"c230"</definedName>
    <definedName name="IQ_COVERED_POPS">"c2124"</definedName>
    <definedName name="IQ_CP">"c2495"</definedName>
    <definedName name="IQ_CP_PCT">"c2496"</definedName>
    <definedName name="IQ_CQ">5000</definedName>
    <definedName name="IQ_CREDIT_CARD_FEE_BNK">"c231"</definedName>
    <definedName name="IQ_CREDIT_CARD_FEE_FIN">"c1583"</definedName>
    <definedName name="IQ_CREDIT_LOSS_CF">"c232"</definedName>
    <definedName name="IQ_CUMULATIVE_SPLIT_FACTOR">"c2094"</definedName>
    <definedName name="IQ_CURR_DOMESTIC_TAXES">"c2074"</definedName>
    <definedName name="IQ_CURR_FOREIGN_TAXES">"c2075"</definedName>
    <definedName name="IQ_CURRENCY_FACTOR_BS">"c233"</definedName>
    <definedName name="IQ_CURRENCY_FACTOR_IS">"c234"</definedName>
    <definedName name="IQ_CURRENCY_GAIN">"c235"</definedName>
    <definedName name="IQ_CURRENCY_GAIN_BR">"c236"</definedName>
    <definedName name="IQ_CURRENCY_GAIN_FIN">"c237"</definedName>
    <definedName name="IQ_CURRENCY_GAIN_INS">"c238"</definedName>
    <definedName name="IQ_CURRENCY_GAIN_REIT">"c239"</definedName>
    <definedName name="IQ_CURRENCY_GAIN_UTI">"c240"</definedName>
    <definedName name="IQ_CURRENT_PORT">"c241"</definedName>
    <definedName name="IQ_CURRENT_PORT_BNK">"c242"</definedName>
    <definedName name="IQ_CURRENT_PORT_DEBT">"c243"</definedName>
    <definedName name="IQ_CURRENT_PORT_DEBT_BNK">"c244"</definedName>
    <definedName name="IQ_CURRENT_PORT_DEBT_BR">"c1567"</definedName>
    <definedName name="IQ_CURRENT_PORT_DEBT_FIN">"c1568"</definedName>
    <definedName name="IQ_CURRENT_PORT_DEBT_INS">"c1569"</definedName>
    <definedName name="IQ_CURRENT_PORT_DEBT_REIT">"c1570"</definedName>
    <definedName name="IQ_CURRENT_PORT_DEBT_UTI">"c1571"</definedName>
    <definedName name="IQ_CURRENT_PORT_LEASES">"c245"</definedName>
    <definedName name="IQ_CURRENT_PORT_PCT">"c2541"</definedName>
    <definedName name="IQ_CURRENT_RATIO">"c246"</definedName>
    <definedName name="IQ_CUSIP">"c2245"</definedName>
    <definedName name="IQ_CY">10000</definedName>
    <definedName name="IQ_DA">"c247"</definedName>
    <definedName name="IQ_DA_BR">"c248"</definedName>
    <definedName name="IQ_DA_CF">"c249"</definedName>
    <definedName name="IQ_DA_CF_BNK">"c250"</definedName>
    <definedName name="IQ_DA_CF_BR">"c251"</definedName>
    <definedName name="IQ_DA_CF_FIN">"c252"</definedName>
    <definedName name="IQ_DA_CF_INS">"c253"</definedName>
    <definedName name="IQ_DA_CF_REIT">"c254"</definedName>
    <definedName name="IQ_DA_CF_UTI">"c255"</definedName>
    <definedName name="IQ_DA_EBITDA">"c5528"</definedName>
    <definedName name="IQ_DA_FIN">"c256"</definedName>
    <definedName name="IQ_DA_INS">"c257"</definedName>
    <definedName name="IQ_DA_REIT">"c258"</definedName>
    <definedName name="IQ_DA_SUPPL">"c259"</definedName>
    <definedName name="IQ_DA_SUPPL_BR">"c260"</definedName>
    <definedName name="IQ_DA_SUPPL_CF">"c261"</definedName>
    <definedName name="IQ_DA_SUPPL_CF_BNK">"c262"</definedName>
    <definedName name="IQ_DA_SUPPL_CF_BR">"c263"</definedName>
    <definedName name="IQ_DA_SUPPL_CF_FIN">"c264"</definedName>
    <definedName name="IQ_DA_SUPPL_CF_INS">"c265"</definedName>
    <definedName name="IQ_DA_SUPPL_CF_REIT">"c266"</definedName>
    <definedName name="IQ_DA_SUPPL_CF_UTI">"c267"</definedName>
    <definedName name="IQ_DA_SUPPL_FIN">"c268"</definedName>
    <definedName name="IQ_DA_SUPPL_INS">"c269"</definedName>
    <definedName name="IQ_DA_SUPPL_REIT">"c270"</definedName>
    <definedName name="IQ_DA_SUPPL_UTI">"c271"</definedName>
    <definedName name="IQ_DA_UTI">"c272"</definedName>
    <definedName name="IQ_DATED_DATE">"c2185"</definedName>
    <definedName name="IQ_DAY_COUNT">"c2161"</definedName>
    <definedName name="IQ_DAYS_COVER_SHORT">"c1578"</definedName>
    <definedName name="IQ_DAYS_INVENTORY_OUT">"c273"</definedName>
    <definedName name="IQ_DAYS_PAY_OUTST">"c1362"</definedName>
    <definedName name="IQ_DAYS_PAYABLE_OUT">"c274"</definedName>
    <definedName name="IQ_DAYS_SALES_OUT">"c275"</definedName>
    <definedName name="IQ_DAYS_SALES_OUTST">"c1363"</definedName>
    <definedName name="IQ_DEBT_ADJ">"c2515"</definedName>
    <definedName name="IQ_DEBT_ADJ_PCT">"c2516"</definedName>
    <definedName name="IQ_DEBT_EQUIV_NET_PBO">"c2938"</definedName>
    <definedName name="IQ_DEBT_EQUIV_OPER_LEASE">"c2935"</definedName>
    <definedName name="IQ_DEF_ACQ_CST">"c1364"</definedName>
    <definedName name="IQ_DEF_AMORT">"c276"</definedName>
    <definedName name="IQ_DEF_AMORT_BNK">"c277"</definedName>
    <definedName name="IQ_DEF_AMORT_BR">"c278"</definedName>
    <definedName name="IQ_DEF_AMORT_FIN">"c279"</definedName>
    <definedName name="IQ_DEF_AMORT_INS">"c280"</definedName>
    <definedName name="IQ_DEF_AMORT_REIT">"c281"</definedName>
    <definedName name="IQ_DEF_AMORT_UTI">"c282"</definedName>
    <definedName name="IQ_DEF_BENEFIT_INTEREST_COST">"c283"</definedName>
    <definedName name="IQ_DEF_BENEFIT_INTEREST_COST_DOMESTIC">"c2652"</definedName>
    <definedName name="IQ_DEF_BENEFIT_INTEREST_COST_FOREIGN">"c2660"</definedName>
    <definedName name="IQ_DEF_BENEFIT_OTHER_COST">"c284"</definedName>
    <definedName name="IQ_DEF_BENEFIT_OTHER_COST_DOMESTIC">"c2654"</definedName>
    <definedName name="IQ_DEF_BENEFIT_OTHER_COST_FOREIGN">"c2662"</definedName>
    <definedName name="IQ_DEF_BENEFIT_ROA">"c285"</definedName>
    <definedName name="IQ_DEF_BENEFIT_ROA_DOMESTIC">"c2653"</definedName>
    <definedName name="IQ_DEF_BENEFIT_ROA_FOREIGN">"c2661"</definedName>
    <definedName name="IQ_DEF_BENEFIT_SERVICE_COST">"c286"</definedName>
    <definedName name="IQ_DEF_BENEFIT_SERVICE_COST_DOMESTIC">"c2651"</definedName>
    <definedName name="IQ_DEF_BENEFIT_SERVICE_COST_FOREIGN">"c2659"</definedName>
    <definedName name="IQ_DEF_BENEFIT_TOTAL_COST">"c287"</definedName>
    <definedName name="IQ_DEF_BENEFIT_TOTAL_COST_DOMESTIC">"c2655"</definedName>
    <definedName name="IQ_DEF_BENEFIT_TOTAL_COST_FOREIGN">"c2663"</definedName>
    <definedName name="IQ_DEF_CHARGES_BR">"c288"</definedName>
    <definedName name="IQ_DEF_CHARGES_CF">"c289"</definedName>
    <definedName name="IQ_DEF_CHARGES_FIN">"c290"</definedName>
    <definedName name="IQ_DEF_CHARGES_INS">"c291"</definedName>
    <definedName name="IQ_DEF_CHARGES_LT">"c292"</definedName>
    <definedName name="IQ_DEF_CHARGES_LT_BNK">"c293"</definedName>
    <definedName name="IQ_DEF_CHARGES_LT_BR">"c294"</definedName>
    <definedName name="IQ_DEF_CHARGES_LT_FIN">"c295"</definedName>
    <definedName name="IQ_DEF_CHARGES_LT_INS">"c296"</definedName>
    <definedName name="IQ_DEF_CHARGES_LT_REIT">"c297"</definedName>
    <definedName name="IQ_DEF_CHARGES_LT_UTI">"c298"</definedName>
    <definedName name="IQ_DEF_CHARGES_REIT">"c299"</definedName>
    <definedName name="IQ_DEF_CONTRIBUTION_TOTAL_COST">"c300"</definedName>
    <definedName name="IQ_DEF_INC_TAX">"c1365"</definedName>
    <definedName name="IQ_DEF_POLICY_ACQ_COSTS">"c301"</definedName>
    <definedName name="IQ_DEF_POLICY_ACQ_COSTS_CF">"c302"</definedName>
    <definedName name="IQ_DEF_POLICY_AMORT">"c303"</definedName>
    <definedName name="IQ_DEF_TAX_ASSET_LT_BR">"c304"</definedName>
    <definedName name="IQ_DEF_TAX_ASSET_LT_FIN">"c305"</definedName>
    <definedName name="IQ_DEF_TAX_ASSET_LT_INS">"c306"</definedName>
    <definedName name="IQ_DEF_TAX_ASSET_LT_REIT">"c307"</definedName>
    <definedName name="IQ_DEF_TAX_ASSET_LT_UTI">"c308"</definedName>
    <definedName name="IQ_DEF_TAX_ASSETS_CURRENT">"c309"</definedName>
    <definedName name="IQ_DEF_TAX_ASSETS_LT">"c310"</definedName>
    <definedName name="IQ_DEF_TAX_ASSETS_LT_BNK">"c311"</definedName>
    <definedName name="IQ_DEF_TAX_LIAB_CURRENT">"c312"</definedName>
    <definedName name="IQ_DEF_TAX_LIAB_LT">"c313"</definedName>
    <definedName name="IQ_DEF_TAX_LIAB_LT_BNK">"c314"</definedName>
    <definedName name="IQ_DEF_TAX_LIAB_LT_BR">"c315"</definedName>
    <definedName name="IQ_DEF_TAX_LIAB_LT_FIN">"c316"</definedName>
    <definedName name="IQ_DEF_TAX_LIAB_LT_INS">"c317"</definedName>
    <definedName name="IQ_DEF_TAX_LIAB_LT_REIT">"c318"</definedName>
    <definedName name="IQ_DEF_TAX_LIAB_LT_UTI">"c319"</definedName>
    <definedName name="IQ_DEFERRED_DOMESTIC_TAXES">"c2077"</definedName>
    <definedName name="IQ_DEFERRED_FOREIGN_TAXES">"c2078"</definedName>
    <definedName name="IQ_DEFERRED_INC_TAX">"c1447"</definedName>
    <definedName name="IQ_DEFERRED_TAXES">"c1356"</definedName>
    <definedName name="IQ_DEMAND_DEP">"c320"</definedName>
    <definedName name="IQ_DEPOSITS_FIN">"c321"</definedName>
    <definedName name="IQ_DEPOSITS_INTEREST_SECURITIES">"c5509"</definedName>
    <definedName name="IQ_DEPRE_AMORT">"c1360"</definedName>
    <definedName name="IQ_DEPRE_AMORT_SUPPL">"c1593"</definedName>
    <definedName name="IQ_DEPRE_DEPLE">"c1361"</definedName>
    <definedName name="IQ_DEPRE_SUPP">"c1443"</definedName>
    <definedName name="IQ_DESCRIPTION_LONG">"c1520"</definedName>
    <definedName name="IQ_DEVELOP_LAND">"c323"</definedName>
    <definedName name="IQ_DIFF_LASTCLOSE_TARGET_PRICE">"c1854"</definedName>
    <definedName name="IQ_DILUT_ADJUST">"c1621"</definedName>
    <definedName name="IQ_DILUT_EPS_EXCL">"c324"</definedName>
    <definedName name="IQ_DILUT_EPS_INCL">"c325"</definedName>
    <definedName name="IQ_DILUT_EPS_NORM">"c1903"</definedName>
    <definedName name="IQ_DILUT_NI">"c2079"</definedName>
    <definedName name="IQ_DILUT_NORMAL_EPS">"c1594"</definedName>
    <definedName name="IQ_DILUT_WEIGHT">"c326"</definedName>
    <definedName name="IQ_DIRECT_AH_EARNED">"c2740"</definedName>
    <definedName name="IQ_DIRECT_EARNED">"c2730"</definedName>
    <definedName name="IQ_DIRECT_LIFE_EARNED">"c2735"</definedName>
    <definedName name="IQ_DIRECT_LIFE_IN_FORCE">"c2765"</definedName>
    <definedName name="IQ_DIRECT_PC_EARNED">"c2745"</definedName>
    <definedName name="IQ_DIRECT_WRITTEN">"c2724"</definedName>
    <definedName name="IQ_DISCONT_OPER">"c1367"</definedName>
    <definedName name="IQ_DISCOUNT_RATE_PENSION_DOMESTIC">"c327"</definedName>
    <definedName name="IQ_DISCOUNT_RATE_PENSION_FOREIGN">"c328"</definedName>
    <definedName name="IQ_DISTR_EXCESS_EARN">"c329"</definedName>
    <definedName name="IQ_DISTRIBUTABLE_CASH">"c3002"</definedName>
    <definedName name="IQ_DISTRIBUTABLE_CASH_ACT_OR_EST">"c4278"</definedName>
    <definedName name="IQ_DISTRIBUTABLE_CASH_PAYOUT">"c3005"</definedName>
    <definedName name="IQ_DISTRIBUTABLE_CASH_SHARE">"c3003"</definedName>
    <definedName name="IQ_DISTRIBUTABLE_CASH_SHARE_ACT_OR_EST">"c4286"</definedName>
    <definedName name="IQ_DIV_AMOUNT">"c3041"</definedName>
    <definedName name="IQ_DIV_PAYMENT_DATE">"c2205"</definedName>
    <definedName name="IQ_DIV_RECORD_DATE">"c2204"</definedName>
    <definedName name="IQ_DIV_SHARE">"c330"</definedName>
    <definedName name="IQ_DIVEST_CF">"c331"</definedName>
    <definedName name="IQ_DIVID_SHARE">"c1366"</definedName>
    <definedName name="IQ_DIVIDEND_YIELD">"c332"</definedName>
    <definedName name="IQ_DO">"c333"</definedName>
    <definedName name="IQ_DO_ASSETS_CURRENT">"c334"</definedName>
    <definedName name="IQ_DO_ASSETS_LT">"c335"</definedName>
    <definedName name="IQ_DO_CF">"c336"</definedName>
    <definedName name="IQ_DPAC_ACC">"c2799"</definedName>
    <definedName name="IQ_DPAC_AMORT">"c2795"</definedName>
    <definedName name="IQ_DPAC_BEG">"c2791"</definedName>
    <definedName name="IQ_DPAC_COMMISSIONS">"c2792"</definedName>
    <definedName name="IQ_DPAC_END">"c2801"</definedName>
    <definedName name="IQ_DPAC_FX">"c2798"</definedName>
    <definedName name="IQ_DPAC_OTHER_ADJ">"c2800"</definedName>
    <definedName name="IQ_DPAC_OTHERS">"c2793"</definedName>
    <definedName name="IQ_DPAC_PERIOD">"c2794"</definedName>
    <definedName name="IQ_DPAC_REAL_GAIN">"c2797"</definedName>
    <definedName name="IQ_DPAC_UNREAL_GAIN">"c2796"</definedName>
    <definedName name="IQ_DPS_10YR_ANN_GROWTH">"c337"</definedName>
    <definedName name="IQ_DPS_1YR_ANN_GROWTH">"c338"</definedName>
    <definedName name="IQ_DPS_2YR_ANN_GROWTH">"c339"</definedName>
    <definedName name="IQ_DPS_3YR_ANN_GROWTH">"c340"</definedName>
    <definedName name="IQ_DPS_5YR_ANN_GROWTH">"c341"</definedName>
    <definedName name="IQ_DPS_7YR_ANN_GROWTH">"c342"</definedName>
    <definedName name="IQ_DURATION">"c2181"</definedName>
    <definedName name="IQ_EARNING_ASSET_YIELD">"c343"</definedName>
    <definedName name="IQ_EARNING_CO">"c344"</definedName>
    <definedName name="IQ_EARNING_CO_10YR_ANN_GROWTH">"c345"</definedName>
    <definedName name="IQ_EARNING_CO_1YR_ANN_GROWTH">"c346"</definedName>
    <definedName name="IQ_EARNING_CO_2YR_ANN_GROWTH">"c347"</definedName>
    <definedName name="IQ_EARNING_CO_3YR_ANN_GROWTH">"c348"</definedName>
    <definedName name="IQ_EARNING_CO_5YR_ANN_GROWTH">"c349"</definedName>
    <definedName name="IQ_EARNING_CO_7YR_ANN_GROWTH">"c350"</definedName>
    <definedName name="IQ_EARNING_CO_MARGIN">"c351"</definedName>
    <definedName name="IQ_EARNINGS_ANNOUNCE_DATE">"c1649"</definedName>
    <definedName name="IQ_EARNINGS_ANNOUNCE_DATE_REUT">"c5314"</definedName>
    <definedName name="IQ_EBIT">"c352"</definedName>
    <definedName name="IQ_EBIT_10YR_ANN_GROWTH">"c353"</definedName>
    <definedName name="IQ_EBIT_1YR_ANN_GROWTH">"c354"</definedName>
    <definedName name="IQ_EBIT_2YR_ANN_GROWTH">"c355"</definedName>
    <definedName name="IQ_EBIT_3YR_ANN_GROWTH">"c356"</definedName>
    <definedName name="IQ_EBIT_5YR_ANN_GROWTH">"c357"</definedName>
    <definedName name="IQ_EBIT_7YR_ANN_GROWTH">"c358"</definedName>
    <definedName name="IQ_EBIT_EQ_INC">"c3498"</definedName>
    <definedName name="IQ_EBIT_EQ_INC_EXCL_SBC">"c3502"</definedName>
    <definedName name="IQ_EBIT_EXCL_SBC">"c3082"</definedName>
    <definedName name="IQ_EBIT_GW_ACT_OR_EST">"c4306"</definedName>
    <definedName name="IQ_EBIT_INT">"c360"</definedName>
    <definedName name="IQ_EBIT_MARGIN">"c359"</definedName>
    <definedName name="IQ_EBIT_OVER_IE">"c1369"</definedName>
    <definedName name="IQ_EBIT_SBC_ACT_OR_EST">"c4316"</definedName>
    <definedName name="IQ_EBIT_SBC_GW_ACT_OR_EST">"c4320"</definedName>
    <definedName name="IQ_EBITA">"c1910"</definedName>
    <definedName name="IQ_EBITA_10YR_ANN_GROWTH">"c1954"</definedName>
    <definedName name="IQ_EBITA_1YR_ANN_GROWTH">"c1949"</definedName>
    <definedName name="IQ_EBITA_2YR_ANN_GROWTH">"c1950"</definedName>
    <definedName name="IQ_EBITA_3YR_ANN_GROWTH">"c1951"</definedName>
    <definedName name="IQ_EBITA_5YR_ANN_GROWTH">"c1952"</definedName>
    <definedName name="IQ_EBITA_7YR_ANN_GROWTH">"c1953"</definedName>
    <definedName name="IQ_EBITA_EQ_INC">"c3497"</definedName>
    <definedName name="IQ_EBITA_EQ_INC_EXCL_SBC">"c3501"</definedName>
    <definedName name="IQ_EBITA_EXCL_SBC">"c3080"</definedName>
    <definedName name="IQ_EBITA_MARGIN">"c1963"</definedName>
    <definedName name="IQ_EBITDA">"c361"</definedName>
    <definedName name="IQ_EBITDA_10YR_ANN_GROWTH">"c362"</definedName>
    <definedName name="IQ_EBITDA_1YR_ANN_GROWTH">"c363"</definedName>
    <definedName name="IQ_EBITDA_2YR_ANN_GROWTH">"c364"</definedName>
    <definedName name="IQ_EBITDA_3YR_ANN_GROWTH">"c365"</definedName>
    <definedName name="IQ_EBITDA_5YR_ANN_GROWTH">"c366"</definedName>
    <definedName name="IQ_EBITDA_7YR_ANN_GROWTH">"c367"</definedName>
    <definedName name="IQ_EBITDA_ACT_OR_EST">"c2215"</definedName>
    <definedName name="IQ_EBITDA_CAPEX_INT">"c368"</definedName>
    <definedName name="IQ_EBITDA_CAPEX_OVER_TOTAL_IE">"c1370"</definedName>
    <definedName name="IQ_EBITDA_EQ_INC">"c3496"</definedName>
    <definedName name="IQ_EBITDA_EQ_INC_EXCL_SBC">"c3500"</definedName>
    <definedName name="IQ_EBITDA_EST">"c369"</definedName>
    <definedName name="IQ_EBITDA_EST_REUT">"c3640"</definedName>
    <definedName name="IQ_EBITDA_EXCL_SBC">"c3081"</definedName>
    <definedName name="IQ_EBITDA_HIGH_EST">"c370"</definedName>
    <definedName name="IQ_EBITDA_HIGH_EST_REUT">"c3642"</definedName>
    <definedName name="IQ_EBITDA_INT">"c373"</definedName>
    <definedName name="IQ_EBITDA_LOW_EST">"c371"</definedName>
    <definedName name="IQ_EBITDA_LOW_EST_REUT">"c3643"</definedName>
    <definedName name="IQ_EBITDA_MARGIN">"c372"</definedName>
    <definedName name="IQ_EBITDA_MEDIAN_EST">"c1663"</definedName>
    <definedName name="IQ_EBITDA_MEDIAN_EST_REUT">"c3641"</definedName>
    <definedName name="IQ_EBITDA_NUM_EST">"c374"</definedName>
    <definedName name="IQ_EBITDA_NUM_EST_REUT">"c3644"</definedName>
    <definedName name="IQ_EBITDA_OVER_TOTAL_IE">"c1371"</definedName>
    <definedName name="IQ_EBITDA_SBC_ACT_OR_EST">"c4337"</definedName>
    <definedName name="IQ_EBITDA_STDDEV_EST">"c375"</definedName>
    <definedName name="IQ_EBITDA_STDDEV_EST_REUT">"c3645"</definedName>
    <definedName name="IQ_EBITDAR">"c2989"</definedName>
    <definedName name="IQ_EBITDAR_EQ_INC">"c3499"</definedName>
    <definedName name="IQ_EBITDAR_EQ_INC_EXCL_SBC">"c3503"</definedName>
    <definedName name="IQ_EBITDAR_EXCL_SBC">"c3083"</definedName>
    <definedName name="IQ_EBT">"c376"</definedName>
    <definedName name="IQ_EBT_BNK">"c377"</definedName>
    <definedName name="IQ_EBT_BR">"c378"</definedName>
    <definedName name="IQ_EBT_EXCL">"c379"</definedName>
    <definedName name="IQ_EBT_EXCL_BNK">"c380"</definedName>
    <definedName name="IQ_EBT_EXCL_BR">"c381"</definedName>
    <definedName name="IQ_EBT_EXCL_FIN">"c382"</definedName>
    <definedName name="IQ_EBT_EXCL_INS">"c383"</definedName>
    <definedName name="IQ_EBT_EXCL_MARGIN">"c1462"</definedName>
    <definedName name="IQ_EBT_EXCL_REIT">"c384"</definedName>
    <definedName name="IQ_EBT_EXCL_UTI">"c385"</definedName>
    <definedName name="IQ_EBT_FIN">"c386"</definedName>
    <definedName name="IQ_EBT_INCL_MARGIN">"c387"</definedName>
    <definedName name="IQ_EBT_INS">"c388"</definedName>
    <definedName name="IQ_EBT_REIT">"c389"</definedName>
    <definedName name="IQ_EBT_SBC_ACT_OR_EST">"c4350"</definedName>
    <definedName name="IQ_EBT_SBC_GW_ACT_OR_EST">"c4354"</definedName>
    <definedName name="IQ_EBT_UTI">"c390"</definedName>
    <definedName name="IQ_EFFECT_SPECIAL_CHARGE">"c1595"</definedName>
    <definedName name="IQ_EFFECT_TAX_RATE">"c1899"</definedName>
    <definedName name="IQ_EFFICIENCY_RATIO">"c391"</definedName>
    <definedName name="IQ_EMPLOYEES">"c392"</definedName>
    <definedName name="IQ_ENTERPRISE_VALUE">"c1348"</definedName>
    <definedName name="IQ_EPS_10YR_ANN_GROWTH">"c393"</definedName>
    <definedName name="IQ_EPS_1YR_ANN_GROWTH">"c394"</definedName>
    <definedName name="IQ_EPS_2YR_ANN_GROWTH">"c395"</definedName>
    <definedName name="IQ_EPS_3YR_ANN_GROWTH">"c396"</definedName>
    <definedName name="IQ_EPS_5YR_ANN_GROWTH">"c397"</definedName>
    <definedName name="IQ_EPS_7YR_ANN_GROWTH">"c398"</definedName>
    <definedName name="IQ_EPS_ACT_OR_EST">"c2213"</definedName>
    <definedName name="IQ_EPS_EST">"c399"</definedName>
    <definedName name="IQ_EPS_EST_REUT">"c5453"</definedName>
    <definedName name="IQ_EPS_HIGH_EST">"c400"</definedName>
    <definedName name="IQ_EPS_HIGH_EST_REUT">"c5454"</definedName>
    <definedName name="IQ_EPS_LOW_EST">"c401"</definedName>
    <definedName name="IQ_EPS_LOW_EST_REUT">"c5455"</definedName>
    <definedName name="IQ_EPS_MEDIAN_EST">"c1661"</definedName>
    <definedName name="IQ_EPS_MEDIAN_EST_REUT">"c5456"</definedName>
    <definedName name="IQ_EPS_NORM">"c1902"</definedName>
    <definedName name="IQ_EPS_NUM_EST">"c402"</definedName>
    <definedName name="IQ_EPS_NUM_EST_REUT">"c5451"</definedName>
    <definedName name="IQ_EPS_SBC_ACT_OR_EST">"c4376"</definedName>
    <definedName name="IQ_EPS_SBC_GW_ACT_OR_EST">"c4380"</definedName>
    <definedName name="IQ_EPS_STDDEV_EST">"c403"</definedName>
    <definedName name="IQ_EPS_STDDEV_EST_REUT">"c5452"</definedName>
    <definedName name="IQ_EQUITY_AFFIL">"c1451"</definedName>
    <definedName name="IQ_EQUITY_METHOD">"c404"</definedName>
    <definedName name="IQ_EQV_OVER_BV">"c1596"</definedName>
    <definedName name="IQ_EQV_OVER_LTM_PRETAX_INC">"c1390"</definedName>
    <definedName name="IQ_ESOP_DEBT">"c1597"</definedName>
    <definedName name="IQ_EST_ACT_EPS">"c1648"</definedName>
    <definedName name="IQ_EST_CURRENCY">"c2140"</definedName>
    <definedName name="IQ_EST_CURRENCY_REUT">"c5437"</definedName>
    <definedName name="IQ_EST_DATE">"c1634"</definedName>
    <definedName name="IQ_EST_DATE_REUT">"c5438"</definedName>
    <definedName name="IQ_EST_EPS_DIFF">"c1864"</definedName>
    <definedName name="IQ_EST_EPS_GROWTH_1YR">"c1636"</definedName>
    <definedName name="IQ_EST_EPS_GROWTH_1YR_REUT">"c3646"</definedName>
    <definedName name="IQ_EST_EPS_GROWTH_5YR">"c1655"</definedName>
    <definedName name="IQ_EST_EPS_GROWTH_5YR_REUT">"c3633"</definedName>
    <definedName name="IQ_EST_EPS_GROWTH_Q_1YR">"c1641"</definedName>
    <definedName name="IQ_EST_EPS_GROWTH_Q_1YR_REUT">"c5410"</definedName>
    <definedName name="IQ_EST_VENDOR">"c5564"</definedName>
    <definedName name="IQ_EV_OVER_EMPLOYEE">"c1428"</definedName>
    <definedName name="IQ_EV_OVER_LTM_EBIT">"c1426"</definedName>
    <definedName name="IQ_EV_OVER_LTM_EBITDA">"c1427"</definedName>
    <definedName name="IQ_EV_OVER_LTM_REVENUE">"c1429"</definedName>
    <definedName name="IQ_EVAL_DATE">"c2180"</definedName>
    <definedName name="IQ_EXCHANGE">"c405"</definedName>
    <definedName name="IQ_EXCISE_TAXES_EXCL_SALES">"c5515"</definedName>
    <definedName name="IQ_EXCISE_TAXES_INCL_SALES">"c5514"</definedName>
    <definedName name="IQ_EXERCISE_PRICE">"c1897"</definedName>
    <definedName name="IQ_EXERCISED">"c406"</definedName>
    <definedName name="IQ_EXP_RETURN_PENSION_DOMESTIC">"c407"</definedName>
    <definedName name="IQ_EXP_RETURN_PENSION_FOREIGN">"c408"</definedName>
    <definedName name="IQ_EXPLORE_DRILL">"c409"</definedName>
    <definedName name="IQ_EXTRA_ACC_ITEMS">"c410"</definedName>
    <definedName name="IQ_EXTRA_ACC_ITEMS_BNK">"c411"</definedName>
    <definedName name="IQ_EXTRA_ACC_ITEMS_BR">"c412"</definedName>
    <definedName name="IQ_EXTRA_ACC_ITEMS_FIN">"c413"</definedName>
    <definedName name="IQ_EXTRA_ACC_ITEMS_INS">"c414"</definedName>
    <definedName name="IQ_EXTRA_ACC_ITEMS_REIT">"c415"</definedName>
    <definedName name="IQ_EXTRA_ACC_ITEMS_UTI">"c416"</definedName>
    <definedName name="IQ_EXTRA_ITEMS">"c1459"</definedName>
    <definedName name="IQ_FDIC">"c417"</definedName>
    <definedName name="IQ_FEDFUNDS_SOLD">"c2256"</definedName>
    <definedName name="IQ_FFO">"c1574"</definedName>
    <definedName name="IQ_FFO_ADJ_ACT_OR_EST">"c4435"</definedName>
    <definedName name="IQ_FFO_PAYOUT_RATIO">"c3492"</definedName>
    <definedName name="IQ_FFO_SHARE_ACT_OR_EST">"c4446"</definedName>
    <definedName name="IQ_FHLB_DEBT">"c423"</definedName>
    <definedName name="IQ_FHLB_DUE_CY">"c2080"</definedName>
    <definedName name="IQ_FHLB_DUE_CY1">"c2081"</definedName>
    <definedName name="IQ_FHLB_DUE_CY2">"c2082"</definedName>
    <definedName name="IQ_FHLB_DUE_CY3">"c2083"</definedName>
    <definedName name="IQ_FHLB_DUE_CY4">"c2084"</definedName>
    <definedName name="IQ_FHLB_DUE_NEXT_FIVE">"c2085"</definedName>
    <definedName name="IQ_FILING_CURRENCY">"c2129"</definedName>
    <definedName name="IQ_FILINGDATE_BS">"c424"</definedName>
    <definedName name="IQ_FILINGDATE_CF">"c425"</definedName>
    <definedName name="IQ_FILINGDATE_IS">"c426"</definedName>
    <definedName name="IQ_FILM_RIGHTS">"c2254"</definedName>
    <definedName name="IQ_FIN_DIV_ASSETS_CURRENT">"c427"</definedName>
    <definedName name="IQ_FIN_DIV_ASSETS_LT">"c428"</definedName>
    <definedName name="IQ_FIN_DIV_CURRENT_PORT_DEBT_TOTAL">"c5524"</definedName>
    <definedName name="IQ_FIN_DIV_CURRENT_PORT_LEASES_TOTAL">"c5523"</definedName>
    <definedName name="IQ_FIN_DIV_DEBT_CURRENT">"c429"</definedName>
    <definedName name="IQ_FIN_DIV_DEBT_LT">"c430"</definedName>
    <definedName name="IQ_FIN_DIV_DEBT_LT_TOTAL">"c5526"</definedName>
    <definedName name="IQ_FIN_DIV_EXP">"c431"</definedName>
    <definedName name="IQ_FIN_DIV_INT_EXP">"c432"</definedName>
    <definedName name="IQ_FIN_DIV_LEASES_LT_TOTAL">"c5525"</definedName>
    <definedName name="IQ_FIN_DIV_LIAB_CURRENT">"c433"</definedName>
    <definedName name="IQ_FIN_DIV_LIAB_LT">"c434"</definedName>
    <definedName name="IQ_FIN_DIV_LOANS_CURRENT">"c435"</definedName>
    <definedName name="IQ_FIN_DIV_LOANS_LT">"c436"</definedName>
    <definedName name="IQ_FIN_DIV_NOTES_PAY_TOTAL">"c5522"</definedName>
    <definedName name="IQ_FIN_DIV_REV">"c437"</definedName>
    <definedName name="IQ_FIN_DIV_ST_DEBT_TOTAL">"c5527"</definedName>
    <definedName name="IQ_FINANCING_CASH">"c1405"</definedName>
    <definedName name="IQ_FINANCING_CASH_SUPPL">"c1406"</definedName>
    <definedName name="IQ_FINISHED_INV">"c438"</definedName>
    <definedName name="IQ_FIRST_INT_DATE">"c2186"</definedName>
    <definedName name="IQ_FIRST_YEAR_LIFE">"c439"</definedName>
    <definedName name="IQ_FIRST_YEAR_LIFE_PREM">"c2787"</definedName>
    <definedName name="IQ_FIRST_YEAR_PREM">"c2786"</definedName>
    <definedName name="IQ_FIRSTPRICINGDATE">"c3050"</definedName>
    <definedName name="IQ_FISCAL_Q">"c440"</definedName>
    <definedName name="IQ_FISCAL_Y">"c441"</definedName>
    <definedName name="IQ_FIVE_PERCENT_OWNER">"c442"</definedName>
    <definedName name="IQ_FIVEPERCENT_PERCENT">"c443"</definedName>
    <definedName name="IQ_FIVEPERCENT_SHARES">"c444"</definedName>
    <definedName name="IQ_FIXED_ASSET_TURNS">"c445"</definedName>
    <definedName name="IQ_FLOAT_PERCENT">"c1575"</definedName>
    <definedName name="IQ_FOREIGN_DEP_IB">"c446"</definedName>
    <definedName name="IQ_FOREIGN_DEP_NON_IB">"c447"</definedName>
    <definedName name="IQ_FOREIGN_EXCHANGE">"c1376"</definedName>
    <definedName name="IQ_FOREIGN_LOANS">"c448"</definedName>
    <definedName name="IQ_FQ">500</definedName>
    <definedName name="IQ_FUEL">"c449"</definedName>
    <definedName name="IQ_FULL_TIME">"c450"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"c451"</definedName>
    <definedName name="IQ_FY">1000</definedName>
    <definedName name="IQ_GA_EXP">"c2241"</definedName>
    <definedName name="IQ_GAIN_ASSETS">"c452"</definedName>
    <definedName name="IQ_GAIN_ASSETS_BNK">"c453"</definedName>
    <definedName name="IQ_GAIN_ASSETS_BR">"c454"</definedName>
    <definedName name="IQ_GAIN_ASSETS_CF">"c455"</definedName>
    <definedName name="IQ_GAIN_ASSETS_CF_BNK">"c456"</definedName>
    <definedName name="IQ_GAIN_ASSETS_CF_BR">"c457"</definedName>
    <definedName name="IQ_GAIN_ASSETS_CF_FIN">"c458"</definedName>
    <definedName name="IQ_GAIN_ASSETS_CF_INS">"c459"</definedName>
    <definedName name="IQ_GAIN_ASSETS_CF_REIT">"c460"</definedName>
    <definedName name="IQ_GAIN_ASSETS_CF_UTI">"c461"</definedName>
    <definedName name="IQ_GAIN_ASSETS_FIN">"c462"</definedName>
    <definedName name="IQ_GAIN_ASSETS_INS">"c463"</definedName>
    <definedName name="IQ_GAIN_ASSETS_REIT">"c471"</definedName>
    <definedName name="IQ_GAIN_ASSETS_REV">"c472"</definedName>
    <definedName name="IQ_GAIN_ASSETS_REV_BNK">"c473"</definedName>
    <definedName name="IQ_GAIN_ASSETS_REV_BR">"c474"</definedName>
    <definedName name="IQ_GAIN_ASSETS_REV_FIN">"c475"</definedName>
    <definedName name="IQ_GAIN_ASSETS_REV_INS">"c476"</definedName>
    <definedName name="IQ_GAIN_ASSETS_REV_REIT">"c477"</definedName>
    <definedName name="IQ_GAIN_ASSETS_REV_UTI">"c478"</definedName>
    <definedName name="IQ_GAIN_ASSETS_UTI">"c479"</definedName>
    <definedName name="IQ_GAIN_INVEST">"c1463"</definedName>
    <definedName name="IQ_GAIN_INVEST_BNK">"c1582"</definedName>
    <definedName name="IQ_GAIN_INVEST_BR">"c1464"</definedName>
    <definedName name="IQ_GAIN_INVEST_CF">"c480"</definedName>
    <definedName name="IQ_GAIN_INVEST_CF_BNK">"c481"</definedName>
    <definedName name="IQ_GAIN_INVEST_CF_BR">"c482"</definedName>
    <definedName name="IQ_GAIN_INVEST_CF_FIN">"c483"</definedName>
    <definedName name="IQ_GAIN_INVEST_CF_INS">"c484"</definedName>
    <definedName name="IQ_GAIN_INVEST_CF_REIT">"c485"</definedName>
    <definedName name="IQ_GAIN_INVEST_CF_UTI">"c486"</definedName>
    <definedName name="IQ_GAIN_INVEST_FIN">"c1465"</definedName>
    <definedName name="IQ_GAIN_INVEST_INS">"c1466"</definedName>
    <definedName name="IQ_GAIN_INVEST_REIT">"c1467"</definedName>
    <definedName name="IQ_GAIN_INVEST_REV">"c494"</definedName>
    <definedName name="IQ_GAIN_INVEST_REV_BNK">"c495"</definedName>
    <definedName name="IQ_GAIN_INVEST_REV_BR">"c496"</definedName>
    <definedName name="IQ_GAIN_INVEST_REV_FIN">"c497"</definedName>
    <definedName name="IQ_GAIN_INVEST_REV_INS">"c498"</definedName>
    <definedName name="IQ_GAIN_INVEST_REV_REIT">"c499"</definedName>
    <definedName name="IQ_GAIN_INVEST_REV_UTI">"c500"</definedName>
    <definedName name="IQ_GAIN_INVEST_UTI">"c1468"</definedName>
    <definedName name="IQ_GAIN_LOANS_REC">"c501"</definedName>
    <definedName name="IQ_GAIN_LOANS_RECEIV">"c502"</definedName>
    <definedName name="IQ_GAIN_LOANS_RECEIV_REV_FIN">"c503"</definedName>
    <definedName name="IQ_GAIN_LOANS_REV">"c504"</definedName>
    <definedName name="IQ_GAIN_SALE_ASSETS">"c1377"</definedName>
    <definedName name="IQ_GEO_SEG_ASSETS">"c4069"</definedName>
    <definedName name="IQ_GEO_SEG_ASSETS_ABS">"c4091"</definedName>
    <definedName name="IQ_GEO_SEG_ASSETS_TOTAL">"c4123"</definedName>
    <definedName name="IQ_GEO_SEG_CAPEX">"c4083"</definedName>
    <definedName name="IQ_GEO_SEG_CAPEX_ABS">"c4105"</definedName>
    <definedName name="IQ_GEO_SEG_CAPEX_TOTAL">"c4127"</definedName>
    <definedName name="IQ_GEO_SEG_DA">"c4082"</definedName>
    <definedName name="IQ_GEO_SEG_DA_ABS">"c4104"</definedName>
    <definedName name="IQ_GEO_SEG_DA_TOTAL">"c4126"</definedName>
    <definedName name="IQ_GEO_SEG_EARNINGS_OP">"c4073"</definedName>
    <definedName name="IQ_GEO_SEG_EARNINGS_OP_ABS">"c4095"</definedName>
    <definedName name="IQ_GEO_SEG_EARNINGS_OP_TOTAL">"c4119"</definedName>
    <definedName name="IQ_GEO_SEG_EBT">"c4072"</definedName>
    <definedName name="IQ_GEO_SEG_EBT_ABS">"c4094"</definedName>
    <definedName name="IQ_GEO_SEG_EBT_TOTAL">"c4121"</definedName>
    <definedName name="IQ_GEO_SEG_GP">"c4070"</definedName>
    <definedName name="IQ_GEO_SEG_GP_ABS">"c4092"</definedName>
    <definedName name="IQ_GEO_SEG_GP_TOTAL">"c4120"</definedName>
    <definedName name="IQ_GEO_SEG_INC_TAX">"c4081"</definedName>
    <definedName name="IQ_GEO_SEG_INC_TAX_ABS">"c4103"</definedName>
    <definedName name="IQ_GEO_SEG_INC_TAX_TOTAL">"c4125"</definedName>
    <definedName name="IQ_GEO_SEG_INTEREST_EXP">"c4080"</definedName>
    <definedName name="IQ_GEO_SEG_INTEREST_EXP_ABS">"c4102"</definedName>
    <definedName name="IQ_GEO_SEG_INTEREST_EXP_TOTAL">"c4124"</definedName>
    <definedName name="IQ_GEO_SEG_NAME">"c5484"</definedName>
    <definedName name="IQ_GEO_SEG_NAME_ABS">"c5485"</definedName>
    <definedName name="IQ_GEO_SEG_NI">"c4071"</definedName>
    <definedName name="IQ_GEO_SEG_NI_ABS">"c4093"</definedName>
    <definedName name="IQ_GEO_SEG_NI_TOTAL">"c4122"</definedName>
    <definedName name="IQ_GEO_SEG_OPER_INC">"c4075"</definedName>
    <definedName name="IQ_GEO_SEG_OPER_INC_ABS">"c4097"</definedName>
    <definedName name="IQ_GEO_SEG_OPER_INC_TOTAL">"c4118"</definedName>
    <definedName name="IQ_GEO_SEG_REV">"c4074"</definedName>
    <definedName name="IQ_GEO_SEG_REV_ABS">"c4096"</definedName>
    <definedName name="IQ_GEO_SEG_REV_TOTAL">"c4117"</definedName>
    <definedName name="IQ_GOODWILL_NET">"c1380"</definedName>
    <definedName name="IQ_GP">"c511"</definedName>
    <definedName name="IQ_GP_10YR_ANN_GROWTH">"c512"</definedName>
    <definedName name="IQ_GP_1YR_ANN_GROWTH">"c513"</definedName>
    <definedName name="IQ_GP_2YR_ANN_GROWTH">"c514"</definedName>
    <definedName name="IQ_GP_3YR_ANN_GROWTH">"c515"</definedName>
    <definedName name="IQ_GP_5YR_ANN_GROWTH">"c516"</definedName>
    <definedName name="IQ_GP_7YR_ANN_GROWTH">"c517"</definedName>
    <definedName name="IQ_GPPE">"c518"</definedName>
    <definedName name="IQ_GROSS_AH_EARNED">"c2742"</definedName>
    <definedName name="IQ_GROSS_CLAIM_EXP_INCUR">"c2755"</definedName>
    <definedName name="IQ_GROSS_CLAIM_EXP_PAID">"c2758"</definedName>
    <definedName name="IQ_GROSS_CLAIM_EXP_RES">"c2752"</definedName>
    <definedName name="IQ_GROSS_DIVID">"c1446"</definedName>
    <definedName name="IQ_GROSS_EARNED">"c2732"</definedName>
    <definedName name="IQ_GROSS_LIFE_EARNED">"c2737"</definedName>
    <definedName name="IQ_GROSS_LIFE_IN_FORCE">"c2767"</definedName>
    <definedName name="IQ_GROSS_LOANS">"c521"</definedName>
    <definedName name="IQ_GROSS_LOANS_10YR_ANN_GROWTH">"c522"</definedName>
    <definedName name="IQ_GROSS_LOANS_1YR_ANN_GROWTH">"c523"</definedName>
    <definedName name="IQ_GROSS_LOANS_2YR_ANN_GROWTH">"c524"</definedName>
    <definedName name="IQ_GROSS_LOANS_3YR_ANN_GROWTH">"c525"</definedName>
    <definedName name="IQ_GROSS_LOANS_5YR_ANN_GROWTH">"c526"</definedName>
    <definedName name="IQ_GROSS_LOANS_7YR_ANN_GROWTH">"c527"</definedName>
    <definedName name="IQ_GROSS_LOANS_TOTAL_DEPOSITS">"c528"</definedName>
    <definedName name="IQ_GROSS_MARGIN">"c529"</definedName>
    <definedName name="IQ_GROSS_PC_EARNED">"c2747"</definedName>
    <definedName name="IQ_GROSS_PROFIT">"c1378"</definedName>
    <definedName name="IQ_GROSS_SPRD">"c2155"</definedName>
    <definedName name="IQ_GROSS_WRITTEN">"c2726"</definedName>
    <definedName name="IQ_GW">"c530"</definedName>
    <definedName name="IQ_GW_AMORT_BR">"c532"</definedName>
    <definedName name="IQ_GW_AMORT_FIN">"c540"</definedName>
    <definedName name="IQ_GW_AMORT_INS">"c541"</definedName>
    <definedName name="IQ_GW_AMORT_REIT">"c542"</definedName>
    <definedName name="IQ_GW_AMORT_UTI">"c543"</definedName>
    <definedName name="IQ_GW_INTAN_AMORT">"c1469"</definedName>
    <definedName name="IQ_GW_INTAN_AMORT_BNK">"c544"</definedName>
    <definedName name="IQ_GW_INTAN_AMORT_BR">"c1470"</definedName>
    <definedName name="IQ_GW_INTAN_AMORT_CF">"c1471"</definedName>
    <definedName name="IQ_GW_INTAN_AMORT_CF_BNK">"c1472"</definedName>
    <definedName name="IQ_GW_INTAN_AMORT_CF_BR">"c1473"</definedName>
    <definedName name="IQ_GW_INTAN_AMORT_CF_FIN">"c1474"</definedName>
    <definedName name="IQ_GW_INTAN_AMORT_CF_INS">"c1475"</definedName>
    <definedName name="IQ_GW_INTAN_AMORT_CF_REIT">"c1476"</definedName>
    <definedName name="IQ_GW_INTAN_AMORT_CF_UTI">"c1477"</definedName>
    <definedName name="IQ_GW_INTAN_AMORT_FIN">"c1478"</definedName>
    <definedName name="IQ_GW_INTAN_AMORT_INS">"c1479"</definedName>
    <definedName name="IQ_GW_INTAN_AMORT_REIT">"c1480"</definedName>
    <definedName name="IQ_GW_INTAN_AMORT_UTI">"c1481"</definedName>
    <definedName name="IQ_HIGH_TARGET_PRICE">"c1651"</definedName>
    <definedName name="IQ_HIGH_TARGET_PRICE_REUT">"c5317"</definedName>
    <definedName name="IQ_HIGHPRICE">"c545"</definedName>
    <definedName name="IQ_HOMEOWNERS_WRITTEN">"c546"</definedName>
    <definedName name="IQ_IMPAIR_OIL">"c547"</definedName>
    <definedName name="IQ_IMPAIRMENT_GW">"c548"</definedName>
    <definedName name="IQ_IMPUT_OPER_LEASE_DEPR">"c2987"</definedName>
    <definedName name="IQ_IMPUT_OPER_LEASE_INT_EXP">"c2986"</definedName>
    <definedName name="IQ_INC_AFTER_TAX">"c1598"</definedName>
    <definedName name="IQ_INC_AVAIL_EXCL">"c1395"</definedName>
    <definedName name="IQ_INC_AVAIL_INCL">"c1396"</definedName>
    <definedName name="IQ_INC_BEFORE_TAX">"c1375"</definedName>
    <definedName name="IQ_INC_EQUITY">"c549"</definedName>
    <definedName name="IQ_INC_EQUITY_BR">"c550"</definedName>
    <definedName name="IQ_INC_EQUITY_CF">"c551"</definedName>
    <definedName name="IQ_INC_EQUITY_FIN">"c552"</definedName>
    <definedName name="IQ_INC_EQUITY_INS">"c553"</definedName>
    <definedName name="IQ_INC_EQUITY_REC_BNK">"c554"</definedName>
    <definedName name="IQ_INC_EQUITY_REIT">"c555"</definedName>
    <definedName name="IQ_INC_EQUITY_REV_BNK">"c556"</definedName>
    <definedName name="IQ_INC_EQUITY_UTI">"c557"</definedName>
    <definedName name="IQ_INC_REAL_ESTATE_REC">"c558"</definedName>
    <definedName name="IQ_INC_REAL_ESTATE_REV">"c559"</definedName>
    <definedName name="IQ_INC_TAX">"c560"</definedName>
    <definedName name="IQ_INC_TAX_EXCL">"c1599"</definedName>
    <definedName name="IQ_INC_TAX_PAY_CURRENT">"c561"</definedName>
    <definedName name="IQ_INC_TRADE_ACT">"c562"</definedName>
    <definedName name="IQ_INDUSTRY">"c3601"</definedName>
    <definedName name="IQ_INDUSTRY_GROUP">"c3602"</definedName>
    <definedName name="IQ_INDUSTRY_SECTOR">"c3603"</definedName>
    <definedName name="IQ_INS_ANNUITY_LIAB">"c563"</definedName>
    <definedName name="IQ_INS_ANNUITY_REV">"c2788"</definedName>
    <definedName name="IQ_INS_DIV_EXP">"c564"</definedName>
    <definedName name="IQ_INS_DIV_REV">"c565"</definedName>
    <definedName name="IQ_INS_IN_FORCE">"c566"</definedName>
    <definedName name="IQ_INS_LIAB">"c567"</definedName>
    <definedName name="IQ_INS_POLICY_EXP">"c568"</definedName>
    <definedName name="IQ_INS_REV">"c569"</definedName>
    <definedName name="IQ_INS_SETTLE">"c570"</definedName>
    <definedName name="IQ_INS_SETTLE_BNK">"c571"</definedName>
    <definedName name="IQ_INS_SETTLE_BR">"c572"</definedName>
    <definedName name="IQ_INS_SETTLE_FIN">"c573"</definedName>
    <definedName name="IQ_INS_SETTLE_INS">"c574"</definedName>
    <definedName name="IQ_INS_SETTLE_REIT">"c575"</definedName>
    <definedName name="IQ_INS_SETTLE_UTI">"c576"</definedName>
    <definedName name="IQ_INSIDER_3MTH_BOUGHT_PCT">"c1534"</definedName>
    <definedName name="IQ_INSIDER_3MTH_NET_PCT">"c1535"</definedName>
    <definedName name="IQ_INSIDER_3MTH_SOLD_PCT">"c1533"</definedName>
    <definedName name="IQ_INSIDER_6MTH_BOUGHT_PCT">"c1537"</definedName>
    <definedName name="IQ_INSIDER_6MTH_NET_PCT">"c1538"</definedName>
    <definedName name="IQ_INSIDER_6MTH_SOLD_PCT">"c1536"</definedName>
    <definedName name="IQ_INSIDER_OVER_TOTAL">"c1581"</definedName>
    <definedName name="IQ_INSIDER_OWNER">"c577"</definedName>
    <definedName name="IQ_INSIDER_PERCENT">"c578"</definedName>
    <definedName name="IQ_INSIDER_SHARES">"c579"</definedName>
    <definedName name="IQ_INSTITUTIONAL_OVER_TOTAL">"c1580"</definedName>
    <definedName name="IQ_INSTITUTIONAL_OWNER">"c580"</definedName>
    <definedName name="IQ_INSTITUTIONAL_PERCENT">"c581"</definedName>
    <definedName name="IQ_INSTITUTIONAL_SHARES">"c582"</definedName>
    <definedName name="IQ_INSUR_RECEIV">"c1600"</definedName>
    <definedName name="IQ_INT_BORROW">"c583"</definedName>
    <definedName name="IQ_INT_DEPOSITS">"c584"</definedName>
    <definedName name="IQ_INT_DIV_INC">"c585"</definedName>
    <definedName name="IQ_INT_EXP_BR">"c586"</definedName>
    <definedName name="IQ_INT_EXP_COVERAGE">"c587"</definedName>
    <definedName name="IQ_INT_EXP_FIN">"c588"</definedName>
    <definedName name="IQ_INT_EXP_INCL_CAP">"c2988"</definedName>
    <definedName name="IQ_INT_EXP_INS">"c589"</definedName>
    <definedName name="IQ_INT_EXP_LTD">"c2086"</definedName>
    <definedName name="IQ_INT_EXP_REIT">"c590"</definedName>
    <definedName name="IQ_INT_EXP_TOTAL">"c591"</definedName>
    <definedName name="IQ_INT_EXP_UTI">"c592"</definedName>
    <definedName name="IQ_INT_INC_BR">"c593"</definedName>
    <definedName name="IQ_INT_INC_FIN">"c594"</definedName>
    <definedName name="IQ_INT_INC_INVEST">"c595"</definedName>
    <definedName name="IQ_INT_INC_LOANS">"c596"</definedName>
    <definedName name="IQ_INT_INC_REIT">"c597"</definedName>
    <definedName name="IQ_INT_INC_TOTAL">"c598"</definedName>
    <definedName name="IQ_INT_INC_UTI">"c599"</definedName>
    <definedName name="IQ_INT_INV_INC">"c600"</definedName>
    <definedName name="IQ_INT_INV_INC_REIT">"c601"</definedName>
    <definedName name="IQ_INT_INV_INC_UTI">"c602"</definedName>
    <definedName name="IQ_INT_ON_BORROWING_COVERAGE">"c603"</definedName>
    <definedName name="IQ_INT_RATE_SPREAD">"c604"</definedName>
    <definedName name="IQ_INTANGIBLES_NET">"c1407"</definedName>
    <definedName name="IQ_INTEREST_CASH_DEPOSITS">"c2255"</definedName>
    <definedName name="IQ_INTEREST_EXP">"c618"</definedName>
    <definedName name="IQ_INTEREST_EXP_NET">"c1450"</definedName>
    <definedName name="IQ_INTEREST_EXP_NON">"c1383"</definedName>
    <definedName name="IQ_INTEREST_EXP_SUPPL">"c1460"</definedName>
    <definedName name="IQ_INTEREST_INC">"c1393"</definedName>
    <definedName name="IQ_INTEREST_INC_NON">"c1384"</definedName>
    <definedName name="IQ_INTEREST_INVEST_INC">"c619"</definedName>
    <definedName name="IQ_INV_10YR_ANN_GROWTH">"c1930"</definedName>
    <definedName name="IQ_INV_1YR_ANN_GROWTH">"c1925"</definedName>
    <definedName name="IQ_INV_2YR_ANN_GROWTH">"c1926"</definedName>
    <definedName name="IQ_INV_3YR_ANN_GROWTH">"c1927"</definedName>
    <definedName name="IQ_INV_5YR_ANN_GROWTH">"c1928"</definedName>
    <definedName name="IQ_INV_7YR_ANN_GROWTH">"c1929"</definedName>
    <definedName name="IQ_INV_BANKING_FEE">"c620"</definedName>
    <definedName name="IQ_INV_METHOD">"c621"</definedName>
    <definedName name="IQ_INVENTORY">"c622"</definedName>
    <definedName name="IQ_INVENTORY_TURNS">"c623"</definedName>
    <definedName name="IQ_INVENTORY_UTI">"c624"</definedName>
    <definedName name="IQ_INVEST_DEBT">"c625"</definedName>
    <definedName name="IQ_INVEST_EQUITY_PREF">"c626"</definedName>
    <definedName name="IQ_INVEST_FHLB">"c627"</definedName>
    <definedName name="IQ_INVEST_GOV_SECURITY">"c5510"</definedName>
    <definedName name="IQ_INVEST_LOANS_CF">"c628"</definedName>
    <definedName name="IQ_INVEST_LOANS_CF_BNK">"c629"</definedName>
    <definedName name="IQ_INVEST_LOANS_CF_BR">"c630"</definedName>
    <definedName name="IQ_INVEST_LOANS_CF_FIN">"c631"</definedName>
    <definedName name="IQ_INVEST_LOANS_CF_INS">"c632"</definedName>
    <definedName name="IQ_INVEST_LOANS_CF_REIT">"c633"</definedName>
    <definedName name="IQ_INVEST_LOANS_CF_UTI">"c634"</definedName>
    <definedName name="IQ_INVEST_MUNI_SECURITY">"c5512"</definedName>
    <definedName name="IQ_INVEST_REAL_ESTATE">"c635"</definedName>
    <definedName name="IQ_INVEST_SECURITY">"c636"</definedName>
    <definedName name="IQ_INVEST_SECURITY_CF">"c637"</definedName>
    <definedName name="IQ_INVEST_SECURITY_CF_BNK">"c638"</definedName>
    <definedName name="IQ_INVEST_SECURITY_CF_BR">"c639"</definedName>
    <definedName name="IQ_INVEST_SECURITY_CF_FIN">"c640"</definedName>
    <definedName name="IQ_INVEST_SECURITY_CF_INS">"c641"</definedName>
    <definedName name="IQ_INVEST_SECURITY_CF_REIT">"c642"</definedName>
    <definedName name="IQ_INVEST_SECURITY_CF_UTI">"c643"</definedName>
    <definedName name="IQ_INVEST_SECURITY_SUPPL">"c5511"</definedName>
    <definedName name="IQ_IPRD">"c644"</definedName>
    <definedName name="IQ_ISS_DEBT_NET">"c1391"</definedName>
    <definedName name="IQ_ISS_STOCK_NET">"c1601"</definedName>
    <definedName name="IQ_ISSUE_CURRENCY">"c2156"</definedName>
    <definedName name="IQ_ISSUE_NAME">"c2142"</definedName>
    <definedName name="IQ_ISSUER">"c2143"</definedName>
    <definedName name="IQ_ISSUER_CIQID">"c2258"</definedName>
    <definedName name="IQ_ISSUER_PARENT">"c2144"</definedName>
    <definedName name="IQ_ISSUER_PARENT_CIQID">"c2260"</definedName>
    <definedName name="IQ_ISSUER_PARENT_TICKER">"c2259"</definedName>
    <definedName name="IQ_ISSUER_TICKER">"c2252"</definedName>
    <definedName name="IQ_JR_SUB_DEBT">"c2534"</definedName>
    <definedName name="IQ_JR_SUB_DEBT_EBITDA">"c2560"</definedName>
    <definedName name="IQ_JR_SUB_DEBT_EBITDA_CAPEX">"c2561"</definedName>
    <definedName name="IQ_JR_SUB_DEBT_PCT">"c2535"</definedName>
    <definedName name="IQ_LAND">"c645"</definedName>
    <definedName name="IQ_LAST_PMT_DATE">"c2188"</definedName>
    <definedName name="IQ_LAST_SPLIT_DATE">"c2095"</definedName>
    <definedName name="IQ_LAST_SPLIT_FACTOR">"c2093"</definedName>
    <definedName name="IQ_LASTPRICINGDATE">"c3051"</definedName>
    <definedName name="IQ_LASTSALEPRICE">"c646"</definedName>
    <definedName name="IQ_LASTSALEPRICE_DATE">"c2109"</definedName>
    <definedName name="IQ_LATESTK">1000</definedName>
    <definedName name="IQ_LATESTQ">500</definedName>
    <definedName name="IQ_LEGAL_SETTLE">"c647"</definedName>
    <definedName name="IQ_LEGAL_SETTLE_BNK">"c648"</definedName>
    <definedName name="IQ_LEGAL_SETTLE_BR">"c649"</definedName>
    <definedName name="IQ_LEGAL_SETTLE_FIN">"c650"</definedName>
    <definedName name="IQ_LEGAL_SETTLE_INS">"c651"</definedName>
    <definedName name="IQ_LEGAL_SETTLE_REIT">"c652"</definedName>
    <definedName name="IQ_LEGAL_SETTLE_UTI">"c653"</definedName>
    <definedName name="IQ_LEVERAGE_RATIO">"c654"</definedName>
    <definedName name="IQ_LEVERED_FCF">"c1907"</definedName>
    <definedName name="IQ_LFCF_10YR_ANN_GROWTH">"c1942"</definedName>
    <definedName name="IQ_LFCF_1YR_ANN_GROWTH">"c1937"</definedName>
    <definedName name="IQ_LFCF_2YR_ANN_GROWTH">"c1938"</definedName>
    <definedName name="IQ_LFCF_3YR_ANN_GROWTH">"c1939"</definedName>
    <definedName name="IQ_LFCF_5YR_ANN_GROWTH">"c1940"</definedName>
    <definedName name="IQ_LFCF_7YR_ANN_GROWTH">"c1941"</definedName>
    <definedName name="IQ_LFCF_MARGIN">"c1961"</definedName>
    <definedName name="IQ_LH_STATUTORY_SURPLUS">"c2771"</definedName>
    <definedName name="IQ_LICENSED_POPS">"c2123"</definedName>
    <definedName name="IQ_LIFE_EARNED">"c2739"</definedName>
    <definedName name="IQ_LIFOR">"c655"</definedName>
    <definedName name="IQ_LL">"c656"</definedName>
    <definedName name="IQ_LOAN_LEASE_RECEIV">"c657"</definedName>
    <definedName name="IQ_LOAN_LOSS">"c1386"</definedName>
    <definedName name="IQ_LOAN_SERVICE_REV">"c658"</definedName>
    <definedName name="IQ_LOANS_CF">"c659"</definedName>
    <definedName name="IQ_LOANS_CF_BNK">"c660"</definedName>
    <definedName name="IQ_LOANS_CF_BR">"c661"</definedName>
    <definedName name="IQ_LOANS_CF_FIN">"c662"</definedName>
    <definedName name="IQ_LOANS_CF_INS">"c663"</definedName>
    <definedName name="IQ_LOANS_CF_REIT">"c664"</definedName>
    <definedName name="IQ_LOANS_CF_UTI">"c665"</definedName>
    <definedName name="IQ_LOANS_FOR_SALE">"c666"</definedName>
    <definedName name="IQ_LOANS_PAST_DUE">"c667"</definedName>
    <definedName name="IQ_LOANS_RECEIV_CURRENT">"c668"</definedName>
    <definedName name="IQ_LOANS_RECEIV_LT">"c669"</definedName>
    <definedName name="IQ_LOANS_RECEIV_LT_UTI">"c670"</definedName>
    <definedName name="IQ_LONG_TERM_DEBT">"c1387"</definedName>
    <definedName name="IQ_LONG_TERM_DEBT_OVER_TOTAL_CAP">"c1388"</definedName>
    <definedName name="IQ_LONG_TERM_GROWTH">"c671"</definedName>
    <definedName name="IQ_LONG_TERM_INV">"c1389"</definedName>
    <definedName name="IQ_LOSS_LOSS_EXP">"c672"</definedName>
    <definedName name="IQ_LOSS_TO_NET_EARNED">"c2751"</definedName>
    <definedName name="IQ_LOW_TARGET_PRICE">"c1652"</definedName>
    <definedName name="IQ_LOW_TARGET_PRICE_REUT">"c5318"</definedName>
    <definedName name="IQ_LOWPRICE">"c673"</definedName>
    <definedName name="IQ_LT_DEBT">"c674"</definedName>
    <definedName name="IQ_LT_DEBT_BNK">"c675"</definedName>
    <definedName name="IQ_LT_DEBT_BR">"c676"</definedName>
    <definedName name="IQ_LT_DEBT_CAPITAL">"c677"</definedName>
    <definedName name="IQ_LT_DEBT_CAPITAL_LEASES">"c2542"</definedName>
    <definedName name="IQ_LT_DEBT_CAPITAL_LEASES_PCT">"c2543"</definedName>
    <definedName name="IQ_LT_DEBT_EQUITY">"c678"</definedName>
    <definedName name="IQ_LT_DEBT_FIN">"c679"</definedName>
    <definedName name="IQ_LT_DEBT_INS">"c680"</definedName>
    <definedName name="IQ_LT_DEBT_ISSUED">"c681"</definedName>
    <definedName name="IQ_LT_DEBT_ISSUED_BNK">"c682"</definedName>
    <definedName name="IQ_LT_DEBT_ISSUED_BR">"c683"</definedName>
    <definedName name="IQ_LT_DEBT_ISSUED_FIN">"c684"</definedName>
    <definedName name="IQ_LT_DEBT_ISSUED_INS">"c685"</definedName>
    <definedName name="IQ_LT_DEBT_ISSUED_REIT">"c686"</definedName>
    <definedName name="IQ_LT_DEBT_ISSUED_UTI">"c687"</definedName>
    <definedName name="IQ_LT_DEBT_REIT">"c688"</definedName>
    <definedName name="IQ_LT_DEBT_REPAID">"c689"</definedName>
    <definedName name="IQ_LT_DEBT_REPAID_BNK">"c690"</definedName>
    <definedName name="IQ_LT_DEBT_REPAID_BR">"c691"</definedName>
    <definedName name="IQ_LT_DEBT_REPAID_FIN">"c692"</definedName>
    <definedName name="IQ_LT_DEBT_REPAID_INS">"c693"</definedName>
    <definedName name="IQ_LT_DEBT_REPAID_REIT">"c694"</definedName>
    <definedName name="IQ_LT_DEBT_REPAID_UTI">"c695"</definedName>
    <definedName name="IQ_LT_DEBT_UTI">"c696"</definedName>
    <definedName name="IQ_LT_INVEST">"c697"</definedName>
    <definedName name="IQ_LT_INVEST_BR">"c698"</definedName>
    <definedName name="IQ_LT_INVEST_FIN">"c699"</definedName>
    <definedName name="IQ_LT_INVEST_REIT">"c700"</definedName>
    <definedName name="IQ_LT_INVEST_UTI">"c701"</definedName>
    <definedName name="IQ_LT_NOTE_RECEIV">"c1602"</definedName>
    <definedName name="IQ_LTD_DUE_AFTER_FIVE">"c704"</definedName>
    <definedName name="IQ_LTD_DUE_CY">"c705"</definedName>
    <definedName name="IQ_LTD_DUE_CY1">"c706"</definedName>
    <definedName name="IQ_LTD_DUE_CY2">"c707"</definedName>
    <definedName name="IQ_LTD_DUE_CY3">"c708"</definedName>
    <definedName name="IQ_LTD_DUE_CY4">"c709"</definedName>
    <definedName name="IQ_LTD_DUE_NEXT_FIVE">"c710"</definedName>
    <definedName name="IQ_LTM">2000</definedName>
    <definedName name="IQ_LTM_REVENUE_OVER_EMPLOYEES">"c1437"</definedName>
    <definedName name="IQ_MACHINERY">"c711"</definedName>
    <definedName name="IQ_MAINT_CAPEX">"c2947"</definedName>
    <definedName name="IQ_MAINT_CAPEX_ACT_OR_EST">"c4458"</definedName>
    <definedName name="IQ_MAINT_REPAIR">"c2087"</definedName>
    <definedName name="IQ_MAKE_WHOLE_END_DATE">"c2493"</definedName>
    <definedName name="IQ_MAKE_WHOLE_SPREAD">"c2494"</definedName>
    <definedName name="IQ_MAKE_WHOLE_START_DATE">"c2492"</definedName>
    <definedName name="IQ_MARKET_CAP_LFCF">"c2209"</definedName>
    <definedName name="IQ_MARKETCAP">"c712"</definedName>
    <definedName name="IQ_MARKETING">"c2239"</definedName>
    <definedName name="IQ_MATURITY_DATE">"c2146"</definedName>
    <definedName name="IQ_MC_RATIO">"c2783"</definedName>
    <definedName name="IQ_MC_STATUTORY_SURPLUS">"c2772"</definedName>
    <definedName name="IQ_MEDIAN_TARGET_PRICE">"c1650"</definedName>
    <definedName name="IQ_MEDIAN_TARGET_PRICE_REUT">"c5316"</definedName>
    <definedName name="IQ_MERGER">"c713"</definedName>
    <definedName name="IQ_MERGER_BNK">"c714"</definedName>
    <definedName name="IQ_MERGER_BR">"c715"</definedName>
    <definedName name="IQ_MERGER_FIN">"c716"</definedName>
    <definedName name="IQ_MERGER_INS">"c717"</definedName>
    <definedName name="IQ_MERGER_REIT">"c718"</definedName>
    <definedName name="IQ_MERGER_RESTRUCTURE">"c719"</definedName>
    <definedName name="IQ_MERGER_RESTRUCTURE_BNK">"c720"</definedName>
    <definedName name="IQ_MERGER_RESTRUCTURE_BR">"c721"</definedName>
    <definedName name="IQ_MERGER_RESTRUCTURE_FIN">"c722"</definedName>
    <definedName name="IQ_MERGER_RESTRUCTURE_INS">"c723"</definedName>
    <definedName name="IQ_MERGER_RESTRUCTURE_REIT">"c724"</definedName>
    <definedName name="IQ_MERGER_RESTRUCTURE_UTI">"c725"</definedName>
    <definedName name="IQ_MERGER_UTI">"c726"</definedName>
    <definedName name="IQ_MINORITY_INTEREST">"c727"</definedName>
    <definedName name="IQ_MINORITY_INTEREST_BNK">"c728"</definedName>
    <definedName name="IQ_MINORITY_INTEREST_BR">"c729"</definedName>
    <definedName name="IQ_MINORITY_INTEREST_CF">"c730"</definedName>
    <definedName name="IQ_MINORITY_INTEREST_FIN">"c731"</definedName>
    <definedName name="IQ_MINORITY_INTEREST_INS">"c732"</definedName>
    <definedName name="IQ_MINORITY_INTEREST_IS">"c733"</definedName>
    <definedName name="IQ_MINORITY_INTEREST_REIT">"c734"</definedName>
    <definedName name="IQ_MINORITY_INTEREST_TOTAL">"c1905"</definedName>
    <definedName name="IQ_MINORITY_INTEREST_UTI">"c735"</definedName>
    <definedName name="IQ_MISC_ADJUST_CF">"c736"</definedName>
    <definedName name="IQ_MISC_EARN_ADJ">"c1603"</definedName>
    <definedName name="IQ_MKTCAP_EBT_EXCL">"c737"</definedName>
    <definedName name="IQ_MKTCAP_EBT_EXCL_AVG">"c738"</definedName>
    <definedName name="IQ_MKTCAP_EBT_INCL_AVG">"c739"</definedName>
    <definedName name="IQ_MKTCAP_TOTAL_REV">"c740"</definedName>
    <definedName name="IQ_MKTCAP_TOTAL_REV_AVG">"c741"</definedName>
    <definedName name="IQ_MKTCAP_TOTAL_REV_FWD">"c742"</definedName>
    <definedName name="IQ_MKTCAP_TOTAL_REV_FWD_REUT">"c4048"</definedName>
    <definedName name="IQ_MM_ACCOUNT">"c743"</definedName>
    <definedName name="IQ_MORT_BANK_ACT">"c744"</definedName>
    <definedName name="IQ_MORT_BANKING_FEE">"c745"</definedName>
    <definedName name="IQ_MORT_INT_INC">"c746"</definedName>
    <definedName name="IQ_MORT_LOANS">"c747"</definedName>
    <definedName name="IQ_MORT_SECURITY">"c748"</definedName>
    <definedName name="IQ_MORTGAGE_SERV_RIGHTS">"c2242"</definedName>
    <definedName name="IQ_NET_CHANGE">"c749"</definedName>
    <definedName name="IQ_NET_CLAIM_EXP_INCUR">"c2757"</definedName>
    <definedName name="IQ_NET_CLAIM_EXP_INCUR_CY">"c2761"</definedName>
    <definedName name="IQ_NET_CLAIM_EXP_INCUR_PY">"c2762"</definedName>
    <definedName name="IQ_NET_CLAIM_EXP_PAID">"c2760"</definedName>
    <definedName name="IQ_NET_CLAIM_EXP_PAID_CY">"c2763"</definedName>
    <definedName name="IQ_NET_CLAIM_EXP_PAID_PY">"c2764"</definedName>
    <definedName name="IQ_NET_CLAIM_EXP_RES">"c2754"</definedName>
    <definedName name="IQ_NET_DEBT">"c1584"</definedName>
    <definedName name="IQ_NET_DEBT_EBITDA">"c750"</definedName>
    <definedName name="IQ_NET_DEBT_EBITDA_CAPEX">"c2949"</definedName>
    <definedName name="IQ_NET_DEBT_ISSUED">"c751"</definedName>
    <definedName name="IQ_NET_DEBT_ISSUED_BNK">"c752"</definedName>
    <definedName name="IQ_NET_DEBT_ISSUED_BR">"c753"</definedName>
    <definedName name="IQ_NET_DEBT_ISSUED_FIN">"c754"</definedName>
    <definedName name="IQ_NET_DEBT_ISSUED_INS">"c755"</definedName>
    <definedName name="IQ_NET_DEBT_ISSUED_REIT">"c756"</definedName>
    <definedName name="IQ_NET_DEBT_ISSUED_UTI">"c757"</definedName>
    <definedName name="IQ_NET_EARNED">"c2734"</definedName>
    <definedName name="IQ_NET_INC">"c1394"</definedName>
    <definedName name="IQ_NET_INC_BEFORE">"c1368"</definedName>
    <definedName name="IQ_NET_INC_CF">"c1397"</definedName>
    <definedName name="IQ_NET_INC_MARGIN">"c1398"</definedName>
    <definedName name="IQ_NET_INT_INC_10YR_ANN_GROWTH">"c758"</definedName>
    <definedName name="IQ_NET_INT_INC_1YR_ANN_GROWTH">"c759"</definedName>
    <definedName name="IQ_NET_INT_INC_2YR_ANN_GROWTH">"c760"</definedName>
    <definedName name="IQ_NET_INT_INC_3YR_ANN_GROWTH">"c761"</definedName>
    <definedName name="IQ_NET_INT_INC_5YR_ANN_GROWTH">"c762"</definedName>
    <definedName name="IQ_NET_INT_INC_7YR_ANN_GROWTH">"c763"</definedName>
    <definedName name="IQ_NET_INT_INC_BNK">"c764"</definedName>
    <definedName name="IQ_NET_INT_INC_BR">"c765"</definedName>
    <definedName name="IQ_NET_INT_INC_FIN">"c766"</definedName>
    <definedName name="IQ_NET_INT_INC_TOTAL_REV">"c767"</definedName>
    <definedName name="IQ_NET_INT_MARGIN">"c768"</definedName>
    <definedName name="IQ_NET_INTEREST_EXP">"c769"</definedName>
    <definedName name="IQ_NET_INTEREST_EXP_REIT">"c770"</definedName>
    <definedName name="IQ_NET_INTEREST_EXP_UTI">"c771"</definedName>
    <definedName name="IQ_NET_INTEREST_INC">"c1392"</definedName>
    <definedName name="IQ_NET_INTEREST_INC_AFTER_LL">"c1604"</definedName>
    <definedName name="IQ_NET_LIFE_INS_IN_FORCE">"c2769"</definedName>
    <definedName name="IQ_NET_LOANS">"c772"</definedName>
    <definedName name="IQ_NET_LOANS_10YR_ANN_GROWTH">"c773"</definedName>
    <definedName name="IQ_NET_LOANS_1YR_ANN_GROWTH">"c774"</definedName>
    <definedName name="IQ_NET_LOANS_2YR_ANN_GROWTH">"c775"</definedName>
    <definedName name="IQ_NET_LOANS_3YR_ANN_GROWTH">"c776"</definedName>
    <definedName name="IQ_NET_LOANS_5YR_ANN_GROWTH">"c777"</definedName>
    <definedName name="IQ_NET_LOANS_7YR_ANN_GROWTH">"c778"</definedName>
    <definedName name="IQ_NET_LOANS_TOTAL_DEPOSITS">"c779"</definedName>
    <definedName name="IQ_NET_RENTAL_EXP_FN">"c780"</definedName>
    <definedName name="IQ_NET_TO_GROSS_EARNED">"c2750"</definedName>
    <definedName name="IQ_NET_TO_GROSS_WRITTEN">"c2729"</definedName>
    <definedName name="IQ_NET_WORKING_CAP">"c3493"</definedName>
    <definedName name="IQ_NET_WRITTEN">"c2728"</definedName>
    <definedName name="IQ_NEW_PREM">"c2785"</definedName>
    <definedName name="IQ_NEXT_CALL_DATE">"c2198"</definedName>
    <definedName name="IQ_NEXT_CALL_PRICE">"c2199"</definedName>
    <definedName name="IQ_NEXT_INT_DATE">"c2187"</definedName>
    <definedName name="IQ_NEXT_PUT_DATE">"c2200"</definedName>
    <definedName name="IQ_NEXT_PUT_PRICE">"c2201"</definedName>
    <definedName name="IQ_NEXT_SINK_FUND_AMOUNT">"c2490"</definedName>
    <definedName name="IQ_NEXT_SINK_FUND_DATE">"c2489"</definedName>
    <definedName name="IQ_NEXT_SINK_FUND_PRICE">"c2491"</definedName>
    <definedName name="IQ_NI">"c781"</definedName>
    <definedName name="IQ_NI_10YR_ANN_GROWTH">"c782"</definedName>
    <definedName name="IQ_NI_1YR_ANN_GROWTH">"c783"</definedName>
    <definedName name="IQ_NI_2YR_ANN_GROWTH">"c784"</definedName>
    <definedName name="IQ_NI_3YR_ANN_GROWTH">"c785"</definedName>
    <definedName name="IQ_NI_5YR_ANN_GROWTH">"c786"</definedName>
    <definedName name="IQ_NI_7YR_ANN_GROWTH">"c787"</definedName>
    <definedName name="IQ_NI_AFTER_CAPITALIZED">"c788"</definedName>
    <definedName name="IQ_NI_AVAIL_EXCL">"c789"</definedName>
    <definedName name="IQ_NI_AVAIL_EXCL_MARGIN">"c790"</definedName>
    <definedName name="IQ_NI_AVAIL_INCL">"c791"</definedName>
    <definedName name="IQ_NI_BEFORE_CAPITALIZED">"c792"</definedName>
    <definedName name="IQ_NI_CF">"c793"</definedName>
    <definedName name="IQ_NI_MARGIN">"c794"</definedName>
    <definedName name="IQ_NI_NORM">"c1901"</definedName>
    <definedName name="IQ_NI_NORM_10YR_ANN_GROWTH">"c1960"</definedName>
    <definedName name="IQ_NI_NORM_1YR_ANN_GROWTH">"c1955"</definedName>
    <definedName name="IQ_NI_NORM_2YR_ANN_GROWTH">"c1956"</definedName>
    <definedName name="IQ_NI_NORM_3YR_ANN_GROWTH">"c1957"</definedName>
    <definedName name="IQ_NI_NORM_5YR_ANN_GROWTH">"c1958"</definedName>
    <definedName name="IQ_NI_NORM_7YR_ANN_GROWTH">"c1959"</definedName>
    <definedName name="IQ_NI_NORM_MARGIN">"c1964"</definedName>
    <definedName name="IQ_NI_SBC_ACT_OR_EST">"c4474"</definedName>
    <definedName name="IQ_NI_SBC_GW_ACT_OR_EST">"c4478"</definedName>
    <definedName name="IQ_NI_SFAS">"c795"</definedName>
    <definedName name="IQ_NOL_CF_1YR">"c3465"</definedName>
    <definedName name="IQ_NOL_CF_2YR">"c3466"</definedName>
    <definedName name="IQ_NOL_CF_3YR">"c3467"</definedName>
    <definedName name="IQ_NOL_CF_4YR">"c3468"</definedName>
    <definedName name="IQ_NOL_CF_5YR">"c3469"</definedName>
    <definedName name="IQ_NOL_CF_AFTER_FIVE">"c3470"</definedName>
    <definedName name="IQ_NOL_CF_MAX_YEAR">"c3473"</definedName>
    <definedName name="IQ_NOL_CF_NO_EXP">"c3471"</definedName>
    <definedName name="IQ_NOL_CF_TOTAL">"c3472"</definedName>
    <definedName name="IQ_NON_ACCRUAL_LOANS">"c796"</definedName>
    <definedName name="IQ_NON_CASH">"c1399"</definedName>
    <definedName name="IQ_NON_CASH_ITEMS">"c797"</definedName>
    <definedName name="IQ_NON_INS_EXP">"c798"</definedName>
    <definedName name="IQ_NON_INS_REV">"c799"</definedName>
    <definedName name="IQ_NON_INT_BEAR_CD">"c800"</definedName>
    <definedName name="IQ_NON_INT_EXP">"c801"</definedName>
    <definedName name="IQ_NON_INT_INC">"c802"</definedName>
    <definedName name="IQ_NON_INT_INC_10YR_ANN_GROWTH">"c803"</definedName>
    <definedName name="IQ_NON_INT_INC_1YR_ANN_GROWTH">"c804"</definedName>
    <definedName name="IQ_NON_INT_INC_2YR_ANN_GROWTH">"c805"</definedName>
    <definedName name="IQ_NON_INT_INC_3YR_ANN_GROWTH">"c806"</definedName>
    <definedName name="IQ_NON_INT_INC_5YR_ANN_GROWTH">"c807"</definedName>
    <definedName name="IQ_NON_INT_INC_7YR_ANN_GROWTH">"c808"</definedName>
    <definedName name="IQ_NON_INTEREST_EXP">"c1400"</definedName>
    <definedName name="IQ_NON_INTEREST_INC">"c1401"</definedName>
    <definedName name="IQ_NON_OPER_EXP">"c809"</definedName>
    <definedName name="IQ_NON_OPER_INC">"c810"</definedName>
    <definedName name="IQ_NON_PERF_ASSETS_10YR_ANN_GROWTH">"c811"</definedName>
    <definedName name="IQ_NON_PERF_ASSETS_1YR_ANN_GROWTH">"c812"</definedName>
    <definedName name="IQ_NON_PERF_ASSETS_2YR_ANN_GROWTH">"c813"</definedName>
    <definedName name="IQ_NON_PERF_ASSETS_3YR_ANN_GROWTH">"c814"</definedName>
    <definedName name="IQ_NON_PERF_ASSETS_5YR_ANN_GROWTH">"c815"</definedName>
    <definedName name="IQ_NON_PERF_ASSETS_7YR_ANN_GROWTH">"c816"</definedName>
    <definedName name="IQ_NON_PERF_ASSETS_TOTAL_ASSETS">"c817"</definedName>
    <definedName name="IQ_NON_PERF_LOANS_10YR_ANN_GROWTH">"c818"</definedName>
    <definedName name="IQ_NON_PERF_LOANS_1YR_ANN_GROWTH">"c819"</definedName>
    <definedName name="IQ_NON_PERF_LOANS_2YR_ANN_GROWTH">"c820"</definedName>
    <definedName name="IQ_NON_PERF_LOANS_3YR_ANN_GROWTH">"c821"</definedName>
    <definedName name="IQ_NON_PERF_LOANS_5YR_ANN_GROWTH">"c822"</definedName>
    <definedName name="IQ_NON_PERF_LOANS_7YR_ANN_GROWTH">"c823"</definedName>
    <definedName name="IQ_NON_PERF_LOANS_TOTAL_ASSETS">"c824"</definedName>
    <definedName name="IQ_NON_PERF_LOANS_TOTAL_LOANS">"c825"</definedName>
    <definedName name="IQ_NON_PERFORMING_ASSETS">"c826"</definedName>
    <definedName name="IQ_NON_PERFORMING_LOANS">"c827"</definedName>
    <definedName name="IQ_NONCASH_PENSION_EXP">"c3000"</definedName>
    <definedName name="IQ_NONRECOURSE_DEBT">"c2550"</definedName>
    <definedName name="IQ_NONRECOURSE_DEBT_PCT">"c2551"</definedName>
    <definedName name="IQ_NONUTIL_REV">"c2089"</definedName>
    <definedName name="IQ_NORMAL_INC_AFTER">"c1605"</definedName>
    <definedName name="IQ_NORMAL_INC_AVAIL">"c1606"</definedName>
    <definedName name="IQ_NORMAL_INC_BEFORE">"c1607"</definedName>
    <definedName name="IQ_NOTES_PAY">"c1423"</definedName>
    <definedName name="IQ_NOW_ACCOUNT">"c828"</definedName>
    <definedName name="IQ_NPPE">"c829"</definedName>
    <definedName name="IQ_NPPE_10YR_ANN_GROWTH">"c830"</definedName>
    <definedName name="IQ_NPPE_1YR_ANN_GROWTH">"c831"</definedName>
    <definedName name="IQ_NPPE_2YR_ANN_GROWTH">"c832"</definedName>
    <definedName name="IQ_NPPE_3YR_ANN_GROWTH">"c833"</definedName>
    <definedName name="IQ_NPPE_5YR_ANN_GROWTH">"c834"</definedName>
    <definedName name="IQ_NPPE_7YR_ANN_GROWTH">"c835"</definedName>
    <definedName name="IQ_NTM">6000</definedName>
    <definedName name="IQ_NUKE">"c836"</definedName>
    <definedName name="IQ_NUKE_CF">"c837"</definedName>
    <definedName name="IQ_NUKE_CONTR">"c838"</definedName>
    <definedName name="IQ_NUM_BRANCHES">"c2088"</definedName>
    <definedName name="IQ_NUMBER_ADRHOLDERS">"c1970"</definedName>
    <definedName name="IQ_NUMBER_DAYS">"c1904"</definedName>
    <definedName name="IQ_NUMBER_SHAREHOLDERS">"c1967"</definedName>
    <definedName name="IQ_NUMBER_SHAREHOLDERS_CLASSA">"c1968"</definedName>
    <definedName name="IQ_NUMBER_SHAREHOLDERS_OTHER">"c1969"</definedName>
    <definedName name="IQ_OCCUPY_EXP">"c839"</definedName>
    <definedName name="IQ_OFFER_AMOUNT">"c2152"</definedName>
    <definedName name="IQ_OFFER_COUPON">"c2147"</definedName>
    <definedName name="IQ_OFFER_COUPON_TYPE">"c2148"</definedName>
    <definedName name="IQ_OFFER_DATE">"c2149"</definedName>
    <definedName name="IQ_OFFER_PRICE">"c2150"</definedName>
    <definedName name="IQ_OFFER_YIELD">"c2151"</definedName>
    <definedName name="IQ_OG_10DISC">"c1998"</definedName>
    <definedName name="IQ_OG_10DISC_GAS">"c2018"</definedName>
    <definedName name="IQ_OG_10DISC_OIL">"c2008"</definedName>
    <definedName name="IQ_OG_ACQ_COST_PROVED">"c1975"</definedName>
    <definedName name="IQ_OG_ACQ_COST_PROVED_GAS">"c1987"</definedName>
    <definedName name="IQ_OG_ACQ_COST_PROVED_OIL">"c1981"</definedName>
    <definedName name="IQ_OG_ACQ_COST_UNPROVED">"c1976"</definedName>
    <definedName name="IQ_OG_ACQ_COST_UNPROVED_GAS">"c1988"</definedName>
    <definedName name="IQ_OG_ACQ_COST_UNPROVED_OIL">"c1982"</definedName>
    <definedName name="IQ_OG_AVG_DAILY_PROD_GAS">"c2910"</definedName>
    <definedName name="IQ_OG_AVG_DAILY_PROD_NGL">"c2911"</definedName>
    <definedName name="IQ_OG_AVG_DAILY_PROD_OIL">"c2909"</definedName>
    <definedName name="IQ_OG_CLOSE_BALANCE_GAS">"c2049"</definedName>
    <definedName name="IQ_OG_CLOSE_BALANCE_NGL">"c2920"</definedName>
    <definedName name="IQ_OG_CLOSE_BALANCE_OIL">"c2037"</definedName>
    <definedName name="IQ_OG_DCF_BEFORE_TAXES">"c2023"</definedName>
    <definedName name="IQ_OG_DCF_BEFORE_TAXES_GAS">"c2025"</definedName>
    <definedName name="IQ_OG_DCF_BEFORE_TAXES_OIL">"c2024"</definedName>
    <definedName name="IQ_OG_DEVELOPED_RESERVES_GAS">"c2053"</definedName>
    <definedName name="IQ_OG_DEVELOPED_RESERVES_NGL">"c2922"</definedName>
    <definedName name="IQ_OG_DEVELOPED_RESERVES_OIL">"c2054"</definedName>
    <definedName name="IQ_OG_DEVELOPMENT_COSTS">"c1978"</definedName>
    <definedName name="IQ_OG_DEVELOPMENT_COSTS_GAS">"c1990"</definedName>
    <definedName name="IQ_OG_DEVELOPMENT_COSTS_OIL">"c1984"</definedName>
    <definedName name="IQ_OG_EQUITY_DCF">"c2002"</definedName>
    <definedName name="IQ_OG_EQUITY_DCF_GAS">"c2022"</definedName>
    <definedName name="IQ_OG_EQUITY_DCF_OIL">"c2012"</definedName>
    <definedName name="IQ_OG_EQUTY_RESERVES_GAS">"c2050"</definedName>
    <definedName name="IQ_OG_EQUTY_RESERVES_NGL">"c2921"</definedName>
    <definedName name="IQ_OG_EQUTY_RESERVES_OIL">"c2038"</definedName>
    <definedName name="IQ_OG_EXPLORATION_COSTS">"c1977"</definedName>
    <definedName name="IQ_OG_EXPLORATION_COSTS_GAS">"c1989"</definedName>
    <definedName name="IQ_OG_EXPLORATION_COSTS_OIL">"c1983"</definedName>
    <definedName name="IQ_OG_EXT_DISC_GAS">"c2043"</definedName>
    <definedName name="IQ_OG_EXT_DISC_NGL">"c2914"</definedName>
    <definedName name="IQ_OG_EXT_DISC_OIL">"c2031"</definedName>
    <definedName name="IQ_OG_FUTURE_CASH_INFLOWS">"c1993"</definedName>
    <definedName name="IQ_OG_FUTURE_CASH_INFLOWS_GAS">"c2013"</definedName>
    <definedName name="IQ_OG_FUTURE_CASH_INFLOWS_OIL">"c2003"</definedName>
    <definedName name="IQ_OG_FUTURE_DEVELOPMENT_COSTS">"c1995"</definedName>
    <definedName name="IQ_OG_FUTURE_DEVELOPMENT_COSTS_GAS">"c2015"</definedName>
    <definedName name="IQ_OG_FUTURE_DEVELOPMENT_COSTS_OIL">"c2005"</definedName>
    <definedName name="IQ_OG_FUTURE_INC_TAXES">"c1997"</definedName>
    <definedName name="IQ_OG_FUTURE_INC_TAXES_GAS">"c2017"</definedName>
    <definedName name="IQ_OG_FUTURE_INC_TAXES_OIL">"c2007"</definedName>
    <definedName name="IQ_OG_FUTURE_PRODUCTION_COSTS">"c1994"</definedName>
    <definedName name="IQ_OG_FUTURE_PRODUCTION_COSTS_GAS">"c2014"</definedName>
    <definedName name="IQ_OG_FUTURE_PRODUCTION_COSTS_OIL">"c2004"</definedName>
    <definedName name="IQ_OG_GAS_PRICE_HEDGED">"c2056"</definedName>
    <definedName name="IQ_OG_GAS_PRICE_UNHEDGED">"c2058"</definedName>
    <definedName name="IQ_OG_IMPROVED_RECOVERY_GAS">"c2044"</definedName>
    <definedName name="IQ_OG_IMPROVED_RECOVERY_NGL">"c2915"</definedName>
    <definedName name="IQ_OG_IMPROVED_RECOVERY_OIL">"c2032"</definedName>
    <definedName name="IQ_OG_LIQUID_GAS_PRICE_HEDGED">"c2233"</definedName>
    <definedName name="IQ_OG_LIQUID_GAS_PRICE_UNHEDGED">"c2234"</definedName>
    <definedName name="IQ_OG_NET_FUTURE_CASH_FLOWS">"c1996"</definedName>
    <definedName name="IQ_OG_NET_FUTURE_CASH_FLOWS_GAS">"c2016"</definedName>
    <definedName name="IQ_OG_NET_FUTURE_CASH_FLOWS_OIL">"c2006"</definedName>
    <definedName name="IQ_OG_OIL_PRICE_HEDGED">"c2055"</definedName>
    <definedName name="IQ_OG_OIL_PRICE_UNHEDGED">"c2057"</definedName>
    <definedName name="IQ_OG_OPEN_BALANCE_GAS">"c2041"</definedName>
    <definedName name="IQ_OG_OPEN_BALANCE_NGL">"c2912"</definedName>
    <definedName name="IQ_OG_OPEN_BALANCE_OIL">"c2029"</definedName>
    <definedName name="IQ_OG_OTHER_ADJ_FCF">"c1999"</definedName>
    <definedName name="IQ_OG_OTHER_ADJ_FCF_GAS">"c2019"</definedName>
    <definedName name="IQ_OG_OTHER_ADJ_FCF_OIL">"c2009"</definedName>
    <definedName name="IQ_OG_OTHER_ADJ_GAS">"c2048"</definedName>
    <definedName name="IQ_OG_OTHER_ADJ_NGL">"c2919"</definedName>
    <definedName name="IQ_OG_OTHER_ADJ_OIL">"c2036"</definedName>
    <definedName name="IQ_OG_OTHER_COSTS">"c1979"</definedName>
    <definedName name="IQ_OG_OTHER_COSTS_GAS">"c1991"</definedName>
    <definedName name="IQ_OG_OTHER_COSTS_OIL">"c1985"</definedName>
    <definedName name="IQ_OG_PRODUCTION_GAS">"c2047"</definedName>
    <definedName name="IQ_OG_PRODUCTION_NGL">"c2918"</definedName>
    <definedName name="IQ_OG_PRODUCTION_OIL">"c2035"</definedName>
    <definedName name="IQ_OG_PURCHASES_GAS">"c2045"</definedName>
    <definedName name="IQ_OG_PURCHASES_NGL">"c2916"</definedName>
    <definedName name="IQ_OG_PURCHASES_OIL">"c2033"</definedName>
    <definedName name="IQ_OG_REVISIONS_GAS">"c2042"</definedName>
    <definedName name="IQ_OG_REVISIONS_NGL">"c2913"</definedName>
    <definedName name="IQ_OG_REVISIONS_OIL">"c2030"</definedName>
    <definedName name="IQ_OG_SALES_IN_PLACE_GAS">"c2046"</definedName>
    <definedName name="IQ_OG_SALES_IN_PLACE_NGL">"c2917"</definedName>
    <definedName name="IQ_OG_SALES_IN_PLACE_OIL">"c2034"</definedName>
    <definedName name="IQ_OG_STANDARDIZED_DCF">"c2000"</definedName>
    <definedName name="IQ_OG_STANDARDIZED_DCF_GAS">"c2020"</definedName>
    <definedName name="IQ_OG_STANDARDIZED_DCF_HEDGED">"c2001"</definedName>
    <definedName name="IQ_OG_STANDARDIZED_DCF_HEDGED_GAS">"c2021"</definedName>
    <definedName name="IQ_OG_STANDARDIZED_DCF_HEDGED_OIL">"c2011"</definedName>
    <definedName name="IQ_OG_STANDARDIZED_DCF_OIL">"c2010"</definedName>
    <definedName name="IQ_OG_TAXES">"c2026"</definedName>
    <definedName name="IQ_OG_TAXES_GAS">"c2028"</definedName>
    <definedName name="IQ_OG_TAXES_OIL">"c2027"</definedName>
    <definedName name="IQ_OG_TOTAL_COSTS">"c1980"</definedName>
    <definedName name="IQ_OG_TOTAL_COSTS_GAS">"c1992"</definedName>
    <definedName name="IQ_OG_TOTAL_COSTS_OIL">"c1986"</definedName>
    <definedName name="IQ_OG_TOTAL_EST_PROVED_RESERVES_GAS">"c2052"</definedName>
    <definedName name="IQ_OG_TOTAL_GAS_PRODUCTION">"c2060"</definedName>
    <definedName name="IQ_OG_TOTAL_LIQUID_GAS_PRODUCTION">"c2235"</definedName>
    <definedName name="IQ_OG_TOTAL_OIL_PRODUCTION">"c2059"</definedName>
    <definedName name="IQ_OG_UNDEVELOPED_RESERVES_GAS">"c2051"</definedName>
    <definedName name="IQ_OG_UNDEVELOPED_RESERVES_NGL">"c2923"</definedName>
    <definedName name="IQ_OG_UNDEVELOPED_RESERVES_OIL">"c2039"</definedName>
    <definedName name="IQ_OIL_IMPAIR">"c840"</definedName>
    <definedName name="IQ_OL_COMM_AFTER_FIVE">"c841"</definedName>
    <definedName name="IQ_OL_COMM_CY">"c842"</definedName>
    <definedName name="IQ_OL_COMM_CY1">"c843"</definedName>
    <definedName name="IQ_OL_COMM_CY2">"c844"</definedName>
    <definedName name="IQ_OL_COMM_CY3">"c845"</definedName>
    <definedName name="IQ_OL_COMM_CY4">"c846"</definedName>
    <definedName name="IQ_OL_COMM_NEXT_FIVE">"c847"</definedName>
    <definedName name="IQ_OPEB_ACCRUED_LIAB">"c3308"</definedName>
    <definedName name="IQ_OPEB_ACCRUED_LIAB_DOM">"c3306"</definedName>
    <definedName name="IQ_OPEB_ACCRUED_LIAB_FOREIGN">"c3307"</definedName>
    <definedName name="IQ_OPEB_ACCUM_OTHER_CI">"c3314"</definedName>
    <definedName name="IQ_OPEB_ACCUM_OTHER_CI_DOM">"c3312"</definedName>
    <definedName name="IQ_OPEB_ACCUM_OTHER_CI_FOREIGN">"c3313"</definedName>
    <definedName name="IQ_OPEB_ASSETS">"c3356"</definedName>
    <definedName name="IQ_OPEB_ASSETS_ACQ">"c3347"</definedName>
    <definedName name="IQ_OPEB_ASSETS_ACQ_DOM">"c3345"</definedName>
    <definedName name="IQ_OPEB_ASSETS_ACQ_FOREIGN">"c3346"</definedName>
    <definedName name="IQ_OPEB_ASSETS_ACTUAL_RETURN">"c3332"</definedName>
    <definedName name="IQ_OPEB_ASSETS_ACTUAL_RETURN_DOM">"c3330"</definedName>
    <definedName name="IQ_OPEB_ASSETS_ACTUAL_RETURN_FOREIGN">"c3331"</definedName>
    <definedName name="IQ_OPEB_ASSETS_BEG">"c3329"</definedName>
    <definedName name="IQ_OPEB_ASSETS_BEG_DOM">"c3327"</definedName>
    <definedName name="IQ_OPEB_ASSETS_BEG_FOREIGN">"c3328"</definedName>
    <definedName name="IQ_OPEB_ASSETS_BENEFITS_PAID">"c3341"</definedName>
    <definedName name="IQ_OPEB_ASSETS_BENEFITS_PAID_DOM">"c3339"</definedName>
    <definedName name="IQ_OPEB_ASSETS_BENEFITS_PAID_FOREIGN">"c3340"</definedName>
    <definedName name="IQ_OPEB_ASSETS_CURTAIL">"c3350"</definedName>
    <definedName name="IQ_OPEB_ASSETS_CURTAIL_DOM">"c3348"</definedName>
    <definedName name="IQ_OPEB_ASSETS_CURTAIL_FOREIGN">"c3349"</definedName>
    <definedName name="IQ_OPEB_ASSETS_DOM">"c3354"</definedName>
    <definedName name="IQ_OPEB_ASSETS_EMPLOYER_CONTRIBUTIONS">"c3335"</definedName>
    <definedName name="IQ_OPEB_ASSETS_EMPLOYER_CONTRIBUTIONS_DOM">"c3333"</definedName>
    <definedName name="IQ_OPEB_ASSETS_EMPLOYER_CONTRIBUTIONS_FOREIGN">"c3334"</definedName>
    <definedName name="IQ_OPEB_ASSETS_FOREIGN">"c3355"</definedName>
    <definedName name="IQ_OPEB_ASSETS_FX_ADJ">"c3344"</definedName>
    <definedName name="IQ_OPEB_ASSETS_FX_ADJ_DOM">"c3342"</definedName>
    <definedName name="IQ_OPEB_ASSETS_FX_ADJ_FOREIGN">"c3343"</definedName>
    <definedName name="IQ_OPEB_ASSETS_OTHER_PLAN_ADJ">"c3353"</definedName>
    <definedName name="IQ_OPEB_ASSETS_OTHER_PLAN_ADJ_DOM">"c3351"</definedName>
    <definedName name="IQ_OPEB_ASSETS_OTHER_PLAN_ADJ_FOREIGN">"c3352"</definedName>
    <definedName name="IQ_OPEB_ASSETS_PARTICIP_CONTRIBUTIONS">"c3338"</definedName>
    <definedName name="IQ_OPEB_ASSETS_PARTICIP_CONTRIBUTIONS_DOM">"c3336"</definedName>
    <definedName name="IQ_OPEB_ASSETS_PARTICIP_CONTRIBUTIONS_FOREIGN">"c3337"</definedName>
    <definedName name="IQ_OPEB_BENEFIT_INFO_DATE">"c3410"</definedName>
    <definedName name="IQ_OPEB_BENEFIT_INFO_DATE_DOM">"c3408"</definedName>
    <definedName name="IQ_OPEB_BENEFIT_INFO_DATE_FOREIGN">"c3409"</definedName>
    <definedName name="IQ_OPEB_BREAKDOWN_EQ">"c3275"</definedName>
    <definedName name="IQ_OPEB_BREAKDOWN_EQ_DOM">"c3273"</definedName>
    <definedName name="IQ_OPEB_BREAKDOWN_EQ_FOREIGN">"c3274"</definedName>
    <definedName name="IQ_OPEB_BREAKDOWN_FI">"c3278"</definedName>
    <definedName name="IQ_OPEB_BREAKDOWN_FI_DOM">"c3276"</definedName>
    <definedName name="IQ_OPEB_BREAKDOWN_FI_FOREIGN">"c3277"</definedName>
    <definedName name="IQ_OPEB_BREAKDOWN_OTHER">"c3284"</definedName>
    <definedName name="IQ_OPEB_BREAKDOWN_OTHER_DOM">"c3282"</definedName>
    <definedName name="IQ_OPEB_BREAKDOWN_OTHER_FOREIGN">"c3283"</definedName>
    <definedName name="IQ_OPEB_BREAKDOWN_PCT_EQ">"c3263"</definedName>
    <definedName name="IQ_OPEB_BREAKDOWN_PCT_EQ_DOM">"c3261"</definedName>
    <definedName name="IQ_OPEB_BREAKDOWN_PCT_EQ_FOREIGN">"c3262"</definedName>
    <definedName name="IQ_OPEB_BREAKDOWN_PCT_FI">"c3266"</definedName>
    <definedName name="IQ_OPEB_BREAKDOWN_PCT_FI_DOM">"c3264"</definedName>
    <definedName name="IQ_OPEB_BREAKDOWN_PCT_FI_FOREIGN">"c3265"</definedName>
    <definedName name="IQ_OPEB_BREAKDOWN_PCT_OTHER">"c3272"</definedName>
    <definedName name="IQ_OPEB_BREAKDOWN_PCT_OTHER_DOM">"c3270"</definedName>
    <definedName name="IQ_OPEB_BREAKDOWN_PCT_OTHER_FOREIGN">"c3271"</definedName>
    <definedName name="IQ_OPEB_BREAKDOWN_PCT_RE">"c3269"</definedName>
    <definedName name="IQ_OPEB_BREAKDOWN_PCT_RE_DOM">"c3267"</definedName>
    <definedName name="IQ_OPEB_BREAKDOWN_PCT_RE_FOREIGN">"c3268"</definedName>
    <definedName name="IQ_OPEB_BREAKDOWN_RE">"c3281"</definedName>
    <definedName name="IQ_OPEB_BREAKDOWN_RE_DOM">"c3279"</definedName>
    <definedName name="IQ_OPEB_BREAKDOWN_RE_FOREIGN">"c3280"</definedName>
    <definedName name="IQ_OPEB_DECREASE_EFFECT_PBO">"c3458"</definedName>
    <definedName name="IQ_OPEB_DECREASE_EFFECT_PBO_DOM">"c3456"</definedName>
    <definedName name="IQ_OPEB_DECREASE_EFFECT_PBO_FOREIGN">"c3457"</definedName>
    <definedName name="IQ_OPEB_DECREASE_EFFECT_SERVICE_INT_COST">"c3455"</definedName>
    <definedName name="IQ_OPEB_DECREASE_EFFECT_SERVICE_INT_COST_DOM">"c3453"</definedName>
    <definedName name="IQ_OPEB_DECREASE_EFFECT_SERVICE_INT_COST_FOREIGN">"c3454"</definedName>
    <definedName name="IQ_OPEB_DISC_RATE_MAX">"c3422"</definedName>
    <definedName name="IQ_OPEB_DISC_RATE_MAX_DOM">"c3420"</definedName>
    <definedName name="IQ_OPEB_DISC_RATE_MAX_FOREIGN">"c3421"</definedName>
    <definedName name="IQ_OPEB_DISC_RATE_MIN">"c3419"</definedName>
    <definedName name="IQ_OPEB_DISC_RATE_MIN_DOM">"c3417"</definedName>
    <definedName name="IQ_OPEB_DISC_RATE_MIN_FOREIGN">"c3418"</definedName>
    <definedName name="IQ_OPEB_EST_BENEFIT_1YR">"c3287"</definedName>
    <definedName name="IQ_OPEB_EST_BENEFIT_1YR_DOM">"c3285"</definedName>
    <definedName name="IQ_OPEB_EST_BENEFIT_1YR_FOREIGN">"c3286"</definedName>
    <definedName name="IQ_OPEB_EST_BENEFIT_2YR">"c3290"</definedName>
    <definedName name="IQ_OPEB_EST_BENEFIT_2YR_DOM">"c3288"</definedName>
    <definedName name="IQ_OPEB_EST_BENEFIT_2YR_FOREIGN">"c3289"</definedName>
    <definedName name="IQ_OPEB_EST_BENEFIT_3YR">"c3293"</definedName>
    <definedName name="IQ_OPEB_EST_BENEFIT_3YR_DOM">"c3291"</definedName>
    <definedName name="IQ_OPEB_EST_BENEFIT_3YR_FOREIGN">"c3292"</definedName>
    <definedName name="IQ_OPEB_EST_BENEFIT_4YR">"c3296"</definedName>
    <definedName name="IQ_OPEB_EST_BENEFIT_4YR_DOM">"c3294"</definedName>
    <definedName name="IQ_OPEB_EST_BENEFIT_4YR_FOREIGN">"c3295"</definedName>
    <definedName name="IQ_OPEB_EST_BENEFIT_5YR">"c3299"</definedName>
    <definedName name="IQ_OPEB_EST_BENEFIT_5YR_DOM">"c3297"</definedName>
    <definedName name="IQ_OPEB_EST_BENEFIT_5YR_FOREIGN">"c3298"</definedName>
    <definedName name="IQ_OPEB_EST_BENEFIT_AFTER5">"c3302"</definedName>
    <definedName name="IQ_OPEB_EST_BENEFIT_AFTER5_DOM">"c3300"</definedName>
    <definedName name="IQ_OPEB_EST_BENEFIT_AFTER5_FOREIGN">"c3301"</definedName>
    <definedName name="IQ_OPEB_EXP_RATE_RETURN_MAX">"c3434"</definedName>
    <definedName name="IQ_OPEB_EXP_RATE_RETURN_MAX_DOM">"c3432"</definedName>
    <definedName name="IQ_OPEB_EXP_RATE_RETURN_MAX_FOREIGN">"c3433"</definedName>
    <definedName name="IQ_OPEB_EXP_RATE_RETURN_MIN">"c3431"</definedName>
    <definedName name="IQ_OPEB_EXP_RATE_RETURN_MIN_DOM">"c3429"</definedName>
    <definedName name="IQ_OPEB_EXP_RATE_RETURN_MIN_FOREIGN">"c3430"</definedName>
    <definedName name="IQ_OPEB_EXP_RETURN">"c3398"</definedName>
    <definedName name="IQ_OPEB_EXP_RETURN_DOM">"c3396"</definedName>
    <definedName name="IQ_OPEB_EXP_RETURN_FOREIGN">"c3397"</definedName>
    <definedName name="IQ_OPEB_HEALTH_COST_TREND_INITIAL">"c3413"</definedName>
    <definedName name="IQ_OPEB_HEALTH_COST_TREND_INITIAL_DOM">"c3411"</definedName>
    <definedName name="IQ_OPEB_HEALTH_COST_TREND_INITIAL_FOREIGN">"c3412"</definedName>
    <definedName name="IQ_OPEB_HEALTH_COST_TREND_ULTIMATE">"c3416"</definedName>
    <definedName name="IQ_OPEB_HEALTH_COST_TREND_ULTIMATE_DOM">"c3414"</definedName>
    <definedName name="IQ_OPEB_HEALTH_COST_TREND_ULTIMATE_FOREIGN">"c3415"</definedName>
    <definedName name="IQ_OPEB_INCREASE_EFFECT_PBO">"c3452"</definedName>
    <definedName name="IQ_OPEB_INCREASE_EFFECT_PBO_DOM">"c3450"</definedName>
    <definedName name="IQ_OPEB_INCREASE_EFFECT_PBO_FOREIGN">"c3451"</definedName>
    <definedName name="IQ_OPEB_INCREASE_EFFECT_SERVICE_INT_COST">"c3449"</definedName>
    <definedName name="IQ_OPEB_INCREASE_EFFECT_SERVICE_INT_COST_DOM">"c3447"</definedName>
    <definedName name="IQ_OPEB_INCREASE_EFFECT_SERVICE_INT_COST_FOREIGN">"c3448"</definedName>
    <definedName name="IQ_OPEB_INTAN_ASSETS">"c3311"</definedName>
    <definedName name="IQ_OPEB_INTAN_ASSETS_DOM">"c3309"</definedName>
    <definedName name="IQ_OPEB_INTAN_ASSETS_FOREIGN">"c3310"</definedName>
    <definedName name="IQ_OPEB_INTEREST_COST">"c3395"</definedName>
    <definedName name="IQ_OPEB_INTEREST_COST_DOM">"c3393"</definedName>
    <definedName name="IQ_OPEB_INTEREST_COST_FOREIGN">"c3394"</definedName>
    <definedName name="IQ_OPEB_NET_ASSET_RECOG">"c3326"</definedName>
    <definedName name="IQ_OPEB_NET_ASSET_RECOG_DOM">"c3324"</definedName>
    <definedName name="IQ_OPEB_NET_ASSET_RECOG_FOREIGN">"c3325"</definedName>
    <definedName name="IQ_OPEB_OBLIGATION_ACCUMULATED">"c3407"</definedName>
    <definedName name="IQ_OPEB_OBLIGATION_ACCUMULATED_DOM">"c3405"</definedName>
    <definedName name="IQ_OPEB_OBLIGATION_ACCUMULATED_FOREIGN">"c3406"</definedName>
    <definedName name="IQ_OPEB_OBLIGATION_ACQ">"c3380"</definedName>
    <definedName name="IQ_OPEB_OBLIGATION_ACQ_DOM">"c3378"</definedName>
    <definedName name="IQ_OPEB_OBLIGATION_ACQ_FOREIGN">"c3379"</definedName>
    <definedName name="IQ_OPEB_OBLIGATION_ACTUARIAL_GAIN_LOSS">"c3371"</definedName>
    <definedName name="IQ_OPEB_OBLIGATION_ACTUARIAL_GAIN_LOSS_DOM">"c3369"</definedName>
    <definedName name="IQ_OPEB_OBLIGATION_ACTUARIAL_GAIN_LOSS_FOREIGN">"c3370"</definedName>
    <definedName name="IQ_OPEB_OBLIGATION_BEG">"c3359"</definedName>
    <definedName name="IQ_OPEB_OBLIGATION_BEG_DOM">"c3357"</definedName>
    <definedName name="IQ_OPEB_OBLIGATION_BEG_FOREIGN">"c3358"</definedName>
    <definedName name="IQ_OPEB_OBLIGATION_CURTAIL">"c3383"</definedName>
    <definedName name="IQ_OPEB_OBLIGATION_CURTAIL_DOM">"c3381"</definedName>
    <definedName name="IQ_OPEB_OBLIGATION_CURTAIL_FOREIGN">"c3382"</definedName>
    <definedName name="IQ_OPEB_OBLIGATION_EMPLOYEE_CONTRIBUTIONS">"c3368"</definedName>
    <definedName name="IQ_OPEB_OBLIGATION_EMPLOYEE_CONTRIBUTIONS_DOM">"c3366"</definedName>
    <definedName name="IQ_OPEB_OBLIGATION_EMPLOYEE_CONTRIBUTIONS_FOREIGN">"c3367"</definedName>
    <definedName name="IQ_OPEB_OBLIGATION_FX_ADJ">"c3377"</definedName>
    <definedName name="IQ_OPEB_OBLIGATION_FX_ADJ_DOM">"c3375"</definedName>
    <definedName name="IQ_OPEB_OBLIGATION_FX_ADJ_FOREIGN">"c3376"</definedName>
    <definedName name="IQ_OPEB_OBLIGATION_INTEREST_COST">"c3365"</definedName>
    <definedName name="IQ_OPEB_OBLIGATION_INTEREST_COST_DOM">"c3363"</definedName>
    <definedName name="IQ_OPEB_OBLIGATION_INTEREST_COST_FOREIGN">"c3364"</definedName>
    <definedName name="IQ_OPEB_OBLIGATION_OTHER_PLAN_ADJ">"c3386"</definedName>
    <definedName name="IQ_OPEB_OBLIGATION_OTHER_PLAN_ADJ_DOM">"c3384"</definedName>
    <definedName name="IQ_OPEB_OBLIGATION_OTHER_PLAN_ADJ_FOREIGN">"c3385"</definedName>
    <definedName name="IQ_OPEB_OBLIGATION_PAID">"c3374"</definedName>
    <definedName name="IQ_OPEB_OBLIGATION_PAID_DOM">"c3372"</definedName>
    <definedName name="IQ_OPEB_OBLIGATION_PAID_FOREIGN">"c3373"</definedName>
    <definedName name="IQ_OPEB_OBLIGATION_PROJECTED">"c3389"</definedName>
    <definedName name="IQ_OPEB_OBLIGATION_PROJECTED_DOM">"c3387"</definedName>
    <definedName name="IQ_OPEB_OBLIGATION_PROJECTED_FOREIGN">"c3388"</definedName>
    <definedName name="IQ_OPEB_OBLIGATION_SERVICE_COST">"c3362"</definedName>
    <definedName name="IQ_OPEB_OBLIGATION_SERVICE_COST_DOM">"c3360"</definedName>
    <definedName name="IQ_OPEB_OBLIGATION_SERVICE_COST_FOREIGN">"c3361"</definedName>
    <definedName name="IQ_OPEB_OTHER">"c3317"</definedName>
    <definedName name="IQ_OPEB_OTHER_ADJ">"c3323"</definedName>
    <definedName name="IQ_OPEB_OTHER_ADJ_DOM">"c3321"</definedName>
    <definedName name="IQ_OPEB_OTHER_ADJ_FOREIGN">"c3322"</definedName>
    <definedName name="IQ_OPEB_OTHER_COST">"c3401"</definedName>
    <definedName name="IQ_OPEB_OTHER_COST_DOM">"c3399"</definedName>
    <definedName name="IQ_OPEB_OTHER_COST_FOREIGN">"c3400"</definedName>
    <definedName name="IQ_OPEB_OTHER_DOM">"c3315"</definedName>
    <definedName name="IQ_OPEB_OTHER_FOREIGN">"c3316"</definedName>
    <definedName name="IQ_OPEB_PBO_ASSUMED_RATE_RET_MAX">"c3440"</definedName>
    <definedName name="IQ_OPEB_PBO_ASSUMED_RATE_RET_MAX_DOM">"c3438"</definedName>
    <definedName name="IQ_OPEB_PBO_ASSUMED_RATE_RET_MAX_FOREIGN">"c3439"</definedName>
    <definedName name="IQ_OPEB_PBO_ASSUMED_RATE_RET_MIN">"c3437"</definedName>
    <definedName name="IQ_OPEB_PBO_ASSUMED_RATE_RET_MIN_DOM">"c3435"</definedName>
    <definedName name="IQ_OPEB_PBO_ASSUMED_RATE_RET_MIN_FOREIGN">"c3436"</definedName>
    <definedName name="IQ_OPEB_PBO_RATE_COMP_INCREASE_MAX">"c3446"</definedName>
    <definedName name="IQ_OPEB_PBO_RATE_COMP_INCREASE_MAX_DOM">"c3444"</definedName>
    <definedName name="IQ_OPEB_PBO_RATE_COMP_INCREASE_MAX_FOREIGN">"c3445"</definedName>
    <definedName name="IQ_OPEB_PBO_RATE_COMP_INCREASE_MIN">"c3443"</definedName>
    <definedName name="IQ_OPEB_PBO_RATE_COMP_INCREASE_MIN_DOM">"c3441"</definedName>
    <definedName name="IQ_OPEB_PBO_RATE_COMP_INCREASE_MIN_FOREIGN">"c3442"</definedName>
    <definedName name="IQ_OPEB_PREPAID_COST">"c3305"</definedName>
    <definedName name="IQ_OPEB_PREPAID_COST_DOM">"c3303"</definedName>
    <definedName name="IQ_OPEB_PREPAID_COST_FOREIGN">"c3304"</definedName>
    <definedName name="IQ_OPEB_RATE_COMP_INCREASE_MAX">"c3428"</definedName>
    <definedName name="IQ_OPEB_RATE_COMP_INCREASE_MAX_DOM">"c3426"</definedName>
    <definedName name="IQ_OPEB_RATE_COMP_INCREASE_MAX_FOREIGN">"c3427"</definedName>
    <definedName name="IQ_OPEB_RATE_COMP_INCREASE_MIN">"c3425"</definedName>
    <definedName name="IQ_OPEB_RATE_COMP_INCREASE_MIN_DOM">"c3423"</definedName>
    <definedName name="IQ_OPEB_RATE_COMP_INCREASE_MIN_FOREIGN">"c3424"</definedName>
    <definedName name="IQ_OPEB_SERVICE_COST">"c3392"</definedName>
    <definedName name="IQ_OPEB_SERVICE_COST_DOM">"c3390"</definedName>
    <definedName name="IQ_OPEB_SERVICE_COST_FOREIGN">"c3391"</definedName>
    <definedName name="IQ_OPEB_TOTAL_COST">"c3404"</definedName>
    <definedName name="IQ_OPEB_TOTAL_COST_DOM">"c3402"</definedName>
    <definedName name="IQ_OPEB_TOTAL_COST_FOREIGN">"c3403"</definedName>
    <definedName name="IQ_OPEB_UNRECOG_PRIOR">"c3320"</definedName>
    <definedName name="IQ_OPEB_UNRECOG_PRIOR_DOM">"c3318"</definedName>
    <definedName name="IQ_OPEB_UNRECOG_PRIOR_FOREIGN">"c3319"</definedName>
    <definedName name="IQ_OPENPRICE">"c848"</definedName>
    <definedName name="IQ_OPER_INC">"c849"</definedName>
    <definedName name="IQ_OPER_INC_BR">"c850"</definedName>
    <definedName name="IQ_OPER_INC_FIN">"c851"</definedName>
    <definedName name="IQ_OPER_INC_INS">"c852"</definedName>
    <definedName name="IQ_OPER_INC_MARGIN">"c1448"</definedName>
    <definedName name="IQ_OPER_INC_REIT">"c853"</definedName>
    <definedName name="IQ_OPER_INC_UTI">"c854"</definedName>
    <definedName name="IQ_OPERATIONS_EXP">"c855"</definedName>
    <definedName name="IQ_OPTIONS_BEG_OS">"c1572"</definedName>
    <definedName name="IQ_OPTIONS_CANCELLED">"c856"</definedName>
    <definedName name="IQ_OPTIONS_END_OS">"c1573"</definedName>
    <definedName name="IQ_OPTIONS_EXERCISED">"c2116"</definedName>
    <definedName name="IQ_OPTIONS_GRANTED">"c2673"</definedName>
    <definedName name="IQ_OPTIONS_ISSUED">"c857"</definedName>
    <definedName name="IQ_OPTIONS_STRIKE_PRICE_GRANTED">"c2678"</definedName>
    <definedName name="IQ_OPTIONS_STRIKE_PRICE_OS">"c2677"</definedName>
    <definedName name="IQ_ORDER_BACKLOG">"c2090"</definedName>
    <definedName name="IQ_OTHER_ADJUST_GROSS_LOANS">"c859"</definedName>
    <definedName name="IQ_OTHER_AMORT">"c5563"</definedName>
    <definedName name="IQ_OTHER_ASSETS">"c860"</definedName>
    <definedName name="IQ_OTHER_ASSETS_BNK">"c861"</definedName>
    <definedName name="IQ_OTHER_ASSETS_BR">"c862"</definedName>
    <definedName name="IQ_OTHER_ASSETS_FIN">"c863"</definedName>
    <definedName name="IQ_OTHER_ASSETS_INS">"c864"</definedName>
    <definedName name="IQ_OTHER_ASSETS_REIT">"c865"</definedName>
    <definedName name="IQ_OTHER_ASSETS_SERV_RIGHTS">"c2243"</definedName>
    <definedName name="IQ_OTHER_ASSETS_UTI">"c866"</definedName>
    <definedName name="IQ_OTHER_BEARING_LIAB">"c1608"</definedName>
    <definedName name="IQ_OTHER_BENEFITS_OBLIGATION">"c867"</definedName>
    <definedName name="IQ_OTHER_CA">"c868"</definedName>
    <definedName name="IQ_OTHER_CA_SUPPL">"c869"</definedName>
    <definedName name="IQ_OTHER_CA_SUPPL_BNK">"c870"</definedName>
    <definedName name="IQ_OTHER_CA_SUPPL_BR">"c871"</definedName>
    <definedName name="IQ_OTHER_CA_SUPPL_FIN">"c872"</definedName>
    <definedName name="IQ_OTHER_CA_SUPPL_INS">"c873"</definedName>
    <definedName name="IQ_OTHER_CA_SUPPL_REIT">"c874"</definedName>
    <definedName name="IQ_OTHER_CA_SUPPL_UTI">"c875"</definedName>
    <definedName name="IQ_OTHER_CA_UTI">"c876"</definedName>
    <definedName name="IQ_OTHER_CL">"c877"</definedName>
    <definedName name="IQ_OTHER_CL_SUPPL">"c878"</definedName>
    <definedName name="IQ_OTHER_CL_SUPPL_BNK">"c879"</definedName>
    <definedName name="IQ_OTHER_CL_SUPPL_BR">"c880"</definedName>
    <definedName name="IQ_OTHER_CL_SUPPL_FIN">"c881"</definedName>
    <definedName name="IQ_OTHER_CL_SUPPL_REIT">"c882"</definedName>
    <definedName name="IQ_OTHER_CL_SUPPL_UTI">"c883"</definedName>
    <definedName name="IQ_OTHER_CL_UTI">"c884"</definedName>
    <definedName name="IQ_OTHER_CURRENT_ASSETS">"c1403"</definedName>
    <definedName name="IQ_OTHER_CURRENT_LIAB">"c1404"</definedName>
    <definedName name="IQ_OTHER_DEBT">"c2507"</definedName>
    <definedName name="IQ_OTHER_DEBT_PCT">"c2508"</definedName>
    <definedName name="IQ_OTHER_DEP">"c885"</definedName>
    <definedName name="IQ_OTHER_EARNING">"c1609"</definedName>
    <definedName name="IQ_OTHER_EQUITY">"c886"</definedName>
    <definedName name="IQ_OTHER_EQUITY_BNK">"c887"</definedName>
    <definedName name="IQ_OTHER_EQUITY_BR">"c888"</definedName>
    <definedName name="IQ_OTHER_EQUITY_FIN">"c889"</definedName>
    <definedName name="IQ_OTHER_EQUITY_INS">"c890"</definedName>
    <definedName name="IQ_OTHER_EQUITY_REIT">"c891"</definedName>
    <definedName name="IQ_OTHER_EQUITY_UTI">"c892"</definedName>
    <definedName name="IQ_OTHER_FINANCE_ACT">"c893"</definedName>
    <definedName name="IQ_OTHER_FINANCE_ACT_BNK">"c894"</definedName>
    <definedName name="IQ_OTHER_FINANCE_ACT_BR">"c895"</definedName>
    <definedName name="IQ_OTHER_FINANCE_ACT_FIN">"c896"</definedName>
    <definedName name="IQ_OTHER_FINANCE_ACT_INS">"c897"</definedName>
    <definedName name="IQ_OTHER_FINANCE_ACT_REIT">"c898"</definedName>
    <definedName name="IQ_OTHER_FINANCE_ACT_SUPPL">"c899"</definedName>
    <definedName name="IQ_OTHER_FINANCE_ACT_SUPPL_BNK">"c900"</definedName>
    <definedName name="IQ_OTHER_FINANCE_ACT_SUPPL_BR">"c901"</definedName>
    <definedName name="IQ_OTHER_FINANCE_ACT_SUPPL_FIN">"c902"</definedName>
    <definedName name="IQ_OTHER_FINANCE_ACT_SUPPL_INS">"c903"</definedName>
    <definedName name="IQ_OTHER_FINANCE_ACT_SUPPL_REIT">"c904"</definedName>
    <definedName name="IQ_OTHER_FINANCE_ACT_SUPPL_UTI">"c905"</definedName>
    <definedName name="IQ_OTHER_FINANCE_ACT_UTI">"c906"</definedName>
    <definedName name="IQ_OTHER_INTAN">"c907"</definedName>
    <definedName name="IQ_OTHER_INTAN_BNK">"c908"</definedName>
    <definedName name="IQ_OTHER_INTAN_BR">"c909"</definedName>
    <definedName name="IQ_OTHER_INTAN_FIN">"c910"</definedName>
    <definedName name="IQ_OTHER_INTAN_INS">"c911"</definedName>
    <definedName name="IQ_OTHER_INTAN_REIT">"c912"</definedName>
    <definedName name="IQ_OTHER_INTAN_UTI">"c913"</definedName>
    <definedName name="IQ_OTHER_INV">"c914"</definedName>
    <definedName name="IQ_OTHER_INVEST">"c915"</definedName>
    <definedName name="IQ_OTHER_INVEST_ACT">"c916"</definedName>
    <definedName name="IQ_OTHER_INVEST_ACT_BNK">"c917"</definedName>
    <definedName name="IQ_OTHER_INVEST_ACT_BR">"c918"</definedName>
    <definedName name="IQ_OTHER_INVEST_ACT_FIN">"c919"</definedName>
    <definedName name="IQ_OTHER_INVEST_ACT_INS">"c920"</definedName>
    <definedName name="IQ_OTHER_INVEST_ACT_REIT">"c921"</definedName>
    <definedName name="IQ_OTHER_INVEST_ACT_SUPPL">"c922"</definedName>
    <definedName name="IQ_OTHER_INVEST_ACT_SUPPL_BNK">"c923"</definedName>
    <definedName name="IQ_OTHER_INVEST_ACT_SUPPL_BR">"c924"</definedName>
    <definedName name="IQ_OTHER_INVEST_ACT_SUPPL_FIN">"c925"</definedName>
    <definedName name="IQ_OTHER_INVEST_ACT_SUPPL_INS">"c926"</definedName>
    <definedName name="IQ_OTHER_INVEST_ACT_SUPPL_REIT">"c927"</definedName>
    <definedName name="IQ_OTHER_INVEST_ACT_SUPPL_UTI">"c928"</definedName>
    <definedName name="IQ_OTHER_INVEST_ACT_UTI">"c929"</definedName>
    <definedName name="IQ_OTHER_INVESTING">"c1408"</definedName>
    <definedName name="IQ_OTHER_LIAB">"c930"</definedName>
    <definedName name="IQ_OTHER_LIAB_BNK">"c931"</definedName>
    <definedName name="IQ_OTHER_LIAB_BR">"c932"</definedName>
    <definedName name="IQ_OTHER_LIAB_FIN">"c933"</definedName>
    <definedName name="IQ_OTHER_LIAB_INS">"c934"</definedName>
    <definedName name="IQ_OTHER_LIAB_LT">"c935"</definedName>
    <definedName name="IQ_OTHER_LIAB_LT_BNK">"c936"</definedName>
    <definedName name="IQ_OTHER_LIAB_LT_BR">"c937"</definedName>
    <definedName name="IQ_OTHER_LIAB_LT_FIN">"c938"</definedName>
    <definedName name="IQ_OTHER_LIAB_LT_INS">"c939"</definedName>
    <definedName name="IQ_OTHER_LIAB_LT_REIT">"c940"</definedName>
    <definedName name="IQ_OTHER_LIAB_LT_UTI">"c941"</definedName>
    <definedName name="IQ_OTHER_LIAB_REIT">"c942"</definedName>
    <definedName name="IQ_OTHER_LIAB_UTI">"c943"</definedName>
    <definedName name="IQ_OTHER_LIAB_WRITTEN">"c944"</definedName>
    <definedName name="IQ_OTHER_LOANS">"c945"</definedName>
    <definedName name="IQ_OTHER_LONG_TERM">"c1409"</definedName>
    <definedName name="IQ_OTHER_LT_ASSETS">"c946"</definedName>
    <definedName name="IQ_OTHER_LT_ASSETS_BNK">"c947"</definedName>
    <definedName name="IQ_OTHER_LT_ASSETS_BR">"c948"</definedName>
    <definedName name="IQ_OTHER_LT_ASSETS_FIN">"c949"</definedName>
    <definedName name="IQ_OTHER_LT_ASSETS_INS">"c950"</definedName>
    <definedName name="IQ_OTHER_LT_ASSETS_REIT">"c951"</definedName>
    <definedName name="IQ_OTHER_LT_ASSETS_UTI">"c952"</definedName>
    <definedName name="IQ_OTHER_NET">"c1453"</definedName>
    <definedName name="IQ_OTHER_NON_INT_EXP">"c953"</definedName>
    <definedName name="IQ_OTHER_NON_INT_EXP_TOTAL">"c954"</definedName>
    <definedName name="IQ_OTHER_NON_INT_INC">"c955"</definedName>
    <definedName name="IQ_OTHER_NON_OPER_EXP">"c956"</definedName>
    <definedName name="IQ_OTHER_NON_OPER_EXP_BR">"c957"</definedName>
    <definedName name="IQ_OTHER_NON_OPER_EXP_FIN">"c958"</definedName>
    <definedName name="IQ_OTHER_NON_OPER_EXP_INS">"c959"</definedName>
    <definedName name="IQ_OTHER_NON_OPER_EXP_REIT">"c960"</definedName>
    <definedName name="IQ_OTHER_NON_OPER_EXP_SUPPL">"c961"</definedName>
    <definedName name="IQ_OTHER_NON_OPER_EXP_SUPPL_BR">"c962"</definedName>
    <definedName name="IQ_OTHER_NON_OPER_EXP_SUPPL_FIN">"c963"</definedName>
    <definedName name="IQ_OTHER_NON_OPER_EXP_SUPPL_INS">"c964"</definedName>
    <definedName name="IQ_OTHER_NON_OPER_EXP_SUPPL_REIT">"c965"</definedName>
    <definedName name="IQ_OTHER_NON_OPER_EXP_SUPPL_UTI">"c966"</definedName>
    <definedName name="IQ_OTHER_NON_OPER_EXP_UTI">"c967"</definedName>
    <definedName name="IQ_OTHER_OPER">"c982"</definedName>
    <definedName name="IQ_OTHER_OPER_ACT">"c983"</definedName>
    <definedName name="IQ_OTHER_OPER_ACT_BNK">"c984"</definedName>
    <definedName name="IQ_OTHER_OPER_ACT_BR">"c985"</definedName>
    <definedName name="IQ_OTHER_OPER_ACT_FIN">"c986"</definedName>
    <definedName name="IQ_OTHER_OPER_ACT_INS">"c987"</definedName>
    <definedName name="IQ_OTHER_OPER_ACT_REIT">"c988"</definedName>
    <definedName name="IQ_OTHER_OPER_ACT_UTI">"c989"</definedName>
    <definedName name="IQ_OTHER_OPER_BR">"c990"</definedName>
    <definedName name="IQ_OTHER_OPER_FIN">"c991"</definedName>
    <definedName name="IQ_OTHER_OPER_INS">"c992"</definedName>
    <definedName name="IQ_OTHER_OPER_REIT">"c993"</definedName>
    <definedName name="IQ_OTHER_OPER_SUPPL_BR">"c994"</definedName>
    <definedName name="IQ_OTHER_OPER_SUPPL_FIN">"c995"</definedName>
    <definedName name="IQ_OTHER_OPER_SUPPL_INS">"c996"</definedName>
    <definedName name="IQ_OTHER_OPER_SUPPL_REIT">"c997"</definedName>
    <definedName name="IQ_OTHER_OPER_SUPPL_UTI">"c998"</definedName>
    <definedName name="IQ_OTHER_OPER_TOT_BNK">"c999"</definedName>
    <definedName name="IQ_OTHER_OPER_TOT_BR">"c1000"</definedName>
    <definedName name="IQ_OTHER_OPER_TOT_FIN">"c1001"</definedName>
    <definedName name="IQ_OTHER_OPER_TOT_INS">"c1002"</definedName>
    <definedName name="IQ_OTHER_OPER_TOT_REIT">"c1003"</definedName>
    <definedName name="IQ_OTHER_OPER_TOT_UTI">"c1004"</definedName>
    <definedName name="IQ_OTHER_OPER_UTI">"c1005"</definedName>
    <definedName name="IQ_OTHER_OPTIONS_BEG_OS">"c2686"</definedName>
    <definedName name="IQ_OTHER_OPTIONS_CANCELLED">"c2689"</definedName>
    <definedName name="IQ_OTHER_OPTIONS_END_OS">"c2690"</definedName>
    <definedName name="IQ_OTHER_OPTIONS_EXERCISED">"c2688"</definedName>
    <definedName name="IQ_OTHER_OPTIONS_GRANTED">"c2687"</definedName>
    <definedName name="IQ_OTHER_OPTIONS_STRIKE_PRICE_OS">"c2691"</definedName>
    <definedName name="IQ_OTHER_OUTSTANDING_BS_DATE">"c1972"</definedName>
    <definedName name="IQ_OTHER_OUTSTANDING_FILING_DATE">"c1974"</definedName>
    <definedName name="IQ_OTHER_PC_WRITTEN">"c1006"</definedName>
    <definedName name="IQ_OTHER_REAL_ESTATE">"c1007"</definedName>
    <definedName name="IQ_OTHER_RECEIV">"c1008"</definedName>
    <definedName name="IQ_OTHER_RECEIV_INS">"c1009"</definedName>
    <definedName name="IQ_OTHER_REV">"c1010"</definedName>
    <definedName name="IQ_OTHER_REV_BR">"c1011"</definedName>
    <definedName name="IQ_OTHER_REV_FIN">"c1012"</definedName>
    <definedName name="IQ_OTHER_REV_INS">"c1013"</definedName>
    <definedName name="IQ_OTHER_REV_REIT">"c1014"</definedName>
    <definedName name="IQ_OTHER_REV_SUPPL">"c1015"</definedName>
    <definedName name="IQ_OTHER_REV_SUPPL_BR">"c1016"</definedName>
    <definedName name="IQ_OTHER_REV_SUPPL_FIN">"c1017"</definedName>
    <definedName name="IQ_OTHER_REV_SUPPL_INS">"c1018"</definedName>
    <definedName name="IQ_OTHER_REV_SUPPL_REIT">"c1019"</definedName>
    <definedName name="IQ_OTHER_REV_SUPPL_UTI">"c1020"</definedName>
    <definedName name="IQ_OTHER_REV_UTI">"c1021"</definedName>
    <definedName name="IQ_OTHER_REVENUE">"c1410"</definedName>
    <definedName name="IQ_OTHER_STRIKE_PRICE_GRANTED">"c2692"</definedName>
    <definedName name="IQ_OTHER_UNDRAWN">"c2522"</definedName>
    <definedName name="IQ_OTHER_UNUSUAL">"c1488"</definedName>
    <definedName name="IQ_OTHER_UNUSUAL_BNK">"c1560"</definedName>
    <definedName name="IQ_OTHER_UNUSUAL_BR">"c1561"</definedName>
    <definedName name="IQ_OTHER_UNUSUAL_FIN">"c1562"</definedName>
    <definedName name="IQ_OTHER_UNUSUAL_INS">"c1563"</definedName>
    <definedName name="IQ_OTHER_UNUSUAL_REIT">"c1564"</definedName>
    <definedName name="IQ_OTHER_UNUSUAL_SUPPL">"c1494"</definedName>
    <definedName name="IQ_OTHER_UNUSUAL_SUPPL_BNK">"c1495"</definedName>
    <definedName name="IQ_OTHER_UNUSUAL_SUPPL_BR">"c1496"</definedName>
    <definedName name="IQ_OTHER_UNUSUAL_SUPPL_FIN">"c1497"</definedName>
    <definedName name="IQ_OTHER_UNUSUAL_SUPPL_INS">"c1498"</definedName>
    <definedName name="IQ_OTHER_UNUSUAL_SUPPL_REIT">"c1499"</definedName>
    <definedName name="IQ_OTHER_UNUSUAL_SUPPL_UTI">"c1500"</definedName>
    <definedName name="IQ_OTHER_UNUSUAL_UTI">"c1565"</definedName>
    <definedName name="IQ_OTHER_WARRANTS_BEG_OS">"c2712"</definedName>
    <definedName name="IQ_OTHER_WARRANTS_CANCELLED">"c2715"</definedName>
    <definedName name="IQ_OTHER_WARRANTS_END_OS">"c2716"</definedName>
    <definedName name="IQ_OTHER_WARRANTS_EXERCISED">"c2714"</definedName>
    <definedName name="IQ_OTHER_WARRANTS_ISSUED">"c2713"</definedName>
    <definedName name="IQ_OTHER_WARRANTS_STRIKE_PRICE_ISSUED">"c2718"</definedName>
    <definedName name="IQ_OTHER_WARRANTS_STRIKE_PRICE_OS">"c2717"</definedName>
    <definedName name="IQ_OUTSTANDING_BS_DATE">"c2128"</definedName>
    <definedName name="IQ_OUTSTANDING_FILING_DATE">"c1023"</definedName>
    <definedName name="IQ_OUTSTANDING_FILING_DATE_1">"c1023"</definedName>
    <definedName name="IQ_OWNERSHIP">"c2160"</definedName>
    <definedName name="IQ_PART_TIME">"c1024"</definedName>
    <definedName name="IQ_PAY_ACCRUED">"c1457"</definedName>
    <definedName name="IQ_PAYOUT_RATIO">"c1900"</definedName>
    <definedName name="IQ_PBV">"c1025"</definedName>
    <definedName name="IQ_PBV_AVG">"c1026"</definedName>
    <definedName name="IQ_PC_EARNED">"c2749"</definedName>
    <definedName name="IQ_PC_GAAP_COMBINED_RATIO">"c2781"</definedName>
    <definedName name="IQ_PC_GAAP_COMBINED_RATIO_EXCL_CL">"c2782"</definedName>
    <definedName name="IQ_PC_GAAP_EXPENSE_RATIO">"c2780"</definedName>
    <definedName name="IQ_PC_GAAP_LOSS">"c2779"</definedName>
    <definedName name="IQ_PC_POLICY_BENEFITS_EXP">"c2790"</definedName>
    <definedName name="IQ_PC_STAT_COMBINED_RATIO">"c2778"</definedName>
    <definedName name="IQ_PC_STAT_COMBINED_RATIO_EXCL_DIV">"c2777"</definedName>
    <definedName name="IQ_PC_STAT_DIVIDEND_RATIO">"c2776"</definedName>
    <definedName name="IQ_PC_STAT_EXPENSE_RATIO">"c2775"</definedName>
    <definedName name="IQ_PC_STAT_LOSS_RATIO">"c2774"</definedName>
    <definedName name="IQ_PC_STATUTORY_SURPLUS">"c2770"</definedName>
    <definedName name="IQ_PC_WRITTEN">"c1027"</definedName>
    <definedName name="IQ_PE_EXCL">"c1028"</definedName>
    <definedName name="IQ_PE_EXCL_AVG">"c1029"</definedName>
    <definedName name="IQ_PE_EXCL_FWD">"c1030"</definedName>
    <definedName name="IQ_PE_EXCL_FWD_REUT">"c4049"</definedName>
    <definedName name="IQ_PE_NORMALIZED">"c2207"</definedName>
    <definedName name="IQ_PE_RATIO">"c1610"</definedName>
    <definedName name="IQ_PEG_FWD">"c1863"</definedName>
    <definedName name="IQ_PEG_FWD_REUT">"c4052"</definedName>
    <definedName name="IQ_PENSION">"c1031"</definedName>
    <definedName name="IQ_PENSION_ACCRUED_LIAB">"c3134"</definedName>
    <definedName name="IQ_PENSION_ACCRUED_LIAB_DOM">"c3132"</definedName>
    <definedName name="IQ_PENSION_ACCRUED_LIAB_FOREIGN">"c3133"</definedName>
    <definedName name="IQ_PENSION_ACCUM_OTHER_CI">"c3140"</definedName>
    <definedName name="IQ_PENSION_ACCUM_OTHER_CI_DOM">"c3138"</definedName>
    <definedName name="IQ_PENSION_ACCUM_OTHER_CI_FOREIGN">"c3139"</definedName>
    <definedName name="IQ_PENSION_ACCUMULATED_OBLIGATION">"c3570"</definedName>
    <definedName name="IQ_PENSION_ACCUMULATED_OBLIGATION_DOMESTIC">"c3568"</definedName>
    <definedName name="IQ_PENSION_ACCUMULATED_OBLIGATION_FOREIGN">"c3569"</definedName>
    <definedName name="IQ_PENSION_ASSETS">"c3182"</definedName>
    <definedName name="IQ_PENSION_ASSETS_ACQ">"c3173"</definedName>
    <definedName name="IQ_PENSION_ASSETS_ACQ_DOM">"c3171"</definedName>
    <definedName name="IQ_PENSION_ASSETS_ACQ_FOREIGN">"c3172"</definedName>
    <definedName name="IQ_PENSION_ASSETS_ACTUAL_RETURN">"c3158"</definedName>
    <definedName name="IQ_PENSION_ASSETS_ACTUAL_RETURN_DOM">"c3156"</definedName>
    <definedName name="IQ_PENSION_ASSETS_ACTUAL_RETURN_FOREIGN">"c3157"</definedName>
    <definedName name="IQ_PENSION_ASSETS_BEG">"c3155"</definedName>
    <definedName name="IQ_PENSION_ASSETS_BEG_DOM">"c3153"</definedName>
    <definedName name="IQ_PENSION_ASSETS_BEG_FOREIGN">"c3154"</definedName>
    <definedName name="IQ_PENSION_ASSETS_BENEFITS_PAID">"c3167"</definedName>
    <definedName name="IQ_PENSION_ASSETS_BENEFITS_PAID_DOM">"c3165"</definedName>
    <definedName name="IQ_PENSION_ASSETS_BENEFITS_PAID_FOREIGN">"c3166"</definedName>
    <definedName name="IQ_PENSION_ASSETS_CURTAIL">"c3176"</definedName>
    <definedName name="IQ_PENSION_ASSETS_CURTAIL_DOM">"c3174"</definedName>
    <definedName name="IQ_PENSION_ASSETS_CURTAIL_FOREIGN">"c3175"</definedName>
    <definedName name="IQ_PENSION_ASSETS_DOM">"c3180"</definedName>
    <definedName name="IQ_PENSION_ASSETS_EMPLOYER_CONTRIBUTIONS">"c3161"</definedName>
    <definedName name="IQ_PENSION_ASSETS_EMPLOYER_CONTRIBUTIONS_DOM">"c3159"</definedName>
    <definedName name="IQ_PENSION_ASSETS_EMPLOYER_CONTRIBUTIONS_FOREIGN">"c3160"</definedName>
    <definedName name="IQ_PENSION_ASSETS_FOREIGN">"c3181"</definedName>
    <definedName name="IQ_PENSION_ASSETS_FX_ADJ">"c3170"</definedName>
    <definedName name="IQ_PENSION_ASSETS_FX_ADJ_DOM">"c3168"</definedName>
    <definedName name="IQ_PENSION_ASSETS_FX_ADJ_FOREIGN">"c3169"</definedName>
    <definedName name="IQ_PENSION_ASSETS_OTHER_PLAN_ADJ">"c3179"</definedName>
    <definedName name="IQ_PENSION_ASSETS_OTHER_PLAN_ADJ_DOM">"c3177"</definedName>
    <definedName name="IQ_PENSION_ASSETS_OTHER_PLAN_ADJ_FOREIGN">"c3178"</definedName>
    <definedName name="IQ_PENSION_ASSETS_PARTICIP_CONTRIBUTIONS">"c3164"</definedName>
    <definedName name="IQ_PENSION_ASSETS_PARTICIP_CONTRIBUTIONS_DOM">"c3162"</definedName>
    <definedName name="IQ_PENSION_ASSETS_PARTICIP_CONTRIBUTIONS_FOREIGN">"c3163"</definedName>
    <definedName name="IQ_PENSION_BENEFIT_INFO_DATE">"c3230"</definedName>
    <definedName name="IQ_PENSION_BENEFIT_INFO_DATE_DOM">"c3228"</definedName>
    <definedName name="IQ_PENSION_BENEFIT_INFO_DATE_FOREIGN">"c3229"</definedName>
    <definedName name="IQ_PENSION_BREAKDOWN_EQ">"c3101"</definedName>
    <definedName name="IQ_PENSION_BREAKDOWN_EQ_DOM">"c3099"</definedName>
    <definedName name="IQ_PENSION_BREAKDOWN_EQ_FOREIGN">"c3100"</definedName>
    <definedName name="IQ_PENSION_BREAKDOWN_FI">"c3104"</definedName>
    <definedName name="IQ_PENSION_BREAKDOWN_FI_DOM">"c3102"</definedName>
    <definedName name="IQ_PENSION_BREAKDOWN_FI_FOREIGN">"c3103"</definedName>
    <definedName name="IQ_PENSION_BREAKDOWN_OTHER">"c3110"</definedName>
    <definedName name="IQ_PENSION_BREAKDOWN_OTHER_DOM">"c3108"</definedName>
    <definedName name="IQ_PENSION_BREAKDOWN_OTHER_FOREIGN">"c3109"</definedName>
    <definedName name="IQ_PENSION_BREAKDOWN_PCT_EQ">"c3089"</definedName>
    <definedName name="IQ_PENSION_BREAKDOWN_PCT_EQ_DOM">"c3087"</definedName>
    <definedName name="IQ_PENSION_BREAKDOWN_PCT_EQ_FOREIGN">"c3088"</definedName>
    <definedName name="IQ_PENSION_BREAKDOWN_PCT_FI">"c3092"</definedName>
    <definedName name="IQ_PENSION_BREAKDOWN_PCT_FI_DOM">"c3090"</definedName>
    <definedName name="IQ_PENSION_BREAKDOWN_PCT_FI_FOREIGN">"c3091"</definedName>
    <definedName name="IQ_PENSION_BREAKDOWN_PCT_OTHER">"c3098"</definedName>
    <definedName name="IQ_PENSION_BREAKDOWN_PCT_OTHER_DOM">"c3096"</definedName>
    <definedName name="IQ_PENSION_BREAKDOWN_PCT_OTHER_FOREIGN">"c3097"</definedName>
    <definedName name="IQ_PENSION_BREAKDOWN_PCT_RE">"c3095"</definedName>
    <definedName name="IQ_PENSION_BREAKDOWN_PCT_RE_DOM">"c3093"</definedName>
    <definedName name="IQ_PENSION_BREAKDOWN_PCT_RE_FOREIGN">"c3094"</definedName>
    <definedName name="IQ_PENSION_BREAKDOWN_RE">"c3107"</definedName>
    <definedName name="IQ_PENSION_BREAKDOWN_RE_DOM">"c3105"</definedName>
    <definedName name="IQ_PENSION_BREAKDOWN_RE_FOREIGN">"c3106"</definedName>
    <definedName name="IQ_PENSION_CONTRIBUTION_TOTAL_COST">"c3559"</definedName>
    <definedName name="IQ_PENSION_DISC_RATE_MAX">"c3236"</definedName>
    <definedName name="IQ_PENSION_DISC_RATE_MAX_DOM">"c3234"</definedName>
    <definedName name="IQ_PENSION_DISC_RATE_MAX_FOREIGN">"c3235"</definedName>
    <definedName name="IQ_PENSION_DISC_RATE_MIN">"c3233"</definedName>
    <definedName name="IQ_PENSION_DISC_RATE_MIN_DOM">"c3231"</definedName>
    <definedName name="IQ_PENSION_DISC_RATE_MIN_FOREIGN">"c3232"</definedName>
    <definedName name="IQ_PENSION_DISCOUNT_RATE_DOMESTIC">"c3573"</definedName>
    <definedName name="IQ_PENSION_DISCOUNT_RATE_FOREIGN">"c3574"</definedName>
    <definedName name="IQ_PENSION_EST_BENEFIT_1YR">"c3113"</definedName>
    <definedName name="IQ_PENSION_EST_BENEFIT_1YR_DOM">"c3111"</definedName>
    <definedName name="IQ_PENSION_EST_BENEFIT_1YR_FOREIGN">"c3112"</definedName>
    <definedName name="IQ_PENSION_EST_BENEFIT_2YR">"c3116"</definedName>
    <definedName name="IQ_PENSION_EST_BENEFIT_2YR_DOM">"c3114"</definedName>
    <definedName name="IQ_PENSION_EST_BENEFIT_2YR_FOREIGN">"c3115"</definedName>
    <definedName name="IQ_PENSION_EST_BENEFIT_3YR">"c3119"</definedName>
    <definedName name="IQ_PENSION_EST_BENEFIT_3YR_DOM">"c3117"</definedName>
    <definedName name="IQ_PENSION_EST_BENEFIT_3YR_FOREIGN">"c3118"</definedName>
    <definedName name="IQ_PENSION_EST_BENEFIT_4YR">"c3122"</definedName>
    <definedName name="IQ_PENSION_EST_BENEFIT_4YR_DOM">"c3120"</definedName>
    <definedName name="IQ_PENSION_EST_BENEFIT_4YR_FOREIGN">"c3121"</definedName>
    <definedName name="IQ_PENSION_EST_BENEFIT_5YR">"c3125"</definedName>
    <definedName name="IQ_PENSION_EST_BENEFIT_5YR_DOM">"c3123"</definedName>
    <definedName name="IQ_PENSION_EST_BENEFIT_5YR_FOREIGN">"c3124"</definedName>
    <definedName name="IQ_PENSION_EST_BENEFIT_AFTER5">"c3128"</definedName>
    <definedName name="IQ_PENSION_EST_BENEFIT_AFTER5_DOM">"c3126"</definedName>
    <definedName name="IQ_PENSION_EST_BENEFIT_AFTER5_FOREIGN">"c3127"</definedName>
    <definedName name="IQ_PENSION_EST_CONTRIBUTIONS_NEXTYR">"c3218"</definedName>
    <definedName name="IQ_PENSION_EST_CONTRIBUTIONS_NEXTYR_DOM">"c3216"</definedName>
    <definedName name="IQ_PENSION_EST_CONTRIBUTIONS_NEXTYR_FOREIGN">"c3217"</definedName>
    <definedName name="IQ_PENSION_EXP_RATE_RETURN_MAX">"c3248"</definedName>
    <definedName name="IQ_PENSION_EXP_RATE_RETURN_MAX_DOM">"c3246"</definedName>
    <definedName name="IQ_PENSION_EXP_RATE_RETURN_MAX_FOREIGN">"c3247"</definedName>
    <definedName name="IQ_PENSION_EXP_RATE_RETURN_MIN">"c3245"</definedName>
    <definedName name="IQ_PENSION_EXP_RATE_RETURN_MIN_DOM">"c3243"</definedName>
    <definedName name="IQ_PENSION_EXP_RATE_RETURN_MIN_FOREIGN">"c3244"</definedName>
    <definedName name="IQ_PENSION_EXP_RETURN_DOMESTIC">"c3571"</definedName>
    <definedName name="IQ_PENSION_EXP_RETURN_FOREIGN">"c3572"</definedName>
    <definedName name="IQ_PENSION_INTAN_ASSETS">"c3137"</definedName>
    <definedName name="IQ_PENSION_INTAN_ASSETS_DOM">"c3135"</definedName>
    <definedName name="IQ_PENSION_INTAN_ASSETS_FOREIGN">"c3136"</definedName>
    <definedName name="IQ_PENSION_INTEREST_COST">"c3582"</definedName>
    <definedName name="IQ_PENSION_INTEREST_COST_DOM">"c3580"</definedName>
    <definedName name="IQ_PENSION_INTEREST_COST_FOREIGN">"c3581"</definedName>
    <definedName name="IQ_PENSION_NET_ASSET_RECOG">"c3152"</definedName>
    <definedName name="IQ_PENSION_NET_ASSET_RECOG_DOM">"c3150"</definedName>
    <definedName name="IQ_PENSION_NET_ASSET_RECOG_FOREIGN">"c3151"</definedName>
    <definedName name="IQ_PENSION_OBLIGATION_ACQ">"c3206"</definedName>
    <definedName name="IQ_PENSION_OBLIGATION_ACQ_DOM">"c3204"</definedName>
    <definedName name="IQ_PENSION_OBLIGATION_ACQ_FOREIGN">"c3205"</definedName>
    <definedName name="IQ_PENSION_OBLIGATION_ACTUARIAL_GAIN_LOSS">"c3197"</definedName>
    <definedName name="IQ_PENSION_OBLIGATION_ACTUARIAL_GAIN_LOSS_DOM">"c3195"</definedName>
    <definedName name="IQ_PENSION_OBLIGATION_ACTUARIAL_GAIN_LOSS_FOREIGN">"c3196"</definedName>
    <definedName name="IQ_PENSION_OBLIGATION_BEG">"c3185"</definedName>
    <definedName name="IQ_PENSION_OBLIGATION_BEG_DOM">"c3183"</definedName>
    <definedName name="IQ_PENSION_OBLIGATION_BEG_FOREIGN">"c3184"</definedName>
    <definedName name="IQ_PENSION_OBLIGATION_CURTAIL">"c3209"</definedName>
    <definedName name="IQ_PENSION_OBLIGATION_CURTAIL_DOM">"c3207"</definedName>
    <definedName name="IQ_PENSION_OBLIGATION_CURTAIL_FOREIGN">"c3208"</definedName>
    <definedName name="IQ_PENSION_OBLIGATION_EMPLOYEE_CONTRIBUTIONS">"c3194"</definedName>
    <definedName name="IQ_PENSION_OBLIGATION_EMPLOYEE_CONTRIBUTIONS_DOM">"c3192"</definedName>
    <definedName name="IQ_PENSION_OBLIGATION_EMPLOYEE_CONTRIBUTIONS_FOREIGN">"c3193"</definedName>
    <definedName name="IQ_PENSION_OBLIGATION_FX_ADJ">"c3203"</definedName>
    <definedName name="IQ_PENSION_OBLIGATION_FX_ADJ_DOM">"c3201"</definedName>
    <definedName name="IQ_PENSION_OBLIGATION_FX_ADJ_FOREIGN">"c3202"</definedName>
    <definedName name="IQ_PENSION_OBLIGATION_INTEREST_COST">"c3191"</definedName>
    <definedName name="IQ_PENSION_OBLIGATION_INTEREST_COST_DOM">"c3189"</definedName>
    <definedName name="IQ_PENSION_OBLIGATION_INTEREST_COST_FOREIGN">"c3190"</definedName>
    <definedName name="IQ_PENSION_OBLIGATION_OTHER_COST">"c3555"</definedName>
    <definedName name="IQ_PENSION_OBLIGATION_OTHER_COST_DOM">"c3553"</definedName>
    <definedName name="IQ_PENSION_OBLIGATION_OTHER_COST_FOREIGN">"c3554"</definedName>
    <definedName name="IQ_PENSION_OBLIGATION_OTHER_PLAN_ADJ">"c3212"</definedName>
    <definedName name="IQ_PENSION_OBLIGATION_OTHER_PLAN_ADJ_DOM">"c3210"</definedName>
    <definedName name="IQ_PENSION_OBLIGATION_OTHER_PLAN_ADJ_FOREIGN">"c3211"</definedName>
    <definedName name="IQ_PENSION_OBLIGATION_PAID">"c3200"</definedName>
    <definedName name="IQ_PENSION_OBLIGATION_PAID_DOM">"c3198"</definedName>
    <definedName name="IQ_PENSION_OBLIGATION_PAID_FOREIGN">"c3199"</definedName>
    <definedName name="IQ_PENSION_OBLIGATION_PROJECTED">"c3215"</definedName>
    <definedName name="IQ_PENSION_OBLIGATION_PROJECTED_DOM">"c3213"</definedName>
    <definedName name="IQ_PENSION_OBLIGATION_PROJECTED_FOREIGN">"c3214"</definedName>
    <definedName name="IQ_PENSION_OBLIGATION_ROA">"c3552"</definedName>
    <definedName name="IQ_PENSION_OBLIGATION_ROA_DOM">"c3550"</definedName>
    <definedName name="IQ_PENSION_OBLIGATION_ROA_FOREIGN">"c3551"</definedName>
    <definedName name="IQ_PENSION_OBLIGATION_SERVICE_COST">"c3188"</definedName>
    <definedName name="IQ_PENSION_OBLIGATION_SERVICE_COST_DOM">"c3186"</definedName>
    <definedName name="IQ_PENSION_OBLIGATION_SERVICE_COST_FOREIGN">"c3187"</definedName>
    <definedName name="IQ_PENSION_OBLIGATION_TOTAL_COST">"c3558"</definedName>
    <definedName name="IQ_PENSION_OBLIGATION_TOTAL_COST_DOM">"c3556"</definedName>
    <definedName name="IQ_PENSION_OBLIGATION_TOTAL_COST_FOREIGN">"c3557"</definedName>
    <definedName name="IQ_PENSION_OTHER">"c3143"</definedName>
    <definedName name="IQ_PENSION_OTHER_ADJ">"c3149"</definedName>
    <definedName name="IQ_PENSION_OTHER_ADJ_DOM">"c3147"</definedName>
    <definedName name="IQ_PENSION_OTHER_ADJ_FOREIGN">"c3148"</definedName>
    <definedName name="IQ_PENSION_OTHER_DOM">"c3141"</definedName>
    <definedName name="IQ_PENSION_OTHER_FOREIGN">"c3142"</definedName>
    <definedName name="IQ_PENSION_PBO_ASSUMED_RATE_RET_MAX">"c3254"</definedName>
    <definedName name="IQ_PENSION_PBO_ASSUMED_RATE_RET_MAX_DOM">"c3252"</definedName>
    <definedName name="IQ_PENSION_PBO_ASSUMED_RATE_RET_MAX_FOREIGN">"c3253"</definedName>
    <definedName name="IQ_PENSION_PBO_ASSUMED_RATE_RET_MIN">"c3251"</definedName>
    <definedName name="IQ_PENSION_PBO_ASSUMED_RATE_RET_MIN_DOM">"c3249"</definedName>
    <definedName name="IQ_PENSION_PBO_ASSUMED_RATE_RET_MIN_FOREIGN">"c3250"</definedName>
    <definedName name="IQ_PENSION_PBO_RATE_COMP_INCREASE_MAX">"c3260"</definedName>
    <definedName name="IQ_PENSION_PBO_RATE_COMP_INCREASE_MAX_DOM">"c3258"</definedName>
    <definedName name="IQ_PENSION_PBO_RATE_COMP_INCREASE_MAX_FOREIGN">"c3259"</definedName>
    <definedName name="IQ_PENSION_PBO_RATE_COMP_INCREASE_MIN">"c3257"</definedName>
    <definedName name="IQ_PENSION_PBO_RATE_COMP_INCREASE_MIN_DOM">"c3255"</definedName>
    <definedName name="IQ_PENSION_PBO_RATE_COMP_INCREASE_MIN_FOREIGN">"c3256"</definedName>
    <definedName name="IQ_PENSION_PREPAID_COST">"c3131"</definedName>
    <definedName name="IQ_PENSION_PREPAID_COST_DOM">"c3129"</definedName>
    <definedName name="IQ_PENSION_PREPAID_COST_FOREIGN">"c3130"</definedName>
    <definedName name="IQ_PENSION_PROJECTED_OBLIGATION">"c3566"</definedName>
    <definedName name="IQ_PENSION_PROJECTED_OBLIGATION_DOMESTIC">"c3564"</definedName>
    <definedName name="IQ_PENSION_PROJECTED_OBLIGATION_FOREIGN">"c3565"</definedName>
    <definedName name="IQ_PENSION_QUART_ADDL_CONTRIBUTIONS_EXP">"c3224"</definedName>
    <definedName name="IQ_PENSION_QUART_ADDL_CONTRIBUTIONS_EXP_DOM">"c3222"</definedName>
    <definedName name="IQ_PENSION_QUART_ADDL_CONTRIBUTIONS_EXP_FOREIGN">"c3223"</definedName>
    <definedName name="IQ_PENSION_QUART_EMPLOYER_CONTRIBUTIONS">"c3221"</definedName>
    <definedName name="IQ_PENSION_QUART_EMPLOYER_CONTRIBUTIONS_DOM">"c3219"</definedName>
    <definedName name="IQ_PENSION_QUART_EMPLOYER_CONTRIBUTIONS_FOREIGN">"c3220"</definedName>
    <definedName name="IQ_PENSION_RATE_COMP_GROWTH_DOMESTIC">"c3575"</definedName>
    <definedName name="IQ_PENSION_RATE_COMP_GROWTH_FOREIGN">"c3576"</definedName>
    <definedName name="IQ_PENSION_RATE_COMP_INCREASE_MAX">"c3242"</definedName>
    <definedName name="IQ_PENSION_RATE_COMP_INCREASE_MAX_DOM">"c3240"</definedName>
    <definedName name="IQ_PENSION_RATE_COMP_INCREASE_MAX_FOREIGN">"c3241"</definedName>
    <definedName name="IQ_PENSION_RATE_COMP_INCREASE_MIN">"c3239"</definedName>
    <definedName name="IQ_PENSION_RATE_COMP_INCREASE_MIN_DOM">"c3237"</definedName>
    <definedName name="IQ_PENSION_RATE_COMP_INCREASE_MIN_FOREIGN">"c3238"</definedName>
    <definedName name="IQ_PENSION_SERVICE_COST">"c3579"</definedName>
    <definedName name="IQ_PENSION_SERVICE_COST_DOM">"c3577"</definedName>
    <definedName name="IQ_PENSION_SERVICE_COST_FOREIGN">"c3578"</definedName>
    <definedName name="IQ_PENSION_TOTAL_ASSETS">"c3563"</definedName>
    <definedName name="IQ_PENSION_TOTAL_ASSETS_DOMESTIC">"c3561"</definedName>
    <definedName name="IQ_PENSION_TOTAL_ASSETS_FOREIGN">"c3562"</definedName>
    <definedName name="IQ_PENSION_TOTAL_EXP">"c3560"</definedName>
    <definedName name="IQ_PENSION_UNFUNDED_ADDL_MIN_LIAB">"c3227"</definedName>
    <definedName name="IQ_PENSION_UNFUNDED_ADDL_MIN_LIAB_DOM">"c3225"</definedName>
    <definedName name="IQ_PENSION_UNFUNDED_ADDL_MIN_LIAB_FOREIGN">"c3226"</definedName>
    <definedName name="IQ_PENSION_UNRECOG_PRIOR">"c3146"</definedName>
    <definedName name="IQ_PENSION_UNRECOG_PRIOR_DOM">"c3144"</definedName>
    <definedName name="IQ_PENSION_UNRECOG_PRIOR_FOREIGN">"c3145"</definedName>
    <definedName name="IQ_PENSION_UV_LIAB">"c3567"</definedName>
    <definedName name="IQ_PERIODDATE">"c1414"</definedName>
    <definedName name="IQ_PERIODDATE_BS">"c1032"</definedName>
    <definedName name="IQ_PERIODDATE_CF">"c1033"</definedName>
    <definedName name="IQ_PERIODDATE_IS">"c1034"</definedName>
    <definedName name="IQ_PERIODLENGTH_CF">"c1502"</definedName>
    <definedName name="IQ_PERIODLENGTH_IS">"c1503"</definedName>
    <definedName name="IQ_PERTYPE">"c1611"</definedName>
    <definedName name="IQ_PLL">"c2114"</definedName>
    <definedName name="IQ_PMT_FREQ">"c2236"</definedName>
    <definedName name="IQ_POISON_PUT_EFFECT_DATE">"c2486"</definedName>
    <definedName name="IQ_POISON_PUT_EXPIRATION_DATE">"c2487"</definedName>
    <definedName name="IQ_POISON_PUT_PRICE">"c2488"</definedName>
    <definedName name="IQ_POLICY_BENEFITS">"c1036"</definedName>
    <definedName name="IQ_POLICY_COST">"c1037"</definedName>
    <definedName name="IQ_POLICY_LIAB">"c1612"</definedName>
    <definedName name="IQ_POLICY_LOANS">"c1038"</definedName>
    <definedName name="IQ_POST_RETIRE_EXP">"c1039"</definedName>
    <definedName name="IQ_POSTPAID_CHURN">"c2121"</definedName>
    <definedName name="IQ_POSTPAID_SUBS">"c2118"</definedName>
    <definedName name="IQ_PRE_OPEN_COST">"c1040"</definedName>
    <definedName name="IQ_PREF_CONVERT">"c1041"</definedName>
    <definedName name="IQ_PREF_DIV_CF">"c1042"</definedName>
    <definedName name="IQ_PREF_DIV_OTHER">"c1043"</definedName>
    <definedName name="IQ_PREF_DIVID">"c1461"</definedName>
    <definedName name="IQ_PREF_EQUITY">"c1044"</definedName>
    <definedName name="IQ_PREF_ISSUED">"c1045"</definedName>
    <definedName name="IQ_PREF_ISSUED_BNK">"c1046"</definedName>
    <definedName name="IQ_PREF_ISSUED_BR">"c1047"</definedName>
    <definedName name="IQ_PREF_ISSUED_FIN">"c1048"</definedName>
    <definedName name="IQ_PREF_ISSUED_INS">"c1049"</definedName>
    <definedName name="IQ_PREF_ISSUED_REIT">"c1050"</definedName>
    <definedName name="IQ_PREF_ISSUED_UTI">"c1051"</definedName>
    <definedName name="IQ_PREF_NON_REDEEM">"c1052"</definedName>
    <definedName name="IQ_PREF_OTHER">"c1053"</definedName>
    <definedName name="IQ_PREF_OTHER_BNK">"c1054"</definedName>
    <definedName name="IQ_PREF_OTHER_BR">"c1055"</definedName>
    <definedName name="IQ_PREF_OTHER_FIN">"c1056"</definedName>
    <definedName name="IQ_PREF_OTHER_INS">"c1057"</definedName>
    <definedName name="IQ_PREF_OTHER_REIT">"c1058"</definedName>
    <definedName name="IQ_PREF_REDEEM">"c1059"</definedName>
    <definedName name="IQ_PREF_REP">"c1060"</definedName>
    <definedName name="IQ_PREF_REP_BNK">"c1061"</definedName>
    <definedName name="IQ_PREF_REP_BR">"c1062"</definedName>
    <definedName name="IQ_PREF_REP_FIN">"c1063"</definedName>
    <definedName name="IQ_PREF_REP_INS">"c1064"</definedName>
    <definedName name="IQ_PREF_REP_REIT">"c1065"</definedName>
    <definedName name="IQ_PREF_REP_UTI">"c1066"</definedName>
    <definedName name="IQ_PREF_STOCK">"c1416"</definedName>
    <definedName name="IQ_PREF_TOT">"c1415"</definedName>
    <definedName name="IQ_PREMIUMS_ANNUITY_REV">"c1067"</definedName>
    <definedName name="IQ_PREPAID_CHURN">"c2120"</definedName>
    <definedName name="IQ_PREPAID_EXP">"c1068"</definedName>
    <definedName name="IQ_PREPAID_EXPEN">"c1418"</definedName>
    <definedName name="IQ_PREPAID_SUBS">"c2117"</definedName>
    <definedName name="IQ_PRICE_OVER_BVPS">"c1412"</definedName>
    <definedName name="IQ_PRICE_OVER_LTM_EPS">"c1413"</definedName>
    <definedName name="IQ_PRICE_TARGET">"c82"</definedName>
    <definedName name="IQ_PRICE_TARGET_REUT">"c3631"</definedName>
    <definedName name="IQ_PRICEDATE">"c1069"</definedName>
    <definedName name="IQ_PRICING_DATE">"c1613"</definedName>
    <definedName name="IQ_PRIMARY_INDUSTRY">"c1070"</definedName>
    <definedName name="IQ_PRINCIPAL_AMT">"c2157"</definedName>
    <definedName name="IQ_PRO_FORMA_BASIC_EPS">"c1614"</definedName>
    <definedName name="IQ_PRO_FORMA_DILUT_EPS">"c1615"</definedName>
    <definedName name="IQ_PRO_FORMA_NET_INC">"c1452"</definedName>
    <definedName name="IQ_PROFESSIONAL">"c1071"</definedName>
    <definedName name="IQ_PROFESSIONAL_TITLE">"c1072"</definedName>
    <definedName name="IQ_PROJECTED_PENSION_OBLIGATION">"c1292"</definedName>
    <definedName name="IQ_PROJECTED_PENSION_OBLIGATION_DOMESTIC">"c2656"</definedName>
    <definedName name="IQ_PROJECTED_PENSION_OBLIGATION_FOREIGN">"c2664"</definedName>
    <definedName name="IQ_PROPERTY_EXP">"c1073"</definedName>
    <definedName name="IQ_PROPERTY_GROSS">"c1379"</definedName>
    <definedName name="IQ_PROPERTY_MGMT_FEE">"c1074"</definedName>
    <definedName name="IQ_PROPERTY_NET">"c1402"</definedName>
    <definedName name="IQ_PROV_BAD_DEBTS">"c1075"</definedName>
    <definedName name="IQ_PROV_BAD_DEBTS_CF">"c1076"</definedName>
    <definedName name="IQ_PROVISION_10YR_ANN_GROWTH">"c1077"</definedName>
    <definedName name="IQ_PROVISION_1YR_ANN_GROWTH">"c1078"</definedName>
    <definedName name="IQ_PROVISION_2YR_ANN_GROWTH">"c1079"</definedName>
    <definedName name="IQ_PROVISION_3YR_ANN_GROWTH">"c1080"</definedName>
    <definedName name="IQ_PROVISION_5YR_ANN_GROWTH">"c1081"</definedName>
    <definedName name="IQ_PROVISION_7YR_ANN_GROWTH">"c1082"</definedName>
    <definedName name="IQ_PROVISION_CHARGE_OFFS">"c1083"</definedName>
    <definedName name="IQ_PTBV">"c1084"</definedName>
    <definedName name="IQ_PTBV_AVG">"c1085"</definedName>
    <definedName name="IQ_PUT_DATE_SCHEDULE">"c2483"</definedName>
    <definedName name="IQ_PUT_NOTIFICATION">"c2485"</definedName>
    <definedName name="IQ_PUT_PRICE_SCHEDULE">"c2484"</definedName>
    <definedName name="IQ_QUICK_RATIO">"c1086"</definedName>
    <definedName name="IQ_RATE_COMP_GROWTH_DOMESTIC">"c1087"</definedName>
    <definedName name="IQ_RATE_COMP_GROWTH_FOREIGN">"c1088"</definedName>
    <definedName name="IQ_RAW_INV">"c1089"</definedName>
    <definedName name="IQ_RC">"c2497"</definedName>
    <definedName name="IQ_RC_PCT">"c2498"</definedName>
    <definedName name="IQ_RD_EXP">"c1090"</definedName>
    <definedName name="IQ_RD_EXP_FN">"c1091"</definedName>
    <definedName name="IQ_RE">"c1092"</definedName>
    <definedName name="IQ_REAL_ESTATE">"c1093"</definedName>
    <definedName name="IQ_REAL_ESTATE_ASSETS">"c1094"</definedName>
    <definedName name="IQ_RECURRING_PROFIT_ACT_OR_EST">"c4507"</definedName>
    <definedName name="IQ_RECURRING_PROFIT_SHARE_ACT_OR_EST">"c4508"</definedName>
    <definedName name="IQ_REDEEM_PREF_STOCK">"c1417"</definedName>
    <definedName name="IQ_REG_ASSETS">"c1095"</definedName>
    <definedName name="IQ_REINSUR_PAY">"c1096"</definedName>
    <definedName name="IQ_REINSUR_PAY_CF">"c1097"</definedName>
    <definedName name="IQ_REINSUR_RECOVER">"c1098"</definedName>
    <definedName name="IQ_REINSUR_RECOVER_CF">"c1099"</definedName>
    <definedName name="IQ_REINSURANCE">"c1100"</definedName>
    <definedName name="IQ_RENTAL_REV">"c1101"</definedName>
    <definedName name="IQ_RESEARCH_DEV">"c1419"</definedName>
    <definedName name="IQ_RESIDENTIAL_LOANS">"c1102"</definedName>
    <definedName name="IQ_RESTATEMENT_BS">"c1643"</definedName>
    <definedName name="IQ_RESTATEMENT_CF">"c1644"</definedName>
    <definedName name="IQ_RESTATEMENT_IS">"c1642"</definedName>
    <definedName name="IQ_RESTR_STOCK_COMP">"c3506"</definedName>
    <definedName name="IQ_RESTR_STOCK_COMP_PRETAX">"c3504"</definedName>
    <definedName name="IQ_RESTR_STOCK_COMP_TAX">"c3505"</definedName>
    <definedName name="IQ_RESTRICTED_CASH">"c1103"</definedName>
    <definedName name="IQ_RESTRUCTURE">"c1104"</definedName>
    <definedName name="IQ_RESTRUCTURE_BNK">"c1105"</definedName>
    <definedName name="IQ_RESTRUCTURE_BR">"c1106"</definedName>
    <definedName name="IQ_RESTRUCTURE_CF">"c1107"</definedName>
    <definedName name="IQ_RESTRUCTURE_FIN">"c1108"</definedName>
    <definedName name="IQ_RESTRUCTURE_INS">"c1109"</definedName>
    <definedName name="IQ_RESTRUCTURE_REIT">"c1110"</definedName>
    <definedName name="IQ_RESTRUCTURE_UTI">"c1111"</definedName>
    <definedName name="IQ_RESTRUCTURED_LOANS">"c1112"</definedName>
    <definedName name="IQ_RETAIL_ACQUIRED_FRANCHISE_STORES" localSheetId="16">"c2895"</definedName>
    <definedName name="IQ_RETAIL_ACQUIRED_FRANCHISE_STORES" localSheetId="18" hidden="1">"c2895"</definedName>
    <definedName name="IQ_RETAIL_ACQUIRED_FRANCHISE_STORES">"c2903"</definedName>
    <definedName name="IQ_RETAIL_ACQUIRED_FRANCHISE_STORES_1">"c2903"</definedName>
    <definedName name="IQ_RETAIL_ACQUIRED_OWNED_STORES" localSheetId="16">"c2903"</definedName>
    <definedName name="IQ_RETAIL_ACQUIRED_OWNED_STORES" localSheetId="18" hidden="1">"c2903"</definedName>
    <definedName name="IQ_RETAIL_ACQUIRED_OWNED_STORES">"c2895"</definedName>
    <definedName name="IQ_RETAIL_ACQUIRED_OWNED_STORES_1">"c2895"</definedName>
    <definedName name="IQ_RETAIL_ACQUIRED_STORES">"c2887"</definedName>
    <definedName name="IQ_RETAIL_AVG_STORE_SIZE_GROSS">"c2066"</definedName>
    <definedName name="IQ_RETAIL_AVG_STORE_SIZE_NET">"c2067"</definedName>
    <definedName name="IQ_RETAIL_AVG_WK_SALES">"c2891"</definedName>
    <definedName name="IQ_RETAIL_AVG_WK_SALES_FRANCHISE">"c2899"</definedName>
    <definedName name="IQ_RETAIL_AVG_WK_SALES_OWNED">"c2907"</definedName>
    <definedName name="IQ_RETAIL_CLOSED_FRANCHISE_STORES">"c2896"</definedName>
    <definedName name="IQ_RETAIL_CLOSED_OWNED_STORES">"c2904"</definedName>
    <definedName name="IQ_RETAIL_CLOSED_STORES">"c2063"</definedName>
    <definedName name="IQ_RETAIL_FRANCHISE_STORES_BEG">"c2893"</definedName>
    <definedName name="IQ_RETAIL_OPENED_FRANCHISE_STORES">"c2894"</definedName>
    <definedName name="IQ_RETAIL_OPENED_OWNED_STORES">"c2902"</definedName>
    <definedName name="IQ_RETAIL_OPENED_STORES">"c2062"</definedName>
    <definedName name="IQ_RETAIL_OWNED_STORES_BEG">"c2901"</definedName>
    <definedName name="IQ_RETAIL_SALES_SQFT_ALL_GROSS">"c2138"</definedName>
    <definedName name="IQ_RETAIL_SALES_SQFT_ALL_NET">"c2139"</definedName>
    <definedName name="IQ_RETAIL_SALES_SQFT_COMPARABLE_GROSS">"c2136"</definedName>
    <definedName name="IQ_RETAIL_SALES_SQFT_COMPARABLE_NET">"c2137"</definedName>
    <definedName name="IQ_RETAIL_SALES_SQFT_OWNED_GROSS">"c2134"</definedName>
    <definedName name="IQ_RETAIL_SALES_SQFT_OWNED_NET">"c2135"</definedName>
    <definedName name="IQ_RETAIL_SOLD_FRANCHISE_STORES">"c2897"</definedName>
    <definedName name="IQ_RETAIL_SOLD_OWNED_STORES">"c2905"</definedName>
    <definedName name="IQ_RETAIL_SOLD_STORES">"c2889"</definedName>
    <definedName name="IQ_RETAIL_SQ_FOOTAGE">"c2064"</definedName>
    <definedName name="IQ_RETAIL_STORE_SELLING_AREA">"c2065"</definedName>
    <definedName name="IQ_RETAIL_STORES_BEG">"c2885"</definedName>
    <definedName name="IQ_RETAIL_TOTAL_FRANCHISE_STORES">"c2898"</definedName>
    <definedName name="IQ_RETAIL_TOTAL_OWNED_STORES">"c2906"</definedName>
    <definedName name="IQ_RETAIL_TOTAL_STORES">"c2061"</definedName>
    <definedName name="IQ_RETAINED_EARN">"c1420"</definedName>
    <definedName name="IQ_RETURN_ASSETS">"c1113"</definedName>
    <definedName name="IQ_RETURN_ASSETS_BANK">"c1114"</definedName>
    <definedName name="IQ_RETURN_ASSETS_BROK">"c1115"</definedName>
    <definedName name="IQ_RETURN_ASSETS_FS">"c1116"</definedName>
    <definedName name="IQ_RETURN_CAPITAL">"c1117"</definedName>
    <definedName name="IQ_RETURN_EQUITY">"c1118"</definedName>
    <definedName name="IQ_RETURN_EQUITY_BANK">"c1119"</definedName>
    <definedName name="IQ_RETURN_EQUITY_BROK">"c1120"</definedName>
    <definedName name="IQ_RETURN_EQUITY_FS">"c1121"</definedName>
    <definedName name="IQ_RETURN_INVESTMENT">"c1421"</definedName>
    <definedName name="IQ_REV">"c1122"</definedName>
    <definedName name="IQ_REV_BEFORE_LL">"c1123"</definedName>
    <definedName name="IQ_REV_STDDEV_EST">"c1124"</definedName>
    <definedName name="IQ_REV_STDDEV_EST_REUT">"c3639"</definedName>
    <definedName name="IQ_REV_UTI">"c1125"</definedName>
    <definedName name="IQ_REVENUE">"c1422"</definedName>
    <definedName name="IQ_REVENUE_ACT_OR_EST">"c2214"</definedName>
    <definedName name="IQ_REVENUE_EST">"c1126"</definedName>
    <definedName name="IQ_REVENUE_EST_REUT">"c3634"</definedName>
    <definedName name="IQ_REVENUE_HIGH_EST">"c1127"</definedName>
    <definedName name="IQ_REVENUE_HIGH_EST_REUT">"c3636"</definedName>
    <definedName name="IQ_REVENUE_LOW_EST">"c1128"</definedName>
    <definedName name="IQ_REVENUE_LOW_EST_REUT">"c3637"</definedName>
    <definedName name="IQ_REVENUE_MEDIAN_EST">"c1662"</definedName>
    <definedName name="IQ_REVENUE_MEDIAN_EST_REUT">"c3635"</definedName>
    <definedName name="IQ_REVENUE_NUM_EST">"c1129"</definedName>
    <definedName name="IQ_REVENUE_NUM_EST_REUT">"c3638"</definedName>
    <definedName name="IQ_REVISION_DATE_" localSheetId="16">39489.6256597222</definedName>
    <definedName name="IQ_REVISION_DATE_" localSheetId="18" hidden="1">39489.6256597222</definedName>
    <definedName name="IQ_REVISION_DATE_">39244.4711574074</definedName>
    <definedName name="IQ_REVISION_DATE__1">39244.4711574074</definedName>
    <definedName name="IQ_RISK_ADJ_BANK_ASSETS">"c2670"</definedName>
    <definedName name="IQ_SALARY">"c1130"</definedName>
    <definedName name="IQ_SALE_INTAN_CF">"c1131"</definedName>
    <definedName name="IQ_SALE_INTAN_CF_BNK">"c1132"</definedName>
    <definedName name="IQ_SALE_INTAN_CF_BR">"c1133"</definedName>
    <definedName name="IQ_SALE_INTAN_CF_FIN">"c1134"</definedName>
    <definedName name="IQ_SALE_INTAN_CF_INS">"c1135"</definedName>
    <definedName name="IQ_SALE_INTAN_CF_REIT">"c1627"</definedName>
    <definedName name="IQ_SALE_INTAN_CF_UTI">"c1136"</definedName>
    <definedName name="IQ_SALE_PPE_CF">"c1137"</definedName>
    <definedName name="IQ_SALE_PPE_CF_BNK">"c1138"</definedName>
    <definedName name="IQ_SALE_PPE_CF_BR">"c1139"</definedName>
    <definedName name="IQ_SALE_PPE_CF_FIN">"c1140"</definedName>
    <definedName name="IQ_SALE_PPE_CF_INS">"c1141"</definedName>
    <definedName name="IQ_SALE_PPE_CF_UTI">"c1142"</definedName>
    <definedName name="IQ_SALE_RE_ASSETS">"c1629"</definedName>
    <definedName name="IQ_SALE_REAL_ESTATE_CF">"c1143"</definedName>
    <definedName name="IQ_SALE_REAL_ESTATE_CF_BNK">"c1144"</definedName>
    <definedName name="IQ_SALE_REAL_ESTATE_CF_BR">"c1145"</definedName>
    <definedName name="IQ_SALE_REAL_ESTATE_CF_FIN">"c1146"</definedName>
    <definedName name="IQ_SALE_REAL_ESTATE_CF_INS">"c1147"</definedName>
    <definedName name="IQ_SALE_REAL_ESTATE_CF_UTI">"c1148"</definedName>
    <definedName name="IQ_SALES_MARKETING">"c2240"</definedName>
    <definedName name="IQ_SAME_STORE">"c1149"</definedName>
    <definedName name="IQ_SAME_STORE_FRANCHISE">"c2900"</definedName>
    <definedName name="IQ_SAME_STORE_OWNED">"c2908"</definedName>
    <definedName name="IQ_SAME_STORE_TOTAL">"c2892"</definedName>
    <definedName name="IQ_SAVING_DEP">"c1150"</definedName>
    <definedName name="IQ_SEC_PURCHASED_RESELL">"c5513"</definedName>
    <definedName name="IQ_SECUR_RECEIV">"c1151"</definedName>
    <definedName name="IQ_SECURED_DEBT">"c2546"</definedName>
    <definedName name="IQ_SECURED_DEBT_PCT">"c2547"</definedName>
    <definedName name="IQ_SECURITY_BORROW">"c1152"</definedName>
    <definedName name="IQ_SECURITY_LEVEL">"c2159"</definedName>
    <definedName name="IQ_SECURITY_NOTES">"c2202"</definedName>
    <definedName name="IQ_SECURITY_OWN">"c1153"</definedName>
    <definedName name="IQ_SECURITY_RESELL">"c1154"</definedName>
    <definedName name="IQ_SECURITY_TYPE">"c2158"</definedName>
    <definedName name="IQ_SEPARATE_ACCT_ASSETS">"c1155"</definedName>
    <definedName name="IQ_SEPARATE_ACCT_LIAB">"c1156"</definedName>
    <definedName name="IQ_SERV_CHARGE_DEPOSITS">"c1157"</definedName>
    <definedName name="IQ_SGA">"c1158"</definedName>
    <definedName name="IQ_SGA_BNK">"c1159"</definedName>
    <definedName name="IQ_SGA_INS">"c1160"</definedName>
    <definedName name="IQ_SGA_MARGIN">"c1898"</definedName>
    <definedName name="IQ_SGA_REIT">"c1161"</definedName>
    <definedName name="IQ_SGA_SUPPL">"c1162"</definedName>
    <definedName name="IQ_SGA_UTI">"c1163"</definedName>
    <definedName name="IQ_SHAREOUTSTANDING">"c1347"</definedName>
    <definedName name="IQ_SHARESOUTSTANDING">"c1164"</definedName>
    <definedName name="IQ_SHORT_INTEREST">"c1165"</definedName>
    <definedName name="IQ_SHORT_INTEREST_OVER_FLOAT">"c1577"</definedName>
    <definedName name="IQ_SHORT_INTEREST_PERCENT">"c1576"</definedName>
    <definedName name="IQ_SHORT_TERM_INVEST">"c1425"</definedName>
    <definedName name="IQ_SMALL_INT_BEAR_CD">"c1166"</definedName>
    <definedName name="IQ_SOFTWARE">"c1167"</definedName>
    <definedName name="IQ_SOURCE">"c1168"</definedName>
    <definedName name="IQ_SP">"c2171"</definedName>
    <definedName name="IQ_SP_BANK">"c2637"</definedName>
    <definedName name="IQ_SP_BANK_ACTION">"c2636"</definedName>
    <definedName name="IQ_SP_BANK_DATE">"c2635"</definedName>
    <definedName name="IQ_SP_DATE">"c2172"</definedName>
    <definedName name="IQ_SP_FIN_ENHANCE_FX">"c2631"</definedName>
    <definedName name="IQ_SP_FIN_ENHANCE_FX_ACTION">"c2630"</definedName>
    <definedName name="IQ_SP_FIN_ENHANCE_FX_DATE">"c2629"</definedName>
    <definedName name="IQ_SP_FIN_ENHANCE_LC">"c2634"</definedName>
    <definedName name="IQ_SP_FIN_ENHANCE_LC_ACTION">"c2633"</definedName>
    <definedName name="IQ_SP_FIN_ENHANCE_LC_DATE">"c2632"</definedName>
    <definedName name="IQ_SP_FIN_STRENGTH_LC_ACTION_LT">"c2625"</definedName>
    <definedName name="IQ_SP_FIN_STRENGTH_LC_ACTION_ST">"c2626"</definedName>
    <definedName name="IQ_SP_FIN_STRENGTH_LC_DATE_LT">"c2623"</definedName>
    <definedName name="IQ_SP_FIN_STRENGTH_LC_DATE_ST">"c2624"</definedName>
    <definedName name="IQ_SP_FIN_STRENGTH_LC_LT">"c2627"</definedName>
    <definedName name="IQ_SP_FIN_STRENGTH_LC_ST">"c2628"</definedName>
    <definedName name="IQ_SP_FX_ACTION_LT">"c2613"</definedName>
    <definedName name="IQ_SP_FX_ACTION_ST">"c2614"</definedName>
    <definedName name="IQ_SP_FX_DATE_LT">"c2611"</definedName>
    <definedName name="IQ_SP_FX_DATE_ST">"c2612"</definedName>
    <definedName name="IQ_SP_FX_LT">"c2615"</definedName>
    <definedName name="IQ_SP_FX_ST">"c2616"</definedName>
    <definedName name="IQ_SP_ISSUE_ACTION">"c2644"</definedName>
    <definedName name="IQ_SP_ISSUE_DATE">"c2643"</definedName>
    <definedName name="IQ_SP_ISSUE_LT">"c2645"</definedName>
    <definedName name="IQ_SP_ISSUE_OUTLOOK_WATCH">"c2650"</definedName>
    <definedName name="IQ_SP_ISSUE_OUTLOOK_WATCH_DATE">"c2649"</definedName>
    <definedName name="IQ_SP_ISSUE_RECOVER">"c2648"</definedName>
    <definedName name="IQ_SP_ISSUE_RECOVER_ACTION">"c2647"</definedName>
    <definedName name="IQ_SP_ISSUE_RECOVER_DATE">"c2646"</definedName>
    <definedName name="IQ_SP_LC_ACTION_LT">"c2619"</definedName>
    <definedName name="IQ_SP_LC_ACTION_ST">"c2620"</definedName>
    <definedName name="IQ_SP_LC_DATE_LT">"c2617"</definedName>
    <definedName name="IQ_SP_LC_DATE_ST">"c2618"</definedName>
    <definedName name="IQ_SP_LC_LT">"c2621"</definedName>
    <definedName name="IQ_SP_LC_ST">"c2622"</definedName>
    <definedName name="IQ_SP_OUTLOOK_WATCH">"c2639"</definedName>
    <definedName name="IQ_SP_OUTLOOK_WATCH_DATE">"c2638"</definedName>
    <definedName name="IQ_SP_REASON">"c2174"</definedName>
    <definedName name="IQ_SP_STATUS">"c2173"</definedName>
    <definedName name="IQ_SPECIAL_DIV_CF">"c1169"</definedName>
    <definedName name="IQ_SPECIAL_DIV_CF_BNK">"c1170"</definedName>
    <definedName name="IQ_SPECIAL_DIV_CF_BR">"c1171"</definedName>
    <definedName name="IQ_SPECIAL_DIV_CF_FIN">"c1172"</definedName>
    <definedName name="IQ_SPECIAL_DIV_CF_INS">"c1173"</definedName>
    <definedName name="IQ_SPECIAL_DIV_CF_REIT">"c1174"</definedName>
    <definedName name="IQ_SPECIAL_DIV_CF_UTI">"c1175"</definedName>
    <definedName name="IQ_SPECIAL_DIV_SHARE">"c3007"</definedName>
    <definedName name="IQ_SR_BONDS_NOTES">"c2501"</definedName>
    <definedName name="IQ_SR_BONDS_NOTES_PCT">"c2502"</definedName>
    <definedName name="IQ_SR_DEBT">"c2526"</definedName>
    <definedName name="IQ_SR_DEBT_EBITDA">"c2552"</definedName>
    <definedName name="IQ_SR_DEBT_EBITDA_CAPEX">"c2553"</definedName>
    <definedName name="IQ_SR_DEBT_PCT">"c2527"</definedName>
    <definedName name="IQ_SR_SUB_DEBT">"c2530"</definedName>
    <definedName name="IQ_SR_SUB_DEBT_EBITDA">"c2556"</definedName>
    <definedName name="IQ_SR_SUB_DEBT_EBITDA_CAPEX">"c2557"</definedName>
    <definedName name="IQ_SR_SUB_DEBT_PCT">"c2531"</definedName>
    <definedName name="IQ_ST_DEBT">"c1176"</definedName>
    <definedName name="IQ_ST_DEBT_BNK">"c1177"</definedName>
    <definedName name="IQ_ST_DEBT_BR">"c1178"</definedName>
    <definedName name="IQ_ST_DEBT_FIN">"c1179"</definedName>
    <definedName name="IQ_ST_DEBT_INS">"c1180"</definedName>
    <definedName name="IQ_ST_DEBT_ISSUED">"c1181"</definedName>
    <definedName name="IQ_ST_DEBT_ISSUED_BNK">"c1182"</definedName>
    <definedName name="IQ_ST_DEBT_ISSUED_BR">"c1183"</definedName>
    <definedName name="IQ_ST_DEBT_ISSUED_FIN">"c1184"</definedName>
    <definedName name="IQ_ST_DEBT_ISSUED_INS">"c1185"</definedName>
    <definedName name="IQ_ST_DEBT_ISSUED_REIT">"c1186"</definedName>
    <definedName name="IQ_ST_DEBT_ISSUED_UTI">"c1187"</definedName>
    <definedName name="IQ_ST_DEBT_PCT">"c2539"</definedName>
    <definedName name="IQ_ST_DEBT_REIT">"c1188"</definedName>
    <definedName name="IQ_ST_DEBT_REPAID">"c1189"</definedName>
    <definedName name="IQ_ST_DEBT_REPAID_BNK">"c1190"</definedName>
    <definedName name="IQ_ST_DEBT_REPAID_BR">"c1191"</definedName>
    <definedName name="IQ_ST_DEBT_REPAID_FIN">"c1192"</definedName>
    <definedName name="IQ_ST_DEBT_REPAID_INS">"c1193"</definedName>
    <definedName name="IQ_ST_DEBT_REPAID_REIT">"c1194"</definedName>
    <definedName name="IQ_ST_DEBT_REPAID_UTI">"c1195"</definedName>
    <definedName name="IQ_ST_DEBT_UTI">"c1196"</definedName>
    <definedName name="IQ_ST_INVEST">"c1197"</definedName>
    <definedName name="IQ_ST_INVEST_UTI">"c1198"</definedName>
    <definedName name="IQ_ST_NOTE_RECEIV">"c1199"</definedName>
    <definedName name="IQ_STATE">"c1200"</definedName>
    <definedName name="IQ_STATUTORY_SURPLUS">"c1201"</definedName>
    <definedName name="IQ_STOCK_BASED">"c1202"</definedName>
    <definedName name="IQ_STOCK_BASED_AT">"c2999"</definedName>
    <definedName name="IQ_STOCK_BASED_CF">"c1203"</definedName>
    <definedName name="IQ_STOCK_BASED_COGS">"c2990"</definedName>
    <definedName name="IQ_STOCK_BASED_COMP">"c3512"</definedName>
    <definedName name="IQ_STOCK_BASED_COMP_PRETAX">"c3510"</definedName>
    <definedName name="IQ_STOCK_BASED_COMP_TAX">"c3511"</definedName>
    <definedName name="IQ_STOCK_BASED_GA">"c2993"</definedName>
    <definedName name="IQ_STOCK_BASED_OTHER">"c2995"</definedName>
    <definedName name="IQ_STOCK_BASED_RD">"c2991"</definedName>
    <definedName name="IQ_STOCK_BASED_SGA">"c2994"</definedName>
    <definedName name="IQ_STOCK_BASED_SM">"c2992"</definedName>
    <definedName name="IQ_STOCK_BASED_TOTAL">"c3040"</definedName>
    <definedName name="IQ_STOCK_OPTIONS_COMP">"c3509"</definedName>
    <definedName name="IQ_STOCK_OPTIONS_COMP_PRETAX">"c3507"</definedName>
    <definedName name="IQ_STOCK_OPTIONS_COMP_TAX">"c3508"</definedName>
    <definedName name="IQ_STRIKE_PRICE_ISSUED">"c1645"</definedName>
    <definedName name="IQ_STRIKE_PRICE_OS">"c1646"</definedName>
    <definedName name="IQ_STW">"c2166"</definedName>
    <definedName name="IQ_SUB_BONDS_NOTES">"c2503"</definedName>
    <definedName name="IQ_SUB_BONDS_NOTES_PCT">"c2504"</definedName>
    <definedName name="IQ_SUB_DEBT">"c2532"</definedName>
    <definedName name="IQ_SUB_DEBT_EBITDA">"c2558"</definedName>
    <definedName name="IQ_SUB_DEBT_EBITDA_CAPEX">"c2559"</definedName>
    <definedName name="IQ_SUB_DEBT_PCT">"c2533"</definedName>
    <definedName name="IQ_SUB_LEASE_AFTER_FIVE">"c1207"</definedName>
    <definedName name="IQ_SUB_LEASE_INC_CY">"c1208"</definedName>
    <definedName name="IQ_SUB_LEASE_INC_CY1">"c1209"</definedName>
    <definedName name="IQ_SUB_LEASE_INC_CY2">"c1210"</definedName>
    <definedName name="IQ_SUB_LEASE_INC_CY3">"c1211"</definedName>
    <definedName name="IQ_SUB_LEASE_INC_CY4">"c1212"</definedName>
    <definedName name="IQ_SUB_LEASE_NEXT_FIVE">"c1213"</definedName>
    <definedName name="IQ_SVA">"c1214"</definedName>
    <definedName name="IQ_TARGET_PRICE_NUM">"c1653"</definedName>
    <definedName name="IQ_TARGET_PRICE_NUM_REUT">"c5319"</definedName>
    <definedName name="IQ_TARGET_PRICE_STDDEV">"c1654"</definedName>
    <definedName name="IQ_TARGET_PRICE_STDDEV_REUT">"c5320"</definedName>
    <definedName name="IQ_TAX_BENEFIT_CF_1YR">"c3483"</definedName>
    <definedName name="IQ_TAX_BENEFIT_CF_2YR">"c3484"</definedName>
    <definedName name="IQ_TAX_BENEFIT_CF_3YR">"c3485"</definedName>
    <definedName name="IQ_TAX_BENEFIT_CF_4YR">"c3486"</definedName>
    <definedName name="IQ_TAX_BENEFIT_CF_5YR">"c3487"</definedName>
    <definedName name="IQ_TAX_BENEFIT_CF_AFTER_FIVE">"c3488"</definedName>
    <definedName name="IQ_TAX_BENEFIT_CF_MAX_YEAR">"c3491"</definedName>
    <definedName name="IQ_TAX_BENEFIT_CF_NO_EXP">"c3489"</definedName>
    <definedName name="IQ_TAX_BENEFIT_CF_TOTAL">"c3490"</definedName>
    <definedName name="IQ_TAX_BENEFIT_OPTIONS">"c1215"</definedName>
    <definedName name="IQ_TAX_EQUIV_NET_INT_INC">"c1216"</definedName>
    <definedName name="IQ_TBV">"c1906"</definedName>
    <definedName name="IQ_TBV_10YR_ANN_GROWTH">"c1936"</definedName>
    <definedName name="IQ_TBV_1YR_ANN_GROWTH">"c1931"</definedName>
    <definedName name="IQ_TBV_2YR_ANN_GROWTH">"c1932"</definedName>
    <definedName name="IQ_TBV_3YR_ANN_GROWTH">"c1933"</definedName>
    <definedName name="IQ_TBV_5YR_ANN_GROWTH">"c1934"</definedName>
    <definedName name="IQ_TBV_7YR_ANN_GROWTH">"c1935"</definedName>
    <definedName name="IQ_TBV_SHARE">"c1217"</definedName>
    <definedName name="IQ_TEMPLATE">"c1521"</definedName>
    <definedName name="IQ_TENANT">"c1218"</definedName>
    <definedName name="IQ_TERM_LOANS">"c2499"</definedName>
    <definedName name="IQ_TERM_LOANS_PCT">"c2500"</definedName>
    <definedName name="IQ_TEV">"c1219"</definedName>
    <definedName name="IQ_TEV_EBIT">"c1220"</definedName>
    <definedName name="IQ_TEV_EBIT_AVG">"c1221"</definedName>
    <definedName name="IQ_TEV_EBITDA">"c1222"</definedName>
    <definedName name="IQ_TEV_EBITDA_AVG">"c1223"</definedName>
    <definedName name="IQ_TEV_EBITDA_FWD">"c1224"</definedName>
    <definedName name="IQ_TEV_EBITDA_FWD_REUT">"c4050"</definedName>
    <definedName name="IQ_TEV_EMPLOYEE_AVG">"c1225"</definedName>
    <definedName name="IQ_TEV_TOTAL_REV">"c1226"</definedName>
    <definedName name="IQ_TEV_TOTAL_REV_AVG">"c1227"</definedName>
    <definedName name="IQ_TEV_TOTAL_REV_FWD">"c1228"</definedName>
    <definedName name="IQ_TEV_TOTAL_REV_FWD_REUT">"c4051"</definedName>
    <definedName name="IQ_TEV_UFCF">"c2208"</definedName>
    <definedName name="IQ_TIER_ONE_CAPITAL">"c2667"</definedName>
    <definedName name="IQ_TIER_ONE_RATIO">"c1229"</definedName>
    <definedName name="IQ_TIER_TWO_CAPITAL">"c2669"</definedName>
    <definedName name="IQ_TIME_DEP">"c1230"</definedName>
    <definedName name="IQ_TODAY">0</definedName>
    <definedName name="IQ_TOT_ADJ_INC">"c1616"</definedName>
    <definedName name="IQ_TOTAL_AR_BR">"c1231"</definedName>
    <definedName name="IQ_TOTAL_AR_REIT">"c1232"</definedName>
    <definedName name="IQ_TOTAL_AR_UTI">"c1233"</definedName>
    <definedName name="IQ_TOTAL_ASSETS">"c1234"</definedName>
    <definedName name="IQ_TOTAL_ASSETS_10YR_ANN_GROWTH">"c1235"</definedName>
    <definedName name="IQ_TOTAL_ASSETS_1YR_ANN_GROWTH">"c1236"</definedName>
    <definedName name="IQ_TOTAL_ASSETS_2YR_ANN_GROWTH">"c1237"</definedName>
    <definedName name="IQ_TOTAL_ASSETS_3YR_ANN_GROWTH">"c1238"</definedName>
    <definedName name="IQ_TOTAL_ASSETS_5YR_ANN_GROWTH">"c1239"</definedName>
    <definedName name="IQ_TOTAL_ASSETS_7YR_ANN_GROWTH">"c1240"</definedName>
    <definedName name="IQ_TOTAL_AVG_CE_TOTAL_AVG_ASSETS">"c1241"</definedName>
    <definedName name="IQ_TOTAL_AVG_EQUITY_TOTAL_AVG_ASSETS">"c1242"</definedName>
    <definedName name="IQ_TOTAL_BANK_CAPITAL">"c2668"</definedName>
    <definedName name="IQ_TOTAL_CA">"c1243"</definedName>
    <definedName name="IQ_TOTAL_CAP">"c1507"</definedName>
    <definedName name="IQ_TOTAL_CAPITAL_RATIO">"c1244"</definedName>
    <definedName name="IQ_TOTAL_CASH_DIVID">"c1455"</definedName>
    <definedName name="IQ_TOTAL_CASH_FINAN">"c1352"</definedName>
    <definedName name="IQ_TOTAL_CASH_INVEST">"c1353"</definedName>
    <definedName name="IQ_TOTAL_CASH_OPER">"c1354"</definedName>
    <definedName name="IQ_TOTAL_CHURN">"c2122"</definedName>
    <definedName name="IQ_TOTAL_CL">"c1245"</definedName>
    <definedName name="IQ_TOTAL_COMMON">"c1411"</definedName>
    <definedName name="IQ_TOTAL_COMMON_EQUITY">"c1246"</definedName>
    <definedName name="IQ_TOTAL_CURRENT_ASSETS">"c1430"</definedName>
    <definedName name="IQ_TOTAL_CURRENT_LIAB">"c1431"</definedName>
    <definedName name="IQ_TOTAL_DEBT">"c1247"</definedName>
    <definedName name="IQ_TOTAL_DEBT_CAPITAL">"c1248"</definedName>
    <definedName name="IQ_TOTAL_DEBT_EBITDA">"c1249"</definedName>
    <definedName name="IQ_TOTAL_DEBT_EBITDA_CAPEX">"c2948"</definedName>
    <definedName name="IQ_TOTAL_DEBT_EQUITY">"c1250"</definedName>
    <definedName name="IQ_TOTAL_DEBT_EXCL_FIN">"c2937"</definedName>
    <definedName name="IQ_TOTAL_DEBT_ISSUED">"c1251"</definedName>
    <definedName name="IQ_TOTAL_DEBT_ISSUED_BNK">"c1252"</definedName>
    <definedName name="IQ_TOTAL_DEBT_ISSUED_BR">"c1253"</definedName>
    <definedName name="IQ_TOTAL_DEBT_ISSUED_FIN">"c1254"</definedName>
    <definedName name="IQ_TOTAL_DEBT_ISSUED_REIT">"c1255"</definedName>
    <definedName name="IQ_TOTAL_DEBT_ISSUED_UTI">"c1256"</definedName>
    <definedName name="IQ_TOTAL_DEBT_ISSUES_INS">"c1257"</definedName>
    <definedName name="IQ_TOTAL_DEBT_OVER_EBITDA">"c1433"</definedName>
    <definedName name="IQ_TOTAL_DEBT_OVER_TOTAL_BV">"c1434"</definedName>
    <definedName name="IQ_TOTAL_DEBT_OVER_TOTAL_CAP">"c1432"</definedName>
    <definedName name="IQ_TOTAL_DEBT_REPAID">"c1258"</definedName>
    <definedName name="IQ_TOTAL_DEBT_REPAID_BNK">"c1259"</definedName>
    <definedName name="IQ_TOTAL_DEBT_REPAID_BR">"c1260"</definedName>
    <definedName name="IQ_TOTAL_DEBT_REPAID_FIN">"c1261"</definedName>
    <definedName name="IQ_TOTAL_DEBT_REPAID_INS">"c1262"</definedName>
    <definedName name="IQ_TOTAL_DEBT_REPAID_REIT">"c1263"</definedName>
    <definedName name="IQ_TOTAL_DEBT_REPAID_UTI">"c1264"</definedName>
    <definedName name="IQ_TOTAL_DEPOSITS">"c1265"</definedName>
    <definedName name="IQ_TOTAL_DIV_PAID_CF">"c1266"</definedName>
    <definedName name="IQ_TOTAL_EMPLOYEE">"c2141"</definedName>
    <definedName name="IQ_TOTAL_EMPLOYEES">"c1522"</definedName>
    <definedName name="IQ_TOTAL_EQUITY">"c1267"</definedName>
    <definedName name="IQ_TOTAL_EQUITY_10YR_ANN_GROWTH">"c1268"</definedName>
    <definedName name="IQ_TOTAL_EQUITY_1YR_ANN_GROWTH">"c1269"</definedName>
    <definedName name="IQ_TOTAL_EQUITY_2YR_ANN_GROWTH">"c1270"</definedName>
    <definedName name="IQ_TOTAL_EQUITY_3YR_ANN_GROWTH">"c1271"</definedName>
    <definedName name="IQ_TOTAL_EQUITY_5YR_ANN_GROWTH">"c1272"</definedName>
    <definedName name="IQ_TOTAL_EQUITY_7YR_ANN_GROWTH">"c1273"</definedName>
    <definedName name="IQ_TOTAL_EQUITY_ALLOWANCE_TOTAL_LOANS">"c1274"</definedName>
    <definedName name="IQ_TOTAL_INTEREST_EXP">"c1382"</definedName>
    <definedName name="IQ_TOTAL_INVENTORY">"c1385"</definedName>
    <definedName name="IQ_TOTAL_INVEST">"c1275"</definedName>
    <definedName name="IQ_TOTAL_LIAB">"c1276"</definedName>
    <definedName name="IQ_TOTAL_LIAB_BNK">"c1277"</definedName>
    <definedName name="IQ_TOTAL_LIAB_BR">"c1278"</definedName>
    <definedName name="IQ_TOTAL_LIAB_EQUITY">"c1279"</definedName>
    <definedName name="IQ_TOTAL_LIAB_FIN">"c1280"</definedName>
    <definedName name="IQ_TOTAL_LIAB_INS">"c1281"</definedName>
    <definedName name="IQ_TOTAL_LIAB_REIT">"c1282"</definedName>
    <definedName name="IQ_TOTAL_LIAB_SHAREHOLD">"c1435"</definedName>
    <definedName name="IQ_TOTAL_LIAB_TOTAL_ASSETS">"c1283"</definedName>
    <definedName name="IQ_TOTAL_LONG_DEBT">"c1617"</definedName>
    <definedName name="IQ_TOTAL_NON_REC">"c1444"</definedName>
    <definedName name="IQ_TOTAL_OPER_EXP_BR">"c1284"</definedName>
    <definedName name="IQ_TOTAL_OPER_EXP_FIN">"c1285"</definedName>
    <definedName name="IQ_TOTAL_OPER_EXP_INS">"c1286"</definedName>
    <definedName name="IQ_TOTAL_OPER_EXP_REIT">"c1287"</definedName>
    <definedName name="IQ_TOTAL_OPER_EXP_UTI">"c1288"</definedName>
    <definedName name="IQ_TOTAL_OPER_EXPEN">"c1445"</definedName>
    <definedName name="IQ_TOTAL_OPTIONS_BEG_OS">"c2693"</definedName>
    <definedName name="IQ_TOTAL_OPTIONS_CANCELLED">"c2696"</definedName>
    <definedName name="IQ_TOTAL_OPTIONS_END_OS">"c2697"</definedName>
    <definedName name="IQ_TOTAL_OPTIONS_EXERCISED">"c2695"</definedName>
    <definedName name="IQ_TOTAL_OPTIONS_GRANTED">"c2694"</definedName>
    <definedName name="IQ_TOTAL_OTHER_OPER">"c1289"</definedName>
    <definedName name="IQ_TOTAL_OUTSTANDING_BS_DATE">"c1022"</definedName>
    <definedName name="IQ_TOTAL_OUTSTANDING_FILING_DATE">"c2107"</definedName>
    <definedName name="IQ_TOTAL_PENSION_ASSETS">"c1290"</definedName>
    <definedName name="IQ_TOTAL_PENSION_ASSETS_DOMESTIC">"c2658"</definedName>
    <definedName name="IQ_TOTAL_PENSION_ASSETS_FOREIGN">"c2666"</definedName>
    <definedName name="IQ_TOTAL_PENSION_EXP">"c1291"</definedName>
    <definedName name="IQ_TOTAL_PRINCIPAL">"c2509"</definedName>
    <definedName name="IQ_TOTAL_PRINCIPAL_PCT">"c2510"</definedName>
    <definedName name="IQ_TOTAL_PROVED_RESERVES_NGL">"c2924"</definedName>
    <definedName name="IQ_TOTAL_PROVED_RESERVES_OIL">"c2040"</definedName>
    <definedName name="IQ_TOTAL_RECEIV">"c1293"</definedName>
    <definedName name="IQ_TOTAL_REV">"c1294"</definedName>
    <definedName name="IQ_TOTAL_REV_10YR_ANN_GROWTH">"c1295"</definedName>
    <definedName name="IQ_TOTAL_REV_1YR_ANN_GROWTH">"c1296"</definedName>
    <definedName name="IQ_TOTAL_REV_2YR_ANN_GROWTH">"c1297"</definedName>
    <definedName name="IQ_TOTAL_REV_3YR_ANN_GROWTH">"c1298"</definedName>
    <definedName name="IQ_TOTAL_REV_5YR_ANN_GROWTH">"c1299"</definedName>
    <definedName name="IQ_TOTAL_REV_7YR_ANN_GROWTH">"c1300"</definedName>
    <definedName name="IQ_TOTAL_REV_AS_REPORTED">"c1301"</definedName>
    <definedName name="IQ_TOTAL_REV_BNK">"c1302"</definedName>
    <definedName name="IQ_TOTAL_REV_BR">"c1303"</definedName>
    <definedName name="IQ_TOTAL_REV_EMPLOYEE">"c1304"</definedName>
    <definedName name="IQ_TOTAL_REV_FIN">"c1305"</definedName>
    <definedName name="IQ_TOTAL_REV_INS">"c1306"</definedName>
    <definedName name="IQ_TOTAL_REV_REIT">"c1307"</definedName>
    <definedName name="IQ_TOTAL_REV_SHARE">"c1912"</definedName>
    <definedName name="IQ_TOTAL_REV_UTI">"c1308"</definedName>
    <definedName name="IQ_TOTAL_REVENUE">"c1436"</definedName>
    <definedName name="IQ_TOTAL_SPECIAL">"c1618"</definedName>
    <definedName name="IQ_TOTAL_ST_BORROW">"c1424"</definedName>
    <definedName name="IQ_TOTAL_SUB_DEBT">"c2528"</definedName>
    <definedName name="IQ_TOTAL_SUB_DEBT_EBITDA">"c2554"</definedName>
    <definedName name="IQ_TOTAL_SUB_DEBT_EBITDA_CAPEX">"c2555"</definedName>
    <definedName name="IQ_TOTAL_SUB_DEBT_PCT">"c2529"</definedName>
    <definedName name="IQ_TOTAL_SUBS">"c2119"</definedName>
    <definedName name="IQ_TOTAL_UNUSUAL">"c1508"</definedName>
    <definedName name="IQ_TOTAL_UNUSUAL_BNK">"c5516"</definedName>
    <definedName name="IQ_TOTAL_UNUSUAL_BR">"c5517"</definedName>
    <definedName name="IQ_TOTAL_UNUSUAL_FIN">"c5518"</definedName>
    <definedName name="IQ_TOTAL_UNUSUAL_INS">"c5519"</definedName>
    <definedName name="IQ_TOTAL_UNUSUAL_REIT">"c5520"</definedName>
    <definedName name="IQ_TOTAL_UNUSUAL_UTI">"c5521"</definedName>
    <definedName name="IQ_TOTAL_WARRANTS_BEG_OS">"c2719"</definedName>
    <definedName name="IQ_TOTAL_WARRANTS_CANCELLED">"c2722"</definedName>
    <definedName name="IQ_TOTAL_WARRANTS_END_OS">"c2723"</definedName>
    <definedName name="IQ_TOTAL_WARRANTS_EXERCISED">"c2721"</definedName>
    <definedName name="IQ_TOTAL_WARRANTS_ISSUED">"c2720"</definedName>
    <definedName name="IQ_TR_ACCT_METHOD">"c2363"</definedName>
    <definedName name="IQ_TR_ACQ_52_WK_HI_PCT">"c2348"</definedName>
    <definedName name="IQ_TR_ACQ_52_WK_LOW_PCT">"c2347"</definedName>
    <definedName name="IQ_TR_ACQ_CASH_ST_INVEST">"c2372"</definedName>
    <definedName name="IQ_TR_ACQ_CLOSEPRICE_1D">"c3027"</definedName>
    <definedName name="IQ_TR_ACQ_DILUT_EPS_EXCL">"c3028"</definedName>
    <definedName name="IQ_TR_ACQ_EARNING_CO">"c2379"</definedName>
    <definedName name="IQ_TR_ACQ_EBIT">"c2380"</definedName>
    <definedName name="IQ_TR_ACQ_EBIT_EQ_INC">"c3611"</definedName>
    <definedName name="IQ_TR_ACQ_EBITDA">"c2381"</definedName>
    <definedName name="IQ_TR_ACQ_EBITDA_EQ_INC">"c3610"</definedName>
    <definedName name="IQ_TR_ACQ_FILING_CURRENCY">"c3033"</definedName>
    <definedName name="IQ_TR_ACQ_FILINGDATE">"c3607"</definedName>
    <definedName name="IQ_TR_ACQ_MCAP_1DAY">"c2345"</definedName>
    <definedName name="IQ_TR_ACQ_MIN_INT">"c2374"</definedName>
    <definedName name="IQ_TR_ACQ_NET_DEBT">"c2373"</definedName>
    <definedName name="IQ_TR_ACQ_NI">"c2378"</definedName>
    <definedName name="IQ_TR_ACQ_PERIODDATE">"c3606"</definedName>
    <definedName name="IQ_TR_ACQ_PRICEDATE_1D">"c2346"</definedName>
    <definedName name="IQ_TR_ACQ_RETURN">"c2349"</definedName>
    <definedName name="IQ_TR_ACQ_STOCKYEARHIGH_1D">"c2343"</definedName>
    <definedName name="IQ_TR_ACQ_STOCKYEARLOW_1D">"c2344"</definedName>
    <definedName name="IQ_TR_ACQ_TOTAL_ASSETS">"c2371"</definedName>
    <definedName name="IQ_TR_ACQ_TOTAL_COMMON_EQ">"c2377"</definedName>
    <definedName name="IQ_TR_ACQ_TOTAL_DEBT">"c2376"</definedName>
    <definedName name="IQ_TR_ACQ_TOTAL_PREF">"c2375"</definedName>
    <definedName name="IQ_TR_ACQ_TOTAL_REV">"c2382"</definedName>
    <definedName name="IQ_TR_ADJ_SIZE">"c3024"</definedName>
    <definedName name="IQ_TR_ANN_DATE">"c2395"</definedName>
    <definedName name="IQ_TR_ANN_DATE_BL">"c2394"</definedName>
    <definedName name="IQ_TR_BID_DATE">"c2357"</definedName>
    <definedName name="IQ_TR_BLUESKY_FEES">"c2277"</definedName>
    <definedName name="IQ_TR_BUY_ACC_ADVISORS">"c3048"</definedName>
    <definedName name="IQ_TR_BUY_FIN_ADVISORS">"c3045"</definedName>
    <definedName name="IQ_TR_BUY_LEG_ADVISORS">"c2387"</definedName>
    <definedName name="IQ_TR_BUYER_ID">"c2404"</definedName>
    <definedName name="IQ_TR_BUYERNAME">"c2401"</definedName>
    <definedName name="IQ_TR_CANCELLED_DATE">"c2284"</definedName>
    <definedName name="IQ_TR_CASH_CONSID_PCT">"c2296"</definedName>
    <definedName name="IQ_TR_CASH_ST_INVEST">"c3025"</definedName>
    <definedName name="IQ_TR_CHANGE_CONTROL">"c2365"</definedName>
    <definedName name="IQ_TR_CLOSED_DATE">"c2283"</definedName>
    <definedName name="IQ_TR_CO_NET_PROCEEDS">"c2268"</definedName>
    <definedName name="IQ_TR_CO_NET_PROCEEDS_PCT">"c2270"</definedName>
    <definedName name="IQ_TR_COMMENTS">"c2383"</definedName>
    <definedName name="IQ_TR_CURRENCY">"c3016"</definedName>
    <definedName name="IQ_TR_DEAL_ATTITUDE">"c2364"</definedName>
    <definedName name="IQ_TR_DEAL_CONDITIONS">"c2367"</definedName>
    <definedName name="IQ_TR_DEAL_RESOLUTION">"c2391"</definedName>
    <definedName name="IQ_TR_DEAL_RESPONSES">"c2366"</definedName>
    <definedName name="IQ_TR_DEBT_CONSID_PCT">"c2299"</definedName>
    <definedName name="IQ_TR_DEF_AGRMT_DATE">"c2285"</definedName>
    <definedName name="IQ_TR_DISCLOSED_FEES_EXP">"c2288"</definedName>
    <definedName name="IQ_TR_EARNOUTS">"c3023"</definedName>
    <definedName name="IQ_TR_EXPIRED_DATE">"c2412"</definedName>
    <definedName name="IQ_TR_GROSS_OFFERING_AMT">"c2262"</definedName>
    <definedName name="IQ_TR_HYBRID_CONSID_PCT">"c2300"</definedName>
    <definedName name="IQ_TR_IMPLIED_EQ">"c3018"</definedName>
    <definedName name="IQ_TR_IMPLIED_EQ_BV">"c3019"</definedName>
    <definedName name="IQ_TR_IMPLIED_EQ_NI_LTM">"c3020"</definedName>
    <definedName name="IQ_TR_IMPLIED_EV">"c2301"</definedName>
    <definedName name="IQ_TR_IMPLIED_EV_BV">"c2306"</definedName>
    <definedName name="IQ_TR_IMPLIED_EV_EBIT">"c2302"</definedName>
    <definedName name="IQ_TR_IMPLIED_EV_EBITDA">"c2303"</definedName>
    <definedName name="IQ_TR_IMPLIED_EV_NI_LTM">"c2307"</definedName>
    <definedName name="IQ_TR_IMPLIED_EV_REV">"c2304"</definedName>
    <definedName name="IQ_TR_INIT_FILED_DATE">"c3495"</definedName>
    <definedName name="IQ_TR_LOI_DATE">"c2282"</definedName>
    <definedName name="IQ_TR_MAJ_MIN_STAKE">"c2389"</definedName>
    <definedName name="IQ_TR_NEGOTIATED_BUYBACK_PRICE">"c2414"</definedName>
    <definedName name="IQ_TR_NET_ASSUM_LIABILITIES">"c2308"</definedName>
    <definedName name="IQ_TR_NET_PROCEEDS">"c2267"</definedName>
    <definedName name="IQ_TR_OFFER_DATE">"c2265"</definedName>
    <definedName name="IQ_TR_OFFER_DATE_MA">"c3035"</definedName>
    <definedName name="IQ_TR_OFFER_PER_SHARE">"c3017"</definedName>
    <definedName name="IQ_TR_OPTIONS_CONSID_PCT">"c2311"</definedName>
    <definedName name="IQ_TR_OTHER_CONSID">"c3022"</definedName>
    <definedName name="IQ_TR_PCT_SOUGHT">"c2309"</definedName>
    <definedName name="IQ_TR_PFEATURES">"c2384"</definedName>
    <definedName name="IQ_TR_PIPE_CONV_PRICE_SHARE">"c2292"</definedName>
    <definedName name="IQ_TR_PIPE_CPN_PCT">"c2291"</definedName>
    <definedName name="IQ_TR_PIPE_NUMBER_SHARES">"c2293"</definedName>
    <definedName name="IQ_TR_PIPE_PPS">"c2290"</definedName>
    <definedName name="IQ_TR_POSTMONEY_VAL">"c2286"</definedName>
    <definedName name="IQ_TR_PREDEAL_SITUATION">"c2390"</definedName>
    <definedName name="IQ_TR_PREF_CONSID_PCT">"c2310"</definedName>
    <definedName name="IQ_TR_PREMONEY_VAL">"c2287"</definedName>
    <definedName name="IQ_TR_PRINTING_FEES">"c2276"</definedName>
    <definedName name="IQ_TR_PT_MONETARY_VALUES">"c2415"</definedName>
    <definedName name="IQ_TR_PT_NUMBER_SHARES">"c2417"</definedName>
    <definedName name="IQ_TR_PT_PCT_SHARES">"c2416"</definedName>
    <definedName name="IQ_TR_RATING_FEES">"c2275"</definedName>
    <definedName name="IQ_TR_REG_EFFECT_DATE">"c2264"</definedName>
    <definedName name="IQ_TR_REG_FILED_DATE">"c2263"</definedName>
    <definedName name="IQ_TR_RENEWAL_BUYBACK">"c2413"</definedName>
    <definedName name="IQ_TR_ROUND_NUMBER">"c2295"</definedName>
    <definedName name="IQ_TR_SEC_FEES">"c2274"</definedName>
    <definedName name="IQ_TR_SECURITY_TYPE_REG">"c2279"</definedName>
    <definedName name="IQ_TR_SELL_ACC_ADVISORS">"c3049"</definedName>
    <definedName name="IQ_TR_SELL_FIN_ADVISORS">"c3046"</definedName>
    <definedName name="IQ_TR_SELL_LEG_ADVISORS">"c2388"</definedName>
    <definedName name="IQ_TR_SELLER_ID">"c2406"</definedName>
    <definedName name="IQ_TR_SELLERNAME">"c2402"</definedName>
    <definedName name="IQ_TR_SFEATURES">"c2385"</definedName>
    <definedName name="IQ_TR_SH_NET_PROCEEDS">"c2269"</definedName>
    <definedName name="IQ_TR_SH_NET_PROCEEDS_PCT">"c2271"</definedName>
    <definedName name="IQ_TR_SPECIAL_COMMITTEE">"c2362"</definedName>
    <definedName name="IQ_TR_STATUS">"c2399"</definedName>
    <definedName name="IQ_TR_STOCK_CONSID_PCT">"c2312"</definedName>
    <definedName name="IQ_TR_SUSPENDED_DATE">"c2407"</definedName>
    <definedName name="IQ_TR_TARGET_52WKHI_PCT">"c2351"</definedName>
    <definedName name="IQ_TR_TARGET_52WKLOW_PCT">"c2350"</definedName>
    <definedName name="IQ_TR_TARGET_ACC_ADVISORS">"c3047"</definedName>
    <definedName name="IQ_TR_TARGET_CASH_ST_INVEST">"c2327"</definedName>
    <definedName name="IQ_TR_TARGET_CLOSEPRICE_1D">"c2352"</definedName>
    <definedName name="IQ_TR_TARGET_CLOSEPRICE_1M">"c2354"</definedName>
    <definedName name="IQ_TR_TARGET_CLOSEPRICE_1W">"c2353"</definedName>
    <definedName name="IQ_TR_TARGET_DILUT_EPS_EXCL">"c2324"</definedName>
    <definedName name="IQ_TR_TARGET_EARNING_CO">"c2332"</definedName>
    <definedName name="IQ_TR_TARGET_EBIT">"c2333"</definedName>
    <definedName name="IQ_TR_TARGET_EBIT_EQ_INC">"c3609"</definedName>
    <definedName name="IQ_TR_TARGET_EBITDA">"c2334"</definedName>
    <definedName name="IQ_TR_TARGET_EBITDA_EQ_INC">"c3608"</definedName>
    <definedName name="IQ_TR_TARGET_FILING_CURRENCY">"c3034"</definedName>
    <definedName name="IQ_TR_TARGET_FILINGDATE">"c3605"</definedName>
    <definedName name="IQ_TR_TARGET_FIN_ADVISORS">"c3044"</definedName>
    <definedName name="IQ_TR_TARGET_ID">"c2405"</definedName>
    <definedName name="IQ_TR_TARGET_LEG_ADVISORS">"c2386"</definedName>
    <definedName name="IQ_TR_TARGET_MARKETCAP">"c2342"</definedName>
    <definedName name="IQ_TR_TARGET_MIN_INT">"c2328"</definedName>
    <definedName name="IQ_TR_TARGET_NET_DEBT">"c2326"</definedName>
    <definedName name="IQ_TR_TARGET_NI">"c2331"</definedName>
    <definedName name="IQ_TR_TARGET_PERIODDATE">"c3604"</definedName>
    <definedName name="IQ_TR_TARGET_PRICEDATE_1D">"c2341"</definedName>
    <definedName name="IQ_TR_TARGET_RETURN">"c2355"</definedName>
    <definedName name="IQ_TR_TARGET_SEC_DETAIL">"c3021"</definedName>
    <definedName name="IQ_TR_TARGET_SEC_TI_ID">"c2368"</definedName>
    <definedName name="IQ_TR_TARGET_SEC_TYPE">"c2369"</definedName>
    <definedName name="IQ_TR_TARGET_SPD">"c2313"</definedName>
    <definedName name="IQ_TR_TARGET_SPD_PCT">"c2314"</definedName>
    <definedName name="IQ_TR_TARGET_STOCKPREMIUM_1D">"c2336"</definedName>
    <definedName name="IQ_TR_TARGET_STOCKPREMIUM_1M">"c2337"</definedName>
    <definedName name="IQ_TR_TARGET_STOCKPREMIUM_1W">"c2338"</definedName>
    <definedName name="IQ_TR_TARGET_STOCKYEARHIGH_1D">"c2339"</definedName>
    <definedName name="IQ_TR_TARGET_STOCKYEARLOW_1D">"c2340"</definedName>
    <definedName name="IQ_TR_TARGET_TOTAL_ASSETS">"c2325"</definedName>
    <definedName name="IQ_TR_TARGET_TOTAL_COMMON_EQ">"c2421"</definedName>
    <definedName name="IQ_TR_TARGET_TOTAL_DEBT">"c2330"</definedName>
    <definedName name="IQ_TR_TARGET_TOTAL_PREF">"c2329"</definedName>
    <definedName name="IQ_TR_TARGET_TOTAL_REV">"c2335"</definedName>
    <definedName name="IQ_TR_TARGETNAME">"c2403"</definedName>
    <definedName name="IQ_TR_TERM_FEE">"c2298"</definedName>
    <definedName name="IQ_TR_TERM_FEE_PCT">"c2297"</definedName>
    <definedName name="IQ_TR_TODATE">"c3036"</definedName>
    <definedName name="IQ_TR_TODATE_MONETARY_VALUE">"c2418"</definedName>
    <definedName name="IQ_TR_TODATE_NUMBER_SHARES">"c2420"</definedName>
    <definedName name="IQ_TR_TODATE_PCT_SHARES">"c2419"</definedName>
    <definedName name="IQ_TR_TOTAL_ACCT_FEES">"c2273"</definedName>
    <definedName name="IQ_TR_TOTAL_CASH">"c2315"</definedName>
    <definedName name="IQ_TR_TOTAL_CONSID_SH">"c2316"</definedName>
    <definedName name="IQ_TR_TOTAL_DEBT">"c2317"</definedName>
    <definedName name="IQ_TR_TOTAL_GROSS_TV">"c2318"</definedName>
    <definedName name="IQ_TR_TOTAL_HYBRID">"c2319"</definedName>
    <definedName name="IQ_TR_TOTAL_LEGAL_FEES">"c2272"</definedName>
    <definedName name="IQ_TR_TOTAL_NET_TV">"c2320"</definedName>
    <definedName name="IQ_TR_TOTAL_NEWMONEY">"c2289"</definedName>
    <definedName name="IQ_TR_TOTAL_OPTIONS">"c2322"</definedName>
    <definedName name="IQ_TR_TOTAL_OPTIONS_BUYER">"c3026"</definedName>
    <definedName name="IQ_TR_TOTAL_PREFERRED">"c2321"</definedName>
    <definedName name="IQ_TR_TOTAL_REG_AMT">"c2261"</definedName>
    <definedName name="IQ_TR_TOTAL_STOCK">"c2323"</definedName>
    <definedName name="IQ_TR_TOTAL_TAKEDOWNS">"c2278"</definedName>
    <definedName name="IQ_TR_TOTAL_UW_COMP">"c2280"</definedName>
    <definedName name="IQ_TR_TOTALVALUE">"c2400"</definedName>
    <definedName name="IQ_TR_TRANSACTION_TYPE">"c2398"</definedName>
    <definedName name="IQ_TR_WITHDRAWN_DTE">"c2266"</definedName>
    <definedName name="IQ_TRADE_AR">"c1345"</definedName>
    <definedName name="IQ_TRADE_PRINCIPAL">"c1309"</definedName>
    <definedName name="IQ_TRADING_ASSETS">"c1310"</definedName>
    <definedName name="IQ_TRADING_CURRENCY">"c2212"</definedName>
    <definedName name="IQ_TREASURY">"c1311"</definedName>
    <definedName name="IQ_TREASURY_OTHER_EQUITY">"c1312"</definedName>
    <definedName name="IQ_TREASURY_OTHER_EQUITY_BNK">"c1313"</definedName>
    <definedName name="IQ_TREASURY_OTHER_EQUITY_BR">"c1314"</definedName>
    <definedName name="IQ_TREASURY_OTHER_EQUITY_FIN">"c1315"</definedName>
    <definedName name="IQ_TREASURY_OTHER_EQUITY_INS">"c1316"</definedName>
    <definedName name="IQ_TREASURY_OTHER_EQUITY_REIT">"c1317"</definedName>
    <definedName name="IQ_TREASURY_OTHER_EQUITY_UTI">"c1318"</definedName>
    <definedName name="IQ_TREASURY_STOCK">"c1438"</definedName>
    <definedName name="IQ_TRUST_INC">"c1319"</definedName>
    <definedName name="IQ_TRUST_PREF">"c1320"</definedName>
    <definedName name="IQ_TRUST_PREFERRED">"c3029"</definedName>
    <definedName name="IQ_TRUST_PREFERRED_PCT">"c3030"</definedName>
    <definedName name="IQ_UFCF_10YR_ANN_GROWTH">"c1948"</definedName>
    <definedName name="IQ_UFCF_1YR_ANN_GROWTH">"c1943"</definedName>
    <definedName name="IQ_UFCF_2YR_ANN_GROWTH">"c1944"</definedName>
    <definedName name="IQ_UFCF_3YR_ANN_GROWTH">"c1945"</definedName>
    <definedName name="IQ_UFCF_5YR_ANN_GROWTH">"c1946"</definedName>
    <definedName name="IQ_UFCF_7YR_ANN_GROWTH">"c1947"</definedName>
    <definedName name="IQ_UFCF_MARGIN">"c1962"</definedName>
    <definedName name="IQ_ULT_PARENT">"c3037"</definedName>
    <definedName name="IQ_ULT_PARENT_CIQID">"c3039"</definedName>
    <definedName name="IQ_ULT_PARENT_TICKER">"c3038"</definedName>
    <definedName name="IQ_UNAMORT_DISC">"c2513"</definedName>
    <definedName name="IQ_UNAMORT_DISC_PCT">"c2514"</definedName>
    <definedName name="IQ_UNAMORT_PREMIUM">"c2511"</definedName>
    <definedName name="IQ_UNAMORT_PREMIUM_PCT">"c2512"</definedName>
    <definedName name="IQ_UNDRAWN_CP">"c2518"</definedName>
    <definedName name="IQ_UNDRAWN_CREDIT">"c3032"</definedName>
    <definedName name="IQ_UNDRAWN_RC">"c2517"</definedName>
    <definedName name="IQ_UNDRAWN_TL">"c2519"</definedName>
    <definedName name="IQ_UNEARN_PREMIUM">"c1321"</definedName>
    <definedName name="IQ_UNEARN_REV_CURRENT">"c1322"</definedName>
    <definedName name="IQ_UNEARN_REV_CURRENT_BNK">"c1323"</definedName>
    <definedName name="IQ_UNEARN_REV_CURRENT_BR">"c1324"</definedName>
    <definedName name="IQ_UNEARN_REV_CURRENT_FIN">"c1325"</definedName>
    <definedName name="IQ_UNEARN_REV_CURRENT_INS">"c1326"</definedName>
    <definedName name="IQ_UNEARN_REV_CURRENT_REIT">"c1327"</definedName>
    <definedName name="IQ_UNEARN_REV_CURRENT_UTI">"c1328"</definedName>
    <definedName name="IQ_UNEARN_REV_LT">"c1329"</definedName>
    <definedName name="IQ_UNLEVERED_FCF">"c1908"</definedName>
    <definedName name="IQ_UNPAID_CLAIMS">"c1330"</definedName>
    <definedName name="IQ_UNREALIZED_GAIN">"c1619"</definedName>
    <definedName name="IQ_UNSECURED_DEBT">"c2548"</definedName>
    <definedName name="IQ_UNSECURED_DEBT_PCT">"c2549"</definedName>
    <definedName name="IQ_UNUSUAL_EXP">"c1456"</definedName>
    <definedName name="IQ_US_GAAP">"c1331"</definedName>
    <definedName name="IQ_US_GAAP_BASIC_EPS_EXCL">"c2984"</definedName>
    <definedName name="IQ_US_GAAP_BASIC_EPS_INCL">"c2982"</definedName>
    <definedName name="IQ_US_GAAP_BASIC_WEIGHT">"c2980"</definedName>
    <definedName name="IQ_US_GAAP_CA_ADJ">"c2925"</definedName>
    <definedName name="IQ_US_GAAP_CASH_FINAN">"c2945"</definedName>
    <definedName name="IQ_US_GAAP_CASH_FINAN_ADJ">"c2941"</definedName>
    <definedName name="IQ_US_GAAP_CASH_INVEST">"c2944"</definedName>
    <definedName name="IQ_US_GAAP_CASH_INVEST_ADJ">"c2940"</definedName>
    <definedName name="IQ_US_GAAP_CASH_OPER">"c2943"</definedName>
    <definedName name="IQ_US_GAAP_CASH_OPER_ADJ">"c2939"</definedName>
    <definedName name="IQ_US_GAAP_CL_ADJ">"c2927"</definedName>
    <definedName name="IQ_US_GAAP_COST_REV_ADJ">"c2951"</definedName>
    <definedName name="IQ_US_GAAP_DILUT_EPS_EXCL">"c2985"</definedName>
    <definedName name="IQ_US_GAAP_DILUT_EPS_INCL">"c2983"</definedName>
    <definedName name="IQ_US_GAAP_DILUT_NI">"c2979"</definedName>
    <definedName name="IQ_US_GAAP_DILUT_WEIGHT">"c2981"</definedName>
    <definedName name="IQ_US_GAAP_DO_ADJ">"c2959"</definedName>
    <definedName name="IQ_US_GAAP_EXTRA_ACC_ITEMS_ADJ">"c2958"</definedName>
    <definedName name="IQ_US_GAAP_INC_TAX_ADJ">"c2961"</definedName>
    <definedName name="IQ_US_GAAP_INTEREST_EXP_ADJ">"c2957"</definedName>
    <definedName name="IQ_US_GAAP_LIAB_LT_ADJ">"c2928"</definedName>
    <definedName name="IQ_US_GAAP_LIAB_TOTAL_LIAB">"c2933"</definedName>
    <definedName name="IQ_US_GAAP_MINORITY_INTEREST_IS_ADJ">"c2960"</definedName>
    <definedName name="IQ_US_GAAP_NCA_ADJ">"c2926"</definedName>
    <definedName name="IQ_US_GAAP_NET_CHANGE">"c2946"</definedName>
    <definedName name="IQ_US_GAAP_NET_CHANGE_ADJ">"c2942"</definedName>
    <definedName name="IQ_US_GAAP_NI">"c2976"</definedName>
    <definedName name="IQ_US_GAAP_NI_ADJ">"c2963"</definedName>
    <definedName name="IQ_US_GAAP_NI_AVAIL_INCL">"c2978"</definedName>
    <definedName name="IQ_US_GAAP_OTHER_ADJ_ADJ">"c2962"</definedName>
    <definedName name="IQ_US_GAAP_OTHER_NON_OPER_ADJ">"c2955"</definedName>
    <definedName name="IQ_US_GAAP_OTHER_OPER_ADJ">"c2954"</definedName>
    <definedName name="IQ_US_GAAP_RD_ADJ">"c2953"</definedName>
    <definedName name="IQ_US_GAAP_SGA_ADJ">"c2952"</definedName>
    <definedName name="IQ_US_GAAP_TOTAL_ASSETS">"c2931"</definedName>
    <definedName name="IQ_US_GAAP_TOTAL_EQUITY">"c2934"</definedName>
    <definedName name="IQ_US_GAAP_TOTAL_EQUITY_ADJ">"c2929"</definedName>
    <definedName name="IQ_US_GAAP_TOTAL_REV_ADJ">"c2950"</definedName>
    <definedName name="IQ_US_GAAP_TOTAL_UNUSUAL_ADJ">"c2956"</definedName>
    <definedName name="IQ_UTIL_PPE_NET">"c1620"</definedName>
    <definedName name="IQ_UTIL_REV">"c2091"</definedName>
    <definedName name="IQ_UV_PENSION_LIAB">"c1332"</definedName>
    <definedName name="IQ_VALUE_TRADED_LAST_3MTH">"c1530"</definedName>
    <definedName name="IQ_VALUE_TRADED_LAST_6MTH">"c1531"</definedName>
    <definedName name="IQ_VALUE_TRADED_LAST_MTH">"c1529"</definedName>
    <definedName name="IQ_VALUE_TRADED_LAST_WK">"c1528"</definedName>
    <definedName name="IQ_VALUE_TRADED_LAST_YR">"c1532"</definedName>
    <definedName name="IQ_VOL_LAST_3MTH">"c1525"</definedName>
    <definedName name="IQ_VOL_LAST_6MTH">"c1526"</definedName>
    <definedName name="IQ_VOL_LAST_MTH">"c1524"</definedName>
    <definedName name="IQ_VOL_LAST_WK">"c1523"</definedName>
    <definedName name="IQ_VOL_LAST_YR">"c1527"</definedName>
    <definedName name="IQ_VOLUME">"c1333"</definedName>
    <definedName name="IQ_WARRANTS_BEG_OS">"c2698"</definedName>
    <definedName name="IQ_WARRANTS_CANCELLED">"c2701"</definedName>
    <definedName name="IQ_WARRANTS_END_OS">"c2702"</definedName>
    <definedName name="IQ_WARRANTS_EXERCISED">"c2700"</definedName>
    <definedName name="IQ_WARRANTS_ISSUED">"c2699"</definedName>
    <definedName name="IQ_WARRANTS_STRIKE_PRICE_ISSUED">"c2704"</definedName>
    <definedName name="IQ_WARRANTS_STRIKE_PRICE_OS">"c2703"</definedName>
    <definedName name="IQ_WEIGHTED_AVG_PRICE">"c1334"</definedName>
    <definedName name="IQ_WIP_INV">"c1335"</definedName>
    <definedName name="IQ_WORKING_CAP">"c3494"</definedName>
    <definedName name="IQ_WORKMEN_WRITTEN">"c1336"</definedName>
    <definedName name="IQ_XDIV_DATE">"c2203"</definedName>
    <definedName name="IQ_YEARHIGH">"c1337"</definedName>
    <definedName name="IQ_YEARHIGH_DATE">"c2250"</definedName>
    <definedName name="IQ_YEARLOW">"c1338"</definedName>
    <definedName name="IQ_YEARLOW_DATE">"c2251"</definedName>
    <definedName name="IQ_YTD">3000</definedName>
    <definedName name="IQ_YTW">"c2163"</definedName>
    <definedName name="IQ_YTW_DATE">"c2164"</definedName>
    <definedName name="IQ_YTW_DATE_TYPE">"c2165"</definedName>
    <definedName name="IQ_Z_SCORE">"c1339"</definedName>
    <definedName name="KeepVersions" localSheetId="19">IndexInformation!$B$8</definedName>
    <definedName name="LanguageCode">IndexInformation!$B$38</definedName>
    <definedName name="LastCell" localSheetId="1">ImportantDisclosures!$A$22</definedName>
    <definedName name="Linking_1" localSheetId="16">DCF!$B$1:$J$49</definedName>
    <definedName name="Linking_1">sumry!$A$5:$DO$60</definedName>
    <definedName name="Linking_3">bal!$A$6:$BI$54</definedName>
    <definedName name="Linking_4">flow!$A$8:$BF$34</definedName>
    <definedName name="Linking_5">flow!$A$8:$BF$54</definedName>
    <definedName name="Linking_Range_1" localSheetId="16">[11]Income!$A$2:$AH$87</definedName>
    <definedName name="Linking_Range_1">sumry!$A$5:$DF$60</definedName>
    <definedName name="Linking_Range_10">bal!$A$6:$AW$54</definedName>
    <definedName name="Linking_Range_11">bal!$A$6:$BA$54</definedName>
    <definedName name="Linking_Range_12">flow!$A$8:$AX$54</definedName>
    <definedName name="Linking_Range_13">sumry!$A$5:$DK$60</definedName>
    <definedName name="Linking_Range_14">bal!$A$6:$BC$54</definedName>
    <definedName name="Linking_Range_15">flow!$A$8:$AZ$54</definedName>
    <definedName name="Linking_Range_16">valuation!$C$2:$H$18</definedName>
    <definedName name="Linking_Range_17">sumry!$A$5:$DL$60</definedName>
    <definedName name="Linking_Range_2">bal!$A$6:$AO$54</definedName>
    <definedName name="Linking_Range_3">flow!$A$8:$AL$54</definedName>
    <definedName name="Linking_Range_4">sumry!$A$5:$DH$60</definedName>
    <definedName name="Linking_Range_5">flow!$A$8:$AP$54</definedName>
    <definedName name="Linking_Range_6">bal!$A$6:$AS$54</definedName>
    <definedName name="Linking_Range_7">flow!$A$7:$AP$54</definedName>
    <definedName name="Linking_Range_8">flow!$A$8:$AR$54</definedName>
    <definedName name="Linking_Range_9">sumry!$A$5:$DJ$60</definedName>
    <definedName name="lookup_period">[11]Income!$A$1:$IV$1</definedName>
    <definedName name="MacroVersion" localSheetId="19">IndexInformation!$B$1</definedName>
    <definedName name="me">"Button 5"</definedName>
    <definedName name="ModelPrice" localSheetId="1">ImportantDisclosures!$A$14</definedName>
    <definedName name="MtCap">10000000000</definedName>
    <definedName name="Multiplier" localSheetId="19">IndexInformation!$B$35</definedName>
    <definedName name="NextYearEPS" localSheetId="19">IndexInformation!$B$13</definedName>
    <definedName name="NextYearTotalRevenue" localSheetId="19">IndexInformation!$B$12</definedName>
    <definedName name="NextYearTotalRevenueActual" localSheetId="19">IndexInformation!$B$33</definedName>
    <definedName name="NVCURR">[15]I!$B$1:$U$51</definedName>
    <definedName name="ObjectType">IndexInformation!$B$37</definedName>
    <definedName name="OpMargin" localSheetId="18">OFFSET([0]!XRange2,5,0)</definedName>
    <definedName name="PANA" localSheetId="20">ModPubIndex!$A$11</definedName>
    <definedName name="PathName" localSheetId="19">IndexInformation!$B$25</definedName>
    <definedName name="Phase1NPVFCF" localSheetId="18">OFFSET([0]!XRange,39,0)</definedName>
    <definedName name="Phase2NPVFCF" localSheetId="18">OFFSET([0]!XRange,40,0)</definedName>
    <definedName name="Phase3NPVFCF" localSheetId="18">OFFSET([0]!XRange,41,0)</definedName>
    <definedName name="_xlnm.Print_Area" localSheetId="11">bal!$A$1:$BK$58</definedName>
    <definedName name="_xlnm.Print_Area" localSheetId="14">dtc!$A$1:$AP$61</definedName>
    <definedName name="_xlnm.Print_Area" localSheetId="12">flow!$A$1:$BF$57</definedName>
    <definedName name="_xlnm.Print_Area" localSheetId="8">'qtrP&amp;L'!$A$1:$DB$179</definedName>
    <definedName name="_xlnm.Print_Area" localSheetId="7">qtrSales!$A$1:$AN$191</definedName>
    <definedName name="_xlnm.Print_Area" localSheetId="6">segQtrSales!$A$1:$AN$346</definedName>
    <definedName name="_xlnm.Print_Area" localSheetId="4">sumry!$A$1:$DO$76</definedName>
    <definedName name="_xlnm.Print_Area" localSheetId="13">turn!$A$1:$AG$188</definedName>
    <definedName name="_xlnm.Print_Area" localSheetId="15">work!$A$1:$CF$48</definedName>
    <definedName name="_xlnm.Print_Area" localSheetId="10">'yrP&amp;L'!$A$1:$AI$63</definedName>
    <definedName name="_xlnm.Print_Area" localSheetId="9">yrSales!$A$1:$AJ$95</definedName>
    <definedName name="_xlnm.Print_Area">#REF!</definedName>
    <definedName name="_xlnm.Print_Titles" localSheetId="11">bal!$1:$6</definedName>
    <definedName name="_xlnm.Print_Titles" localSheetId="8">'qtrP&amp;L'!$A:$C,'qtrP&amp;L'!$1:$6</definedName>
    <definedName name="_xlnm.Print_Titles">#REF!</definedName>
    <definedName name="PRODUCT" localSheetId="20">ModPubIndex!$A$6</definedName>
    <definedName name="ProImportExport.ImportFile" localSheetId="16">DCF!ProImportExport.ImportFile</definedName>
    <definedName name="ProImportExport.ImportFile">[0]!ProImportExport.ImportFile</definedName>
    <definedName name="ProImportExport.SaveNewFile" localSheetId="16">DCF!ProImportExport.SaveNewFile</definedName>
    <definedName name="ProImportExport.SaveNewFile">[0]!ProImportExport.SaveNewFile</definedName>
    <definedName name="ProjectName" localSheetId="16">{"Client Name or Project Name"}</definedName>
    <definedName name="ProjectName">{"Client Name or Project Name"}</definedName>
    <definedName name="ProjectName_1">{"Client Name or Project Name"}</definedName>
    <definedName name="PSYM" localSheetId="20">ModPubIndex!$A$4</definedName>
    <definedName name="PublishDate" localSheetId="19">IndexInformation!$B$2</definedName>
    <definedName name="qtr_store_model">[11]Income!$BQ$103:$CB$171</definedName>
    <definedName name="Rating" localSheetId="19">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l_Forw" localSheetId="16">OFFSET(Date_Range,0,10,,1)</definedName>
    <definedName name="Rel_Forw">OFFSET(Date_Range,0,10,,1)</definedName>
    <definedName name="Rem_Bus_ROIC" localSheetId="18">OFFSET([0]!XRange,11,0)</definedName>
    <definedName name="RepairedName0359" hidden="1">"iQShowAnnual"</definedName>
    <definedName name="ResearchTopic" localSheetId="19">IndexInformation!$B$4</definedName>
    <definedName name="RIC" localSheetId="19">IndexInformation!$B$21</definedName>
    <definedName name="rngAppName" localSheetId="18">'MWA Lease'!$A$1</definedName>
    <definedName name="rngCompany" localSheetId="18">'MWA Lease'!$F$6</definedName>
    <definedName name="rngTicker" localSheetId="18">'MWA Lease'!$I$3</definedName>
    <definedName name="RNOA_Print">#N/A</definedName>
    <definedName name="s" localSheetId="16">{"Client Name or Project Name"}</definedName>
    <definedName name="s">{"Client Name or Project Name"}</definedName>
    <definedName name="sales_1">[11]Income!$A$113:$IV$113</definedName>
    <definedName name="sales_2">[11]Income!$A$114:$IV$114</definedName>
    <definedName name="sales_3">[11]Income!$A$115:$IV$115</definedName>
    <definedName name="SaveNewFile" localSheetId="16">DCF!SaveNewFile</definedName>
    <definedName name="SaveNewFile">[0]!SaveNewFile</definedName>
    <definedName name="SECSettlement" localSheetId="1">ImportantDisclosures!#REF!</definedName>
    <definedName name="SEDOL" localSheetId="19">IndexInformation!$B$22</definedName>
    <definedName name="SedolTicker" localSheetId="18">'MWA Lease'!$F$4</definedName>
    <definedName name="SourceDefined" localSheetId="1">ImportantDisclosures!$A$19</definedName>
    <definedName name="Sp">"       "</definedName>
    <definedName name="StockRating" localSheetId="1">ImportantDisclosures!$A$11</definedName>
    <definedName name="SubjectCode" localSheetId="19">IndexInformation!$B$6</definedName>
    <definedName name="SubmitterUserId">IndexInformation!$B$39</definedName>
    <definedName name="SUPPRESSED" localSheetId="20">ModPubIndex!$A$13</definedName>
    <definedName name="TargetPrice" localSheetId="1">ImportantDisclosures!$A$15</definedName>
    <definedName name="TemplateRegion">IndexInformation!$B$36</definedName>
    <definedName name="Ticker" localSheetId="1">ImportantDisclosures!$A$10</definedName>
    <definedName name="TickerRegion">IndexInformation!$B$41</definedName>
    <definedName name="Tickers" localSheetId="19">IndexInformation!$B$19</definedName>
    <definedName name="Total_Bus_ROIC" localSheetId="18">OFFSET([0]!XRange,12,0)</definedName>
    <definedName name="TRSLTicker">"CHS.N"</definedName>
    <definedName name="Update_This">[14]!Update_This</definedName>
    <definedName name="UpdateReason" localSheetId="19">IndexInformation!$B$17</definedName>
    <definedName name="USRegDisclosures" localSheetId="1">ImportantDisclosures!#REF!</definedName>
    <definedName name="ValidDateTable" localSheetId="16">[12]mwareDates!$B$2:$E$76</definedName>
    <definedName name="Version">"June 29, 2004"</definedName>
    <definedName name="WACC" localSheetId="18">OFFSET([0]!XRange,13,0)</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hidden="1">{#N/A,#N/A,FALSE,"Earnings";#N/A,#N/A,FALSE,"Overview";#N/A,#N/A,FALSE,"Summary";#N/A,#N/A,FALSE,"Summary II";#N/A,#N/A,FALSE,"R&amp;D";#N/A,#N/A,FALSE,"R&amp;D Forecast";#N/A,#N/A,FALSE,"Tax Adj";#N/A,#N/A,FALSE,"Goodwill";#N/A,#N/A,FALSE,"FX ";#N/A,#N/A,FALSE,"Consolidation";#N/A,#N/A,FALSE,"Provisions"}</definedName>
    <definedName name="xaxislabels">OFFSET([5]LIZ!$AD$31,0,0,COUNTA([5]LIZ!$AD$31:$AD$37)+1,1)</definedName>
  </definedNames>
  <calcPr calcId="145621" iterate="1" iterateCount="1000"/>
</workbook>
</file>

<file path=xl/calcChain.xml><?xml version="1.0" encoding="utf-8"?>
<calcChain xmlns="http://schemas.openxmlformats.org/spreadsheetml/2006/main">
  <c r="Y18" i="15" l="1"/>
  <c r="Y20" i="15"/>
  <c r="C34" i="72" l="1"/>
  <c r="AV38" i="3" l="1"/>
  <c r="AV13" i="3"/>
  <c r="CV31" i="1"/>
  <c r="AV59" i="23" l="1"/>
  <c r="AV53" i="23"/>
  <c r="AV47" i="23"/>
  <c r="AV35" i="23"/>
  <c r="AV29" i="23"/>
  <c r="G17" i="72"/>
  <c r="F17" i="72"/>
  <c r="E17" i="72"/>
  <c r="D2" i="72"/>
  <c r="E2" i="72"/>
  <c r="F2" i="72"/>
  <c r="G2" i="72"/>
  <c r="C2" i="72"/>
  <c r="G15" i="72"/>
  <c r="F15" i="72"/>
  <c r="E15" i="72"/>
  <c r="D15" i="72"/>
  <c r="C15" i="72"/>
  <c r="C13" i="72"/>
  <c r="C5" i="72"/>
  <c r="C4" i="72"/>
  <c r="AY6" i="2"/>
  <c r="AV8" i="3"/>
  <c r="H2" i="68"/>
  <c r="E3" i="68"/>
  <c r="H4" i="68"/>
  <c r="E4" i="68"/>
  <c r="G4" i="68"/>
  <c r="P122" i="67"/>
  <c r="P116" i="67"/>
  <c r="P112" i="67"/>
  <c r="P110" i="67"/>
  <c r="P109" i="67"/>
  <c r="P81" i="67"/>
  <c r="P75" i="67"/>
  <c r="P71" i="67"/>
  <c r="P69" i="67"/>
  <c r="P68" i="67"/>
  <c r="P104" i="67"/>
  <c r="P98" i="67"/>
  <c r="P95" i="67"/>
  <c r="P92" i="67"/>
  <c r="P91" i="67"/>
  <c r="P90" i="67"/>
  <c r="P93" i="67" s="1"/>
  <c r="P96" i="67" s="1"/>
  <c r="P101" i="67" s="1"/>
  <c r="P103" i="67" s="1"/>
  <c r="P88" i="67"/>
  <c r="P86" i="67"/>
  <c r="P63" i="67"/>
  <c r="P57" i="67"/>
  <c r="P54" i="67"/>
  <c r="P51" i="67"/>
  <c r="P50" i="67"/>
  <c r="P49" i="67"/>
  <c r="P52" i="67" s="1"/>
  <c r="P55" i="67" s="1"/>
  <c r="P60" i="67" s="1"/>
  <c r="P62" i="67" s="1"/>
  <c r="P47" i="67"/>
  <c r="P45" i="67"/>
  <c r="P106" i="67" l="1"/>
  <c r="P65" i="67"/>
  <c r="CR155" i="1" l="1"/>
  <c r="CR175" i="1"/>
  <c r="Y5" i="5"/>
  <c r="AV15" i="3"/>
  <c r="AV46" i="3" l="1"/>
  <c r="AV42" i="3"/>
  <c r="Z223" i="38"/>
  <c r="AB175" i="10"/>
  <c r="H175" i="10"/>
  <c r="Z331" i="38"/>
  <c r="J178" i="38"/>
  <c r="J223" i="38"/>
  <c r="J331" i="38"/>
  <c r="CQ13" i="11"/>
  <c r="CR13" i="11"/>
  <c r="CS117" i="1"/>
  <c r="CR77" i="1"/>
  <c r="CS33" i="1"/>
  <c r="CS23" i="1"/>
  <c r="Y73" i="15" l="1"/>
  <c r="CV172" i="1" l="1"/>
  <c r="CV173" i="1" s="1"/>
  <c r="CV174" i="1" s="1"/>
  <c r="CV171" i="1"/>
  <c r="H176" i="9" l="1"/>
  <c r="AB174" i="10"/>
  <c r="Z222" i="38"/>
  <c r="Z330" i="38"/>
  <c r="J330" i="38"/>
  <c r="J222" i="38"/>
  <c r="J177" i="38"/>
  <c r="CR134" i="1"/>
  <c r="Z175" i="9"/>
  <c r="Z177" i="38" s="1"/>
  <c r="S175" i="9"/>
  <c r="F175" i="9"/>
  <c r="H330" i="38"/>
  <c r="D330" i="38"/>
  <c r="H222" i="38"/>
  <c r="D222" i="38"/>
  <c r="H177" i="38"/>
  <c r="D177" i="38"/>
  <c r="CV175" i="1" l="1"/>
  <c r="AV58" i="23"/>
  <c r="AV52" i="23"/>
  <c r="AV46" i="23"/>
  <c r="AV34" i="23"/>
  <c r="AV28" i="23"/>
  <c r="CP36" i="11"/>
  <c r="CP42" i="11" s="1"/>
  <c r="CQ36" i="11"/>
  <c r="CR36" i="11"/>
  <c r="CQ30" i="11"/>
  <c r="CR30" i="11"/>
  <c r="CQ18" i="11"/>
  <c r="CR18" i="11"/>
  <c r="CQ24" i="11"/>
  <c r="CR24" i="11"/>
  <c r="CR12" i="11"/>
  <c r="CQ12" i="11"/>
  <c r="H174" i="10" l="1"/>
  <c r="AD174" i="10" s="1"/>
  <c r="AF174" i="10" s="1"/>
  <c r="CS116" i="1"/>
  <c r="CR76" i="1"/>
  <c r="CS32" i="1"/>
  <c r="CS22" i="1"/>
  <c r="CT15" i="1" l="1"/>
  <c r="DG77" i="20" l="1"/>
  <c r="DH77" i="20"/>
  <c r="DI77" i="20"/>
  <c r="DJ77" i="20"/>
  <c r="DF78" i="20" l="1"/>
  <c r="DG78" i="20"/>
  <c r="DH78" i="20"/>
  <c r="DI78" i="20"/>
  <c r="DJ78" i="20"/>
  <c r="DE78" i="20"/>
  <c r="S83" i="67" l="1"/>
  <c r="S42" i="67"/>
  <c r="H183" i="9"/>
  <c r="N149" i="74" l="1"/>
  <c r="O149" i="74" s="1"/>
  <c r="P149" i="74" s="1"/>
  <c r="Q149" i="74" s="1"/>
  <c r="R149" i="74" s="1"/>
  <c r="S149" i="74" s="1"/>
  <c r="T149" i="74" s="1"/>
  <c r="U149" i="74" s="1"/>
  <c r="V149" i="74" s="1"/>
  <c r="W149" i="74" s="1"/>
  <c r="M149" i="74"/>
  <c r="L149" i="74"/>
  <c r="K149" i="74"/>
  <c r="J149" i="74"/>
  <c r="I149" i="74"/>
  <c r="H149" i="74"/>
  <c r="C134" i="74"/>
  <c r="B133" i="74"/>
  <c r="B134" i="74" s="1"/>
  <c r="C132" i="74"/>
  <c r="C131" i="74"/>
  <c r="B131" i="74"/>
  <c r="B132" i="74" s="1"/>
  <c r="C133" i="74" s="1"/>
  <c r="C130" i="74"/>
  <c r="C129" i="74"/>
  <c r="C128" i="74"/>
  <c r="C127" i="74"/>
  <c r="C126" i="74"/>
  <c r="C125" i="74"/>
  <c r="C124" i="74"/>
  <c r="C123" i="74"/>
  <c r="C122" i="74"/>
  <c r="C121" i="74"/>
  <c r="C120" i="74"/>
  <c r="C119" i="74"/>
  <c r="C118" i="74"/>
  <c r="C117" i="74"/>
  <c r="C116" i="74"/>
  <c r="C115" i="74"/>
  <c r="C114" i="74"/>
  <c r="C113" i="74"/>
  <c r="P116" i="74"/>
  <c r="O116" i="74"/>
  <c r="N116" i="74"/>
  <c r="M116" i="74"/>
  <c r="L116" i="74"/>
  <c r="K116" i="74"/>
  <c r="J116" i="74"/>
  <c r="P115" i="74"/>
  <c r="O115" i="74"/>
  <c r="N115" i="74"/>
  <c r="M115" i="74"/>
  <c r="L115" i="74"/>
  <c r="K115" i="74"/>
  <c r="J115" i="74"/>
  <c r="P114" i="74"/>
  <c r="O114" i="74"/>
  <c r="N114" i="74"/>
  <c r="M114" i="74"/>
  <c r="L114" i="74"/>
  <c r="K114" i="74"/>
  <c r="J114" i="74"/>
  <c r="P113" i="74"/>
  <c r="O113" i="74"/>
  <c r="N113" i="74"/>
  <c r="M113" i="74"/>
  <c r="L113" i="74"/>
  <c r="K113" i="74"/>
  <c r="J113" i="74"/>
  <c r="P112" i="74"/>
  <c r="O112" i="74"/>
  <c r="N112" i="74"/>
  <c r="M112" i="74"/>
  <c r="L112" i="74"/>
  <c r="K112" i="74"/>
  <c r="J112" i="74"/>
  <c r="K83" i="74"/>
  <c r="P82" i="74"/>
  <c r="Q82" i="74" s="1"/>
  <c r="R82" i="74" s="1"/>
  <c r="O82" i="74"/>
  <c r="N82" i="74"/>
  <c r="N83" i="74" s="1"/>
  <c r="M82" i="74"/>
  <c r="N117" i="74" s="1"/>
  <c r="L82" i="74"/>
  <c r="L83" i="74" s="1"/>
  <c r="K82" i="74"/>
  <c r="J82" i="74"/>
  <c r="J83" i="74" s="1"/>
  <c r="I82" i="74"/>
  <c r="S82" i="74" l="1"/>
  <c r="L84" i="74"/>
  <c r="N84" i="74"/>
  <c r="K117" i="74"/>
  <c r="K84" i="74"/>
  <c r="J117" i="74"/>
  <c r="L117" i="74"/>
  <c r="K118" i="74"/>
  <c r="L118" i="74"/>
  <c r="M117" i="74"/>
  <c r="O117" i="74"/>
  <c r="I83" i="74"/>
  <c r="J118" i="74" s="1"/>
  <c r="N85" i="74"/>
  <c r="J84" i="74"/>
  <c r="K119" i="74" s="1"/>
  <c r="P117" i="74"/>
  <c r="O118" i="74"/>
  <c r="O83" i="74"/>
  <c r="P83" i="74"/>
  <c r="P84" i="74" s="1"/>
  <c r="C135" i="74"/>
  <c r="B135" i="74"/>
  <c r="M118" i="74"/>
  <c r="M83" i="74"/>
  <c r="M84" i="74" s="1"/>
  <c r="N119" i="74" s="1"/>
  <c r="Q81" i="74"/>
  <c r="R81" i="74" s="1"/>
  <c r="Q80" i="74"/>
  <c r="Q79" i="74"/>
  <c r="Q78" i="74"/>
  <c r="Q77" i="74"/>
  <c r="R77" i="74" s="1"/>
  <c r="Q76" i="74"/>
  <c r="P72" i="74"/>
  <c r="O72" i="74"/>
  <c r="N72" i="74"/>
  <c r="M72" i="74"/>
  <c r="L72" i="74"/>
  <c r="K72" i="74"/>
  <c r="J72" i="74"/>
  <c r="I72" i="74"/>
  <c r="H72" i="74"/>
  <c r="M119" i="74" l="1"/>
  <c r="Q84" i="74"/>
  <c r="O119" i="74"/>
  <c r="R80" i="74"/>
  <c r="S81" i="74"/>
  <c r="Q83" i="74"/>
  <c r="K85" i="74"/>
  <c r="L120" i="74" s="1"/>
  <c r="R79" i="74"/>
  <c r="P118" i="74"/>
  <c r="J85" i="74"/>
  <c r="K120" i="74" s="1"/>
  <c r="N86" i="74"/>
  <c r="N87" i="74" s="1"/>
  <c r="R78" i="74"/>
  <c r="M85" i="74"/>
  <c r="B136" i="74"/>
  <c r="C136" i="74"/>
  <c r="I84" i="74"/>
  <c r="L85" i="74"/>
  <c r="L86" i="74" s="1"/>
  <c r="T82" i="74"/>
  <c r="R76" i="74"/>
  <c r="S77" i="74"/>
  <c r="N118" i="74"/>
  <c r="P85" i="74"/>
  <c r="P86" i="74" s="1"/>
  <c r="O84" i="74"/>
  <c r="P119" i="74" s="1"/>
  <c r="L119" i="74"/>
  <c r="P66" i="74"/>
  <c r="O66" i="74"/>
  <c r="N66" i="74"/>
  <c r="M66" i="74"/>
  <c r="L66" i="74"/>
  <c r="K66" i="74"/>
  <c r="J66" i="74"/>
  <c r="I66" i="74"/>
  <c r="P63" i="74"/>
  <c r="Q63" i="74" s="1"/>
  <c r="R63" i="74" s="1"/>
  <c r="S63" i="74" s="1"/>
  <c r="T63" i="74" s="1"/>
  <c r="U63" i="74" s="1"/>
  <c r="V63" i="74" s="1"/>
  <c r="W63" i="74" s="1"/>
  <c r="O63" i="74"/>
  <c r="O64" i="74" s="1"/>
  <c r="N63" i="74"/>
  <c r="M63" i="74"/>
  <c r="N64" i="74" s="1"/>
  <c r="L63" i="74"/>
  <c r="K63" i="74"/>
  <c r="J63" i="74"/>
  <c r="I63" i="74"/>
  <c r="J64" i="74" s="1"/>
  <c r="L64" i="74" l="1"/>
  <c r="M120" i="74"/>
  <c r="L67" i="74"/>
  <c r="J86" i="74"/>
  <c r="N67" i="74"/>
  <c r="O67" i="74"/>
  <c r="J67" i="74"/>
  <c r="K67" i="74"/>
  <c r="P67" i="74"/>
  <c r="M67" i="74"/>
  <c r="S79" i="74"/>
  <c r="R83" i="74"/>
  <c r="R84" i="74"/>
  <c r="O120" i="74"/>
  <c r="J87" i="74"/>
  <c r="J88" i="74" s="1"/>
  <c r="T77" i="74"/>
  <c r="J119" i="74"/>
  <c r="I85" i="74"/>
  <c r="M121" i="74"/>
  <c r="N88" i="74"/>
  <c r="T81" i="74"/>
  <c r="K64" i="74"/>
  <c r="Q85" i="74"/>
  <c r="S76" i="74"/>
  <c r="O85" i="74"/>
  <c r="N120" i="74"/>
  <c r="S80" i="74"/>
  <c r="M64" i="74"/>
  <c r="U82" i="74"/>
  <c r="L87" i="74"/>
  <c r="L88" i="74" s="1"/>
  <c r="K121" i="74"/>
  <c r="P64" i="74"/>
  <c r="Q86" i="74"/>
  <c r="S78" i="74"/>
  <c r="M86" i="74"/>
  <c r="P87" i="74"/>
  <c r="C137" i="74"/>
  <c r="B137" i="74"/>
  <c r="K86" i="74"/>
  <c r="K87" i="74" s="1"/>
  <c r="P48" i="74"/>
  <c r="O48" i="74"/>
  <c r="N48" i="74"/>
  <c r="M48" i="74"/>
  <c r="L48" i="74"/>
  <c r="K48" i="74"/>
  <c r="J48" i="74"/>
  <c r="I48" i="74"/>
  <c r="R47" i="74"/>
  <c r="S47" i="74" s="1"/>
  <c r="T47" i="74" s="1"/>
  <c r="U47" i="74" s="1"/>
  <c r="V47" i="74" s="1"/>
  <c r="W47" i="74" s="1"/>
  <c r="Q47" i="74"/>
  <c r="Q45" i="74"/>
  <c r="Q119" i="74" s="1"/>
  <c r="R7" i="74"/>
  <c r="S7" i="74" s="1"/>
  <c r="T7" i="74" s="1"/>
  <c r="U7" i="74" s="1"/>
  <c r="V7" i="74" s="1"/>
  <c r="W7" i="74" s="1"/>
  <c r="Q7" i="74"/>
  <c r="O7" i="74"/>
  <c r="N7" i="74" s="1"/>
  <c r="M7" i="74"/>
  <c r="P5" i="74"/>
  <c r="O5" i="74"/>
  <c r="N5" i="74"/>
  <c r="I4" i="74"/>
  <c r="H78" i="74"/>
  <c r="H79" i="74"/>
  <c r="N190" i="74"/>
  <c r="H68" i="74"/>
  <c r="H194" i="74"/>
  <c r="P190" i="74"/>
  <c r="H195" i="74"/>
  <c r="H196" i="74"/>
  <c r="H80" i="74"/>
  <c r="O190" i="74"/>
  <c r="H81" i="74"/>
  <c r="G56" i="74"/>
  <c r="H76" i="74"/>
  <c r="H77" i="74"/>
  <c r="H117" i="74" l="1"/>
  <c r="I116" i="74"/>
  <c r="H116" i="74"/>
  <c r="I115" i="74"/>
  <c r="H115" i="74"/>
  <c r="I114" i="74"/>
  <c r="H114" i="74"/>
  <c r="I113" i="74"/>
  <c r="I112" i="74"/>
  <c r="H113" i="74"/>
  <c r="H112" i="74"/>
  <c r="H63" i="74"/>
  <c r="I64" i="74" s="1"/>
  <c r="H82" i="74"/>
  <c r="H66" i="74"/>
  <c r="I67" i="74" s="1"/>
  <c r="Q9" i="74"/>
  <c r="P9" i="74"/>
  <c r="W9" i="74"/>
  <c r="O9" i="74"/>
  <c r="U9" i="74"/>
  <c r="M9" i="74"/>
  <c r="T9" i="74"/>
  <c r="V9" i="74"/>
  <c r="S9" i="74"/>
  <c r="R9" i="74"/>
  <c r="N9" i="74"/>
  <c r="J120" i="74"/>
  <c r="I86" i="74"/>
  <c r="L89" i="74"/>
  <c r="L90" i="74" s="1"/>
  <c r="L91" i="74" s="1"/>
  <c r="S83" i="74"/>
  <c r="M122" i="74"/>
  <c r="M87" i="74"/>
  <c r="N121" i="74"/>
  <c r="U77" i="74"/>
  <c r="M5" i="74"/>
  <c r="L7" i="74"/>
  <c r="L9" i="74" s="1"/>
  <c r="K123" i="74"/>
  <c r="L122" i="74"/>
  <c r="K122" i="74"/>
  <c r="Q122" i="74"/>
  <c r="R86" i="74"/>
  <c r="J89" i="74"/>
  <c r="J90" i="74" s="1"/>
  <c r="K88" i="74"/>
  <c r="U81" i="74"/>
  <c r="L121" i="74"/>
  <c r="T80" i="74"/>
  <c r="Q121" i="74"/>
  <c r="R85" i="74"/>
  <c r="T79" i="74"/>
  <c r="O86" i="74"/>
  <c r="P88" i="74"/>
  <c r="V82" i="74"/>
  <c r="Q112" i="74"/>
  <c r="Q115" i="74"/>
  <c r="Q116" i="74"/>
  <c r="Q113" i="74"/>
  <c r="Q118" i="74"/>
  <c r="Q114" i="74"/>
  <c r="Q117" i="74"/>
  <c r="B138" i="74"/>
  <c r="C138" i="74"/>
  <c r="O121" i="74"/>
  <c r="P120" i="74"/>
  <c r="S84" i="74"/>
  <c r="Q87" i="74"/>
  <c r="R45" i="74"/>
  <c r="T78" i="74"/>
  <c r="T76" i="74"/>
  <c r="N89" i="74"/>
  <c r="Q120" i="74"/>
  <c r="H4" i="74"/>
  <c r="M190" i="74"/>
  <c r="C4" i="74"/>
  <c r="K124" i="74" l="1"/>
  <c r="O87" i="74"/>
  <c r="O88" i="74" s="1"/>
  <c r="L187" i="74"/>
  <c r="L74" i="74"/>
  <c r="L110" i="74" s="1"/>
  <c r="L147" i="74" s="1"/>
  <c r="L8" i="74"/>
  <c r="U76" i="74"/>
  <c r="R117" i="74"/>
  <c r="R113" i="74"/>
  <c r="R115" i="74"/>
  <c r="R116" i="74"/>
  <c r="R118" i="74"/>
  <c r="R112" i="74"/>
  <c r="S45" i="74"/>
  <c r="S119" i="74" s="1"/>
  <c r="R114" i="74"/>
  <c r="J91" i="74"/>
  <c r="U80" i="74"/>
  <c r="P89" i="74"/>
  <c r="P90" i="74" s="1"/>
  <c r="R122" i="74"/>
  <c r="S86" i="74"/>
  <c r="T74" i="74"/>
  <c r="T110" i="74" s="1"/>
  <c r="T147" i="74" s="1"/>
  <c r="T8" i="74"/>
  <c r="Q74" i="74"/>
  <c r="Q110" i="74" s="1"/>
  <c r="Q147" i="74" s="1"/>
  <c r="Q8" i="74"/>
  <c r="R120" i="74"/>
  <c r="C139" i="74"/>
  <c r="B139" i="74"/>
  <c r="O122" i="74"/>
  <c r="P121" i="74"/>
  <c r="M187" i="74"/>
  <c r="M74" i="74"/>
  <c r="M110" i="74" s="1"/>
  <c r="M147" i="74" s="1"/>
  <c r="M8" i="74"/>
  <c r="W82" i="74"/>
  <c r="L5" i="74"/>
  <c r="K7" i="74"/>
  <c r="H118" i="74"/>
  <c r="I117" i="74"/>
  <c r="H83" i="74"/>
  <c r="N187" i="74"/>
  <c r="N74" i="74"/>
  <c r="N110" i="74" s="1"/>
  <c r="N147" i="74" s="1"/>
  <c r="N8" i="74"/>
  <c r="V77" i="74"/>
  <c r="M88" i="74"/>
  <c r="M89" i="74" s="1"/>
  <c r="L92" i="74"/>
  <c r="L93" i="74" s="1"/>
  <c r="J121" i="74"/>
  <c r="R74" i="74"/>
  <c r="R110" i="74" s="1"/>
  <c r="R147" i="74" s="1"/>
  <c r="R8" i="74"/>
  <c r="W74" i="74"/>
  <c r="W110" i="74" s="1"/>
  <c r="W147" i="74" s="1"/>
  <c r="W8" i="74"/>
  <c r="Q88" i="74"/>
  <c r="T84" i="74"/>
  <c r="V81" i="74"/>
  <c r="R119" i="74"/>
  <c r="O187" i="74"/>
  <c r="O74" i="74"/>
  <c r="O110" i="74" s="1"/>
  <c r="O147" i="74" s="1"/>
  <c r="O8" i="74"/>
  <c r="L123" i="74"/>
  <c r="I87" i="74"/>
  <c r="S74" i="74"/>
  <c r="S110" i="74" s="1"/>
  <c r="S147" i="74" s="1"/>
  <c r="S8" i="74"/>
  <c r="P187" i="74"/>
  <c r="P74" i="74"/>
  <c r="P110" i="74" s="1"/>
  <c r="P147" i="74" s="1"/>
  <c r="P8" i="74"/>
  <c r="U79" i="74"/>
  <c r="M123" i="74"/>
  <c r="N122" i="74"/>
  <c r="T83" i="74"/>
  <c r="U74" i="74"/>
  <c r="U110" i="74" s="1"/>
  <c r="U147" i="74" s="1"/>
  <c r="U8" i="74"/>
  <c r="P122" i="74"/>
  <c r="R121" i="74"/>
  <c r="S85" i="74"/>
  <c r="N90" i="74"/>
  <c r="N91" i="74" s="1"/>
  <c r="N92" i="74" s="1"/>
  <c r="U78" i="74"/>
  <c r="Q123" i="74"/>
  <c r="R87" i="74"/>
  <c r="K89" i="74"/>
  <c r="J92" i="74"/>
  <c r="J93" i="74" s="1"/>
  <c r="J94" i="74" s="1"/>
  <c r="V74" i="74"/>
  <c r="V110" i="74" s="1"/>
  <c r="V147" i="74" s="1"/>
  <c r="V8" i="74"/>
  <c r="L190" i="74"/>
  <c r="S120" i="74" l="1"/>
  <c r="O124" i="74"/>
  <c r="P123" i="74"/>
  <c r="O89" i="74"/>
  <c r="P124" i="74" s="1"/>
  <c r="O123" i="74"/>
  <c r="Q90" i="74"/>
  <c r="L94" i="74"/>
  <c r="L95" i="74" s="1"/>
  <c r="L96" i="74" s="1"/>
  <c r="J95" i="74"/>
  <c r="J96" i="74" s="1"/>
  <c r="K5" i="74"/>
  <c r="J7" i="74"/>
  <c r="K9" i="74"/>
  <c r="V78" i="74"/>
  <c r="U83" i="74"/>
  <c r="M124" i="74"/>
  <c r="N123" i="74"/>
  <c r="T120" i="74"/>
  <c r="U84" i="74"/>
  <c r="W77" i="74"/>
  <c r="V76" i="74"/>
  <c r="K125" i="74"/>
  <c r="L124" i="74"/>
  <c r="K90" i="74"/>
  <c r="M125" i="74"/>
  <c r="N124" i="74"/>
  <c r="B140" i="74"/>
  <c r="C140" i="74"/>
  <c r="J122" i="74"/>
  <c r="I88" i="74"/>
  <c r="I89" i="74"/>
  <c r="I90" i="74"/>
  <c r="W81" i="74"/>
  <c r="R88" i="74"/>
  <c r="Q124" i="74"/>
  <c r="S122" i="74"/>
  <c r="T86" i="74"/>
  <c r="H119" i="74"/>
  <c r="I118" i="74"/>
  <c r="Q89" i="74"/>
  <c r="R123" i="74"/>
  <c r="S87" i="74"/>
  <c r="N93" i="74"/>
  <c r="N94" i="74"/>
  <c r="S121" i="74"/>
  <c r="T85" i="74"/>
  <c r="V79" i="74"/>
  <c r="P91" i="74"/>
  <c r="P92" i="74" s="1"/>
  <c r="H84" i="74"/>
  <c r="M90" i="74"/>
  <c r="V80" i="74"/>
  <c r="S117" i="74"/>
  <c r="S113" i="74"/>
  <c r="T45" i="74"/>
  <c r="T119" i="74" s="1"/>
  <c r="S115" i="74"/>
  <c r="S118" i="74"/>
  <c r="S116" i="74"/>
  <c r="S112" i="74"/>
  <c r="S114" i="74"/>
  <c r="X11" i="5"/>
  <c r="V11" i="5"/>
  <c r="W11" i="5"/>
  <c r="K190" i="74"/>
  <c r="X12" i="5" l="1"/>
  <c r="O90" i="74"/>
  <c r="O125" i="74"/>
  <c r="J97" i="74"/>
  <c r="Q92" i="74"/>
  <c r="L97" i="74"/>
  <c r="W76" i="74"/>
  <c r="J124" i="74"/>
  <c r="C141" i="74"/>
  <c r="B141" i="74"/>
  <c r="J123" i="74"/>
  <c r="S88" i="74"/>
  <c r="R124" i="74"/>
  <c r="O126" i="74"/>
  <c r="V84" i="74"/>
  <c r="T122" i="74"/>
  <c r="U86" i="74"/>
  <c r="I7" i="74"/>
  <c r="J5" i="74"/>
  <c r="J9" i="74"/>
  <c r="Q91" i="74"/>
  <c r="M126" i="74"/>
  <c r="N125" i="74"/>
  <c r="M91" i="74"/>
  <c r="M92" i="74" s="1"/>
  <c r="P93" i="74"/>
  <c r="R90" i="74"/>
  <c r="Q126" i="74"/>
  <c r="W80" i="74"/>
  <c r="W79" i="74"/>
  <c r="W78" i="74"/>
  <c r="U45" i="74"/>
  <c r="U120" i="74" s="1"/>
  <c r="T113" i="74"/>
  <c r="T117" i="74"/>
  <c r="T115" i="74"/>
  <c r="T118" i="74"/>
  <c r="T112" i="74"/>
  <c r="T114" i="74"/>
  <c r="T116" i="74"/>
  <c r="T121" i="74"/>
  <c r="U85" i="74"/>
  <c r="S123" i="74"/>
  <c r="T87" i="74"/>
  <c r="R89" i="74"/>
  <c r="Q125" i="74"/>
  <c r="I91" i="74"/>
  <c r="J125" i="74"/>
  <c r="H120" i="74"/>
  <c r="I119" i="74"/>
  <c r="H85" i="74"/>
  <c r="H86" i="74" s="1"/>
  <c r="K126" i="74"/>
  <c r="K91" i="74"/>
  <c r="K92" i="74" s="1"/>
  <c r="L125" i="74"/>
  <c r="N95" i="74"/>
  <c r="U119" i="74"/>
  <c r="V83" i="74"/>
  <c r="K187" i="74"/>
  <c r="K74" i="74"/>
  <c r="K110" i="74" s="1"/>
  <c r="K147" i="74" s="1"/>
  <c r="K8" i="74"/>
  <c r="CY31" i="1"/>
  <c r="DC30" i="1"/>
  <c r="CY30" i="1"/>
  <c r="J190" i="74"/>
  <c r="J98" i="74" l="1"/>
  <c r="J99" i="74" s="1"/>
  <c r="O91" i="74"/>
  <c r="P125" i="74"/>
  <c r="K93" i="74"/>
  <c r="K94" i="74" s="1"/>
  <c r="L128" i="74"/>
  <c r="J126" i="74"/>
  <c r="I92" i="74"/>
  <c r="R125" i="74"/>
  <c r="S89" i="74"/>
  <c r="H122" i="74"/>
  <c r="I121" i="74"/>
  <c r="T123" i="74"/>
  <c r="U87" i="74"/>
  <c r="M127" i="74"/>
  <c r="N126" i="74"/>
  <c r="W83" i="74"/>
  <c r="R91" i="74"/>
  <c r="Q127" i="74"/>
  <c r="M128" i="74"/>
  <c r="M93" i="74"/>
  <c r="N127" i="74"/>
  <c r="S90" i="74"/>
  <c r="R126" i="74"/>
  <c r="J187" i="74"/>
  <c r="J74" i="74"/>
  <c r="J110" i="74" s="1"/>
  <c r="J147" i="74" s="1"/>
  <c r="J8" i="74"/>
  <c r="S124" i="74"/>
  <c r="T88" i="74"/>
  <c r="K128" i="74"/>
  <c r="L127" i="74"/>
  <c r="Q93" i="74"/>
  <c r="P94" i="74"/>
  <c r="R92" i="74"/>
  <c r="Q128" i="74"/>
  <c r="U122" i="74"/>
  <c r="V86" i="74"/>
  <c r="K127" i="74"/>
  <c r="L126" i="74"/>
  <c r="N96" i="74"/>
  <c r="U121" i="74"/>
  <c r="V85" i="74"/>
  <c r="W84" i="74"/>
  <c r="V45" i="74"/>
  <c r="V119" i="74" s="1"/>
  <c r="U113" i="74"/>
  <c r="U117" i="74"/>
  <c r="U115" i="74"/>
  <c r="U114" i="74"/>
  <c r="U118" i="74"/>
  <c r="U116" i="74"/>
  <c r="U112" i="74"/>
  <c r="H121" i="74"/>
  <c r="I120" i="74"/>
  <c r="H87" i="74"/>
  <c r="H7" i="74"/>
  <c r="I5" i="74"/>
  <c r="I9" i="74"/>
  <c r="L98" i="74"/>
  <c r="CY10" i="1"/>
  <c r="I191" i="74"/>
  <c r="I190" i="74"/>
  <c r="K129" i="74" l="1"/>
  <c r="O127" i="74"/>
  <c r="P126" i="74"/>
  <c r="O92" i="74"/>
  <c r="J100" i="74"/>
  <c r="J101" i="74" s="1"/>
  <c r="K130" i="74"/>
  <c r="K95" i="74"/>
  <c r="L129" i="74"/>
  <c r="S92" i="74"/>
  <c r="R128" i="74"/>
  <c r="S126" i="74"/>
  <c r="T90" i="74"/>
  <c r="T124" i="74"/>
  <c r="U88" i="74"/>
  <c r="H88" i="74"/>
  <c r="I187" i="74"/>
  <c r="I74" i="74"/>
  <c r="I110" i="74" s="1"/>
  <c r="I147" i="74" s="1"/>
  <c r="I8" i="74"/>
  <c r="Q94" i="74"/>
  <c r="P95" i="74"/>
  <c r="R127" i="74"/>
  <c r="S91" i="74"/>
  <c r="V87" i="74"/>
  <c r="U123" i="74"/>
  <c r="S125" i="74"/>
  <c r="T89" i="74"/>
  <c r="W85" i="74"/>
  <c r="V121" i="74"/>
  <c r="M129" i="74"/>
  <c r="N128" i="74"/>
  <c r="M94" i="74"/>
  <c r="W45" i="74"/>
  <c r="V113" i="74"/>
  <c r="V117" i="74"/>
  <c r="V112" i="74"/>
  <c r="V115" i="74"/>
  <c r="V118" i="74"/>
  <c r="V116" i="74"/>
  <c r="V114" i="74"/>
  <c r="H5" i="74"/>
  <c r="H9" i="74"/>
  <c r="V120" i="74"/>
  <c r="R93" i="74"/>
  <c r="Q129" i="74"/>
  <c r="J127" i="74"/>
  <c r="I93" i="74"/>
  <c r="L99" i="74"/>
  <c r="V122" i="74"/>
  <c r="W86" i="74"/>
  <c r="H123" i="74"/>
  <c r="I122" i="74"/>
  <c r="N97" i="74"/>
  <c r="J102" i="74"/>
  <c r="CH71" i="20"/>
  <c r="H190" i="74"/>
  <c r="O128" i="74" l="1"/>
  <c r="P127" i="74"/>
  <c r="O93" i="74"/>
  <c r="W113" i="74"/>
  <c r="W117" i="74"/>
  <c r="W115" i="74"/>
  <c r="W118" i="74"/>
  <c r="W114" i="74"/>
  <c r="W116" i="74"/>
  <c r="W112" i="74"/>
  <c r="W120" i="74"/>
  <c r="H124" i="74"/>
  <c r="I123" i="74"/>
  <c r="H89" i="74"/>
  <c r="H90" i="74" s="1"/>
  <c r="M130" i="74"/>
  <c r="M95" i="74"/>
  <c r="N129" i="74"/>
  <c r="V123" i="74"/>
  <c r="W87" i="74"/>
  <c r="S127" i="74"/>
  <c r="T91" i="74"/>
  <c r="S128" i="74"/>
  <c r="T92" i="74"/>
  <c r="W119" i="74"/>
  <c r="W122" i="74"/>
  <c r="J103" i="74"/>
  <c r="U124" i="74"/>
  <c r="V88" i="74"/>
  <c r="Q95" i="74"/>
  <c r="P96" i="74"/>
  <c r="L100" i="74"/>
  <c r="R129" i="74"/>
  <c r="S93" i="74"/>
  <c r="T125" i="74"/>
  <c r="U89" i="74"/>
  <c r="R94" i="74"/>
  <c r="Q130" i="74"/>
  <c r="K131" i="74"/>
  <c r="K96" i="74"/>
  <c r="L130" i="74"/>
  <c r="W121" i="74"/>
  <c r="N98" i="74"/>
  <c r="I94" i="74"/>
  <c r="J128" i="74"/>
  <c r="H187" i="74"/>
  <c r="H74" i="74"/>
  <c r="H110" i="74" s="1"/>
  <c r="H147" i="74" s="1"/>
  <c r="C155" i="74" s="1" a="1"/>
  <c r="H8" i="74"/>
  <c r="T126" i="74"/>
  <c r="U90" i="74"/>
  <c r="O129" i="74" l="1"/>
  <c r="P128" i="74"/>
  <c r="O94" i="74"/>
  <c r="H91" i="74"/>
  <c r="F5" i="74"/>
  <c r="H30" i="74" s="1"/>
  <c r="N99" i="74"/>
  <c r="R130" i="74"/>
  <c r="S94" i="74"/>
  <c r="Q96" i="74"/>
  <c r="P97" i="74"/>
  <c r="M131" i="74"/>
  <c r="M96" i="74"/>
  <c r="N130" i="74"/>
  <c r="H125" i="74"/>
  <c r="I124" i="74"/>
  <c r="C163" i="74"/>
  <c r="C155" i="74"/>
  <c r="C162" i="74"/>
  <c r="C167" i="74"/>
  <c r="C159" i="74"/>
  <c r="C166" i="74"/>
  <c r="C158" i="74"/>
  <c r="C161" i="74"/>
  <c r="C160" i="74"/>
  <c r="C168" i="74"/>
  <c r="C165" i="74"/>
  <c r="C156" i="74"/>
  <c r="C164" i="74"/>
  <c r="C169" i="74"/>
  <c r="C157" i="74"/>
  <c r="U125" i="74"/>
  <c r="V89" i="74"/>
  <c r="R95" i="74"/>
  <c r="Q131" i="74"/>
  <c r="Q68" i="74"/>
  <c r="Q66" i="74" s="1"/>
  <c r="Q67" i="74" s="1"/>
  <c r="T127" i="74"/>
  <c r="U91" i="74"/>
  <c r="J129" i="74"/>
  <c r="I95" i="74"/>
  <c r="W88" i="74"/>
  <c r="V124" i="74"/>
  <c r="T128" i="74"/>
  <c r="U92" i="74"/>
  <c r="H126" i="74"/>
  <c r="I125" i="74"/>
  <c r="L101" i="74"/>
  <c r="W123" i="74"/>
  <c r="S129" i="74"/>
  <c r="T93" i="74"/>
  <c r="U126" i="74"/>
  <c r="V90" i="74"/>
  <c r="K132" i="74"/>
  <c r="K97" i="74"/>
  <c r="L131" i="74"/>
  <c r="J104" i="74"/>
  <c r="CH74" i="20"/>
  <c r="CG74" i="20"/>
  <c r="CF74" i="20"/>
  <c r="CE74" i="20"/>
  <c r="CH73" i="20"/>
  <c r="CG73" i="20"/>
  <c r="CF73" i="20"/>
  <c r="CE73" i="20"/>
  <c r="CH72" i="20"/>
  <c r="CG72" i="20"/>
  <c r="CF72" i="20"/>
  <c r="CE72" i="20"/>
  <c r="CG71" i="20"/>
  <c r="CF71" i="20"/>
  <c r="CE71" i="20"/>
  <c r="CH68" i="20"/>
  <c r="CH65" i="20"/>
  <c r="CG65" i="20"/>
  <c r="P129" i="74" l="1"/>
  <c r="O130" i="74"/>
  <c r="O95" i="74"/>
  <c r="O96" i="74" s="1"/>
  <c r="L102" i="74"/>
  <c r="N100" i="74"/>
  <c r="W124" i="74"/>
  <c r="M132" i="74"/>
  <c r="M97" i="74"/>
  <c r="N131" i="74"/>
  <c r="V126" i="74"/>
  <c r="W90" i="74"/>
  <c r="J130" i="74"/>
  <c r="I96" i="74"/>
  <c r="S95" i="74"/>
  <c r="R131" i="74"/>
  <c r="R68" i="74"/>
  <c r="R66" i="74" s="1"/>
  <c r="R67" i="74" s="1"/>
  <c r="Q97" i="74"/>
  <c r="P98" i="74"/>
  <c r="H35" i="74"/>
  <c r="T11" i="74"/>
  <c r="L11" i="74"/>
  <c r="M11" i="74"/>
  <c r="R11" i="74"/>
  <c r="S11" i="74"/>
  <c r="V11" i="74"/>
  <c r="O11" i="74"/>
  <c r="U11" i="74"/>
  <c r="W11" i="74"/>
  <c r="N11" i="74"/>
  <c r="P11" i="74"/>
  <c r="Q11" i="74"/>
  <c r="K11" i="74"/>
  <c r="J11" i="74"/>
  <c r="I11" i="74"/>
  <c r="R96" i="74"/>
  <c r="Q132" i="74"/>
  <c r="J105" i="74"/>
  <c r="H127" i="74"/>
  <c r="I126" i="74"/>
  <c r="H92" i="74"/>
  <c r="K133" i="74"/>
  <c r="K98" i="74"/>
  <c r="L132" i="74"/>
  <c r="T129" i="74"/>
  <c r="U93" i="74"/>
  <c r="W89" i="74"/>
  <c r="W125" i="74" s="1"/>
  <c r="V125" i="74"/>
  <c r="U128" i="74"/>
  <c r="V92" i="74"/>
  <c r="S130" i="74"/>
  <c r="T94" i="74"/>
  <c r="U127" i="74"/>
  <c r="V91" i="74"/>
  <c r="P131" i="74" l="1"/>
  <c r="O132" i="74"/>
  <c r="O97" i="74"/>
  <c r="P130" i="74"/>
  <c r="O131" i="74"/>
  <c r="O98" i="74"/>
  <c r="P133" i="74" s="1"/>
  <c r="Q98" i="74"/>
  <c r="P99" i="74"/>
  <c r="I31" i="74"/>
  <c r="O31" i="74"/>
  <c r="M31" i="74"/>
  <c r="R97" i="74"/>
  <c r="Q133" i="74"/>
  <c r="N101" i="74"/>
  <c r="V127" i="74"/>
  <c r="W91" i="74"/>
  <c r="W127" i="74" s="1"/>
  <c r="L31" i="74"/>
  <c r="U129" i="74"/>
  <c r="V93" i="74"/>
  <c r="W126" i="74"/>
  <c r="R132" i="74"/>
  <c r="S96" i="74"/>
  <c r="Q31" i="74"/>
  <c r="T130" i="74"/>
  <c r="U94" i="74"/>
  <c r="U31" i="74"/>
  <c r="L103" i="74"/>
  <c r="J106" i="74"/>
  <c r="P31" i="74"/>
  <c r="V31" i="74"/>
  <c r="T31" i="74"/>
  <c r="S131" i="74"/>
  <c r="T95" i="74"/>
  <c r="S68" i="74"/>
  <c r="S66" i="74" s="1"/>
  <c r="S67" i="74" s="1"/>
  <c r="H128" i="74"/>
  <c r="I127" i="74"/>
  <c r="H93" i="74"/>
  <c r="V128" i="74"/>
  <c r="W92" i="74"/>
  <c r="K134" i="74"/>
  <c r="K99" i="74"/>
  <c r="L133" i="74"/>
  <c r="K31" i="74"/>
  <c r="N31" i="74"/>
  <c r="W31" i="74"/>
  <c r="R31" i="74"/>
  <c r="O134" i="74"/>
  <c r="O99" i="74"/>
  <c r="P134" i="74" s="1"/>
  <c r="M133" i="74"/>
  <c r="M98" i="74"/>
  <c r="N132" i="74"/>
  <c r="I97" i="74"/>
  <c r="J131" i="74"/>
  <c r="J31" i="74"/>
  <c r="S31" i="74"/>
  <c r="DO70" i="20"/>
  <c r="DO63" i="20"/>
  <c r="DO55" i="20"/>
  <c r="DO54" i="20"/>
  <c r="DO37" i="20"/>
  <c r="DO18" i="20"/>
  <c r="DO17" i="20"/>
  <c r="DO16" i="20"/>
  <c r="P132" i="74" l="1"/>
  <c r="O133" i="74"/>
  <c r="W128" i="74"/>
  <c r="I98" i="74"/>
  <c r="J132" i="74"/>
  <c r="H129" i="74"/>
  <c r="I128" i="74"/>
  <c r="H94" i="74"/>
  <c r="S97" i="74"/>
  <c r="R133" i="74"/>
  <c r="L104" i="74"/>
  <c r="Q99" i="74"/>
  <c r="P100" i="74"/>
  <c r="S132" i="74"/>
  <c r="T96" i="74"/>
  <c r="R98" i="74"/>
  <c r="Q134" i="74"/>
  <c r="K135" i="74"/>
  <c r="K100" i="74"/>
  <c r="L134" i="74"/>
  <c r="T131" i="74"/>
  <c r="U95" i="74"/>
  <c r="T68" i="74"/>
  <c r="T66" i="74" s="1"/>
  <c r="T67" i="74" s="1"/>
  <c r="M134" i="74"/>
  <c r="M99" i="74"/>
  <c r="N133" i="74"/>
  <c r="O135" i="74"/>
  <c r="O100" i="74"/>
  <c r="P135" i="74" s="1"/>
  <c r="N102" i="74"/>
  <c r="U130" i="74"/>
  <c r="V94" i="74"/>
  <c r="W93" i="74"/>
  <c r="V129" i="74"/>
  <c r="R99" i="74" l="1"/>
  <c r="Q135" i="74"/>
  <c r="V130" i="74"/>
  <c r="W94" i="74"/>
  <c r="W130" i="74" s="1"/>
  <c r="R134" i="74"/>
  <c r="S98" i="74"/>
  <c r="T132" i="74"/>
  <c r="U96" i="74"/>
  <c r="S133" i="74"/>
  <c r="T97" i="74"/>
  <c r="N103" i="74"/>
  <c r="U131" i="74"/>
  <c r="V95" i="74"/>
  <c r="U68" i="74"/>
  <c r="U66" i="74" s="1"/>
  <c r="U67" i="74" s="1"/>
  <c r="H130" i="74"/>
  <c r="I129" i="74"/>
  <c r="H95" i="74"/>
  <c r="H33" i="74" s="1"/>
  <c r="P136" i="74"/>
  <c r="Q100" i="74"/>
  <c r="P101" i="74"/>
  <c r="K136" i="74"/>
  <c r="K101" i="74"/>
  <c r="L135" i="74"/>
  <c r="O136" i="74"/>
  <c r="O101" i="74"/>
  <c r="L105" i="74"/>
  <c r="J133" i="74"/>
  <c r="I99" i="74"/>
  <c r="W129" i="74"/>
  <c r="M135" i="74"/>
  <c r="M100" i="74"/>
  <c r="N134" i="74"/>
  <c r="AF65" i="5"/>
  <c r="AF62" i="5"/>
  <c r="AF40" i="5"/>
  <c r="I100" i="74" l="1"/>
  <c r="J134" i="74"/>
  <c r="K137" i="74"/>
  <c r="K102" i="74"/>
  <c r="L136" i="74"/>
  <c r="U132" i="74"/>
  <c r="V96" i="74"/>
  <c r="Q101" i="74"/>
  <c r="P102" i="74"/>
  <c r="V131" i="74"/>
  <c r="W95" i="74"/>
  <c r="V68" i="74"/>
  <c r="V66" i="74" s="1"/>
  <c r="V67" i="74" s="1"/>
  <c r="S134" i="74"/>
  <c r="T98" i="74"/>
  <c r="L106" i="74"/>
  <c r="R100" i="74"/>
  <c r="Q136" i="74"/>
  <c r="N104" i="74"/>
  <c r="O137" i="74"/>
  <c r="O102" i="74"/>
  <c r="I29" i="74"/>
  <c r="H24" i="74"/>
  <c r="H131" i="74"/>
  <c r="H96" i="74"/>
  <c r="I130" i="74"/>
  <c r="T133" i="74"/>
  <c r="U97" i="74"/>
  <c r="M136" i="74"/>
  <c r="M101" i="74"/>
  <c r="N135" i="74"/>
  <c r="R135" i="74"/>
  <c r="S99" i="74"/>
  <c r="BF41" i="3"/>
  <c r="BI132" i="2"/>
  <c r="BI131" i="2"/>
  <c r="BI83" i="2"/>
  <c r="BI81" i="2"/>
  <c r="BI67" i="2"/>
  <c r="BI26" i="2"/>
  <c r="BF84" i="3"/>
  <c r="BF83" i="3"/>
  <c r="BF48" i="3"/>
  <c r="AD9" i="15"/>
  <c r="AD85" i="5"/>
  <c r="AD83" i="5"/>
  <c r="AD82" i="5"/>
  <c r="AD81" i="5"/>
  <c r="AD80" i="5"/>
  <c r="AD78" i="5"/>
  <c r="AD50" i="5"/>
  <c r="AD49" i="5"/>
  <c r="AD48" i="5"/>
  <c r="AD31" i="5"/>
  <c r="AD19" i="5"/>
  <c r="AD77" i="5" s="1"/>
  <c r="AC9" i="15"/>
  <c r="H132" i="74" l="1"/>
  <c r="H97" i="74"/>
  <c r="I131" i="74"/>
  <c r="O138" i="74"/>
  <c r="O103" i="74"/>
  <c r="T134" i="74"/>
  <c r="U98" i="74"/>
  <c r="V132" i="74"/>
  <c r="W96" i="74"/>
  <c r="U133" i="74"/>
  <c r="V97" i="74"/>
  <c r="N105" i="74"/>
  <c r="W131" i="74"/>
  <c r="W68" i="74"/>
  <c r="W66" i="74" s="1"/>
  <c r="W67" i="74" s="1"/>
  <c r="K138" i="74"/>
  <c r="K103" i="74"/>
  <c r="L137" i="74"/>
  <c r="R136" i="74"/>
  <c r="S100" i="74"/>
  <c r="H153" i="74"/>
  <c r="H154" i="74"/>
  <c r="I21" i="74"/>
  <c r="H37" i="74"/>
  <c r="R101" i="74"/>
  <c r="Q137" i="74"/>
  <c r="I101" i="74"/>
  <c r="J135" i="74"/>
  <c r="S135" i="74"/>
  <c r="T99" i="74"/>
  <c r="P138" i="74"/>
  <c r="Q102" i="74"/>
  <c r="P103" i="74"/>
  <c r="M137" i="74"/>
  <c r="M102" i="74"/>
  <c r="N136" i="74"/>
  <c r="P137" i="74"/>
  <c r="CO11" i="20" a="1"/>
  <c r="CP11" i="20" s="1"/>
  <c r="M138" i="74" l="1"/>
  <c r="M103" i="74"/>
  <c r="N137" i="74"/>
  <c r="T135" i="74"/>
  <c r="U99" i="74"/>
  <c r="U134" i="74"/>
  <c r="V98" i="74"/>
  <c r="H171" i="74"/>
  <c r="I154" i="74"/>
  <c r="N106" i="74"/>
  <c r="O139" i="74"/>
  <c r="O104" i="74"/>
  <c r="P139" i="74" s="1"/>
  <c r="I102" i="74"/>
  <c r="J136" i="74"/>
  <c r="V133" i="74"/>
  <c r="W97" i="74"/>
  <c r="S136" i="74"/>
  <c r="T100" i="74"/>
  <c r="H133" i="74"/>
  <c r="H98" i="74"/>
  <c r="I132" i="74"/>
  <c r="Q103" i="74"/>
  <c r="P104" i="74"/>
  <c r="R102" i="74"/>
  <c r="Q138" i="74"/>
  <c r="R137" i="74"/>
  <c r="S101" i="74"/>
  <c r="K139" i="74"/>
  <c r="K104" i="74"/>
  <c r="L138" i="74"/>
  <c r="W132" i="74"/>
  <c r="CQ11" i="20"/>
  <c r="CO11" i="20"/>
  <c r="CR11" i="20"/>
  <c r="R103" i="74" l="1"/>
  <c r="Q139" i="74"/>
  <c r="V134" i="74"/>
  <c r="W98" i="74"/>
  <c r="K140" i="74"/>
  <c r="K105" i="74"/>
  <c r="L139" i="74"/>
  <c r="J154" i="74"/>
  <c r="I103" i="74"/>
  <c r="J137" i="74"/>
  <c r="S137" i="74"/>
  <c r="T101" i="74"/>
  <c r="H134" i="74"/>
  <c r="H99" i="74"/>
  <c r="I133" i="74"/>
  <c r="U135" i="74"/>
  <c r="V99" i="74"/>
  <c r="T136" i="74"/>
  <c r="U100" i="74"/>
  <c r="M139" i="74"/>
  <c r="M104" i="74"/>
  <c r="N138" i="74"/>
  <c r="O140" i="74"/>
  <c r="O105" i="74"/>
  <c r="P140" i="74" s="1"/>
  <c r="R138" i="74"/>
  <c r="S102" i="74"/>
  <c r="Q104" i="74"/>
  <c r="P105" i="74"/>
  <c r="W133" i="74"/>
  <c r="AO183" i="38"/>
  <c r="AO184" i="38"/>
  <c r="AO185" i="38"/>
  <c r="AO182" i="38"/>
  <c r="AO176" i="38"/>
  <c r="AO177" i="38"/>
  <c r="AO178" i="38"/>
  <c r="AO175" i="38"/>
  <c r="I104" i="74" l="1"/>
  <c r="J138" i="74"/>
  <c r="M140" i="74"/>
  <c r="M105" i="74"/>
  <c r="N139" i="74"/>
  <c r="R104" i="74"/>
  <c r="Q140" i="74"/>
  <c r="S138" i="74"/>
  <c r="T102" i="74"/>
  <c r="V135" i="74"/>
  <c r="W99" i="74"/>
  <c r="K141" i="74"/>
  <c r="K143" i="74" s="1"/>
  <c r="K106" i="74"/>
  <c r="L141" i="74" s="1"/>
  <c r="L140" i="74"/>
  <c r="O141" i="74"/>
  <c r="O143" i="74" s="1"/>
  <c r="O106" i="74"/>
  <c r="P141" i="74" s="1"/>
  <c r="P143" i="74" s="1"/>
  <c r="W134" i="74"/>
  <c r="Q105" i="74"/>
  <c r="P106" i="74"/>
  <c r="Q106" i="74" s="1"/>
  <c r="R106" i="74" s="1"/>
  <c r="S106" i="74" s="1"/>
  <c r="T106" i="74" s="1"/>
  <c r="U106" i="74" s="1"/>
  <c r="V106" i="74" s="1"/>
  <c r="W106" i="74" s="1"/>
  <c r="R139" i="74"/>
  <c r="S103" i="74"/>
  <c r="H135" i="74"/>
  <c r="H100" i="74"/>
  <c r="I134" i="74"/>
  <c r="U136" i="74"/>
  <c r="V100" i="74"/>
  <c r="T137" i="74"/>
  <c r="U101" i="74"/>
  <c r="K154" i="74"/>
  <c r="L154" i="74" s="1"/>
  <c r="S170" i="67"/>
  <c r="S125" i="67"/>
  <c r="S124" i="67"/>
  <c r="S36" i="67"/>
  <c r="S171" i="67" s="1"/>
  <c r="S169" i="67" s="1"/>
  <c r="L143" i="74" l="1"/>
  <c r="L54" i="74" s="1"/>
  <c r="P153" i="74"/>
  <c r="P54" i="74"/>
  <c r="P22" i="74"/>
  <c r="V136" i="74"/>
  <c r="W100" i="74"/>
  <c r="R105" i="74"/>
  <c r="Q141" i="74"/>
  <c r="Q143" i="74" s="1"/>
  <c r="R140" i="74"/>
  <c r="S104" i="74"/>
  <c r="K153" i="74"/>
  <c r="K54" i="74"/>
  <c r="K22" i="74"/>
  <c r="M141" i="74"/>
  <c r="M143" i="74" s="1"/>
  <c r="M106" i="74"/>
  <c r="N141" i="74" s="1"/>
  <c r="N140" i="74"/>
  <c r="H136" i="74"/>
  <c r="H101" i="74"/>
  <c r="I135" i="74"/>
  <c r="W135" i="74"/>
  <c r="S139" i="74"/>
  <c r="T103" i="74"/>
  <c r="M154" i="74"/>
  <c r="N154" i="74" s="1"/>
  <c r="T138" i="74"/>
  <c r="U102" i="74"/>
  <c r="I105" i="74"/>
  <c r="J139" i="74"/>
  <c r="U137" i="74"/>
  <c r="V101" i="74"/>
  <c r="O153" i="74"/>
  <c r="O54" i="74"/>
  <c r="O22" i="74"/>
  <c r="S116" i="67"/>
  <c r="F181" i="9"/>
  <c r="CX11" i="1" s="1"/>
  <c r="CP54" i="20" s="1"/>
  <c r="F180" i="9"/>
  <c r="CX10" i="1" s="1"/>
  <c r="CO54" i="20" s="1"/>
  <c r="J181" i="9"/>
  <c r="V180" i="10" s="1"/>
  <c r="J180" i="9"/>
  <c r="V179" i="10" s="1"/>
  <c r="J182" i="9"/>
  <c r="V181" i="10" s="1"/>
  <c r="L153" i="74" l="1"/>
  <c r="L22" i="74"/>
  <c r="L158" i="74" s="1"/>
  <c r="W136" i="74"/>
  <c r="N143" i="74"/>
  <c r="S140" i="74"/>
  <c r="T104" i="74"/>
  <c r="I106" i="74"/>
  <c r="J141" i="74" s="1"/>
  <c r="J140" i="74"/>
  <c r="M153" i="74"/>
  <c r="M54" i="74"/>
  <c r="M22" i="74"/>
  <c r="O161" i="74"/>
  <c r="O32" i="74"/>
  <c r="O154" i="74"/>
  <c r="O59" i="74"/>
  <c r="O60" i="74" s="1"/>
  <c r="O51" i="74"/>
  <c r="U138" i="74"/>
  <c r="V102" i="74"/>
  <c r="L59" i="74"/>
  <c r="L60" i="74" s="1"/>
  <c r="L51" i="74"/>
  <c r="L55" i="74"/>
  <c r="H137" i="74"/>
  <c r="H102" i="74"/>
  <c r="I136" i="74"/>
  <c r="K157" i="74"/>
  <c r="K32" i="74"/>
  <c r="P162" i="74"/>
  <c r="P32" i="74"/>
  <c r="T139" i="74"/>
  <c r="U103" i="74"/>
  <c r="V137" i="74"/>
  <c r="W101" i="74"/>
  <c r="K59" i="74"/>
  <c r="K60" i="74" s="1"/>
  <c r="K51" i="74"/>
  <c r="Q153" i="74"/>
  <c r="Q54" i="74"/>
  <c r="Q22" i="74"/>
  <c r="P59" i="74"/>
  <c r="P60" i="74" s="1"/>
  <c r="P55" i="74"/>
  <c r="P51" i="74"/>
  <c r="S105" i="74"/>
  <c r="R141" i="74"/>
  <c r="R143" i="74" s="1"/>
  <c r="S172" i="67"/>
  <c r="DN70" i="20"/>
  <c r="DN63" i="20"/>
  <c r="DN55" i="20"/>
  <c r="DN54" i="20"/>
  <c r="DN37" i="20"/>
  <c r="DN18" i="20"/>
  <c r="DN17" i="20"/>
  <c r="DN16" i="20"/>
  <c r="AP338" i="38"/>
  <c r="L338" i="38"/>
  <c r="AP337" i="38"/>
  <c r="AP336" i="38"/>
  <c r="K337" i="38"/>
  <c r="AP335" i="38"/>
  <c r="L335" i="38"/>
  <c r="AR230" i="38"/>
  <c r="AQ230" i="38"/>
  <c r="AP230" i="38"/>
  <c r="K230" i="38"/>
  <c r="AU229" i="38"/>
  <c r="AT229" i="38"/>
  <c r="AR229" i="38"/>
  <c r="AQ229" i="38"/>
  <c r="AP229" i="38"/>
  <c r="AU228" i="38"/>
  <c r="AT228" i="38"/>
  <c r="AR228" i="38"/>
  <c r="AQ228" i="38"/>
  <c r="AP228" i="38"/>
  <c r="K229" i="38"/>
  <c r="AU227" i="38"/>
  <c r="AT227" i="38"/>
  <c r="AR227" i="38"/>
  <c r="AQ227" i="38"/>
  <c r="AP227" i="38"/>
  <c r="L227" i="38"/>
  <c r="AX185" i="38"/>
  <c r="AQ185" i="38"/>
  <c r="AP185" i="38"/>
  <c r="AX184" i="38"/>
  <c r="AR184" i="38"/>
  <c r="AQ184" i="38"/>
  <c r="AP184" i="38"/>
  <c r="L184" i="38"/>
  <c r="K184" i="38"/>
  <c r="AX183" i="38"/>
  <c r="AU183" i="38"/>
  <c r="AT183" i="38"/>
  <c r="AR183" i="38"/>
  <c r="AQ183" i="38"/>
  <c r="AP183" i="38"/>
  <c r="AX182" i="38"/>
  <c r="AU182" i="38"/>
  <c r="AT182" i="38"/>
  <c r="AR182" i="38"/>
  <c r="AQ182" i="38"/>
  <c r="AP182" i="38"/>
  <c r="L182" i="9"/>
  <c r="L181" i="9"/>
  <c r="N181" i="9" s="1"/>
  <c r="K181" i="9"/>
  <c r="CV208" i="1"/>
  <c r="CV209" i="1" s="1"/>
  <c r="CV207" i="1"/>
  <c r="CV147" i="1"/>
  <c r="CV146" i="1"/>
  <c r="CV145" i="1"/>
  <c r="CX77" i="1"/>
  <c r="CX76" i="1"/>
  <c r="CX75" i="1"/>
  <c r="CX74" i="1"/>
  <c r="CV70" i="1"/>
  <c r="CV69" i="1"/>
  <c r="CV68" i="1"/>
  <c r="CX59" i="1"/>
  <c r="CV59" i="1"/>
  <c r="CV58" i="1"/>
  <c r="CX58" i="1" s="1"/>
  <c r="CV57" i="1"/>
  <c r="CX57" i="1" s="1"/>
  <c r="CV56" i="1"/>
  <c r="CX52" i="1"/>
  <c r="CV52" i="1"/>
  <c r="CX51" i="1"/>
  <c r="CX50" i="1"/>
  <c r="CX49" i="1"/>
  <c r="CX48" i="1"/>
  <c r="CX23" i="1"/>
  <c r="CX22" i="1"/>
  <c r="CX16" i="1"/>
  <c r="CX15" i="1"/>
  <c r="CR28" i="20"/>
  <c r="CQ28" i="20"/>
  <c r="CP28" i="20"/>
  <c r="CO28" i="20"/>
  <c r="CV210" i="1" l="1"/>
  <c r="Z73" i="15" s="1"/>
  <c r="L32" i="74"/>
  <c r="W137" i="74"/>
  <c r="J143" i="74"/>
  <c r="J22" i="74" s="1"/>
  <c r="P52" i="74"/>
  <c r="V138" i="74"/>
  <c r="W102" i="74"/>
  <c r="W138" i="74" s="1"/>
  <c r="H138" i="74"/>
  <c r="H103" i="74"/>
  <c r="I137" i="74"/>
  <c r="P161" i="74"/>
  <c r="Q161" i="74" s="1"/>
  <c r="R161" i="74" s="1"/>
  <c r="V103" i="74"/>
  <c r="U139" i="74"/>
  <c r="T140" i="74"/>
  <c r="U104" i="74"/>
  <c r="R153" i="74"/>
  <c r="R54" i="74"/>
  <c r="R22" i="74"/>
  <c r="L52" i="74"/>
  <c r="M59" i="74"/>
  <c r="M60" i="74" s="1"/>
  <c r="M55" i="74"/>
  <c r="M51" i="74"/>
  <c r="M52" i="74" s="1"/>
  <c r="N153" i="74"/>
  <c r="N54" i="74"/>
  <c r="N22" i="74"/>
  <c r="Q163" i="74"/>
  <c r="Q32" i="74"/>
  <c r="L157" i="74"/>
  <c r="Q162" i="74"/>
  <c r="R162" i="74" s="1"/>
  <c r="S162" i="74" s="1"/>
  <c r="P154" i="74"/>
  <c r="S141" i="74"/>
  <c r="S143" i="74" s="1"/>
  <c r="T105" i="74"/>
  <c r="Q59" i="74"/>
  <c r="Q60" i="74" s="1"/>
  <c r="Q55" i="74"/>
  <c r="Q51" i="74"/>
  <c r="Q52" i="74" s="1"/>
  <c r="M159" i="74"/>
  <c r="M32" i="74"/>
  <c r="M158" i="74"/>
  <c r="N158" i="74" s="1"/>
  <c r="AV183" i="38"/>
  <c r="AW183" i="38" s="1"/>
  <c r="AV228" i="38"/>
  <c r="AW228" i="38" s="1"/>
  <c r="AV229" i="38"/>
  <c r="AW229" i="38" s="1"/>
  <c r="AV182" i="38"/>
  <c r="AW182" i="38" s="1"/>
  <c r="AV227" i="38"/>
  <c r="AW227" i="38" s="1"/>
  <c r="L337" i="38"/>
  <c r="K336" i="38"/>
  <c r="L336" i="38"/>
  <c r="K338" i="38"/>
  <c r="L230" i="38"/>
  <c r="L228" i="38"/>
  <c r="L229" i="38"/>
  <c r="K228" i="38"/>
  <c r="K182" i="9"/>
  <c r="K183" i="38"/>
  <c r="L183" i="38"/>
  <c r="CX56" i="1"/>
  <c r="CV78" i="1"/>
  <c r="Z34" i="15" s="1"/>
  <c r="CV60" i="1"/>
  <c r="J54" i="74" l="1"/>
  <c r="J153" i="74"/>
  <c r="R59" i="74"/>
  <c r="R60" i="74" s="1"/>
  <c r="R51" i="74"/>
  <c r="R52" i="74" s="1"/>
  <c r="R55" i="74"/>
  <c r="O158" i="74"/>
  <c r="S153" i="74"/>
  <c r="S54" i="74"/>
  <c r="S22" i="74"/>
  <c r="T162" i="74"/>
  <c r="U162" i="74" s="1"/>
  <c r="M157" i="74"/>
  <c r="S161" i="74"/>
  <c r="H139" i="74"/>
  <c r="H104" i="74"/>
  <c r="I138" i="74"/>
  <c r="R164" i="74"/>
  <c r="R32" i="74"/>
  <c r="U140" i="74"/>
  <c r="V104" i="74"/>
  <c r="J59" i="74"/>
  <c r="J60" i="74" s="1"/>
  <c r="J51" i="74"/>
  <c r="K55" i="74"/>
  <c r="N59" i="74"/>
  <c r="N60" i="74" s="1"/>
  <c r="N55" i="74"/>
  <c r="N51" i="74"/>
  <c r="O55" i="74"/>
  <c r="T141" i="74"/>
  <c r="T143" i="74" s="1"/>
  <c r="U105" i="74"/>
  <c r="J156" i="74"/>
  <c r="J32" i="74"/>
  <c r="R163" i="74"/>
  <c r="S163" i="74" s="1"/>
  <c r="N159" i="74"/>
  <c r="Q154" i="74"/>
  <c r="N160" i="74"/>
  <c r="N32" i="74"/>
  <c r="V139" i="74"/>
  <c r="W103" i="74"/>
  <c r="L339" i="38"/>
  <c r="L231" i="38"/>
  <c r="CX60" i="1"/>
  <c r="W139" i="74" l="1"/>
  <c r="V162" i="74"/>
  <c r="W162" i="74" s="1"/>
  <c r="T153" i="74"/>
  <c r="T54" i="74"/>
  <c r="T22" i="74"/>
  <c r="S164" i="74"/>
  <c r="S59" i="74"/>
  <c r="S60" i="74" s="1"/>
  <c r="S51" i="74"/>
  <c r="S52" i="74" s="1"/>
  <c r="S55" i="74"/>
  <c r="R154" i="74"/>
  <c r="K52" i="74"/>
  <c r="V105" i="74"/>
  <c r="U141" i="74"/>
  <c r="U143" i="74" s="1"/>
  <c r="H140" i="74"/>
  <c r="H105" i="74"/>
  <c r="I139" i="74"/>
  <c r="P158" i="74"/>
  <c r="Q158" i="74" s="1"/>
  <c r="R158" i="74" s="1"/>
  <c r="T163" i="74"/>
  <c r="S165" i="74"/>
  <c r="S32" i="74"/>
  <c r="T161" i="74"/>
  <c r="U161" i="74" s="1"/>
  <c r="K156" i="74"/>
  <c r="L156" i="74" s="1"/>
  <c r="O160" i="74"/>
  <c r="P160" i="74" s="1"/>
  <c r="N52" i="74"/>
  <c r="O52" i="74"/>
  <c r="O159" i="74"/>
  <c r="V140" i="74"/>
  <c r="W104" i="74"/>
  <c r="N157" i="74"/>
  <c r="O157" i="74" s="1"/>
  <c r="M156" i="74" l="1"/>
  <c r="N156" i="74" s="1"/>
  <c r="Q160" i="74"/>
  <c r="R160" i="74" s="1"/>
  <c r="T166" i="74"/>
  <c r="T32" i="74"/>
  <c r="P157" i="74"/>
  <c r="T59" i="74"/>
  <c r="T60" i="74" s="1"/>
  <c r="T51" i="74"/>
  <c r="T52" i="74" s="1"/>
  <c r="T55" i="74"/>
  <c r="T165" i="74"/>
  <c r="U165" i="74" s="1"/>
  <c r="U163" i="74"/>
  <c r="V163" i="74" s="1"/>
  <c r="V161" i="74"/>
  <c r="W161" i="74" s="1"/>
  <c r="H141" i="74"/>
  <c r="H143" i="74" s="1"/>
  <c r="H106" i="74"/>
  <c r="I141" i="74" s="1"/>
  <c r="I140" i="74"/>
  <c r="S154" i="74"/>
  <c r="W140" i="74"/>
  <c r="T164" i="74"/>
  <c r="V141" i="74"/>
  <c r="V143" i="74" s="1"/>
  <c r="W105" i="74"/>
  <c r="W141" i="74" s="1"/>
  <c r="W143" i="74" s="1"/>
  <c r="S158" i="74"/>
  <c r="T158" i="74" s="1"/>
  <c r="U158" i="74" s="1"/>
  <c r="V158" i="74" s="1"/>
  <c r="P159" i="74"/>
  <c r="Q159" i="74" s="1"/>
  <c r="U153" i="74"/>
  <c r="U54" i="74"/>
  <c r="U22" i="74"/>
  <c r="CR128" i="1"/>
  <c r="Y49" i="15" s="1"/>
  <c r="AP329" i="38"/>
  <c r="AP330" i="38"/>
  <c r="AP331" i="38"/>
  <c r="AP328" i="38"/>
  <c r="AX176" i="38"/>
  <c r="AX177" i="38"/>
  <c r="AX178" i="38"/>
  <c r="AX175" i="38"/>
  <c r="CQ17" i="11"/>
  <c r="Z221" i="38"/>
  <c r="Z329" i="38"/>
  <c r="J329" i="38"/>
  <c r="J221" i="38"/>
  <c r="J176" i="38"/>
  <c r="D329" i="38"/>
  <c r="H329" i="38" s="1"/>
  <c r="D221" i="38"/>
  <c r="H221" i="38" s="1"/>
  <c r="D176" i="38"/>
  <c r="H176" i="38" s="1"/>
  <c r="AB173" i="10"/>
  <c r="S174" i="9"/>
  <c r="F174" i="9"/>
  <c r="CR75" i="1"/>
  <c r="H173" i="10"/>
  <c r="AV33" i="23"/>
  <c r="AV27" i="23"/>
  <c r="AV45" i="23" s="1"/>
  <c r="AV51" i="23" s="1"/>
  <c r="AV9" i="23"/>
  <c r="CP35" i="11"/>
  <c r="CQ29" i="11"/>
  <c r="CQ23" i="11"/>
  <c r="CQ11" i="11"/>
  <c r="CV94" i="1"/>
  <c r="CS31" i="1"/>
  <c r="CS21" i="1"/>
  <c r="I45" i="65"/>
  <c r="S40" i="65"/>
  <c r="AA40" i="65" s="1"/>
  <c r="S39" i="65"/>
  <c r="AA39" i="65" s="1"/>
  <c r="S37" i="65"/>
  <c r="AA37" i="65" s="1"/>
  <c r="R37" i="65"/>
  <c r="Z37" i="65" s="1"/>
  <c r="F10" i="65"/>
  <c r="W3" i="65"/>
  <c r="AA3" i="65" s="1"/>
  <c r="V3" i="65"/>
  <c r="Z3" i="65" s="1"/>
  <c r="U3" i="65"/>
  <c r="Y3" i="65" s="1"/>
  <c r="I3" i="65"/>
  <c r="H3" i="65"/>
  <c r="P1" i="65"/>
  <c r="H17" i="68"/>
  <c r="E16" i="68"/>
  <c r="G16" i="68" s="1"/>
  <c r="H16" i="68" s="1"/>
  <c r="H33" i="72"/>
  <c r="E23" i="72"/>
  <c r="F23" i="72"/>
  <c r="G23" i="72" s="1"/>
  <c r="H23" i="72" s="1"/>
  <c r="I23" i="72" s="1"/>
  <c r="J23" i="72" s="1"/>
  <c r="H15" i="72"/>
  <c r="I15" i="72" s="1"/>
  <c r="J15" i="72" s="1"/>
  <c r="CR34" i="11"/>
  <c r="CP34" i="11"/>
  <c r="CL37" i="11"/>
  <c r="CH36" i="11"/>
  <c r="CH34" i="11"/>
  <c r="CD37" i="11"/>
  <c r="CD43" i="11" s="1"/>
  <c r="CD36" i="11"/>
  <c r="CI36" i="11" s="1"/>
  <c r="CE35" i="11"/>
  <c r="CD35" i="11"/>
  <c r="CD41" i="11" s="1"/>
  <c r="CD34" i="11"/>
  <c r="BZ37" i="11"/>
  <c r="BZ36" i="11"/>
  <c r="BZ42" i="11" s="1"/>
  <c r="BZ35" i="11"/>
  <c r="BZ34" i="11"/>
  <c r="BV37" i="11"/>
  <c r="BV43" i="11" s="1"/>
  <c r="BV36" i="11"/>
  <c r="BV35" i="11"/>
  <c r="F36" i="11"/>
  <c r="B34" i="11"/>
  <c r="Z31" i="11"/>
  <c r="AE31" i="11" s="1"/>
  <c r="V31" i="11"/>
  <c r="R31" i="11"/>
  <c r="S31" i="11" s="1"/>
  <c r="N31" i="11"/>
  <c r="D31" i="11"/>
  <c r="D30" i="11"/>
  <c r="D29" i="11"/>
  <c r="D35" i="11"/>
  <c r="AT30" i="11"/>
  <c r="AT29" i="11"/>
  <c r="AT28" i="11"/>
  <c r="AQ31" i="11"/>
  <c r="AP31" i="11"/>
  <c r="AP30" i="11"/>
  <c r="CQ28" i="11"/>
  <c r="CM31" i="11"/>
  <c r="CM30" i="11"/>
  <c r="CM29" i="11"/>
  <c r="CM28" i="11"/>
  <c r="CI31" i="11"/>
  <c r="CI30" i="11"/>
  <c r="CI29" i="11"/>
  <c r="CJ28" i="11"/>
  <c r="CI28" i="11"/>
  <c r="CE31" i="11"/>
  <c r="CE30" i="11"/>
  <c r="CE29" i="11"/>
  <c r="CE28" i="11"/>
  <c r="CA31" i="11"/>
  <c r="CA30" i="11"/>
  <c r="CA29" i="11"/>
  <c r="CA28" i="11"/>
  <c r="BW31" i="11"/>
  <c r="BW30" i="11"/>
  <c r="BW29" i="11"/>
  <c r="BW28" i="11"/>
  <c r="BS31" i="11"/>
  <c r="BS30" i="11"/>
  <c r="BS29" i="11"/>
  <c r="BS28" i="11"/>
  <c r="BO31" i="11"/>
  <c r="BO30" i="11"/>
  <c r="BO29" i="11"/>
  <c r="BO28" i="11"/>
  <c r="BK31" i="11"/>
  <c r="BK30" i="11"/>
  <c r="BK29" i="11"/>
  <c r="BK28" i="11"/>
  <c r="BG31" i="11"/>
  <c r="BG30" i="11"/>
  <c r="BG29" i="11"/>
  <c r="BG28" i="11"/>
  <c r="BC31" i="11"/>
  <c r="BC30" i="11"/>
  <c r="BC29" i="11"/>
  <c r="BC28" i="11"/>
  <c r="AY31" i="11"/>
  <c r="AY28" i="11"/>
  <c r="AU31" i="11"/>
  <c r="AU28" i="11"/>
  <c r="AM31" i="11"/>
  <c r="AL31" i="11"/>
  <c r="AL30" i="11"/>
  <c r="AM30" i="11" s="1"/>
  <c r="AL29" i="11"/>
  <c r="AM29" i="11"/>
  <c r="AL28" i="11"/>
  <c r="AQ28" i="11" s="1"/>
  <c r="AI31" i="11"/>
  <c r="AI30" i="11"/>
  <c r="AI29" i="11"/>
  <c r="AH28" i="11"/>
  <c r="AI28" i="11"/>
  <c r="AE30" i="11"/>
  <c r="AE29" i="11"/>
  <c r="AE28" i="11"/>
  <c r="AA30" i="11"/>
  <c r="AA29" i="11"/>
  <c r="Z28" i="11"/>
  <c r="AA28" i="11" s="1"/>
  <c r="W30" i="11"/>
  <c r="W29" i="11"/>
  <c r="S30" i="11"/>
  <c r="S29" i="11"/>
  <c r="R28" i="11"/>
  <c r="W28" i="11" s="1"/>
  <c r="N28" i="11"/>
  <c r="J31" i="11"/>
  <c r="J30" i="11"/>
  <c r="J29" i="11"/>
  <c r="J28" i="11"/>
  <c r="F31" i="11"/>
  <c r="F30" i="11"/>
  <c r="F29" i="11"/>
  <c r="G29" i="11" s="1"/>
  <c r="F28" i="11"/>
  <c r="AD25" i="11"/>
  <c r="Z25" i="11"/>
  <c r="V25" i="11"/>
  <c r="R25" i="11"/>
  <c r="S25" i="11" s="1"/>
  <c r="N25" i="11"/>
  <c r="J25" i="11"/>
  <c r="F25" i="11"/>
  <c r="D25" i="11"/>
  <c r="CR22" i="11"/>
  <c r="CQ22" i="11"/>
  <c r="CM25" i="11"/>
  <c r="CM24" i="11"/>
  <c r="CM23" i="11"/>
  <c r="CM22" i="11"/>
  <c r="CI25" i="11"/>
  <c r="CI24" i="11"/>
  <c r="CI23" i="11"/>
  <c r="CI22" i="11"/>
  <c r="CE25" i="11"/>
  <c r="CE24" i="11"/>
  <c r="CE23" i="11"/>
  <c r="CE22" i="11"/>
  <c r="CA25" i="11"/>
  <c r="CA24" i="11"/>
  <c r="CA23" i="11"/>
  <c r="CA22" i="11"/>
  <c r="BW25" i="11"/>
  <c r="BW24" i="11"/>
  <c r="BW23" i="11"/>
  <c r="BW22" i="11"/>
  <c r="BS25" i="11"/>
  <c r="BS24" i="11"/>
  <c r="BS23" i="11"/>
  <c r="BS22" i="11"/>
  <c r="BO25" i="11"/>
  <c r="BO24" i="11"/>
  <c r="BO23" i="11"/>
  <c r="BO22" i="11"/>
  <c r="BK25" i="11"/>
  <c r="BK24" i="11"/>
  <c r="BK23" i="11"/>
  <c r="BK22" i="11"/>
  <c r="BG25" i="11"/>
  <c r="BG24" i="11"/>
  <c r="BG23" i="11"/>
  <c r="BG22" i="11"/>
  <c r="BC25" i="11"/>
  <c r="BC24" i="11"/>
  <c r="BC23" i="11"/>
  <c r="BC22" i="11"/>
  <c r="AY25" i="11"/>
  <c r="AY24" i="11"/>
  <c r="AY23" i="11"/>
  <c r="AY22" i="11"/>
  <c r="AU25" i="11"/>
  <c r="AU24" i="11"/>
  <c r="AU23" i="11"/>
  <c r="AU22" i="11"/>
  <c r="AQ25" i="11"/>
  <c r="AQ24" i="11"/>
  <c r="AQ23" i="11"/>
  <c r="AQ22" i="11"/>
  <c r="AM25" i="11"/>
  <c r="AM24" i="11"/>
  <c r="AM23" i="11"/>
  <c r="AM22" i="11"/>
  <c r="AI24" i="11"/>
  <c r="AI23" i="11"/>
  <c r="AI22" i="11"/>
  <c r="AE24" i="11"/>
  <c r="AE23" i="11"/>
  <c r="AE22" i="11"/>
  <c r="AA24" i="11"/>
  <c r="AA23" i="11"/>
  <c r="AA22" i="11"/>
  <c r="W24" i="11"/>
  <c r="W23" i="11"/>
  <c r="W22" i="11"/>
  <c r="S24" i="11"/>
  <c r="S23" i="11"/>
  <c r="S22" i="11"/>
  <c r="O24" i="11"/>
  <c r="O23" i="11"/>
  <c r="O22" i="11"/>
  <c r="K24" i="11"/>
  <c r="K23" i="11"/>
  <c r="K22" i="11"/>
  <c r="G24" i="11"/>
  <c r="H23" i="11"/>
  <c r="G23" i="11"/>
  <c r="G22" i="11"/>
  <c r="CI19" i="11"/>
  <c r="CH19" i="11"/>
  <c r="CH37" i="11" s="1"/>
  <c r="J19" i="11"/>
  <c r="D19" i="11"/>
  <c r="D18" i="11"/>
  <c r="D36" i="11" s="1"/>
  <c r="D17" i="11"/>
  <c r="D16" i="11"/>
  <c r="D34" i="11" s="1"/>
  <c r="CL18" i="11"/>
  <c r="CL35" i="11"/>
  <c r="CL16" i="11"/>
  <c r="BR18" i="11"/>
  <c r="BR36" i="11" s="1"/>
  <c r="BR17" i="11"/>
  <c r="BR16" i="11"/>
  <c r="BR34" i="11" s="1"/>
  <c r="CH17" i="11"/>
  <c r="CH35" i="11"/>
  <c r="CI35" i="11" s="1"/>
  <c r="J17" i="11"/>
  <c r="K17" i="11" s="1"/>
  <c r="J16" i="11"/>
  <c r="CM19" i="11"/>
  <c r="CI18" i="11"/>
  <c r="CI17" i="11"/>
  <c r="CI16" i="11"/>
  <c r="CE19" i="11"/>
  <c r="CE18" i="11"/>
  <c r="CE17" i="11"/>
  <c r="CE16" i="11"/>
  <c r="CA19" i="11"/>
  <c r="CA18" i="11"/>
  <c r="CA17" i="11"/>
  <c r="CA16" i="11"/>
  <c r="BW19" i="11"/>
  <c r="BW18" i="11"/>
  <c r="BW16" i="11"/>
  <c r="BN19" i="11"/>
  <c r="BN37" i="11" s="1"/>
  <c r="BN18" i="11"/>
  <c r="BN36" i="11"/>
  <c r="BN17" i="11"/>
  <c r="BN16" i="11"/>
  <c r="BJ19" i="11"/>
  <c r="BJ37" i="11" s="1"/>
  <c r="BJ18" i="11"/>
  <c r="BK18" i="11" s="1"/>
  <c r="BJ36" i="11"/>
  <c r="BK36" i="11" s="1"/>
  <c r="BJ17" i="11"/>
  <c r="BK17" i="11" s="1"/>
  <c r="BJ16" i="11"/>
  <c r="BJ34" i="11" s="1"/>
  <c r="BK16" i="11"/>
  <c r="BF19" i="11"/>
  <c r="BG18" i="11"/>
  <c r="BF18" i="11"/>
  <c r="BF17" i="11"/>
  <c r="BF16" i="11"/>
  <c r="BF34" i="11"/>
  <c r="BB19" i="11"/>
  <c r="BB37" i="11" s="1"/>
  <c r="BB18" i="11"/>
  <c r="BB36" i="11" s="1"/>
  <c r="BB17" i="11"/>
  <c r="BB35" i="11" s="1"/>
  <c r="BB16" i="11"/>
  <c r="BB34" i="11"/>
  <c r="AX19" i="11"/>
  <c r="AY18" i="11"/>
  <c r="AX18" i="11"/>
  <c r="BC18" i="11" s="1"/>
  <c r="AX17" i="11"/>
  <c r="AX16" i="11"/>
  <c r="AT19" i="11"/>
  <c r="AT37" i="11" s="1"/>
  <c r="AU37" i="11" s="1"/>
  <c r="AT18" i="11"/>
  <c r="AT17" i="11"/>
  <c r="AT16" i="11"/>
  <c r="AY16" i="11" s="1"/>
  <c r="AT34" i="11"/>
  <c r="AP19" i="11"/>
  <c r="AP18" i="11"/>
  <c r="AP36" i="11" s="1"/>
  <c r="AP42" i="11" s="1"/>
  <c r="AP17" i="11"/>
  <c r="AP16" i="11"/>
  <c r="AP34" i="11"/>
  <c r="AL19" i="11"/>
  <c r="AL37" i="11"/>
  <c r="AL18" i="11"/>
  <c r="AL36" i="11" s="1"/>
  <c r="AL17" i="11"/>
  <c r="AL16" i="11"/>
  <c r="AL34" i="11" s="1"/>
  <c r="AP40" i="11" s="1"/>
  <c r="AH19" i="11"/>
  <c r="AH18" i="11"/>
  <c r="AI18" i="11" s="1"/>
  <c r="AH17" i="11"/>
  <c r="AH16" i="11"/>
  <c r="AD19" i="11"/>
  <c r="AE18" i="11"/>
  <c r="AD18" i="11"/>
  <c r="AD36" i="11" s="1"/>
  <c r="AD17" i="11"/>
  <c r="AD35" i="11" s="1"/>
  <c r="AD16" i="11"/>
  <c r="AD34" i="11" s="1"/>
  <c r="AD40" i="11" s="1"/>
  <c r="Z19" i="11"/>
  <c r="AA18" i="11"/>
  <c r="Z18" i="11"/>
  <c r="Z36" i="11" s="1"/>
  <c r="Z17" i="11"/>
  <c r="Z16" i="11"/>
  <c r="Z34" i="11"/>
  <c r="V19" i="11"/>
  <c r="W18" i="11"/>
  <c r="V18" i="11"/>
  <c r="V36" i="11" s="1"/>
  <c r="V17" i="11"/>
  <c r="V35" i="11" s="1"/>
  <c r="V16" i="11"/>
  <c r="V34" i="11" s="1"/>
  <c r="R19" i="11"/>
  <c r="R18" i="11"/>
  <c r="R36" i="11"/>
  <c r="R17" i="11"/>
  <c r="R16" i="11"/>
  <c r="N19" i="11"/>
  <c r="O19" i="11" s="1"/>
  <c r="O18" i="11"/>
  <c r="N18" i="11"/>
  <c r="N36" i="11" s="1"/>
  <c r="N17" i="11"/>
  <c r="N35" i="11"/>
  <c r="N16" i="11"/>
  <c r="K16" i="11"/>
  <c r="F19" i="11"/>
  <c r="K19" i="11" s="1"/>
  <c r="F18" i="11"/>
  <c r="K18" i="11" s="1"/>
  <c r="F17" i="11"/>
  <c r="G17" i="11" s="1"/>
  <c r="G16" i="11"/>
  <c r="F16" i="11"/>
  <c r="BR13" i="11"/>
  <c r="BR37" i="11"/>
  <c r="AH13" i="11"/>
  <c r="AH37" i="11" s="1"/>
  <c r="AD13" i="11"/>
  <c r="Z13" i="11"/>
  <c r="V13" i="11"/>
  <c r="AA13" i="11" s="1"/>
  <c r="R13" i="11"/>
  <c r="N13" i="11"/>
  <c r="H35" i="10" s="1"/>
  <c r="J13" i="11"/>
  <c r="F13" i="11"/>
  <c r="H21" i="10" s="1"/>
  <c r="D13" i="11"/>
  <c r="BF12" i="11"/>
  <c r="BF36" i="11"/>
  <c r="BJ11" i="11"/>
  <c r="CQ10" i="11"/>
  <c r="CM13" i="11"/>
  <c r="CM12" i="11"/>
  <c r="CM11" i="11"/>
  <c r="CM10" i="11"/>
  <c r="CI13" i="11"/>
  <c r="CI12" i="11"/>
  <c r="CI11" i="11"/>
  <c r="CI10" i="11"/>
  <c r="CE13" i="11"/>
  <c r="CF18" i="11"/>
  <c r="CF24" i="11" s="1"/>
  <c r="CF30" i="11" s="1"/>
  <c r="CF36" i="11" s="1"/>
  <c r="CE12" i="11"/>
  <c r="CE11" i="11"/>
  <c r="CE10" i="11"/>
  <c r="CA13" i="11"/>
  <c r="CA12" i="11"/>
  <c r="CA11" i="11"/>
  <c r="BW12" i="11"/>
  <c r="BW11" i="11"/>
  <c r="BV10" i="11"/>
  <c r="BS12" i="11"/>
  <c r="BS11" i="11"/>
  <c r="BS10" i="11"/>
  <c r="BO13" i="11"/>
  <c r="BO12" i="11"/>
  <c r="BO11" i="11"/>
  <c r="BO10" i="11"/>
  <c r="BL13" i="11"/>
  <c r="BL37" i="11"/>
  <c r="BK13" i="11"/>
  <c r="BK12" i="11"/>
  <c r="BK11" i="11"/>
  <c r="BK10" i="11"/>
  <c r="BG13" i="11"/>
  <c r="BG12" i="11"/>
  <c r="BG11" i="11"/>
  <c r="BG10" i="11"/>
  <c r="BC13" i="11"/>
  <c r="BC12" i="11"/>
  <c r="BC11" i="11"/>
  <c r="BC10" i="11"/>
  <c r="AY13" i="11"/>
  <c r="AY12" i="11"/>
  <c r="AY11" i="11"/>
  <c r="AZ10" i="11"/>
  <c r="AY10" i="11"/>
  <c r="AU13" i="11"/>
  <c r="AU12" i="11"/>
  <c r="AU11" i="11"/>
  <c r="AU10" i="11"/>
  <c r="AQ13" i="11"/>
  <c r="AQ12" i="11"/>
  <c r="AQ11" i="11"/>
  <c r="AQ10" i="11"/>
  <c r="AM12" i="11"/>
  <c r="AM11" i="11"/>
  <c r="AM10" i="11"/>
  <c r="AI12" i="11"/>
  <c r="AI11" i="11"/>
  <c r="AJ10" i="11"/>
  <c r="AJ28" i="11" s="1"/>
  <c r="AE12" i="11"/>
  <c r="AE11" i="11"/>
  <c r="AE10" i="11"/>
  <c r="AD10" i="11"/>
  <c r="AI10" i="11" s="1"/>
  <c r="AA12" i="11"/>
  <c r="AA11" i="11"/>
  <c r="AA10" i="11"/>
  <c r="W12" i="11"/>
  <c r="W11" i="11"/>
  <c r="W10" i="11"/>
  <c r="S12" i="11"/>
  <c r="S11" i="11"/>
  <c r="S10" i="11"/>
  <c r="O12" i="11"/>
  <c r="O11" i="11"/>
  <c r="O10" i="11"/>
  <c r="L12" i="11"/>
  <c r="L24" i="11" s="1"/>
  <c r="K12" i="11"/>
  <c r="K11" i="11"/>
  <c r="K10" i="11"/>
  <c r="G12" i="11"/>
  <c r="G11" i="11"/>
  <c r="G10" i="11"/>
  <c r="B13" i="11"/>
  <c r="B11" i="23" s="1"/>
  <c r="B17" i="23" s="1"/>
  <c r="B23" i="23" s="1"/>
  <c r="B29" i="23" s="1"/>
  <c r="B35" i="23" s="1"/>
  <c r="B41" i="23" s="1"/>
  <c r="B47" i="23" s="1"/>
  <c r="B53" i="23" s="1"/>
  <c r="B59" i="23" s="1"/>
  <c r="A13" i="11"/>
  <c r="B12" i="11"/>
  <c r="B36" i="11" s="1"/>
  <c r="A12" i="11"/>
  <c r="A24" i="11" s="1"/>
  <c r="B11" i="11"/>
  <c r="B41" i="11" s="1"/>
  <c r="B35" i="11"/>
  <c r="A11" i="11"/>
  <c r="A35" i="11" s="1"/>
  <c r="B10" i="11"/>
  <c r="B16" i="11" s="1"/>
  <c r="A10" i="11"/>
  <c r="A28" i="11" s="1"/>
  <c r="A40" i="11"/>
  <c r="F7" i="11"/>
  <c r="J7" i="11"/>
  <c r="A3" i="11"/>
  <c r="A1" i="11"/>
  <c r="AT45" i="23"/>
  <c r="AT51" i="23" s="1"/>
  <c r="AR47" i="23"/>
  <c r="AP47" i="23"/>
  <c r="AP53" i="23"/>
  <c r="AP46" i="23"/>
  <c r="AP52" i="23"/>
  <c r="AP45" i="23"/>
  <c r="AP51" i="23" s="1"/>
  <c r="AN47" i="23"/>
  <c r="AN53" i="23" s="1"/>
  <c r="AN46" i="23"/>
  <c r="AN52" i="23" s="1"/>
  <c r="AN45" i="23"/>
  <c r="AN51" i="23"/>
  <c r="AL47" i="23"/>
  <c r="AL53" i="23" s="1"/>
  <c r="AL46" i="23"/>
  <c r="AL52" i="23" s="1"/>
  <c r="AL45" i="23"/>
  <c r="AL51" i="23"/>
  <c r="AL44" i="23"/>
  <c r="AJ47" i="23"/>
  <c r="AD46" i="23"/>
  <c r="AD45" i="23"/>
  <c r="AD44" i="23"/>
  <c r="Z44" i="23"/>
  <c r="V45" i="23"/>
  <c r="V51" i="23" s="1"/>
  <c r="AT57" i="23"/>
  <c r="AP35" i="23"/>
  <c r="AP59" i="23" s="1"/>
  <c r="AL34" i="23"/>
  <c r="AL58" i="23" s="1"/>
  <c r="AH33" i="23"/>
  <c r="AH57" i="23"/>
  <c r="AD35" i="23"/>
  <c r="AV32" i="23"/>
  <c r="AT29" i="23"/>
  <c r="AT28" i="23"/>
  <c r="AT27" i="23"/>
  <c r="AT33" i="23" s="1"/>
  <c r="AT26" i="23"/>
  <c r="AR29" i="23"/>
  <c r="AR53" i="23" s="1"/>
  <c r="AR35" i="23"/>
  <c r="AR59" i="23" s="1"/>
  <c r="AR28" i="23"/>
  <c r="AR27" i="23"/>
  <c r="AR45" i="23"/>
  <c r="AR26" i="23"/>
  <c r="AJ29" i="23"/>
  <c r="AJ53" i="23" s="1"/>
  <c r="AJ28" i="23"/>
  <c r="AJ27" i="23"/>
  <c r="AJ26" i="23"/>
  <c r="AH29" i="23"/>
  <c r="AH28" i="23"/>
  <c r="AH27" i="23"/>
  <c r="AH45" i="23" s="1"/>
  <c r="AH51" i="23"/>
  <c r="AH26" i="23"/>
  <c r="AF29" i="23"/>
  <c r="AF47" i="23" s="1"/>
  <c r="AF28" i="23"/>
  <c r="AF27" i="23"/>
  <c r="AF45" i="23"/>
  <c r="AF26" i="23"/>
  <c r="AF32" i="23" s="1"/>
  <c r="AD29" i="23"/>
  <c r="AD28" i="23"/>
  <c r="AD52" i="23" s="1"/>
  <c r="AD27" i="23"/>
  <c r="AD33" i="23" s="1"/>
  <c r="AD57" i="23" s="1"/>
  <c r="AD26" i="23"/>
  <c r="AD32" i="23"/>
  <c r="AB29" i="23"/>
  <c r="AB35" i="23" s="1"/>
  <c r="AB28" i="23"/>
  <c r="AB27" i="23"/>
  <c r="AB45" i="23"/>
  <c r="AB26" i="23"/>
  <c r="Z29" i="23"/>
  <c r="Z35" i="23" s="1"/>
  <c r="Z28" i="23"/>
  <c r="Z46" i="23" s="1"/>
  <c r="Z27" i="23"/>
  <c r="Z26" i="23"/>
  <c r="Z50" i="23"/>
  <c r="X29" i="23"/>
  <c r="X47" i="23" s="1"/>
  <c r="X59" i="23" s="1"/>
  <c r="X28" i="23"/>
  <c r="X27" i="23"/>
  <c r="X26" i="23"/>
  <c r="V29" i="23"/>
  <c r="V28" i="23"/>
  <c r="V27" i="23"/>
  <c r="V26" i="23"/>
  <c r="T29" i="23"/>
  <c r="T35" i="23" s="1"/>
  <c r="T28" i="23"/>
  <c r="T27" i="23"/>
  <c r="T45" i="23" s="1"/>
  <c r="T26" i="23"/>
  <c r="R29" i="23"/>
  <c r="R35" i="23" s="1"/>
  <c r="R28" i="23"/>
  <c r="R27" i="23"/>
  <c r="R45" i="23" s="1"/>
  <c r="R51" i="23" s="1"/>
  <c r="R26" i="23"/>
  <c r="R44" i="23" s="1"/>
  <c r="R50" i="23" s="1"/>
  <c r="P29" i="23"/>
  <c r="P35" i="23" s="1"/>
  <c r="P28" i="23"/>
  <c r="L28" i="23"/>
  <c r="H28" i="23"/>
  <c r="F27" i="23"/>
  <c r="D28" i="23"/>
  <c r="AV26" i="23"/>
  <c r="AP26" i="23"/>
  <c r="AN26" i="23"/>
  <c r="AL26" i="23"/>
  <c r="AL32" i="23"/>
  <c r="N23" i="23"/>
  <c r="N22" i="23"/>
  <c r="N28" i="23" s="1"/>
  <c r="N21" i="23"/>
  <c r="N27" i="23" s="1"/>
  <c r="N33" i="23" s="1"/>
  <c r="N20" i="23"/>
  <c r="N26" i="23" s="1"/>
  <c r="L23" i="23"/>
  <c r="L22" i="23"/>
  <c r="L21" i="23"/>
  <c r="L27" i="23"/>
  <c r="L20" i="23"/>
  <c r="L26" i="23" s="1"/>
  <c r="J23" i="23"/>
  <c r="J29" i="23" s="1"/>
  <c r="J22" i="23"/>
  <c r="J28" i="23" s="1"/>
  <c r="J34" i="23" s="1"/>
  <c r="J21" i="23"/>
  <c r="J27" i="23" s="1"/>
  <c r="J20" i="23"/>
  <c r="J26" i="23" s="1"/>
  <c r="H23" i="23"/>
  <c r="H22" i="23"/>
  <c r="H21" i="23"/>
  <c r="H27" i="23" s="1"/>
  <c r="H20" i="23"/>
  <c r="H26" i="23" s="1"/>
  <c r="F23" i="23"/>
  <c r="F22" i="23"/>
  <c r="F28" i="23" s="1"/>
  <c r="F34" i="23" s="1"/>
  <c r="F21" i="23"/>
  <c r="F20" i="23"/>
  <c r="F26" i="23" s="1"/>
  <c r="D23" i="23"/>
  <c r="D22" i="23"/>
  <c r="D21" i="23"/>
  <c r="D27" i="23"/>
  <c r="D20" i="23"/>
  <c r="D26" i="23" s="1"/>
  <c r="P21" i="23"/>
  <c r="P27" i="23"/>
  <c r="P20" i="23"/>
  <c r="P26" i="23" s="1"/>
  <c r="N17" i="23"/>
  <c r="L17" i="23"/>
  <c r="L29" i="23" s="1"/>
  <c r="J17" i="23"/>
  <c r="H17" i="23"/>
  <c r="F17" i="23"/>
  <c r="D17" i="23"/>
  <c r="D16" i="23"/>
  <c r="D15" i="23"/>
  <c r="AR11" i="23"/>
  <c r="AR10" i="23"/>
  <c r="AR9" i="23"/>
  <c r="AR8" i="23"/>
  <c r="AN11" i="23"/>
  <c r="AN35" i="23"/>
  <c r="AN59" i="23"/>
  <c r="AN10" i="23"/>
  <c r="AN34" i="23"/>
  <c r="AN58" i="23"/>
  <c r="AN9" i="23"/>
  <c r="AN33" i="23"/>
  <c r="AN57" i="23" s="1"/>
  <c r="AN8" i="23"/>
  <c r="AL11" i="23"/>
  <c r="AL35" i="23" s="1"/>
  <c r="AL59" i="23" s="1"/>
  <c r="AL10" i="23"/>
  <c r="AL9" i="23"/>
  <c r="AL33" i="23" s="1"/>
  <c r="AL57" i="23" s="1"/>
  <c r="AL8" i="23"/>
  <c r="AJ11" i="23"/>
  <c r="AJ35" i="23" s="1"/>
  <c r="AJ10" i="23"/>
  <c r="AJ9" i="23"/>
  <c r="AJ8" i="23"/>
  <c r="AJ32" i="23"/>
  <c r="AH11" i="23"/>
  <c r="AH10" i="23"/>
  <c r="AH9" i="23"/>
  <c r="AH8" i="23"/>
  <c r="AF11" i="23"/>
  <c r="AF35" i="23" s="1"/>
  <c r="AF10" i="23"/>
  <c r="AF9" i="23"/>
  <c r="AF33" i="23"/>
  <c r="AF57" i="23"/>
  <c r="AF8" i="23"/>
  <c r="AD11" i="23"/>
  <c r="AD10" i="23"/>
  <c r="AD9" i="23"/>
  <c r="AD8" i="23"/>
  <c r="AB11" i="23"/>
  <c r="AB10" i="23"/>
  <c r="AB9" i="23"/>
  <c r="AB33" i="23" s="1"/>
  <c r="AB57" i="23" s="1"/>
  <c r="AB8" i="23"/>
  <c r="AB32" i="23"/>
  <c r="Z11" i="23"/>
  <c r="Z10" i="23"/>
  <c r="Z9" i="23"/>
  <c r="Z8" i="23"/>
  <c r="X11" i="23"/>
  <c r="X35" i="23" s="1"/>
  <c r="X10" i="23"/>
  <c r="X9" i="23"/>
  <c r="X8" i="23"/>
  <c r="X32" i="23"/>
  <c r="V11" i="23"/>
  <c r="V10" i="23"/>
  <c r="V9" i="23"/>
  <c r="V8" i="23"/>
  <c r="T11" i="23"/>
  <c r="T10" i="23"/>
  <c r="T9" i="23"/>
  <c r="T8" i="23"/>
  <c r="T32" i="23" s="1"/>
  <c r="R11" i="23"/>
  <c r="R10" i="23"/>
  <c r="R9" i="23"/>
  <c r="R33" i="23" s="1"/>
  <c r="R8" i="23"/>
  <c r="P11" i="23"/>
  <c r="P10" i="23"/>
  <c r="P9" i="23"/>
  <c r="P8" i="23"/>
  <c r="N10" i="23"/>
  <c r="N9" i="23"/>
  <c r="N8" i="23"/>
  <c r="L10" i="23"/>
  <c r="L9" i="23"/>
  <c r="AT10" i="23"/>
  <c r="AT9" i="23"/>
  <c r="AT8" i="23"/>
  <c r="AT32" i="23" s="1"/>
  <c r="AP10" i="23"/>
  <c r="AP34" i="23" s="1"/>
  <c r="AP9" i="23"/>
  <c r="AP33" i="23" s="1"/>
  <c r="AP57" i="23" s="1"/>
  <c r="AP8" i="23"/>
  <c r="J9" i="23"/>
  <c r="J8" i="23"/>
  <c r="AV8" i="23"/>
  <c r="A10" i="23"/>
  <c r="A16" i="23" s="1"/>
  <c r="A22" i="23" s="1"/>
  <c r="A28" i="23" s="1"/>
  <c r="A34" i="23" s="1"/>
  <c r="A40" i="23" s="1"/>
  <c r="A46" i="23" s="1"/>
  <c r="A52" i="23" s="1"/>
  <c r="A58" i="23" s="1"/>
  <c r="B9" i="23"/>
  <c r="B15" i="23" s="1"/>
  <c r="B21" i="23" s="1"/>
  <c r="B27" i="23" s="1"/>
  <c r="B33" i="23" s="1"/>
  <c r="B39" i="23" s="1"/>
  <c r="B45" i="23" s="1"/>
  <c r="B51" i="23" s="1"/>
  <c r="B57" i="23" s="1"/>
  <c r="D5" i="23"/>
  <c r="A3" i="23"/>
  <c r="A1" i="23"/>
  <c r="F172" i="10"/>
  <c r="D173" i="10"/>
  <c r="D172" i="10"/>
  <c r="AB172" i="10"/>
  <c r="V173" i="10"/>
  <c r="X173" i="10" s="1"/>
  <c r="V172" i="10"/>
  <c r="X172" i="10" s="1"/>
  <c r="H172" i="10"/>
  <c r="F168" i="10"/>
  <c r="F167" i="10"/>
  <c r="F166" i="10"/>
  <c r="F165" i="10"/>
  <c r="D168" i="10"/>
  <c r="D167" i="10"/>
  <c r="D166" i="10"/>
  <c r="D165" i="10"/>
  <c r="AB167" i="10"/>
  <c r="AB166" i="10"/>
  <c r="Z167" i="9" s="1"/>
  <c r="AB165" i="10"/>
  <c r="V168" i="10"/>
  <c r="V167" i="10"/>
  <c r="V166" i="10"/>
  <c r="V165" i="10"/>
  <c r="H168" i="10"/>
  <c r="H167" i="10"/>
  <c r="AN167" i="10" s="1"/>
  <c r="H166" i="10"/>
  <c r="H165" i="10"/>
  <c r="T167" i="10"/>
  <c r="F161" i="10"/>
  <c r="F160" i="10"/>
  <c r="F159" i="10"/>
  <c r="F158" i="10"/>
  <c r="D161" i="10"/>
  <c r="L168" i="10" s="1"/>
  <c r="D160" i="10"/>
  <c r="D162" i="10" s="1"/>
  <c r="D159" i="10"/>
  <c r="D158" i="10"/>
  <c r="AB160" i="10"/>
  <c r="AB159" i="10"/>
  <c r="AB158" i="10"/>
  <c r="V161" i="10"/>
  <c r="V160" i="10"/>
  <c r="V159" i="10"/>
  <c r="X159" i="10" s="1"/>
  <c r="V158" i="10"/>
  <c r="H161" i="10"/>
  <c r="P161" i="10" s="1"/>
  <c r="H160" i="10"/>
  <c r="N167" i="10" s="1"/>
  <c r="J161" i="10"/>
  <c r="H159" i="10"/>
  <c r="H158" i="10"/>
  <c r="F154" i="10"/>
  <c r="F153" i="10"/>
  <c r="F152" i="10"/>
  <c r="F151" i="10"/>
  <c r="D154" i="10"/>
  <c r="D153" i="10"/>
  <c r="D155" i="10" s="1"/>
  <c r="D152" i="10"/>
  <c r="D151" i="10"/>
  <c r="AB153" i="10"/>
  <c r="AB152" i="10"/>
  <c r="AB151" i="10"/>
  <c r="V154" i="10"/>
  <c r="V153" i="10"/>
  <c r="V152" i="10"/>
  <c r="V151" i="10"/>
  <c r="H154" i="10"/>
  <c r="H153" i="10"/>
  <c r="N160" i="10" s="1"/>
  <c r="H152" i="10"/>
  <c r="H151" i="10"/>
  <c r="F147" i="10"/>
  <c r="F146" i="10"/>
  <c r="F145" i="10"/>
  <c r="F144" i="10"/>
  <c r="D147" i="10"/>
  <c r="D146" i="10"/>
  <c r="D145" i="10"/>
  <c r="D144" i="10"/>
  <c r="AB146" i="10"/>
  <c r="AB145" i="10"/>
  <c r="AB144" i="10"/>
  <c r="Z145" i="9" s="1"/>
  <c r="Z147" i="38" s="1"/>
  <c r="V147" i="10"/>
  <c r="V146" i="10"/>
  <c r="V145" i="10"/>
  <c r="V144" i="10"/>
  <c r="H147" i="10"/>
  <c r="X147" i="10" s="1"/>
  <c r="H146" i="10"/>
  <c r="AD146" i="10" s="1"/>
  <c r="H145" i="10"/>
  <c r="AD145" i="10" s="1"/>
  <c r="H144" i="10"/>
  <c r="F140" i="10"/>
  <c r="F139" i="10"/>
  <c r="F138" i="10"/>
  <c r="F137" i="10"/>
  <c r="D140" i="10"/>
  <c r="L147" i="10" s="1"/>
  <c r="D139" i="10"/>
  <c r="D138" i="10"/>
  <c r="D137" i="10"/>
  <c r="L144" i="10" s="1"/>
  <c r="AB139" i="10"/>
  <c r="AB138" i="10"/>
  <c r="AB137" i="10"/>
  <c r="V140" i="10"/>
  <c r="X140" i="10" s="1"/>
  <c r="V139" i="10"/>
  <c r="H140" i="10"/>
  <c r="H139" i="10"/>
  <c r="H138" i="10"/>
  <c r="H137" i="10"/>
  <c r="AD137" i="10" s="1"/>
  <c r="F133" i="10"/>
  <c r="F132" i="10"/>
  <c r="F131" i="10"/>
  <c r="F134" i="10" s="1"/>
  <c r="F130" i="10"/>
  <c r="AB132" i="10"/>
  <c r="Z133" i="9" s="1"/>
  <c r="AB131" i="10"/>
  <c r="AB130" i="10"/>
  <c r="Z131" i="9" s="1"/>
  <c r="AB131" i="9" s="1"/>
  <c r="H133" i="10"/>
  <c r="H132" i="10"/>
  <c r="H131" i="10"/>
  <c r="J132" i="10" s="1"/>
  <c r="H130" i="10"/>
  <c r="F126" i="10"/>
  <c r="F125" i="10"/>
  <c r="F124" i="10"/>
  <c r="F127" i="10" s="1"/>
  <c r="F123" i="10"/>
  <c r="D126" i="10"/>
  <c r="D125" i="10"/>
  <c r="D124" i="10"/>
  <c r="D127" i="10" s="1"/>
  <c r="D123" i="10"/>
  <c r="AB125" i="10"/>
  <c r="AB124" i="10"/>
  <c r="AB123" i="10"/>
  <c r="Z124" i="9" s="1"/>
  <c r="BA77" i="20" s="1"/>
  <c r="H126" i="10"/>
  <c r="H125" i="10"/>
  <c r="H124" i="10"/>
  <c r="T124" i="10" s="1"/>
  <c r="H123" i="10"/>
  <c r="F119" i="10"/>
  <c r="F118" i="10"/>
  <c r="F117" i="10"/>
  <c r="F116" i="10"/>
  <c r="D119" i="10"/>
  <c r="D118" i="10"/>
  <c r="D117" i="10"/>
  <c r="D116" i="10"/>
  <c r="AB118" i="10"/>
  <c r="Z119" i="9" s="1"/>
  <c r="AB117" i="10"/>
  <c r="AB116" i="10"/>
  <c r="H119" i="10"/>
  <c r="H118" i="10"/>
  <c r="H117" i="10"/>
  <c r="H116" i="10"/>
  <c r="AD116" i="10" s="1"/>
  <c r="AN118" i="10"/>
  <c r="V111" i="10"/>
  <c r="V110" i="10"/>
  <c r="V109" i="10"/>
  <c r="F112" i="10"/>
  <c r="F113" i="10" s="1"/>
  <c r="F111" i="10"/>
  <c r="F110" i="10"/>
  <c r="D112" i="10"/>
  <c r="D111" i="10"/>
  <c r="L118" i="10" s="1"/>
  <c r="D110" i="10"/>
  <c r="D109" i="10"/>
  <c r="AB111" i="10"/>
  <c r="Z112" i="9" s="1"/>
  <c r="AS77" i="20" s="1"/>
  <c r="AB110" i="10"/>
  <c r="Z111" i="9" s="1"/>
  <c r="AB109" i="10"/>
  <c r="H112" i="10"/>
  <c r="H111" i="10"/>
  <c r="N118" i="10" s="1"/>
  <c r="H110" i="10"/>
  <c r="AN110" i="10" s="1"/>
  <c r="H109" i="10"/>
  <c r="X109" i="10" s="1"/>
  <c r="F105" i="10"/>
  <c r="F104" i="10"/>
  <c r="F103" i="10"/>
  <c r="F102" i="10"/>
  <c r="D105" i="10"/>
  <c r="L112" i="10" s="1"/>
  <c r="D104" i="10"/>
  <c r="D103" i="10"/>
  <c r="D102" i="10"/>
  <c r="AB105" i="10"/>
  <c r="AB104" i="10"/>
  <c r="Z105" i="9" s="1"/>
  <c r="AN77" i="20" s="1"/>
  <c r="AB103" i="10"/>
  <c r="Z104" i="9" s="1"/>
  <c r="AB102" i="10"/>
  <c r="V104" i="10"/>
  <c r="V103" i="10"/>
  <c r="V102" i="10"/>
  <c r="H105" i="10"/>
  <c r="AD105" i="10" s="1"/>
  <c r="H104" i="10"/>
  <c r="H103" i="10"/>
  <c r="H102" i="10"/>
  <c r="F98" i="10"/>
  <c r="F97" i="10"/>
  <c r="F96" i="10"/>
  <c r="AN95" i="10" s="1"/>
  <c r="F95" i="10"/>
  <c r="F99" i="10" s="1"/>
  <c r="D97" i="10"/>
  <c r="D96" i="10"/>
  <c r="D95" i="10"/>
  <c r="AB98" i="10"/>
  <c r="Z99" i="9" s="1"/>
  <c r="AJ77" i="20" s="1"/>
  <c r="AB97" i="10"/>
  <c r="AB96" i="10"/>
  <c r="AB95" i="10"/>
  <c r="V97" i="10"/>
  <c r="X97" i="10" s="1"/>
  <c r="V96" i="10"/>
  <c r="H98" i="10"/>
  <c r="H97" i="10"/>
  <c r="H96" i="10"/>
  <c r="N96" i="10" s="1"/>
  <c r="H95" i="10"/>
  <c r="F91" i="10"/>
  <c r="F90" i="10"/>
  <c r="F89" i="10"/>
  <c r="F88" i="10"/>
  <c r="D91" i="10"/>
  <c r="D90" i="10"/>
  <c r="D92" i="10" s="1"/>
  <c r="D89" i="10"/>
  <c r="D88" i="10"/>
  <c r="AB90" i="10"/>
  <c r="Z91" i="9"/>
  <c r="AD77" i="20" s="1"/>
  <c r="AB89" i="10"/>
  <c r="Z90" i="9" s="1"/>
  <c r="AB88" i="10"/>
  <c r="Z89" i="9" s="1"/>
  <c r="H91" i="10"/>
  <c r="H90" i="10"/>
  <c r="H89" i="10"/>
  <c r="H88" i="10"/>
  <c r="F84" i="10"/>
  <c r="F83" i="10"/>
  <c r="F82" i="10"/>
  <c r="F81" i="10"/>
  <c r="D84" i="10"/>
  <c r="D83" i="10"/>
  <c r="L83" i="10" s="1"/>
  <c r="D82" i="10"/>
  <c r="AB83" i="10"/>
  <c r="AP83" i="10"/>
  <c r="AQ83" i="10" s="1"/>
  <c r="AB82" i="10"/>
  <c r="AP82" i="10" s="1"/>
  <c r="AQ82" i="10" s="1"/>
  <c r="AB81" i="10"/>
  <c r="AP81" i="10"/>
  <c r="V83" i="10"/>
  <c r="H84" i="10"/>
  <c r="T84" i="10" s="1"/>
  <c r="H83" i="10"/>
  <c r="H82" i="10"/>
  <c r="J83" i="10" s="1"/>
  <c r="H81" i="10"/>
  <c r="AN83" i="10"/>
  <c r="F77" i="10"/>
  <c r="F76" i="10"/>
  <c r="F75" i="10"/>
  <c r="F74" i="10"/>
  <c r="F78" i="10" s="1"/>
  <c r="D77" i="10"/>
  <c r="D76" i="10"/>
  <c r="D75" i="10"/>
  <c r="AB76" i="10"/>
  <c r="AB75" i="10"/>
  <c r="AB74" i="10"/>
  <c r="AP74" i="10" s="1"/>
  <c r="H77" i="10"/>
  <c r="H76" i="10"/>
  <c r="H75" i="10"/>
  <c r="AD75" i="10"/>
  <c r="H74" i="10"/>
  <c r="AP75" i="10"/>
  <c r="AQ75" i="10" s="1"/>
  <c r="F70" i="10"/>
  <c r="F69" i="10"/>
  <c r="F68" i="10"/>
  <c r="F71" i="10" s="1"/>
  <c r="F67" i="10"/>
  <c r="D69" i="10"/>
  <c r="D68" i="10"/>
  <c r="D67" i="10"/>
  <c r="AB69" i="10"/>
  <c r="Z72" i="38"/>
  <c r="AB68" i="10"/>
  <c r="AB67" i="10"/>
  <c r="H70" i="10"/>
  <c r="H69" i="10"/>
  <c r="H68" i="10"/>
  <c r="H67" i="10"/>
  <c r="F63" i="10"/>
  <c r="F62" i="10"/>
  <c r="F61" i="10"/>
  <c r="F60" i="10"/>
  <c r="D63" i="10"/>
  <c r="D62" i="10"/>
  <c r="L69" i="10" s="1"/>
  <c r="D61" i="10"/>
  <c r="D60" i="10"/>
  <c r="AB62" i="10"/>
  <c r="AB61" i="10"/>
  <c r="AB60" i="10"/>
  <c r="Z61" i="9"/>
  <c r="H63" i="10"/>
  <c r="H62" i="10"/>
  <c r="H61" i="10"/>
  <c r="H60" i="10"/>
  <c r="F56" i="10"/>
  <c r="F55" i="10"/>
  <c r="F54" i="10"/>
  <c r="F53" i="10"/>
  <c r="AN49" i="10" s="1"/>
  <c r="D56" i="10"/>
  <c r="D55" i="10"/>
  <c r="D54" i="10"/>
  <c r="D53" i="10"/>
  <c r="AB55" i="10"/>
  <c r="AB54" i="10"/>
  <c r="AB53" i="10"/>
  <c r="V55" i="10"/>
  <c r="V54" i="10"/>
  <c r="V53" i="10"/>
  <c r="H56" i="10"/>
  <c r="H55" i="10"/>
  <c r="H54" i="10"/>
  <c r="H53" i="10"/>
  <c r="J54" i="10" s="1"/>
  <c r="AL54" i="10" s="1"/>
  <c r="F49" i="10"/>
  <c r="F48" i="10"/>
  <c r="F47" i="10"/>
  <c r="F46" i="10"/>
  <c r="D49" i="10"/>
  <c r="D48" i="10"/>
  <c r="D47" i="10"/>
  <c r="D46" i="10"/>
  <c r="AB48" i="10"/>
  <c r="AB47" i="10"/>
  <c r="Z48" i="9" s="1"/>
  <c r="AB46" i="10"/>
  <c r="V48" i="10"/>
  <c r="V47" i="10"/>
  <c r="V46" i="10"/>
  <c r="H48" i="10"/>
  <c r="AD48" i="10" s="1"/>
  <c r="H47" i="10"/>
  <c r="J48" i="10" s="1"/>
  <c r="H46" i="10"/>
  <c r="J47" i="10"/>
  <c r="F42" i="10"/>
  <c r="F41" i="10"/>
  <c r="F40" i="10"/>
  <c r="F39" i="10"/>
  <c r="F43" i="10" s="1"/>
  <c r="D42" i="10"/>
  <c r="D41" i="10"/>
  <c r="D40" i="10"/>
  <c r="D39" i="10"/>
  <c r="L46" i="10" s="1"/>
  <c r="V41" i="10"/>
  <c r="V40" i="10"/>
  <c r="V39" i="10"/>
  <c r="H41" i="10"/>
  <c r="H40" i="10"/>
  <c r="H39" i="10"/>
  <c r="F35" i="10"/>
  <c r="F34" i="10"/>
  <c r="F36" i="10" s="1"/>
  <c r="F33" i="10"/>
  <c r="F32" i="10"/>
  <c r="D35" i="10"/>
  <c r="L42" i="10" s="1"/>
  <c r="D34" i="10"/>
  <c r="L34" i="10" s="1"/>
  <c r="D33" i="10"/>
  <c r="D32" i="10"/>
  <c r="V34" i="10"/>
  <c r="V33" i="10"/>
  <c r="X33" i="10" s="1"/>
  <c r="V32" i="10"/>
  <c r="H34" i="10"/>
  <c r="H33" i="10"/>
  <c r="H32" i="10"/>
  <c r="F28" i="10"/>
  <c r="F27" i="10"/>
  <c r="F26" i="10"/>
  <c r="F25" i="10"/>
  <c r="D28" i="10"/>
  <c r="D27" i="10"/>
  <c r="D26" i="10"/>
  <c r="D25" i="10"/>
  <c r="V27" i="10"/>
  <c r="V26" i="10"/>
  <c r="V25" i="10"/>
  <c r="H28" i="10"/>
  <c r="H27" i="10"/>
  <c r="T27" i="10" s="1"/>
  <c r="H26" i="10"/>
  <c r="H25" i="10"/>
  <c r="F21" i="10"/>
  <c r="F20" i="10"/>
  <c r="F19" i="10"/>
  <c r="F18" i="10"/>
  <c r="D21" i="10"/>
  <c r="D20" i="10"/>
  <c r="D19" i="10"/>
  <c r="D18" i="10"/>
  <c r="D22" i="10" s="1"/>
  <c r="B17" i="10"/>
  <c r="B24" i="10" s="1"/>
  <c r="B31" i="10" s="1"/>
  <c r="B38" i="10" s="1"/>
  <c r="B45" i="10" s="1"/>
  <c r="B52" i="10" s="1"/>
  <c r="V20" i="10"/>
  <c r="V19" i="10"/>
  <c r="V18" i="10"/>
  <c r="X18" i="10" s="1"/>
  <c r="H20" i="10"/>
  <c r="H19" i="10"/>
  <c r="X19" i="10" s="1"/>
  <c r="H18" i="10"/>
  <c r="F14" i="10"/>
  <c r="F13" i="10"/>
  <c r="F12" i="10"/>
  <c r="F11" i="10"/>
  <c r="D14" i="10"/>
  <c r="D13" i="10"/>
  <c r="L20" i="10" s="1"/>
  <c r="D12" i="10"/>
  <c r="D11" i="10"/>
  <c r="B15" i="10"/>
  <c r="B14" i="10"/>
  <c r="B13" i="10"/>
  <c r="B181" i="10" s="1"/>
  <c r="B12" i="10"/>
  <c r="B11" i="10"/>
  <c r="AB13" i="10"/>
  <c r="AB12" i="10"/>
  <c r="AB11" i="10"/>
  <c r="V13" i="10"/>
  <c r="V12" i="10"/>
  <c r="V11" i="10"/>
  <c r="H14" i="10"/>
  <c r="H13" i="10"/>
  <c r="H12" i="10"/>
  <c r="H11" i="10"/>
  <c r="J11" i="10" s="1"/>
  <c r="A14" i="10"/>
  <c r="A161" i="10" s="1"/>
  <c r="A13" i="10"/>
  <c r="A12" i="10"/>
  <c r="A11" i="10"/>
  <c r="A1" i="10"/>
  <c r="BD84" i="3"/>
  <c r="BD83" i="3"/>
  <c r="BB84" i="3"/>
  <c r="BB83" i="3"/>
  <c r="AZ84" i="3"/>
  <c r="AZ83" i="3"/>
  <c r="AX84" i="3"/>
  <c r="AX83" i="3"/>
  <c r="AV84" i="3"/>
  <c r="AV83" i="3"/>
  <c r="AT84" i="3"/>
  <c r="AT83" i="3"/>
  <c r="AR84" i="3"/>
  <c r="AR83" i="3"/>
  <c r="AP84" i="3"/>
  <c r="AP83" i="3"/>
  <c r="AN84" i="3"/>
  <c r="AN83" i="3"/>
  <c r="AL84" i="3"/>
  <c r="AL83" i="3"/>
  <c r="AJ84" i="3"/>
  <c r="AJ83" i="3"/>
  <c r="AH84" i="3"/>
  <c r="AH83" i="3"/>
  <c r="AF84" i="3"/>
  <c r="AF83" i="3"/>
  <c r="AD84" i="3"/>
  <c r="AD83" i="3"/>
  <c r="AB84" i="3"/>
  <c r="AB83" i="3"/>
  <c r="Z84" i="3"/>
  <c r="Z83" i="3"/>
  <c r="X84" i="3"/>
  <c r="X83" i="3"/>
  <c r="V84" i="3"/>
  <c r="V83" i="3"/>
  <c r="T84" i="3"/>
  <c r="T83" i="3"/>
  <c r="R84" i="3"/>
  <c r="R83" i="3"/>
  <c r="P84" i="3"/>
  <c r="P83" i="3"/>
  <c r="N84" i="3"/>
  <c r="N83" i="3"/>
  <c r="L84" i="3"/>
  <c r="L83" i="3"/>
  <c r="N80" i="3"/>
  <c r="N81" i="3" s="1"/>
  <c r="N79" i="3"/>
  <c r="L80" i="3"/>
  <c r="L81" i="3" s="1"/>
  <c r="N74" i="3"/>
  <c r="L74" i="3"/>
  <c r="J74" i="3"/>
  <c r="H74" i="3"/>
  <c r="F74" i="3"/>
  <c r="R67" i="3"/>
  <c r="P67" i="3"/>
  <c r="N67" i="3"/>
  <c r="L67" i="3"/>
  <c r="J67" i="3"/>
  <c r="F67" i="3"/>
  <c r="D67" i="3"/>
  <c r="R64" i="3"/>
  <c r="R68" i="3" s="1"/>
  <c r="P64" i="3"/>
  <c r="P68" i="3" s="1"/>
  <c r="H64" i="3"/>
  <c r="H68" i="3" s="1"/>
  <c r="D50" i="3"/>
  <c r="AR43" i="3"/>
  <c r="AR42" i="3"/>
  <c r="AT42" i="3"/>
  <c r="AP42" i="3"/>
  <c r="AN42" i="3"/>
  <c r="AL42" i="3"/>
  <c r="AJ42" i="3"/>
  <c r="AH42" i="3"/>
  <c r="AF42" i="3"/>
  <c r="AF41" i="3"/>
  <c r="AF46" i="3" s="1"/>
  <c r="AD42" i="3"/>
  <c r="AD41" i="3"/>
  <c r="AB42" i="3"/>
  <c r="AB41" i="3"/>
  <c r="Z42" i="3"/>
  <c r="Z41" i="3"/>
  <c r="X42" i="3"/>
  <c r="X46" i="3" s="1"/>
  <c r="V42" i="3"/>
  <c r="V41" i="3"/>
  <c r="T42" i="3"/>
  <c r="T41" i="3"/>
  <c r="T46" i="3" s="1"/>
  <c r="R42" i="3"/>
  <c r="R41" i="3"/>
  <c r="P42" i="3"/>
  <c r="P41" i="3"/>
  <c r="N42" i="3"/>
  <c r="N41" i="3"/>
  <c r="N46" i="3" s="1"/>
  <c r="BD41" i="3"/>
  <c r="BB41" i="3"/>
  <c r="AZ41" i="3"/>
  <c r="AX41" i="3"/>
  <c r="L41" i="3"/>
  <c r="J41" i="3"/>
  <c r="H41" i="3"/>
  <c r="D41" i="3"/>
  <c r="BQ39" i="3"/>
  <c r="BO39" i="3"/>
  <c r="BM39" i="3"/>
  <c r="BK39" i="3"/>
  <c r="BI39" i="3"/>
  <c r="BG39" i="3"/>
  <c r="BH39" i="3" s="1"/>
  <c r="AX38" i="3"/>
  <c r="AR39" i="3"/>
  <c r="AR38" i="3"/>
  <c r="L39" i="3"/>
  <c r="J39" i="3"/>
  <c r="H39" i="3"/>
  <c r="H38" i="3"/>
  <c r="F39" i="3"/>
  <c r="BP39" i="3" s="1"/>
  <c r="F38" i="3"/>
  <c r="D39" i="3"/>
  <c r="D38" i="3"/>
  <c r="BK38" i="3"/>
  <c r="AW131" i="2" s="1"/>
  <c r="BI38" i="3"/>
  <c r="BJ38" i="3" s="1"/>
  <c r="BG38" i="3"/>
  <c r="BH38" i="3" s="1"/>
  <c r="AT38" i="3"/>
  <c r="AT46" i="3"/>
  <c r="AP38" i="3"/>
  <c r="AP46" i="3" s="1"/>
  <c r="AN38" i="3"/>
  <c r="AL38" i="3"/>
  <c r="AL46" i="3" s="1"/>
  <c r="AJ38" i="3"/>
  <c r="AJ46" i="3" s="1"/>
  <c r="AH38" i="3"/>
  <c r="AH46" i="3" s="1"/>
  <c r="AF38" i="3"/>
  <c r="AD38" i="3"/>
  <c r="AG131" i="2" s="1"/>
  <c r="AB38" i="3"/>
  <c r="Z38" i="3"/>
  <c r="V38" i="3"/>
  <c r="V46" i="3" s="1"/>
  <c r="AT30" i="3"/>
  <c r="AT32" i="3" s="1"/>
  <c r="AR30" i="3"/>
  <c r="AR32" i="3" s="1"/>
  <c r="AP30" i="3"/>
  <c r="AP32" i="3" s="1"/>
  <c r="AL30" i="3"/>
  <c r="AL32" i="3"/>
  <c r="AJ30" i="3"/>
  <c r="AJ32" i="3" s="1"/>
  <c r="AH30" i="3"/>
  <c r="AH32" i="3" s="1"/>
  <c r="AF30" i="3"/>
  <c r="AF32" i="3" s="1"/>
  <c r="AD30" i="3"/>
  <c r="AD32" i="3" s="1"/>
  <c r="AB30" i="3"/>
  <c r="T30" i="3"/>
  <c r="T32" i="3" s="1"/>
  <c r="F30" i="3"/>
  <c r="F60" i="3" s="1"/>
  <c r="BQ28" i="3"/>
  <c r="BR28" i="3" s="1"/>
  <c r="BO28" i="3"/>
  <c r="BP28" i="3" s="1"/>
  <c r="AN28" i="3"/>
  <c r="AN30" i="3" s="1"/>
  <c r="AN32" i="3" s="1"/>
  <c r="P28" i="3"/>
  <c r="P27" i="3"/>
  <c r="N28" i="3"/>
  <c r="N27" i="3"/>
  <c r="L28" i="3"/>
  <c r="L27" i="3"/>
  <c r="J28" i="3"/>
  <c r="J27" i="3"/>
  <c r="H28" i="3"/>
  <c r="H27" i="3"/>
  <c r="BO27" i="3"/>
  <c r="BP27" i="3" s="1"/>
  <c r="Z27" i="3"/>
  <c r="Z30" i="3" s="1"/>
  <c r="X27" i="3"/>
  <c r="X30" i="3" s="1"/>
  <c r="X32" i="3" s="1"/>
  <c r="V27" i="3"/>
  <c r="V30" i="3" s="1"/>
  <c r="V32" i="3" s="1"/>
  <c r="R27" i="3"/>
  <c r="D27" i="3"/>
  <c r="BQ25" i="3"/>
  <c r="BR25" i="3" s="1"/>
  <c r="BO25" i="3"/>
  <c r="BP25" i="3" s="1"/>
  <c r="BM25" i="3"/>
  <c r="BN25" i="3" s="1"/>
  <c r="BK25" i="3"/>
  <c r="BL25" i="3" s="1"/>
  <c r="BI25" i="3"/>
  <c r="BJ25" i="3" s="1"/>
  <c r="BG25" i="3"/>
  <c r="BH25" i="3" s="1"/>
  <c r="BO24" i="3"/>
  <c r="BP24" i="3" s="1"/>
  <c r="R24" i="3"/>
  <c r="R23" i="3"/>
  <c r="R22" i="3"/>
  <c r="P24" i="3"/>
  <c r="P23" i="3"/>
  <c r="P22" i="3"/>
  <c r="N24" i="3"/>
  <c r="N23" i="3"/>
  <c r="N22" i="3"/>
  <c r="L24" i="3"/>
  <c r="L23" i="3"/>
  <c r="L22" i="3"/>
  <c r="J24" i="3"/>
  <c r="J23" i="3"/>
  <c r="J22" i="3"/>
  <c r="H24" i="3"/>
  <c r="H23" i="3"/>
  <c r="H22" i="3"/>
  <c r="D24" i="3"/>
  <c r="BQ23" i="3"/>
  <c r="BR23" i="3" s="1"/>
  <c r="BO23" i="3"/>
  <c r="BP23" i="3" s="1"/>
  <c r="BQ22" i="3"/>
  <c r="BR22" i="3" s="1"/>
  <c r="BO22" i="3"/>
  <c r="BP22" i="3" s="1"/>
  <c r="AB19" i="3"/>
  <c r="Z19" i="3"/>
  <c r="H18" i="3"/>
  <c r="H67" i="3" s="1"/>
  <c r="AR15" i="3"/>
  <c r="AP15" i="3"/>
  <c r="AH15" i="3"/>
  <c r="AF15" i="3"/>
  <c r="AD15" i="3"/>
  <c r="AB15" i="3"/>
  <c r="Z15" i="3"/>
  <c r="T15" i="3"/>
  <c r="P15" i="3"/>
  <c r="N15" i="3"/>
  <c r="L15" i="3"/>
  <c r="H15" i="3"/>
  <c r="AT13" i="3"/>
  <c r="AR13" i="3"/>
  <c r="AP13" i="3"/>
  <c r="AN13" i="3"/>
  <c r="AL13" i="3"/>
  <c r="AJ13" i="3"/>
  <c r="AH13" i="3"/>
  <c r="AF13" i="3"/>
  <c r="AD13" i="3"/>
  <c r="AB13" i="3"/>
  <c r="Z13" i="3"/>
  <c r="X13" i="3"/>
  <c r="BO12" i="3"/>
  <c r="R12" i="3"/>
  <c r="R11" i="3"/>
  <c r="R80" i="3" s="1"/>
  <c r="R79" i="3" s="1"/>
  <c r="P12" i="3"/>
  <c r="P11" i="3"/>
  <c r="N12" i="3"/>
  <c r="L12" i="3"/>
  <c r="J12" i="3"/>
  <c r="H12" i="3"/>
  <c r="D12" i="3"/>
  <c r="Z11" i="3"/>
  <c r="Z80" i="3"/>
  <c r="Z78" i="3" s="1"/>
  <c r="Z81" i="3" s="1"/>
  <c r="X11" i="3"/>
  <c r="X80" i="3" s="1"/>
  <c r="X78" i="3" s="1"/>
  <c r="X81" i="3" s="1"/>
  <c r="T11" i="3"/>
  <c r="T80" i="3" s="1"/>
  <c r="F8" i="3"/>
  <c r="H8" i="3" s="1"/>
  <c r="J8" i="3" s="1"/>
  <c r="L8" i="3" s="1"/>
  <c r="N8" i="3" s="1"/>
  <c r="P8" i="3" s="1"/>
  <c r="R8" i="3" s="1"/>
  <c r="T8" i="3" s="1"/>
  <c r="V8" i="3" s="1"/>
  <c r="X8" i="3" s="1"/>
  <c r="Z8" i="3" s="1"/>
  <c r="AB8" i="3" s="1"/>
  <c r="AD8" i="3" s="1"/>
  <c r="AF8" i="3" s="1"/>
  <c r="AH8" i="3" s="1"/>
  <c r="AJ8" i="3" s="1"/>
  <c r="AL8" i="3" s="1"/>
  <c r="AN8" i="3" s="1"/>
  <c r="AP8" i="3" s="1"/>
  <c r="AR8" i="3" s="1"/>
  <c r="AT8" i="3" s="1"/>
  <c r="AX8" i="3" s="1"/>
  <c r="AZ8" i="3" s="1"/>
  <c r="BB8" i="3" s="1"/>
  <c r="BD8" i="3" s="1"/>
  <c r="BF8" i="3" s="1"/>
  <c r="A3" i="3"/>
  <c r="A1" i="3"/>
  <c r="BG132" i="2"/>
  <c r="BG131" i="2"/>
  <c r="BE131" i="2"/>
  <c r="BC131" i="2"/>
  <c r="BA131" i="2"/>
  <c r="AY131" i="2"/>
  <c r="AW132" i="2"/>
  <c r="AU132" i="2"/>
  <c r="AS132" i="2"/>
  <c r="AS131" i="2"/>
  <c r="AQ132" i="2"/>
  <c r="AO132" i="2"/>
  <c r="AO131" i="2"/>
  <c r="AM132" i="2"/>
  <c r="AM131" i="2"/>
  <c r="AK132" i="2"/>
  <c r="AK131" i="2"/>
  <c r="AI132" i="2"/>
  <c r="AI131" i="2"/>
  <c r="AG132" i="2"/>
  <c r="AE132" i="2"/>
  <c r="AC132" i="2"/>
  <c r="AC131" i="2"/>
  <c r="AA132" i="2"/>
  <c r="AA131" i="2"/>
  <c r="Y132" i="2"/>
  <c r="W132" i="2"/>
  <c r="W131" i="2"/>
  <c r="U132" i="2"/>
  <c r="U131" i="2"/>
  <c r="S132" i="2"/>
  <c r="S131" i="2"/>
  <c r="Q132" i="2"/>
  <c r="Q131" i="2"/>
  <c r="O132" i="2"/>
  <c r="O131" i="2"/>
  <c r="AS125" i="2"/>
  <c r="AQ125" i="2"/>
  <c r="AO125" i="2"/>
  <c r="S125" i="2"/>
  <c r="U125" i="2" s="1"/>
  <c r="W125" i="2" s="1"/>
  <c r="Y125" i="2" s="1"/>
  <c r="AA125" i="2" s="1"/>
  <c r="AC125" i="2" s="1"/>
  <c r="AE125" i="2" s="1"/>
  <c r="AG125" i="2" s="1"/>
  <c r="AI125" i="2" s="1"/>
  <c r="AK125" i="2" s="1"/>
  <c r="AM125" i="2" s="1"/>
  <c r="AK106" i="2"/>
  <c r="AI106" i="2"/>
  <c r="AG106" i="2"/>
  <c r="AE106" i="2"/>
  <c r="AC106" i="2"/>
  <c r="AA106" i="2"/>
  <c r="Y106" i="2"/>
  <c r="Y112" i="2" s="1"/>
  <c r="W106" i="2"/>
  <c r="U106" i="2"/>
  <c r="S106" i="2"/>
  <c r="Q106" i="2"/>
  <c r="O106" i="2"/>
  <c r="M106" i="2"/>
  <c r="K106" i="2"/>
  <c r="AS97" i="2"/>
  <c r="AS105" i="2" s="1"/>
  <c r="AS95" i="2"/>
  <c r="AQ97" i="2"/>
  <c r="AQ105" i="2" s="1"/>
  <c r="AQ95" i="2"/>
  <c r="AO97" i="2"/>
  <c r="AO105" i="2" s="1"/>
  <c r="AO95" i="2"/>
  <c r="AM95" i="2"/>
  <c r="AK95" i="2"/>
  <c r="AI95" i="2"/>
  <c r="AG95" i="2"/>
  <c r="AE95" i="2"/>
  <c r="AC95" i="2"/>
  <c r="AA95" i="2"/>
  <c r="Y95" i="2"/>
  <c r="W95" i="2"/>
  <c r="U95" i="2"/>
  <c r="S97" i="2"/>
  <c r="S105" i="2" s="1"/>
  <c r="S95" i="2"/>
  <c r="Q97" i="2"/>
  <c r="Q105" i="2"/>
  <c r="Q95" i="2"/>
  <c r="O97" i="2"/>
  <c r="O105" i="2" s="1"/>
  <c r="O95" i="2"/>
  <c r="M97" i="2"/>
  <c r="M105" i="2" s="1"/>
  <c r="M95" i="2"/>
  <c r="K97" i="2"/>
  <c r="K105" i="2" s="1"/>
  <c r="K95" i="2"/>
  <c r="BA81" i="2"/>
  <c r="BC81" i="2" s="1"/>
  <c r="BE81" i="2" s="1"/>
  <c r="BG81" i="2" s="1"/>
  <c r="AW83" i="2"/>
  <c r="AY83" i="2" s="1"/>
  <c r="AU83" i="2"/>
  <c r="CF65" i="20" s="1"/>
  <c r="AS83" i="2"/>
  <c r="AQ83" i="2"/>
  <c r="AO83" i="2"/>
  <c r="AM83" i="2"/>
  <c r="AK83" i="2"/>
  <c r="AI83" i="2"/>
  <c r="AG83" i="2"/>
  <c r="AE83" i="2"/>
  <c r="Y83" i="2"/>
  <c r="W83" i="2"/>
  <c r="U83" i="2"/>
  <c r="S83" i="2"/>
  <c r="Q83" i="2"/>
  <c r="O83" i="2"/>
  <c r="AC83" i="2"/>
  <c r="AA83" i="2"/>
  <c r="M83" i="2"/>
  <c r="K83" i="2"/>
  <c r="I83" i="2"/>
  <c r="G83" i="2"/>
  <c r="E83" i="2"/>
  <c r="O76" i="2"/>
  <c r="O75" i="2"/>
  <c r="O82" i="2" s="1"/>
  <c r="BG67" i="2"/>
  <c r="BE67" i="2"/>
  <c r="BC67" i="2"/>
  <c r="BA67" i="2"/>
  <c r="AY67" i="2"/>
  <c r="AW69" i="2"/>
  <c r="AW68" i="2"/>
  <c r="AW67" i="2"/>
  <c r="AU69" i="2"/>
  <c r="AU68" i="2"/>
  <c r="AU67" i="2"/>
  <c r="AS69" i="2"/>
  <c r="AS68" i="2"/>
  <c r="AS67" i="2"/>
  <c r="AQ69" i="2"/>
  <c r="AQ68" i="2"/>
  <c r="AQ67" i="2"/>
  <c r="AO68" i="2"/>
  <c r="AO67" i="2"/>
  <c r="AM68" i="2"/>
  <c r="AM67" i="2"/>
  <c r="AK69" i="2"/>
  <c r="AK68" i="2"/>
  <c r="AK67" i="2"/>
  <c r="AI69" i="2"/>
  <c r="AI68" i="2"/>
  <c r="AI67" i="2"/>
  <c r="AG69" i="2"/>
  <c r="AG68" i="2"/>
  <c r="AG67" i="2"/>
  <c r="AE69" i="2"/>
  <c r="AE68" i="2"/>
  <c r="AE67" i="2"/>
  <c r="AC69" i="2"/>
  <c r="AC68" i="2"/>
  <c r="AC67" i="2"/>
  <c r="AA70" i="2"/>
  <c r="AC70" i="2" s="1"/>
  <c r="AE70" i="2" s="1"/>
  <c r="AG70" i="2" s="1"/>
  <c r="AI70" i="2" s="1"/>
  <c r="AK70" i="2" s="1"/>
  <c r="AM70" i="2" s="1"/>
  <c r="AO70" i="2" s="1"/>
  <c r="AQ70" i="2" s="1"/>
  <c r="AS70" i="2" s="1"/>
  <c r="AU70" i="2" s="1"/>
  <c r="AW70" i="2" s="1"/>
  <c r="AY70" i="2" s="1"/>
  <c r="BA70" i="2" s="1"/>
  <c r="BC70" i="2" s="1"/>
  <c r="BE70" i="2" s="1"/>
  <c r="BG70" i="2" s="1"/>
  <c r="BI70" i="2" s="1"/>
  <c r="AA69" i="2"/>
  <c r="AA68" i="2"/>
  <c r="AA67" i="2"/>
  <c r="Y69" i="2"/>
  <c r="W69" i="2"/>
  <c r="U69" i="2"/>
  <c r="S69" i="2"/>
  <c r="Q69" i="2"/>
  <c r="O69" i="2"/>
  <c r="Y67" i="2"/>
  <c r="W67" i="2"/>
  <c r="U67" i="2"/>
  <c r="S67" i="2"/>
  <c r="Q67" i="2"/>
  <c r="O67" i="2"/>
  <c r="BA51" i="2"/>
  <c r="BC51" i="2" s="1"/>
  <c r="BE51" i="2" s="1"/>
  <c r="BG51" i="2" s="1"/>
  <c r="BI51" i="2" s="1"/>
  <c r="BA49" i="2"/>
  <c r="BC49" i="2" s="1"/>
  <c r="BE49" i="2" s="1"/>
  <c r="BG49" i="2" s="1"/>
  <c r="BI49" i="2" s="1"/>
  <c r="BA47" i="2"/>
  <c r="BC47" i="2" s="1"/>
  <c r="AW52" i="2"/>
  <c r="AU52" i="2"/>
  <c r="AQ52" i="2"/>
  <c r="AO51" i="2"/>
  <c r="AO52" i="2"/>
  <c r="BX66" i="20" s="1"/>
  <c r="AM51" i="2"/>
  <c r="AM52" i="2" s="1"/>
  <c r="AK52" i="2"/>
  <c r="BV66" i="20"/>
  <c r="AI52" i="2"/>
  <c r="AG52" i="2"/>
  <c r="AI66" i="20" s="1"/>
  <c r="AE52" i="2"/>
  <c r="AH66" i="20" s="1"/>
  <c r="AC52" i="2"/>
  <c r="AA51" i="2"/>
  <c r="AA52" i="2"/>
  <c r="AE66" i="20" s="1"/>
  <c r="Y52" i="2"/>
  <c r="Q52" i="2"/>
  <c r="N41" i="23" s="1"/>
  <c r="O52" i="2"/>
  <c r="L41" i="23" s="1"/>
  <c r="M52" i="2"/>
  <c r="J41" i="23" s="1"/>
  <c r="J47" i="23" s="1"/>
  <c r="J53" i="23" s="1"/>
  <c r="K52" i="2"/>
  <c r="H41" i="23" s="1"/>
  <c r="I52" i="2"/>
  <c r="F41" i="23" s="1"/>
  <c r="G52" i="2"/>
  <c r="D41" i="23" s="1"/>
  <c r="E52" i="2"/>
  <c r="AS50" i="2"/>
  <c r="AS52" i="2" s="1"/>
  <c r="BA44" i="2"/>
  <c r="BC44" i="2" s="1"/>
  <c r="BE44" i="2" s="1"/>
  <c r="BG44" i="2" s="1"/>
  <c r="BI44" i="2" s="1"/>
  <c r="BA42" i="2"/>
  <c r="BC42" i="2" s="1"/>
  <c r="BE42" i="2" s="1"/>
  <c r="BG42" i="2" s="1"/>
  <c r="BI42" i="2" s="1"/>
  <c r="BA39" i="2"/>
  <c r="BC39" i="2" s="1"/>
  <c r="BE39" i="2" s="1"/>
  <c r="BG39" i="2" s="1"/>
  <c r="BI39" i="2" s="1"/>
  <c r="AW40" i="2"/>
  <c r="AW45" i="2" s="1"/>
  <c r="AW54" i="2" s="1"/>
  <c r="AU40" i="2"/>
  <c r="AU45" i="2" s="1"/>
  <c r="AU54" i="2" s="1"/>
  <c r="AQ39" i="2"/>
  <c r="BZ66" i="20" s="1"/>
  <c r="AS39" i="2"/>
  <c r="AO40" i="2"/>
  <c r="AO45" i="2" s="1"/>
  <c r="AO54" i="2" s="1"/>
  <c r="AM40" i="2"/>
  <c r="AM45" i="2" s="1"/>
  <c r="AK40" i="2"/>
  <c r="AK45" i="2"/>
  <c r="AK54" i="2" s="1"/>
  <c r="AI40" i="2"/>
  <c r="AI45" i="2" s="1"/>
  <c r="AI54" i="2" s="1"/>
  <c r="AG40" i="2"/>
  <c r="AG45" i="2" s="1"/>
  <c r="AE40" i="2"/>
  <c r="AE45" i="2" s="1"/>
  <c r="AE54" i="2" s="1"/>
  <c r="AC40" i="2"/>
  <c r="AC45" i="2" s="1"/>
  <c r="AC54" i="2" s="1"/>
  <c r="AA40" i="2"/>
  <c r="AA45" i="2" s="1"/>
  <c r="AA54" i="2" s="1"/>
  <c r="Y40" i="2"/>
  <c r="Y45" i="2" s="1"/>
  <c r="Y54" i="2" s="1"/>
  <c r="W40" i="2"/>
  <c r="W45" i="2" s="1"/>
  <c r="U40" i="2"/>
  <c r="U45" i="2" s="1"/>
  <c r="S40" i="2"/>
  <c r="S45" i="2"/>
  <c r="Q40" i="2"/>
  <c r="Q45" i="2" s="1"/>
  <c r="Q54" i="2" s="1"/>
  <c r="O40" i="2"/>
  <c r="O45" i="2" s="1"/>
  <c r="O54" i="2" s="1"/>
  <c r="M40" i="2"/>
  <c r="M45" i="2" s="1"/>
  <c r="M54" i="2" s="1"/>
  <c r="K40" i="2"/>
  <c r="K45" i="2" s="1"/>
  <c r="K54" i="2" s="1"/>
  <c r="I40" i="2"/>
  <c r="I45" i="2" s="1"/>
  <c r="I54" i="2" s="1"/>
  <c r="G40" i="2"/>
  <c r="G45" i="2" s="1"/>
  <c r="G54" i="2" s="1"/>
  <c r="E40" i="2"/>
  <c r="E45" i="2"/>
  <c r="E54" i="2" s="1"/>
  <c r="AY68" i="2"/>
  <c r="BA27" i="2"/>
  <c r="BC27" i="2" s="1"/>
  <c r="BE27" i="2" s="1"/>
  <c r="BG27" i="2" s="1"/>
  <c r="BI27" i="2" s="1"/>
  <c r="AO30" i="2"/>
  <c r="AO29" i="2"/>
  <c r="AM29" i="2"/>
  <c r="AM106" i="2" s="1"/>
  <c r="AK30" i="2"/>
  <c r="AI30" i="2"/>
  <c r="AG30" i="2"/>
  <c r="AE30" i="2"/>
  <c r="AC30" i="2"/>
  <c r="AA30" i="2"/>
  <c r="Y30" i="2"/>
  <c r="W30" i="2"/>
  <c r="U30" i="2"/>
  <c r="S30" i="2"/>
  <c r="Q30" i="2"/>
  <c r="O30" i="2"/>
  <c r="M30" i="2"/>
  <c r="K30" i="2"/>
  <c r="I30" i="2"/>
  <c r="G30" i="2"/>
  <c r="E30" i="2"/>
  <c r="AQ26" i="2"/>
  <c r="AS26" i="2" s="1"/>
  <c r="AQ106" i="2"/>
  <c r="AM23" i="2"/>
  <c r="AM97" i="2" s="1"/>
  <c r="AM105" i="2" s="1"/>
  <c r="AK23" i="2"/>
  <c r="AK97" i="2" s="1"/>
  <c r="AK105" i="2" s="1"/>
  <c r="AI23" i="2"/>
  <c r="AI97" i="2" s="1"/>
  <c r="AI105" i="2" s="1"/>
  <c r="AG23" i="2"/>
  <c r="AG97" i="2" s="1"/>
  <c r="AG105" i="2" s="1"/>
  <c r="AE23" i="2"/>
  <c r="AE97" i="2" s="1"/>
  <c r="AE105" i="2" s="1"/>
  <c r="AE117" i="2" s="1"/>
  <c r="AA23" i="2"/>
  <c r="AA97" i="2" s="1"/>
  <c r="AA105" i="2" s="1"/>
  <c r="AA117" i="2" s="1"/>
  <c r="Y23" i="2"/>
  <c r="Y97" i="2" s="1"/>
  <c r="Y105" i="2" s="1"/>
  <c r="W23" i="2"/>
  <c r="W97" i="2" s="1"/>
  <c r="W105" i="2" s="1"/>
  <c r="U23" i="2"/>
  <c r="U97" i="2"/>
  <c r="U105" i="2" s="1"/>
  <c r="AC18" i="2"/>
  <c r="AC23" i="2"/>
  <c r="AC97" i="2" s="1"/>
  <c r="AC105" i="2" s="1"/>
  <c r="BA10" i="2"/>
  <c r="BC10" i="2" s="1"/>
  <c r="BE10" i="2" s="1"/>
  <c r="BG10" i="2" s="1"/>
  <c r="BI10" i="2" s="1"/>
  <c r="BI62" i="2" s="1"/>
  <c r="AS14" i="2"/>
  <c r="AQ14" i="2"/>
  <c r="AA14" i="2"/>
  <c r="E15" i="2"/>
  <c r="E32" i="2" s="1"/>
  <c r="AK11" i="2"/>
  <c r="AI11" i="2"/>
  <c r="AG11" i="2"/>
  <c r="AE11" i="2"/>
  <c r="AU10" i="2"/>
  <c r="AS10" i="2"/>
  <c r="I6" i="2"/>
  <c r="K6" i="2" s="1"/>
  <c r="M6" i="2" s="1"/>
  <c r="O6" i="2" s="1"/>
  <c r="Q6" i="2" s="1"/>
  <c r="S6" i="2" s="1"/>
  <c r="U6" i="2" s="1"/>
  <c r="W6" i="2" s="1"/>
  <c r="Y6" i="2" s="1"/>
  <c r="AA6" i="2" s="1"/>
  <c r="AC6" i="2" s="1"/>
  <c r="AE6" i="2" s="1"/>
  <c r="AG6" i="2" s="1"/>
  <c r="AI6" i="2" s="1"/>
  <c r="AK6" i="2" s="1"/>
  <c r="AM6" i="2" s="1"/>
  <c r="AO6" i="2" s="1"/>
  <c r="AQ6" i="2" s="1"/>
  <c r="AS6" i="2" s="1"/>
  <c r="AU6" i="2" s="1"/>
  <c r="AW6" i="2" s="1"/>
  <c r="BA6" i="2" s="1"/>
  <c r="BC6" i="2" s="1"/>
  <c r="BE6" i="2" s="1"/>
  <c r="BG6" i="2" s="1"/>
  <c r="BI6" i="2" s="1"/>
  <c r="A1" i="2"/>
  <c r="P80" i="15"/>
  <c r="O80" i="15"/>
  <c r="O79" i="15"/>
  <c r="U73" i="15"/>
  <c r="N73" i="15"/>
  <c r="O73" i="15" s="1"/>
  <c r="P73" i="15" s="1"/>
  <c r="N72" i="15"/>
  <c r="M72" i="15"/>
  <c r="L72" i="15"/>
  <c r="CX33" i="20" s="1"/>
  <c r="K71" i="15"/>
  <c r="CW34" i="20" s="1"/>
  <c r="J71" i="15"/>
  <c r="X57" i="15"/>
  <c r="W57" i="15"/>
  <c r="S57" i="15"/>
  <c r="AK62" i="2" s="1"/>
  <c r="R57" i="15"/>
  <c r="Q57" i="15"/>
  <c r="AI62" i="2" s="1"/>
  <c r="P57" i="15"/>
  <c r="AG62" i="2" s="1"/>
  <c r="O57" i="15"/>
  <c r="AE62" i="2" s="1"/>
  <c r="N57" i="15"/>
  <c r="AB85" i="2" s="1"/>
  <c r="M57" i="15"/>
  <c r="M74" i="15" s="1"/>
  <c r="L57" i="15"/>
  <c r="Y62" i="2" s="1"/>
  <c r="E57" i="15"/>
  <c r="D57" i="15"/>
  <c r="R49" i="15"/>
  <c r="V46" i="15"/>
  <c r="H46" i="15"/>
  <c r="F46" i="15"/>
  <c r="N40" i="15"/>
  <c r="M40" i="15"/>
  <c r="L40" i="15"/>
  <c r="C15" i="67" s="1"/>
  <c r="G40" i="15"/>
  <c r="F40" i="15"/>
  <c r="X34" i="15"/>
  <c r="W34" i="15"/>
  <c r="DI11" i="20" s="1"/>
  <c r="DI45" i="20" s="1"/>
  <c r="V34" i="15"/>
  <c r="AP11" i="3" s="1"/>
  <c r="AP80" i="3" s="1"/>
  <c r="AP78" i="3" s="1"/>
  <c r="AP81" i="3" s="1"/>
  <c r="K34" i="15"/>
  <c r="Q31" i="15"/>
  <c r="R31" i="15" s="1"/>
  <c r="S31" i="15" s="1"/>
  <c r="O28" i="15"/>
  <c r="O26" i="15"/>
  <c r="P24" i="15"/>
  <c r="X20" i="15"/>
  <c r="W20" i="15"/>
  <c r="V20" i="15"/>
  <c r="U20" i="15"/>
  <c r="T20" i="15"/>
  <c r="S20" i="15"/>
  <c r="R20" i="15"/>
  <c r="Q20" i="15"/>
  <c r="P20" i="15"/>
  <c r="O20" i="15"/>
  <c r="N20" i="15"/>
  <c r="M20" i="15"/>
  <c r="L20" i="15"/>
  <c r="K20" i="15"/>
  <c r="J20" i="15"/>
  <c r="I20" i="15"/>
  <c r="H20" i="15"/>
  <c r="G20" i="15"/>
  <c r="F20" i="15"/>
  <c r="E20" i="15"/>
  <c r="D20" i="15"/>
  <c r="C20" i="15"/>
  <c r="T14" i="15"/>
  <c r="X11" i="15"/>
  <c r="W11" i="15"/>
  <c r="AU76" i="2" s="1"/>
  <c r="S11" i="15"/>
  <c r="AM76" i="2" s="1"/>
  <c r="R11" i="15"/>
  <c r="AK76" i="2" s="1"/>
  <c r="M11" i="15"/>
  <c r="E11" i="15"/>
  <c r="AB9" i="15"/>
  <c r="AA9" i="15"/>
  <c r="V7" i="15"/>
  <c r="V22" i="15" s="1"/>
  <c r="U7" i="15"/>
  <c r="U22" i="15" s="1"/>
  <c r="P7" i="15"/>
  <c r="O7" i="15"/>
  <c r="F7" i="15"/>
  <c r="M118" i="2" s="1"/>
  <c r="E7" i="15"/>
  <c r="E22" i="15" s="1"/>
  <c r="G5" i="15"/>
  <c r="H5" i="15" s="1"/>
  <c r="I5" i="15" s="1"/>
  <c r="J5" i="15" s="1"/>
  <c r="K5" i="15" s="1"/>
  <c r="L5" i="15" s="1"/>
  <c r="M5" i="15" s="1"/>
  <c r="N5" i="15" s="1"/>
  <c r="O5" i="15" s="1"/>
  <c r="P5" i="15" s="1"/>
  <c r="Q5" i="15" s="1"/>
  <c r="R5" i="15" s="1"/>
  <c r="S5" i="15" s="1"/>
  <c r="T5" i="15" s="1"/>
  <c r="U5" i="15" s="1"/>
  <c r="V5" i="15" s="1"/>
  <c r="W5" i="15" s="1"/>
  <c r="X5" i="15" s="1"/>
  <c r="Y5" i="15" s="1"/>
  <c r="D5" i="15"/>
  <c r="A1" i="15"/>
  <c r="AK86" i="5"/>
  <c r="S85" i="5"/>
  <c r="T85" i="5"/>
  <c r="U85" i="5" s="1"/>
  <c r="V85" i="5" s="1"/>
  <c r="W85" i="5" s="1"/>
  <c r="X85" i="5" s="1"/>
  <c r="Y85" i="5" s="1"/>
  <c r="Z85" i="5" s="1"/>
  <c r="AA85" i="5" s="1"/>
  <c r="AB85" i="5" s="1"/>
  <c r="AC85" i="5" s="1"/>
  <c r="P85" i="5"/>
  <c r="Q85" i="5" s="1"/>
  <c r="R85" i="5" s="1"/>
  <c r="V83" i="5"/>
  <c r="W83" i="5" s="1"/>
  <c r="S83" i="5"/>
  <c r="T83" i="5" s="1"/>
  <c r="U83" i="5" s="1"/>
  <c r="S82" i="5"/>
  <c r="U82" i="5"/>
  <c r="V82" i="5" s="1"/>
  <c r="W82" i="5" s="1"/>
  <c r="X82" i="5" s="1"/>
  <c r="Y82" i="5" s="1"/>
  <c r="Z82" i="5" s="1"/>
  <c r="AA82" i="5" s="1"/>
  <c r="AB82" i="5" s="1"/>
  <c r="AC82" i="5" s="1"/>
  <c r="T81" i="5"/>
  <c r="U81" i="5" s="1"/>
  <c r="V81" i="5" s="1"/>
  <c r="W81" i="5" s="1"/>
  <c r="X81" i="5" s="1"/>
  <c r="Y81" i="5" s="1"/>
  <c r="T80" i="5"/>
  <c r="N82" i="5"/>
  <c r="O82" i="5" s="1"/>
  <c r="P82" i="5" s="1"/>
  <c r="Q82" i="5" s="1"/>
  <c r="P81" i="5"/>
  <c r="Q81" i="5" s="1"/>
  <c r="O81" i="5"/>
  <c r="N81" i="5"/>
  <c r="AL83" i="5"/>
  <c r="AK83" i="5"/>
  <c r="AL82" i="5"/>
  <c r="AK82" i="5"/>
  <c r="AL81" i="5"/>
  <c r="AK81" i="5"/>
  <c r="AL80" i="5"/>
  <c r="AK80" i="5"/>
  <c r="W80" i="5"/>
  <c r="X80" i="5"/>
  <c r="Y80" i="5" s="1"/>
  <c r="Z80" i="5" s="1"/>
  <c r="AA80" i="5" s="1"/>
  <c r="AB80" i="5" s="1"/>
  <c r="AC80" i="5" s="1"/>
  <c r="U80" i="5"/>
  <c r="R80" i="5"/>
  <c r="Q80" i="5"/>
  <c r="P80" i="5"/>
  <c r="O80" i="5"/>
  <c r="N80" i="5"/>
  <c r="M80" i="5"/>
  <c r="K80" i="5"/>
  <c r="AL78" i="5"/>
  <c r="AK78" i="5"/>
  <c r="Q78" i="5"/>
  <c r="P78" i="5"/>
  <c r="O78" i="5"/>
  <c r="N78" i="5"/>
  <c r="M78" i="5"/>
  <c r="K78" i="5"/>
  <c r="J78" i="5"/>
  <c r="I78" i="5"/>
  <c r="H78" i="5"/>
  <c r="G78" i="5"/>
  <c r="F78" i="5"/>
  <c r="E78" i="5"/>
  <c r="D78" i="5"/>
  <c r="C78" i="5"/>
  <c r="B78" i="5"/>
  <c r="T78" i="5"/>
  <c r="U78" i="5" s="1"/>
  <c r="V78" i="5" s="1"/>
  <c r="W78" i="5" s="1"/>
  <c r="X78" i="5" s="1"/>
  <c r="Y78" i="5" s="1"/>
  <c r="Z78" i="5" s="1"/>
  <c r="AA78" i="5" s="1"/>
  <c r="X74" i="5"/>
  <c r="X9" i="15" s="1"/>
  <c r="W74" i="5"/>
  <c r="W9" i="15" s="1"/>
  <c r="V74" i="5"/>
  <c r="V9" i="15" s="1"/>
  <c r="S74" i="5"/>
  <c r="S9" i="15" s="1"/>
  <c r="R74" i="5"/>
  <c r="R9" i="15" s="1"/>
  <c r="Q74" i="5"/>
  <c r="Q9" i="15" s="1"/>
  <c r="L74" i="5"/>
  <c r="I74" i="5"/>
  <c r="I9" i="15" s="1"/>
  <c r="G74" i="5"/>
  <c r="G9" i="15" s="1"/>
  <c r="F74" i="5"/>
  <c r="E74" i="5"/>
  <c r="E9" i="15" s="1"/>
  <c r="D74" i="5"/>
  <c r="D9" i="15" s="1"/>
  <c r="C74" i="5"/>
  <c r="C9" i="15" s="1"/>
  <c r="J71" i="5"/>
  <c r="J72" i="5" s="1"/>
  <c r="J73" i="5"/>
  <c r="I71" i="5"/>
  <c r="I73" i="5" s="1"/>
  <c r="H71" i="5"/>
  <c r="H72" i="5" s="1"/>
  <c r="G71" i="5"/>
  <c r="F71" i="5"/>
  <c r="E71" i="5"/>
  <c r="E72" i="5"/>
  <c r="D71" i="5"/>
  <c r="D72" i="5" s="1"/>
  <c r="C71" i="5"/>
  <c r="C72" i="5" s="1"/>
  <c r="B71" i="5"/>
  <c r="J66" i="5"/>
  <c r="X65" i="5"/>
  <c r="W65" i="5"/>
  <c r="V65" i="5"/>
  <c r="V62" i="5" s="1"/>
  <c r="V63" i="5"/>
  <c r="U65" i="5"/>
  <c r="U66" i="5" s="1"/>
  <c r="U62" i="5"/>
  <c r="T65" i="5"/>
  <c r="T66" i="5" s="1"/>
  <c r="T77" i="15" s="1"/>
  <c r="S65" i="5"/>
  <c r="S66" i="5" s="1"/>
  <c r="S77" i="15" s="1"/>
  <c r="R65" i="5"/>
  <c r="Q65" i="5"/>
  <c r="P65" i="5"/>
  <c r="AB112" i="10" s="1"/>
  <c r="O65" i="5"/>
  <c r="O62" i="5" s="1"/>
  <c r="O63" i="5" s="1"/>
  <c r="N65" i="5"/>
  <c r="M65" i="5"/>
  <c r="AB91" i="10" s="1"/>
  <c r="L65" i="5"/>
  <c r="AB84" i="10" s="1"/>
  <c r="AP84" i="10" s="1"/>
  <c r="L66" i="5"/>
  <c r="K65" i="5"/>
  <c r="AB77" i="10" s="1"/>
  <c r="J65" i="5"/>
  <c r="I65" i="5"/>
  <c r="AB63" i="10" s="1"/>
  <c r="AD63" i="10" s="1"/>
  <c r="H65" i="5"/>
  <c r="AB56" i="10" s="1"/>
  <c r="Z57" i="9" s="1"/>
  <c r="G65" i="5"/>
  <c r="AB49" i="10" s="1"/>
  <c r="Z52" i="38" s="1"/>
  <c r="F65" i="5"/>
  <c r="AB42" i="10" s="1"/>
  <c r="E65" i="5"/>
  <c r="AB35" i="10" s="1"/>
  <c r="D65" i="5"/>
  <c r="C65" i="5"/>
  <c r="B65" i="5"/>
  <c r="AB14" i="10" s="1"/>
  <c r="W62" i="5"/>
  <c r="W63" i="5" s="1"/>
  <c r="T62" i="5"/>
  <c r="T63" i="5" s="1"/>
  <c r="S62" i="5"/>
  <c r="N62" i="5"/>
  <c r="L62" i="5"/>
  <c r="K62" i="5"/>
  <c r="I62" i="5"/>
  <c r="W57" i="5"/>
  <c r="V57" i="5"/>
  <c r="U57" i="5"/>
  <c r="T57" i="5"/>
  <c r="S57" i="5"/>
  <c r="R57" i="5"/>
  <c r="Q57" i="5"/>
  <c r="P57" i="5"/>
  <c r="O57" i="5"/>
  <c r="N57" i="5"/>
  <c r="M57" i="5"/>
  <c r="L57" i="5"/>
  <c r="K57" i="5"/>
  <c r="J57" i="5"/>
  <c r="I57" i="5"/>
  <c r="H57" i="5"/>
  <c r="G57" i="5"/>
  <c r="F57" i="5"/>
  <c r="E57" i="5"/>
  <c r="D57" i="5"/>
  <c r="C57" i="5"/>
  <c r="B57" i="5"/>
  <c r="U49" i="5"/>
  <c r="V49" i="5"/>
  <c r="W49" i="5" s="1"/>
  <c r="X49" i="5" s="1"/>
  <c r="Y49" i="5" s="1"/>
  <c r="Z49" i="5" s="1"/>
  <c r="V50" i="5"/>
  <c r="W50" i="5" s="1"/>
  <c r="X50" i="5" s="1"/>
  <c r="Y50" i="5" s="1"/>
  <c r="Z50" i="5" s="1"/>
  <c r="AA50" i="5" s="1"/>
  <c r="AB50" i="5" s="1"/>
  <c r="AC50" i="5" s="1"/>
  <c r="AA49" i="5"/>
  <c r="AB49" i="5" s="1"/>
  <c r="AC49" i="5" s="1"/>
  <c r="N47" i="5"/>
  <c r="A46" i="5"/>
  <c r="O48" i="5"/>
  <c r="P48" i="5"/>
  <c r="O47" i="5"/>
  <c r="P47" i="5" s="1"/>
  <c r="Q47" i="5" s="1"/>
  <c r="R47" i="5" s="1"/>
  <c r="S47" i="5" s="1"/>
  <c r="T47" i="5" s="1"/>
  <c r="U47" i="5" s="1"/>
  <c r="V47" i="5" s="1"/>
  <c r="W47" i="5" s="1"/>
  <c r="X47" i="5" s="1"/>
  <c r="Q46" i="5"/>
  <c r="K44" i="5"/>
  <c r="L44" i="5" s="1"/>
  <c r="M44" i="5" s="1"/>
  <c r="K43" i="5"/>
  <c r="A44" i="5"/>
  <c r="L46" i="5"/>
  <c r="M46" i="5" s="1"/>
  <c r="N46" i="5" s="1"/>
  <c r="O46" i="5" s="1"/>
  <c r="P46" i="5" s="1"/>
  <c r="L45" i="5"/>
  <c r="M43" i="5"/>
  <c r="L43" i="5"/>
  <c r="L42" i="5"/>
  <c r="M42" i="5" s="1"/>
  <c r="N42" i="5" s="1"/>
  <c r="O42" i="5" s="1"/>
  <c r="P42" i="5" s="1"/>
  <c r="AC31" i="5"/>
  <c r="AB31" i="5"/>
  <c r="AA31" i="5"/>
  <c r="Z31" i="5"/>
  <c r="Y31" i="5"/>
  <c r="X31" i="5"/>
  <c r="W31" i="5"/>
  <c r="V31" i="5"/>
  <c r="U31" i="5"/>
  <c r="T31" i="5"/>
  <c r="S31" i="5"/>
  <c r="R31" i="5"/>
  <c r="Q31" i="5"/>
  <c r="F31" i="5"/>
  <c r="E31" i="5"/>
  <c r="D31" i="5"/>
  <c r="C31" i="5"/>
  <c r="P26" i="5"/>
  <c r="G20" i="5"/>
  <c r="G19" i="5"/>
  <c r="L64" i="3" s="1"/>
  <c r="L68" i="3" s="1"/>
  <c r="F20" i="5"/>
  <c r="F19" i="5" s="1"/>
  <c r="J64" i="3" s="1"/>
  <c r="J68" i="3" s="1"/>
  <c r="J70" i="3" s="1"/>
  <c r="J71" i="3" s="1"/>
  <c r="E20" i="5"/>
  <c r="D20" i="5"/>
  <c r="D19" i="5"/>
  <c r="F64" i="3" s="1"/>
  <c r="F68" i="3" s="1"/>
  <c r="B20" i="5"/>
  <c r="B19" i="5"/>
  <c r="B40" i="5"/>
  <c r="C18" i="5" s="1"/>
  <c r="B51" i="5"/>
  <c r="B18" i="5"/>
  <c r="AC19" i="5"/>
  <c r="AB19" i="5"/>
  <c r="AA19" i="5"/>
  <c r="Z19" i="5"/>
  <c r="Y19" i="5"/>
  <c r="X19" i="5"/>
  <c r="W19" i="5"/>
  <c r="V19" i="5"/>
  <c r="U19" i="5"/>
  <c r="T19" i="5"/>
  <c r="T80" i="15" s="1"/>
  <c r="S19" i="5"/>
  <c r="S79" i="15" s="1"/>
  <c r="R19" i="5"/>
  <c r="R79" i="15" s="1"/>
  <c r="R77" i="5"/>
  <c r="Q19" i="5"/>
  <c r="Q79" i="15" s="1"/>
  <c r="Q77" i="5"/>
  <c r="P19" i="5"/>
  <c r="P77" i="5" s="1"/>
  <c r="O19" i="5"/>
  <c r="O77" i="5" s="1"/>
  <c r="N19" i="5"/>
  <c r="N77" i="5"/>
  <c r="M19" i="5"/>
  <c r="M77" i="5"/>
  <c r="L19" i="5"/>
  <c r="L77" i="5" s="1"/>
  <c r="K19" i="5"/>
  <c r="J19" i="5"/>
  <c r="I19" i="5"/>
  <c r="H19" i="5"/>
  <c r="N64" i="3" s="1"/>
  <c r="N68" i="3" s="1"/>
  <c r="N70" i="3" s="1"/>
  <c r="N71" i="3" s="1"/>
  <c r="E19" i="5"/>
  <c r="C19" i="5"/>
  <c r="D64" i="3" s="1"/>
  <c r="D68" i="3" s="1"/>
  <c r="P15" i="5"/>
  <c r="AA13" i="5"/>
  <c r="AB13" i="5" s="1"/>
  <c r="AC13" i="5" s="1"/>
  <c r="AD13" i="5" s="1"/>
  <c r="B7" i="5"/>
  <c r="B15" i="5" s="1"/>
  <c r="B59" i="5" s="1"/>
  <c r="AI5" i="5"/>
  <c r="AF5" i="5"/>
  <c r="L5" i="5"/>
  <c r="M5" i="5" s="1"/>
  <c r="N5" i="5" s="1"/>
  <c r="O5" i="5" s="1"/>
  <c r="P5" i="5" s="1"/>
  <c r="Q5" i="5" s="1"/>
  <c r="R5" i="5" s="1"/>
  <c r="S5" i="5" s="1"/>
  <c r="T5" i="5" s="1"/>
  <c r="U5" i="5" s="1"/>
  <c r="V5" i="5" s="1"/>
  <c r="W5" i="5" s="1"/>
  <c r="X5" i="5"/>
  <c r="Z5" i="5" s="1"/>
  <c r="AA5" i="5" s="1"/>
  <c r="AB5" i="5" s="1"/>
  <c r="AC5" i="5" s="1"/>
  <c r="AD5" i="5" s="1"/>
  <c r="D5" i="5"/>
  <c r="E5" i="5"/>
  <c r="F5" i="5" s="1"/>
  <c r="G5" i="5" s="1"/>
  <c r="H5" i="5" s="1"/>
  <c r="C5" i="5"/>
  <c r="B4" i="5"/>
  <c r="C4" i="5" s="1"/>
  <c r="D4" i="5"/>
  <c r="E4" i="5" s="1"/>
  <c r="F4" i="5"/>
  <c r="A1" i="5"/>
  <c r="CR207" i="1"/>
  <c r="CR208" i="1" s="1"/>
  <c r="CR209" i="1" s="1"/>
  <c r="CJ207" i="1"/>
  <c r="CF208" i="1"/>
  <c r="CF209" i="1" s="1"/>
  <c r="CF207" i="1"/>
  <c r="CB210" i="1"/>
  <c r="BT210" i="1"/>
  <c r="S73" i="15" s="1"/>
  <c r="BP210" i="1"/>
  <c r="R73" i="15" s="1"/>
  <c r="R74" i="15" s="1"/>
  <c r="AF210" i="1"/>
  <c r="AF209" i="1"/>
  <c r="AF208" i="1"/>
  <c r="AF207" i="1"/>
  <c r="AF206" i="1"/>
  <c r="AB209" i="1"/>
  <c r="AB208" i="1"/>
  <c r="AB207" i="1"/>
  <c r="AB210" i="1"/>
  <c r="AB206" i="1"/>
  <c r="X209" i="1"/>
  <c r="X208" i="1" s="1"/>
  <c r="X207" i="1" s="1"/>
  <c r="X206" i="1" s="1"/>
  <c r="X210" i="1" s="1"/>
  <c r="B210" i="1"/>
  <c r="B209" i="1"/>
  <c r="B208" i="1"/>
  <c r="B207" i="1"/>
  <c r="B206" i="1"/>
  <c r="A209" i="1"/>
  <c r="A208" i="1"/>
  <c r="A207" i="1"/>
  <c r="A206" i="1"/>
  <c r="BX208" i="1"/>
  <c r="BX210" i="1" s="1"/>
  <c r="T73" i="15" s="1"/>
  <c r="A204" i="1"/>
  <c r="CB203" i="1"/>
  <c r="BX203" i="1"/>
  <c r="BT203" i="1"/>
  <c r="BP203" i="1"/>
  <c r="AN202" i="1"/>
  <c r="AN201" i="1"/>
  <c r="AN200" i="1"/>
  <c r="AN199" i="1"/>
  <c r="AN203" i="1" s="1"/>
  <c r="K72" i="15" s="1"/>
  <c r="AJ202" i="1"/>
  <c r="AJ201" i="1"/>
  <c r="AJ200" i="1"/>
  <c r="AJ199" i="1"/>
  <c r="AJ203" i="1" s="1"/>
  <c r="J72" i="15" s="1"/>
  <c r="AF202" i="1"/>
  <c r="AF201" i="1"/>
  <c r="AF200" i="1"/>
  <c r="AF199" i="1"/>
  <c r="AB202" i="1"/>
  <c r="AB201" i="1"/>
  <c r="AB200" i="1"/>
  <c r="AB199" i="1"/>
  <c r="AB203" i="1" s="1"/>
  <c r="H72" i="15" s="1"/>
  <c r="X202" i="1"/>
  <c r="B203" i="1"/>
  <c r="B202" i="1"/>
  <c r="B201" i="1"/>
  <c r="B200" i="1"/>
  <c r="B199" i="1"/>
  <c r="AR199" i="1"/>
  <c r="A202" i="1"/>
  <c r="A201" i="1"/>
  <c r="A200" i="1"/>
  <c r="A199" i="1"/>
  <c r="A195" i="1"/>
  <c r="A194" i="1"/>
  <c r="B193" i="1"/>
  <c r="B192" i="1"/>
  <c r="B191" i="1"/>
  <c r="B190" i="1"/>
  <c r="B189" i="1"/>
  <c r="AR189" i="1"/>
  <c r="AN192" i="1"/>
  <c r="AN191" i="1"/>
  <c r="T34" i="20" s="1"/>
  <c r="AN190" i="1"/>
  <c r="AN189" i="1"/>
  <c r="AJ192" i="1"/>
  <c r="AJ191" i="1"/>
  <c r="AJ190" i="1"/>
  <c r="AJ189" i="1"/>
  <c r="AF192" i="1"/>
  <c r="I71" i="15" s="1"/>
  <c r="AF191" i="1"/>
  <c r="J34" i="20" s="1"/>
  <c r="AF190" i="1"/>
  <c r="AF189" i="1"/>
  <c r="AB192" i="1"/>
  <c r="H71" i="15" s="1"/>
  <c r="AB191" i="1"/>
  <c r="AB190" i="1"/>
  <c r="AB189" i="1"/>
  <c r="X192" i="1"/>
  <c r="G71" i="15" s="1"/>
  <c r="A192" i="1"/>
  <c r="A191" i="1"/>
  <c r="A190" i="1"/>
  <c r="A189" i="1"/>
  <c r="CN177" i="1"/>
  <c r="CN176" i="1"/>
  <c r="CF175" i="1"/>
  <c r="V57" i="15" s="1"/>
  <c r="M24" i="67" s="1"/>
  <c r="CB175" i="1"/>
  <c r="U57" i="15" s="1"/>
  <c r="AQ62" i="2" s="1"/>
  <c r="BX177" i="1"/>
  <c r="BX176" i="1"/>
  <c r="BX175" i="1"/>
  <c r="T57" i="15" s="1"/>
  <c r="AO62" i="2" s="1"/>
  <c r="BX174" i="1"/>
  <c r="BT177" i="1"/>
  <c r="BT176" i="1"/>
  <c r="BP177" i="1"/>
  <c r="BP176" i="1"/>
  <c r="BL177" i="1"/>
  <c r="BL176" i="1"/>
  <c r="BH177" i="1"/>
  <c r="BH176" i="1"/>
  <c r="BD177" i="1"/>
  <c r="BD176" i="1"/>
  <c r="AZ177" i="1"/>
  <c r="AZ176" i="1"/>
  <c r="AV177" i="1"/>
  <c r="AV176" i="1"/>
  <c r="AN174" i="1"/>
  <c r="AN173" i="1"/>
  <c r="AN172" i="1"/>
  <c r="AN171" i="1"/>
  <c r="AJ176" i="1"/>
  <c r="AJ175" i="1"/>
  <c r="J57" i="15" s="1"/>
  <c r="U62" i="2" s="1"/>
  <c r="AJ174" i="1"/>
  <c r="AJ173" i="1"/>
  <c r="AJ172" i="1"/>
  <c r="AJ171" i="1"/>
  <c r="AJ177" i="1" s="1"/>
  <c r="AF175" i="1"/>
  <c r="I57" i="15" s="1"/>
  <c r="AF174" i="1"/>
  <c r="AF173" i="1"/>
  <c r="AF172" i="1"/>
  <c r="AF171" i="1"/>
  <c r="AB175" i="1"/>
  <c r="H57" i="15" s="1"/>
  <c r="AB174" i="1"/>
  <c r="AB173" i="1"/>
  <c r="AB172" i="1"/>
  <c r="AB171" i="1"/>
  <c r="X175" i="1"/>
  <c r="G57" i="15" s="1"/>
  <c r="G74" i="15" s="1"/>
  <c r="X174" i="1"/>
  <c r="X173" i="1"/>
  <c r="X172" i="1"/>
  <c r="X171" i="1"/>
  <c r="T175" i="1"/>
  <c r="F57" i="15" s="1"/>
  <c r="T174" i="1"/>
  <c r="T173" i="1"/>
  <c r="T172" i="1"/>
  <c r="T171" i="1"/>
  <c r="P175" i="1"/>
  <c r="P174" i="1"/>
  <c r="P173" i="1"/>
  <c r="P172" i="1"/>
  <c r="P171" i="1"/>
  <c r="L175" i="1"/>
  <c r="L174" i="1"/>
  <c r="L173" i="1"/>
  <c r="L172" i="1"/>
  <c r="L171" i="1"/>
  <c r="L177" i="1" s="1"/>
  <c r="L176" i="1"/>
  <c r="H175" i="1"/>
  <c r="C57" i="15" s="1"/>
  <c r="H174" i="1"/>
  <c r="H173" i="1"/>
  <c r="H172" i="1"/>
  <c r="H171" i="1"/>
  <c r="D175" i="1"/>
  <c r="B57" i="15" s="1"/>
  <c r="D174" i="1"/>
  <c r="D173" i="1"/>
  <c r="D172" i="1"/>
  <c r="D171" i="1"/>
  <c r="A177" i="1"/>
  <c r="A176" i="1"/>
  <c r="B175" i="1"/>
  <c r="B174" i="1"/>
  <c r="B173" i="1"/>
  <c r="B172" i="1"/>
  <c r="B171" i="1"/>
  <c r="CN174" i="1"/>
  <c r="A174" i="1"/>
  <c r="A173" i="1"/>
  <c r="A172" i="1"/>
  <c r="A171" i="1"/>
  <c r="CF173" i="1"/>
  <c r="CF177" i="1" s="1"/>
  <c r="CB173" i="1"/>
  <c r="CB172" i="1"/>
  <c r="AR173" i="1"/>
  <c r="AR172" i="1"/>
  <c r="AR190" i="1" s="1"/>
  <c r="AR171" i="1"/>
  <c r="AR176" i="1" s="1"/>
  <c r="AR177" i="1"/>
  <c r="CJ172" i="1"/>
  <c r="CJ171" i="1"/>
  <c r="CJ199" i="1" s="1"/>
  <c r="CF171" i="1"/>
  <c r="CF176" i="1" s="1"/>
  <c r="CB169" i="1"/>
  <c r="A167" i="1"/>
  <c r="A166" i="1"/>
  <c r="B165" i="1"/>
  <c r="B164" i="1"/>
  <c r="B163" i="1"/>
  <c r="B162" i="1"/>
  <c r="B161" i="1"/>
  <c r="A164" i="1"/>
  <c r="A163" i="1"/>
  <c r="A162" i="1"/>
  <c r="A161" i="1"/>
  <c r="A157" i="1"/>
  <c r="A156" i="1"/>
  <c r="B155" i="1"/>
  <c r="B154" i="1"/>
  <c r="B153" i="1"/>
  <c r="B152" i="1"/>
  <c r="B151" i="1"/>
  <c r="A154" i="1"/>
  <c r="A153" i="1"/>
  <c r="A152" i="1"/>
  <c r="A151" i="1"/>
  <c r="DK152" i="1"/>
  <c r="DK151" i="1"/>
  <c r="CB149" i="1"/>
  <c r="A147" i="1"/>
  <c r="A146" i="1"/>
  <c r="CR147" i="1"/>
  <c r="CR146" i="1"/>
  <c r="CR145" i="1"/>
  <c r="CN147" i="1"/>
  <c r="CN146" i="1"/>
  <c r="CN145" i="1"/>
  <c r="CJ147" i="1"/>
  <c r="CJ146" i="1"/>
  <c r="CJ145" i="1"/>
  <c r="CF147" i="1"/>
  <c r="CF146" i="1"/>
  <c r="CF145" i="1"/>
  <c r="CB147" i="1"/>
  <c r="CB146" i="1"/>
  <c r="CB145" i="1"/>
  <c r="BX147" i="1"/>
  <c r="BX146" i="1"/>
  <c r="BY146" i="1" s="1"/>
  <c r="BX145" i="1"/>
  <c r="BT147" i="1"/>
  <c r="BT146" i="1"/>
  <c r="BT145" i="1"/>
  <c r="BP147" i="1"/>
  <c r="BP146" i="1"/>
  <c r="BP145" i="1"/>
  <c r="BL146" i="1"/>
  <c r="BM146" i="1" s="1"/>
  <c r="BD146" i="1"/>
  <c r="AZ147" i="1"/>
  <c r="AZ146" i="1"/>
  <c r="AZ145" i="1"/>
  <c r="B145" i="1"/>
  <c r="B144" i="1"/>
  <c r="B143" i="1"/>
  <c r="B142" i="1"/>
  <c r="B141" i="1"/>
  <c r="CS141" i="1"/>
  <c r="CO144" i="1"/>
  <c r="CO143" i="1"/>
  <c r="CO142" i="1"/>
  <c r="CO141" i="1"/>
  <c r="CK144" i="1"/>
  <c r="CK143" i="1"/>
  <c r="CK142" i="1"/>
  <c r="CK141" i="1"/>
  <c r="CG144" i="1"/>
  <c r="CG143" i="1"/>
  <c r="CG142" i="1"/>
  <c r="CG141" i="1"/>
  <c r="CC144" i="1"/>
  <c r="CC143" i="1"/>
  <c r="CC142" i="1"/>
  <c r="CC141" i="1"/>
  <c r="BY144" i="1"/>
  <c r="BY143" i="1"/>
  <c r="BY142" i="1"/>
  <c r="BY141" i="1"/>
  <c r="BQ144" i="1"/>
  <c r="BQ143" i="1"/>
  <c r="BQ142" i="1"/>
  <c r="BQ141" i="1"/>
  <c r="BM144" i="1"/>
  <c r="BM143" i="1"/>
  <c r="BM141" i="1"/>
  <c r="BH147" i="1"/>
  <c r="BH146" i="1"/>
  <c r="BH144" i="1"/>
  <c r="BE144" i="1"/>
  <c r="BE142" i="1"/>
  <c r="BE141" i="1"/>
  <c r="BA143" i="1"/>
  <c r="BA142" i="1"/>
  <c r="BA141" i="1"/>
  <c r="A144" i="1"/>
  <c r="A143" i="1"/>
  <c r="A142" i="1"/>
  <c r="A141" i="1"/>
  <c r="BI143" i="1"/>
  <c r="BI142" i="1"/>
  <c r="BI141" i="1"/>
  <c r="BD143" i="1"/>
  <c r="BL142" i="1"/>
  <c r="BM142" i="1" s="1"/>
  <c r="BL145" i="1"/>
  <c r="CB140" i="1"/>
  <c r="A138" i="1"/>
  <c r="A137" i="1"/>
  <c r="B136" i="1"/>
  <c r="B135" i="1"/>
  <c r="B134" i="1"/>
  <c r="B133" i="1"/>
  <c r="B132" i="1"/>
  <c r="A135" i="1"/>
  <c r="A134" i="1"/>
  <c r="A133" i="1"/>
  <c r="A132" i="1"/>
  <c r="CB130" i="1"/>
  <c r="CN128" i="1"/>
  <c r="X49" i="15" s="1"/>
  <c r="CJ128" i="1"/>
  <c r="BX128" i="1"/>
  <c r="T49" i="15" s="1"/>
  <c r="BU128" i="1"/>
  <c r="BT128" i="1"/>
  <c r="S49" i="15" s="1"/>
  <c r="BL128" i="1"/>
  <c r="BH128" i="1"/>
  <c r="BD128" i="1"/>
  <c r="AZ128" i="1"/>
  <c r="AV128" i="1"/>
  <c r="AR128" i="1"/>
  <c r="AN128" i="1"/>
  <c r="AJ128" i="1"/>
  <c r="AF128" i="1"/>
  <c r="AB128" i="1"/>
  <c r="AG128" i="1" s="1"/>
  <c r="X128" i="1"/>
  <c r="AC128" i="1" s="1"/>
  <c r="T128" i="1"/>
  <c r="P128" i="1"/>
  <c r="L128" i="1"/>
  <c r="H128" i="1"/>
  <c r="D128" i="1"/>
  <c r="B128" i="1"/>
  <c r="B127" i="1"/>
  <c r="B126" i="1"/>
  <c r="B125" i="1"/>
  <c r="B124" i="1"/>
  <c r="BP127" i="1"/>
  <c r="BP135" i="1" s="1"/>
  <c r="A127" i="1"/>
  <c r="A126" i="1"/>
  <c r="A125" i="1"/>
  <c r="A124" i="1"/>
  <c r="AR120" i="1"/>
  <c r="AR119" i="1"/>
  <c r="AR118" i="1"/>
  <c r="L46" i="15" s="1"/>
  <c r="C18" i="67" s="1"/>
  <c r="A120" i="1"/>
  <c r="A119" i="1"/>
  <c r="BT119" i="1"/>
  <c r="BT117" i="1"/>
  <c r="BI26" i="20" s="1"/>
  <c r="BT116" i="1"/>
  <c r="BP120" i="1"/>
  <c r="BP119" i="1"/>
  <c r="BP118" i="1"/>
  <c r="R46" i="15" s="1"/>
  <c r="I18" i="67" s="1"/>
  <c r="BD119" i="1"/>
  <c r="AZ120" i="1"/>
  <c r="AZ119" i="1"/>
  <c r="AZ118" i="1"/>
  <c r="N46" i="15" s="1"/>
  <c r="AV120" i="1"/>
  <c r="AV119" i="1"/>
  <c r="AV118" i="1"/>
  <c r="M46" i="15" s="1"/>
  <c r="AN120" i="1"/>
  <c r="AN119" i="1"/>
  <c r="AN118" i="1"/>
  <c r="K46" i="15" s="1"/>
  <c r="AJ120" i="1"/>
  <c r="AJ119" i="1"/>
  <c r="AJ118" i="1"/>
  <c r="J46" i="15" s="1"/>
  <c r="AF120" i="1"/>
  <c r="AF119" i="1"/>
  <c r="AF118" i="1"/>
  <c r="I46" i="15" s="1"/>
  <c r="CU26" i="20" s="1"/>
  <c r="AB120" i="1"/>
  <c r="AB119" i="1"/>
  <c r="AB118" i="1"/>
  <c r="X120" i="1"/>
  <c r="X119" i="1"/>
  <c r="X118" i="1"/>
  <c r="G46" i="15" s="1"/>
  <c r="T120" i="1"/>
  <c r="T119" i="1"/>
  <c r="T118" i="1"/>
  <c r="P120" i="1"/>
  <c r="P119" i="1"/>
  <c r="P118" i="1"/>
  <c r="E46" i="15" s="1"/>
  <c r="L120" i="1"/>
  <c r="L119" i="1"/>
  <c r="L118" i="1"/>
  <c r="D46" i="15" s="1"/>
  <c r="H120" i="1"/>
  <c r="H119" i="1"/>
  <c r="H118" i="1"/>
  <c r="C46" i="15" s="1"/>
  <c r="D120" i="1"/>
  <c r="E120" i="1"/>
  <c r="D119" i="1"/>
  <c r="E119" i="1" s="1"/>
  <c r="D118" i="1"/>
  <c r="B46" i="15" s="1"/>
  <c r="B118" i="1"/>
  <c r="B117" i="1"/>
  <c r="B116" i="1"/>
  <c r="B115" i="1"/>
  <c r="B114" i="1"/>
  <c r="CJ117" i="1"/>
  <c r="CF120" i="1"/>
  <c r="CF119" i="1"/>
  <c r="CF117" i="1"/>
  <c r="CF118" i="1"/>
  <c r="CB120" i="1"/>
  <c r="CB119" i="1"/>
  <c r="CB117" i="1"/>
  <c r="BS26" i="20" s="1"/>
  <c r="BX120" i="1"/>
  <c r="BX119" i="1"/>
  <c r="BX117" i="1"/>
  <c r="BX118" i="1"/>
  <c r="T46" i="15" s="1"/>
  <c r="BL117" i="1"/>
  <c r="BH120" i="1"/>
  <c r="BH119" i="1"/>
  <c r="BH117" i="1"/>
  <c r="A117" i="1"/>
  <c r="A116" i="1"/>
  <c r="A115" i="1"/>
  <c r="A114" i="1"/>
  <c r="CN116" i="1"/>
  <c r="CN115" i="1"/>
  <c r="CN114" i="1"/>
  <c r="BD116" i="1"/>
  <c r="BD120" i="1"/>
  <c r="BL115" i="1"/>
  <c r="BL114" i="1"/>
  <c r="BL119" i="1" s="1"/>
  <c r="BL118" i="1"/>
  <c r="Q46" i="15" s="1"/>
  <c r="CC112" i="1"/>
  <c r="A110" i="1"/>
  <c r="A109" i="1"/>
  <c r="B108" i="1"/>
  <c r="B107" i="1"/>
  <c r="B106" i="1"/>
  <c r="B105" i="1"/>
  <c r="B104" i="1"/>
  <c r="A107" i="1"/>
  <c r="A106" i="1"/>
  <c r="A105" i="1"/>
  <c r="A104" i="1"/>
  <c r="CB105" i="1"/>
  <c r="CB133" i="1" s="1"/>
  <c r="CB152" i="1" s="1"/>
  <c r="CC102" i="1"/>
  <c r="A100" i="1"/>
  <c r="A99" i="1"/>
  <c r="CN100" i="1"/>
  <c r="CN99" i="1"/>
  <c r="CN98" i="1"/>
  <c r="X40" i="15" s="1"/>
  <c r="CJ100" i="1"/>
  <c r="CJ99" i="1"/>
  <c r="CJ98" i="1"/>
  <c r="W40" i="15" s="1"/>
  <c r="CF100" i="1"/>
  <c r="CF99" i="1"/>
  <c r="CF98" i="1"/>
  <c r="V40" i="15" s="1"/>
  <c r="V41" i="15" s="1"/>
  <c r="CB100" i="1"/>
  <c r="CB99" i="1"/>
  <c r="CB98" i="1"/>
  <c r="U40" i="15" s="1"/>
  <c r="BX100" i="1"/>
  <c r="BX99" i="1"/>
  <c r="BY99" i="1"/>
  <c r="BX98" i="1"/>
  <c r="T40" i="15" s="1"/>
  <c r="BL100" i="1"/>
  <c r="BL99" i="1"/>
  <c r="BL98" i="1"/>
  <c r="Q40" i="15" s="1"/>
  <c r="BH100" i="1"/>
  <c r="BH99" i="1"/>
  <c r="BH98" i="1"/>
  <c r="P40" i="15" s="1"/>
  <c r="P41" i="15" s="1"/>
  <c r="BD100" i="1"/>
  <c r="BD99" i="1"/>
  <c r="BD98" i="1"/>
  <c r="O40" i="15" s="1"/>
  <c r="AZ100" i="1"/>
  <c r="AZ99" i="1"/>
  <c r="AZ98" i="1"/>
  <c r="AV100" i="1"/>
  <c r="AV99" i="1"/>
  <c r="AV98" i="1"/>
  <c r="AR100" i="1"/>
  <c r="AR99" i="1"/>
  <c r="AR98" i="1"/>
  <c r="AN100" i="1"/>
  <c r="AN99" i="1"/>
  <c r="AN98" i="1"/>
  <c r="K40" i="15" s="1"/>
  <c r="AJ100" i="1"/>
  <c r="AK100" i="1" s="1"/>
  <c r="AJ99" i="1"/>
  <c r="AJ98" i="1"/>
  <c r="J40" i="15" s="1"/>
  <c r="AF100" i="1"/>
  <c r="AF99" i="1"/>
  <c r="AF98" i="1"/>
  <c r="I40" i="15" s="1"/>
  <c r="AG98" i="1"/>
  <c r="AB100" i="1"/>
  <c r="AB56" i="1" s="1"/>
  <c r="AB99" i="1"/>
  <c r="AC99" i="1" s="1"/>
  <c r="AB98" i="1"/>
  <c r="H40" i="15" s="1"/>
  <c r="X100" i="1"/>
  <c r="X99" i="1"/>
  <c r="X98" i="1"/>
  <c r="T100" i="1"/>
  <c r="T99" i="1"/>
  <c r="U99" i="1" s="1"/>
  <c r="T98" i="1"/>
  <c r="P100" i="1"/>
  <c r="P99" i="1"/>
  <c r="P98" i="1"/>
  <c r="E40" i="15" s="1"/>
  <c r="L100" i="1"/>
  <c r="L99" i="1"/>
  <c r="M99" i="1"/>
  <c r="L98" i="1"/>
  <c r="D40" i="15" s="1"/>
  <c r="H100" i="1"/>
  <c r="H99" i="1"/>
  <c r="H98" i="1"/>
  <c r="C40" i="15" s="1"/>
  <c r="D100" i="1"/>
  <c r="D99" i="1"/>
  <c r="D98" i="1"/>
  <c r="B40" i="15" s="1"/>
  <c r="B98" i="1"/>
  <c r="B97" i="1"/>
  <c r="B96" i="1"/>
  <c r="B95" i="1"/>
  <c r="B94" i="1"/>
  <c r="CO97" i="1"/>
  <c r="CO96" i="1"/>
  <c r="CO95" i="1"/>
  <c r="CO94" i="1"/>
  <c r="CK97" i="1"/>
  <c r="CK96" i="1"/>
  <c r="CK95" i="1"/>
  <c r="CK94" i="1"/>
  <c r="CG97" i="1"/>
  <c r="CG96" i="1"/>
  <c r="CG95" i="1"/>
  <c r="CG94" i="1"/>
  <c r="CC97" i="1"/>
  <c r="CC96" i="1"/>
  <c r="CC95" i="1"/>
  <c r="CC94" i="1"/>
  <c r="BY97" i="1"/>
  <c r="BY96" i="1"/>
  <c r="BY95" i="1"/>
  <c r="BY94" i="1"/>
  <c r="BQ97" i="1"/>
  <c r="BM97" i="1"/>
  <c r="BM96" i="1"/>
  <c r="BM95" i="1"/>
  <c r="BM94" i="1"/>
  <c r="BI97" i="1"/>
  <c r="BI96" i="1"/>
  <c r="BI95" i="1"/>
  <c r="BI94" i="1"/>
  <c r="BE97" i="1"/>
  <c r="BE96" i="1"/>
  <c r="BE95" i="1"/>
  <c r="BE94" i="1"/>
  <c r="BA96" i="1"/>
  <c r="BA95" i="1"/>
  <c r="BA94" i="1"/>
  <c r="AW97" i="1"/>
  <c r="AW96" i="1"/>
  <c r="AW95" i="1"/>
  <c r="AW94" i="1"/>
  <c r="AS96" i="1"/>
  <c r="AS95" i="1"/>
  <c r="AO97" i="1"/>
  <c r="AO96" i="1"/>
  <c r="AO95" i="1"/>
  <c r="AK96" i="1"/>
  <c r="AK95" i="1"/>
  <c r="AK94" i="1"/>
  <c r="AG97" i="1"/>
  <c r="AG96" i="1"/>
  <c r="AG95" i="1"/>
  <c r="AG94" i="1"/>
  <c r="AC97" i="1"/>
  <c r="AC96" i="1"/>
  <c r="AC95" i="1"/>
  <c r="AC94" i="1"/>
  <c r="Y97" i="1"/>
  <c r="Y96" i="1"/>
  <c r="Y95" i="1"/>
  <c r="Y94" i="1"/>
  <c r="U97" i="1"/>
  <c r="U96" i="1"/>
  <c r="U95" i="1"/>
  <c r="U94" i="1"/>
  <c r="Q97" i="1"/>
  <c r="Q96" i="1"/>
  <c r="Q95" i="1"/>
  <c r="Q94" i="1"/>
  <c r="M97" i="1"/>
  <c r="M96" i="1"/>
  <c r="M95" i="1"/>
  <c r="M94" i="1"/>
  <c r="I97" i="1"/>
  <c r="I96" i="1"/>
  <c r="I95" i="1"/>
  <c r="I94" i="1"/>
  <c r="A97" i="1"/>
  <c r="A96" i="1"/>
  <c r="A95" i="1"/>
  <c r="A94" i="1"/>
  <c r="BT96" i="1"/>
  <c r="BT95" i="1"/>
  <c r="BT94" i="1"/>
  <c r="BP96" i="1"/>
  <c r="BQ96" i="1" s="1"/>
  <c r="BP95" i="1"/>
  <c r="BQ95" i="1" s="1"/>
  <c r="BP94" i="1"/>
  <c r="BQ94" i="1" s="1"/>
  <c r="CR98" i="1"/>
  <c r="Y40" i="15" s="1"/>
  <c r="CR100" i="1"/>
  <c r="CS94" i="1"/>
  <c r="CC92" i="1"/>
  <c r="AS86" i="1"/>
  <c r="AR86" i="1"/>
  <c r="AR106" i="1"/>
  <c r="AS106" i="1" s="1"/>
  <c r="AR85" i="1"/>
  <c r="A90" i="1"/>
  <c r="A89" i="1"/>
  <c r="B88" i="1"/>
  <c r="B87" i="1"/>
  <c r="B86" i="1"/>
  <c r="B85" i="1"/>
  <c r="B84" i="1"/>
  <c r="A87" i="1"/>
  <c r="A86" i="1"/>
  <c r="A85" i="1"/>
  <c r="A84" i="1"/>
  <c r="CR84" i="1"/>
  <c r="CN87" i="1"/>
  <c r="CN85" i="1"/>
  <c r="CN105" i="1" s="1"/>
  <c r="CO85" i="1"/>
  <c r="CJ89" i="1"/>
  <c r="CJ87" i="1"/>
  <c r="CJ107" i="1" s="1"/>
  <c r="CJ86" i="1"/>
  <c r="CJ85" i="1"/>
  <c r="CJ90" i="1" s="1"/>
  <c r="CJ105" i="1"/>
  <c r="CL84" i="1"/>
  <c r="CJ84" i="1"/>
  <c r="CF87" i="1"/>
  <c r="CG87" i="1" s="1"/>
  <c r="CL87" i="1"/>
  <c r="CF86" i="1"/>
  <c r="CF85" i="1"/>
  <c r="CL85" i="1" s="1"/>
  <c r="CF84" i="1"/>
  <c r="CF89" i="1" s="1"/>
  <c r="CB87" i="1"/>
  <c r="CH87" i="1"/>
  <c r="CC86" i="1"/>
  <c r="CB86" i="1"/>
  <c r="CB106" i="1"/>
  <c r="CB134" i="1" s="1"/>
  <c r="CB153" i="1" s="1"/>
  <c r="CB85" i="1"/>
  <c r="CC85" i="1" s="1"/>
  <c r="BX87" i="1"/>
  <c r="BL85" i="1"/>
  <c r="AV87" i="1"/>
  <c r="AV107" i="1" s="1"/>
  <c r="AW86" i="1"/>
  <c r="AV86" i="1"/>
  <c r="AV106" i="1" s="1"/>
  <c r="AV85" i="1"/>
  <c r="AW85" i="1" s="1"/>
  <c r="AV84" i="1"/>
  <c r="AV89" i="1" s="1"/>
  <c r="AN87" i="1"/>
  <c r="AN85" i="1"/>
  <c r="CC82" i="1"/>
  <c r="AS76" i="1"/>
  <c r="AS75" i="1"/>
  <c r="AT77" i="1"/>
  <c r="AT76" i="1"/>
  <c r="AT75" i="1"/>
  <c r="AT74" i="1"/>
  <c r="AR80" i="1"/>
  <c r="AR79" i="1"/>
  <c r="AT79" i="1"/>
  <c r="AR78" i="1"/>
  <c r="A80" i="1"/>
  <c r="A79" i="1"/>
  <c r="AV80" i="1"/>
  <c r="AV79" i="1"/>
  <c r="AV78" i="1"/>
  <c r="M34" i="15" s="1"/>
  <c r="D12" i="67" s="1"/>
  <c r="D51" i="67" s="1"/>
  <c r="AN80" i="1"/>
  <c r="AN79" i="1"/>
  <c r="AN78" i="1"/>
  <c r="AP78" i="1" s="1"/>
  <c r="AJ80" i="1"/>
  <c r="AJ79" i="1"/>
  <c r="AP79" i="1" s="1"/>
  <c r="AJ78" i="1"/>
  <c r="J34" i="15" s="1"/>
  <c r="AF80" i="1"/>
  <c r="AF79" i="1"/>
  <c r="AF78" i="1"/>
  <c r="I34" i="15" s="1"/>
  <c r="B78" i="1"/>
  <c r="B77" i="1"/>
  <c r="B76" i="1"/>
  <c r="B75" i="1"/>
  <c r="B74" i="1"/>
  <c r="CN75" i="1"/>
  <c r="CJ76" i="1"/>
  <c r="CJ77" i="1" s="1"/>
  <c r="CJ75" i="1"/>
  <c r="CF75" i="1"/>
  <c r="A77" i="1"/>
  <c r="A76" i="1"/>
  <c r="A75" i="1"/>
  <c r="A74" i="1"/>
  <c r="BX75" i="1"/>
  <c r="BD79" i="1"/>
  <c r="BD77" i="1"/>
  <c r="BF76" i="1"/>
  <c r="BD76" i="1"/>
  <c r="BD80" i="1" s="1"/>
  <c r="AB75" i="1"/>
  <c r="AB76" i="1" s="1"/>
  <c r="AB32" i="1" s="1"/>
  <c r="CC75" i="1"/>
  <c r="CB75" i="1"/>
  <c r="CH75" i="1" s="1"/>
  <c r="BT75" i="1"/>
  <c r="BT76" i="1" s="1"/>
  <c r="BP75" i="1"/>
  <c r="BL80" i="1"/>
  <c r="BL79" i="1"/>
  <c r="BL77" i="1"/>
  <c r="BL75" i="1"/>
  <c r="BL76" i="1" s="1"/>
  <c r="BM76" i="1" s="1"/>
  <c r="BH75" i="1"/>
  <c r="AZ75" i="1"/>
  <c r="AZ79" i="1" s="1"/>
  <c r="X79" i="1"/>
  <c r="X76" i="1"/>
  <c r="X32" i="1" s="1"/>
  <c r="Y75" i="1"/>
  <c r="X75" i="1"/>
  <c r="T75" i="1"/>
  <c r="P75" i="1"/>
  <c r="L75" i="1"/>
  <c r="H79" i="1"/>
  <c r="I75" i="1"/>
  <c r="H75" i="1"/>
  <c r="D75" i="1"/>
  <c r="CT74" i="1"/>
  <c r="CS74" i="1"/>
  <c r="CP78" i="1"/>
  <c r="CP74" i="1"/>
  <c r="CO74" i="1"/>
  <c r="CL78" i="1"/>
  <c r="CK77" i="1"/>
  <c r="CK76" i="1"/>
  <c r="CL75" i="1"/>
  <c r="CK75" i="1"/>
  <c r="CL74" i="1"/>
  <c r="CK74" i="1"/>
  <c r="CG75" i="1"/>
  <c r="CH74" i="1"/>
  <c r="CG74" i="1"/>
  <c r="CD74" i="1"/>
  <c r="CC74" i="1"/>
  <c r="BY77" i="1"/>
  <c r="BZ75" i="1"/>
  <c r="BY75" i="1"/>
  <c r="BZ74" i="1"/>
  <c r="BY74" i="1"/>
  <c r="BV74" i="1"/>
  <c r="BR74" i="1"/>
  <c r="BQ74" i="1"/>
  <c r="BN74" i="1"/>
  <c r="BM74" i="1"/>
  <c r="BJ74" i="1"/>
  <c r="BI74" i="1"/>
  <c r="BE75" i="1"/>
  <c r="BF74" i="1"/>
  <c r="BE74" i="1"/>
  <c r="BB77" i="1"/>
  <c r="BB76" i="1"/>
  <c r="BA76" i="1"/>
  <c r="BB75" i="1"/>
  <c r="BB74" i="1"/>
  <c r="BA74" i="1"/>
  <c r="AX77" i="1"/>
  <c r="AW77" i="1"/>
  <c r="AX76" i="1"/>
  <c r="AW76" i="1"/>
  <c r="AX75" i="1"/>
  <c r="AW75" i="1"/>
  <c r="AX74" i="1"/>
  <c r="AW74" i="1"/>
  <c r="AP77" i="1"/>
  <c r="AO77" i="1"/>
  <c r="AP76" i="1"/>
  <c r="AO76" i="1"/>
  <c r="AP75" i="1"/>
  <c r="AO75" i="1"/>
  <c r="AP74" i="1"/>
  <c r="AL77" i="1"/>
  <c r="AL76" i="1"/>
  <c r="AK76" i="1"/>
  <c r="AL75" i="1"/>
  <c r="AK75" i="1"/>
  <c r="AL74" i="1"/>
  <c r="AK74" i="1"/>
  <c r="AH77" i="1"/>
  <c r="AG77" i="1"/>
  <c r="AG76" i="1"/>
  <c r="AH75" i="1"/>
  <c r="AG75" i="1"/>
  <c r="AH74" i="1"/>
  <c r="AG74" i="1"/>
  <c r="AC77" i="1"/>
  <c r="AD75" i="1"/>
  <c r="AC75" i="1"/>
  <c r="AD74" i="1"/>
  <c r="AC74" i="1"/>
  <c r="Z74" i="1"/>
  <c r="Y74" i="1"/>
  <c r="V74" i="1"/>
  <c r="U74" i="1"/>
  <c r="R74" i="1"/>
  <c r="Q74" i="1"/>
  <c r="N74" i="1"/>
  <c r="M74" i="1"/>
  <c r="J74" i="1"/>
  <c r="I74" i="1"/>
  <c r="E74" i="1"/>
  <c r="A70" i="1"/>
  <c r="A69" i="1"/>
  <c r="CR70" i="1"/>
  <c r="CR69" i="1"/>
  <c r="CR68" i="1"/>
  <c r="CN70" i="1"/>
  <c r="CN69" i="1"/>
  <c r="CN68" i="1"/>
  <c r="CJ70" i="1"/>
  <c r="CJ69" i="1"/>
  <c r="CK69" i="1" s="1"/>
  <c r="CJ68" i="1"/>
  <c r="CF70" i="1"/>
  <c r="CF69" i="1"/>
  <c r="CF68" i="1"/>
  <c r="CB70" i="1"/>
  <c r="CB69" i="1"/>
  <c r="CB68" i="1"/>
  <c r="BX70" i="1"/>
  <c r="BX69" i="1"/>
  <c r="BX68" i="1"/>
  <c r="BT68" i="1"/>
  <c r="BP68" i="1"/>
  <c r="BQ68" i="1" s="1"/>
  <c r="B68" i="1"/>
  <c r="B67" i="1"/>
  <c r="B66" i="1"/>
  <c r="B65" i="1"/>
  <c r="B64" i="1"/>
  <c r="CS64" i="1"/>
  <c r="CO67" i="1"/>
  <c r="CO66" i="1"/>
  <c r="CO65" i="1"/>
  <c r="CO64" i="1"/>
  <c r="CK67" i="1"/>
  <c r="CK66" i="1"/>
  <c r="CK65" i="1"/>
  <c r="CK64" i="1"/>
  <c r="CG67" i="1"/>
  <c r="CG66" i="1"/>
  <c r="CG65" i="1"/>
  <c r="CG64" i="1"/>
  <c r="CC67" i="1"/>
  <c r="CC66" i="1"/>
  <c r="CC65" i="1"/>
  <c r="CC64" i="1"/>
  <c r="BY67" i="1"/>
  <c r="BY66" i="1"/>
  <c r="BY65" i="1"/>
  <c r="BY64" i="1"/>
  <c r="BQ67" i="1"/>
  <c r="BQ66" i="1"/>
  <c r="BQ65" i="1"/>
  <c r="BM67" i="1"/>
  <c r="BM66" i="1"/>
  <c r="BM65" i="1"/>
  <c r="BM64" i="1"/>
  <c r="BI67" i="1"/>
  <c r="BI66" i="1"/>
  <c r="BI65" i="1"/>
  <c r="BE67" i="1"/>
  <c r="BE66" i="1"/>
  <c r="BE65" i="1"/>
  <c r="BA66" i="1"/>
  <c r="A67" i="1"/>
  <c r="A66" i="1"/>
  <c r="A65" i="1"/>
  <c r="A64" i="1"/>
  <c r="AZ65" i="1"/>
  <c r="BA65" i="1"/>
  <c r="BT64" i="1"/>
  <c r="BT69" i="1" s="1"/>
  <c r="BT70" i="1"/>
  <c r="BP64" i="1"/>
  <c r="BQ64" i="1" s="1"/>
  <c r="BL64" i="1"/>
  <c r="BL69" i="1" s="1"/>
  <c r="BH64" i="1"/>
  <c r="BH70" i="1" s="1"/>
  <c r="BD64" i="1"/>
  <c r="BP60" i="1"/>
  <c r="R28" i="15" s="1"/>
  <c r="BL60" i="1"/>
  <c r="Q28" i="15" s="1"/>
  <c r="Q29" i="15" s="1"/>
  <c r="BH60" i="1"/>
  <c r="P28" i="15" s="1"/>
  <c r="BD60" i="1"/>
  <c r="BE60" i="1" s="1"/>
  <c r="B60" i="1"/>
  <c r="B59" i="1"/>
  <c r="B58" i="1"/>
  <c r="B57" i="1"/>
  <c r="B56" i="1"/>
  <c r="DC59" i="1"/>
  <c r="DC58" i="1"/>
  <c r="DC57" i="1"/>
  <c r="DC56" i="1"/>
  <c r="BT59" i="1"/>
  <c r="BA58" i="1"/>
  <c r="BA57" i="1"/>
  <c r="A59" i="1"/>
  <c r="A58" i="1"/>
  <c r="A57" i="1"/>
  <c r="A56" i="1"/>
  <c r="CC58" i="1"/>
  <c r="CB56" i="1"/>
  <c r="BZ58" i="1"/>
  <c r="BX58" i="1"/>
  <c r="CB58" i="1" s="1"/>
  <c r="BX57" i="1"/>
  <c r="BX56" i="1"/>
  <c r="BV58" i="1"/>
  <c r="BV57" i="1"/>
  <c r="BV56" i="1"/>
  <c r="BR59" i="1"/>
  <c r="BQ59" i="1"/>
  <c r="BR58" i="1"/>
  <c r="BQ58" i="1"/>
  <c r="BR57" i="1"/>
  <c r="BQ57" i="1"/>
  <c r="BR56" i="1"/>
  <c r="BQ56" i="1"/>
  <c r="BN59" i="1"/>
  <c r="BM59" i="1"/>
  <c r="BN58" i="1"/>
  <c r="BM58" i="1"/>
  <c r="BN57" i="1"/>
  <c r="BM57" i="1"/>
  <c r="DB57" i="1" s="1"/>
  <c r="BN56" i="1"/>
  <c r="BM56" i="1"/>
  <c r="BJ59" i="1"/>
  <c r="BI59" i="1"/>
  <c r="BJ58" i="1"/>
  <c r="BI58" i="1"/>
  <c r="BJ57" i="1"/>
  <c r="BI57" i="1"/>
  <c r="BJ56" i="1"/>
  <c r="BI56" i="1"/>
  <c r="BF59" i="1"/>
  <c r="BE59" i="1"/>
  <c r="BF58" i="1"/>
  <c r="BE58" i="1"/>
  <c r="BF57" i="1"/>
  <c r="BE57" i="1"/>
  <c r="BE56" i="1"/>
  <c r="AZ56" i="1"/>
  <c r="AZ60" i="1" s="1"/>
  <c r="N28" i="15" s="1"/>
  <c r="AB59" i="1"/>
  <c r="AB58" i="1"/>
  <c r="AC57" i="1"/>
  <c r="AB57" i="1"/>
  <c r="X59" i="1"/>
  <c r="Z59" i="1" s="1"/>
  <c r="X58" i="1"/>
  <c r="X57" i="1"/>
  <c r="Y57" i="1" s="1"/>
  <c r="X56" i="1"/>
  <c r="T59" i="1"/>
  <c r="U59" i="1" s="1"/>
  <c r="T58" i="1"/>
  <c r="U58" i="1" s="1"/>
  <c r="T57" i="1"/>
  <c r="Z57" i="1" s="1"/>
  <c r="P59" i="1"/>
  <c r="P58" i="1"/>
  <c r="P57" i="1"/>
  <c r="P56" i="1"/>
  <c r="L59" i="1"/>
  <c r="M59" i="1" s="1"/>
  <c r="M58" i="1"/>
  <c r="L58" i="1"/>
  <c r="N57" i="1"/>
  <c r="L57" i="1"/>
  <c r="M57" i="1" s="1"/>
  <c r="L56" i="1"/>
  <c r="L60" i="1" s="1"/>
  <c r="H59" i="1"/>
  <c r="I58" i="1"/>
  <c r="H58" i="1"/>
  <c r="N58" i="1" s="1"/>
  <c r="H57" i="1"/>
  <c r="I57" i="1" s="1"/>
  <c r="H56" i="1"/>
  <c r="N56" i="1" s="1"/>
  <c r="D59" i="1"/>
  <c r="D58" i="1"/>
  <c r="D57" i="1"/>
  <c r="J57" i="1" s="1"/>
  <c r="D56" i="1"/>
  <c r="DB52" i="1"/>
  <c r="DA50" i="1"/>
  <c r="DA49" i="1"/>
  <c r="DA48" i="1"/>
  <c r="CR52" i="1"/>
  <c r="CN52" i="1"/>
  <c r="CJ52" i="1"/>
  <c r="BP52" i="1"/>
  <c r="BL52" i="1"/>
  <c r="Q26" i="15" s="1"/>
  <c r="BH52" i="1"/>
  <c r="P26" i="15" s="1"/>
  <c r="P27" i="15" s="1"/>
  <c r="BF52" i="1"/>
  <c r="BD52" i="1"/>
  <c r="B52" i="1"/>
  <c r="B51" i="1"/>
  <c r="B50" i="1"/>
  <c r="B49" i="1"/>
  <c r="B48" i="1"/>
  <c r="DC51" i="1"/>
  <c r="DC50" i="1"/>
  <c r="DC49" i="1"/>
  <c r="DC48" i="1"/>
  <c r="BA50" i="1"/>
  <c r="BA49" i="1"/>
  <c r="A51" i="1"/>
  <c r="A50" i="1"/>
  <c r="A49" i="1"/>
  <c r="A48" i="1"/>
  <c r="CT51" i="1"/>
  <c r="CT50" i="1"/>
  <c r="CT49" i="1"/>
  <c r="CT48" i="1"/>
  <c r="CS48" i="1"/>
  <c r="CP51" i="1"/>
  <c r="CO51" i="1"/>
  <c r="CP50" i="1"/>
  <c r="CO50" i="1"/>
  <c r="CP49" i="1"/>
  <c r="CO49" i="1"/>
  <c r="CP48" i="1"/>
  <c r="CO48" i="1"/>
  <c r="CK51" i="1"/>
  <c r="CK50" i="1"/>
  <c r="CK49" i="1"/>
  <c r="CK48" i="1"/>
  <c r="CC48" i="1"/>
  <c r="BY51" i="1"/>
  <c r="BY50" i="1"/>
  <c r="BK17" i="20"/>
  <c r="BV50" i="1"/>
  <c r="BV49" i="1"/>
  <c r="BV48" i="1"/>
  <c r="BR51" i="1"/>
  <c r="BQ51" i="1"/>
  <c r="BR50" i="1"/>
  <c r="BQ50" i="1"/>
  <c r="BR49" i="1"/>
  <c r="BQ49" i="1"/>
  <c r="BR48" i="1"/>
  <c r="BQ48" i="1"/>
  <c r="BN51" i="1"/>
  <c r="BM51" i="1"/>
  <c r="BN50" i="1"/>
  <c r="BM50" i="1"/>
  <c r="BN49" i="1"/>
  <c r="BM49" i="1"/>
  <c r="BN48" i="1"/>
  <c r="BM48" i="1"/>
  <c r="BJ51" i="1"/>
  <c r="BI51" i="1"/>
  <c r="BJ50" i="1"/>
  <c r="BI50" i="1"/>
  <c r="BJ49" i="1"/>
  <c r="BI49" i="1"/>
  <c r="BJ48" i="1"/>
  <c r="BI48" i="1"/>
  <c r="BF51" i="1"/>
  <c r="BE51" i="1"/>
  <c r="BF50" i="1"/>
  <c r="BE50" i="1"/>
  <c r="BF49" i="1"/>
  <c r="BE49" i="1"/>
  <c r="BF48" i="1"/>
  <c r="BE48" i="1"/>
  <c r="AZ48" i="1"/>
  <c r="AZ52" i="1" s="1"/>
  <c r="N26" i="15" s="1"/>
  <c r="BA48" i="1"/>
  <c r="AB51" i="1"/>
  <c r="AB50" i="1"/>
  <c r="AB49" i="1"/>
  <c r="AD48" i="1"/>
  <c r="AB48" i="1"/>
  <c r="AC48" i="1" s="1"/>
  <c r="X51" i="1"/>
  <c r="X50" i="1"/>
  <c r="X49" i="1"/>
  <c r="Z49" i="1" s="1"/>
  <c r="X48" i="1"/>
  <c r="T51" i="1"/>
  <c r="T50" i="1"/>
  <c r="U50" i="1" s="1"/>
  <c r="T49" i="1"/>
  <c r="U49" i="1" s="1"/>
  <c r="T48" i="1"/>
  <c r="T52" i="1" s="1"/>
  <c r="P51" i="1"/>
  <c r="R51" i="1" s="1"/>
  <c r="P50" i="1"/>
  <c r="R50" i="1" s="1"/>
  <c r="P49" i="1"/>
  <c r="P48" i="1"/>
  <c r="L51" i="1"/>
  <c r="L50" i="1"/>
  <c r="L49" i="1"/>
  <c r="M49" i="1" s="1"/>
  <c r="L48" i="1"/>
  <c r="H51" i="1"/>
  <c r="H50" i="1"/>
  <c r="H49" i="1"/>
  <c r="H48" i="1"/>
  <c r="I48" i="1" s="1"/>
  <c r="D51" i="1"/>
  <c r="D50" i="1"/>
  <c r="D49" i="1"/>
  <c r="E49" i="1" s="1"/>
  <c r="D48" i="1"/>
  <c r="DA43" i="1"/>
  <c r="DA44" i="1" s="1"/>
  <c r="BP44" i="1"/>
  <c r="R24" i="15" s="1"/>
  <c r="BD44" i="1"/>
  <c r="O24" i="15" s="1"/>
  <c r="B44" i="1"/>
  <c r="B43" i="1"/>
  <c r="B42" i="1"/>
  <c r="B41" i="1"/>
  <c r="B40" i="1"/>
  <c r="DC43" i="1"/>
  <c r="DC42" i="1"/>
  <c r="DC41" i="1"/>
  <c r="BV43" i="1"/>
  <c r="BT43" i="1"/>
  <c r="BA42" i="1"/>
  <c r="BA41" i="1"/>
  <c r="A43" i="1"/>
  <c r="A42" i="1"/>
  <c r="A41" i="1"/>
  <c r="A40" i="1"/>
  <c r="BV42" i="1"/>
  <c r="BV41" i="1"/>
  <c r="BT40" i="1"/>
  <c r="BR43" i="1"/>
  <c r="BQ43" i="1"/>
  <c r="BR42" i="1"/>
  <c r="BQ42" i="1"/>
  <c r="BR41" i="1"/>
  <c r="BQ41" i="1"/>
  <c r="BR40" i="1"/>
  <c r="BQ40" i="1"/>
  <c r="BN43" i="1"/>
  <c r="BM43" i="1"/>
  <c r="BN42" i="1"/>
  <c r="BM42" i="1"/>
  <c r="BN41" i="1"/>
  <c r="BM41" i="1"/>
  <c r="BN40" i="1"/>
  <c r="BL40" i="1"/>
  <c r="DC40" i="1" s="1"/>
  <c r="BJ43" i="1"/>
  <c r="BI43" i="1"/>
  <c r="BJ42" i="1"/>
  <c r="BI42" i="1"/>
  <c r="BJ41" i="1"/>
  <c r="BI41" i="1"/>
  <c r="BH40" i="1"/>
  <c r="BJ40" i="1" s="1"/>
  <c r="BH44" i="1"/>
  <c r="BJ44" i="1"/>
  <c r="BF43" i="1"/>
  <c r="BE43" i="1"/>
  <c r="BF42" i="1"/>
  <c r="BE42" i="1"/>
  <c r="BF41" i="1"/>
  <c r="BE41" i="1"/>
  <c r="BE40" i="1"/>
  <c r="AZ40" i="1"/>
  <c r="AZ44" i="1" s="1"/>
  <c r="N24" i="15" s="1"/>
  <c r="DE36" i="1"/>
  <c r="A36" i="1"/>
  <c r="A35" i="1"/>
  <c r="CF36" i="1"/>
  <c r="CF35" i="1"/>
  <c r="CN34" i="1"/>
  <c r="X14" i="15" s="1"/>
  <c r="X16" i="15" s="1"/>
  <c r="CJ36" i="1"/>
  <c r="CJ35" i="1"/>
  <c r="CJ34" i="1"/>
  <c r="W14" i="15" s="1"/>
  <c r="CF34" i="1"/>
  <c r="V14" i="15" s="1"/>
  <c r="AS77" i="2" s="1"/>
  <c r="AS84" i="2" s="1"/>
  <c r="BX36" i="1"/>
  <c r="BY36" i="1" s="1"/>
  <c r="AV36" i="1"/>
  <c r="AV35" i="1"/>
  <c r="AV34" i="1"/>
  <c r="M14" i="15" s="1"/>
  <c r="CY15" i="20" s="1"/>
  <c r="AR36" i="1"/>
  <c r="AR35" i="1"/>
  <c r="AT35" i="1" s="1"/>
  <c r="AR34" i="1"/>
  <c r="L14" i="15" s="1"/>
  <c r="Y77" i="2" s="1"/>
  <c r="Y84" i="2" s="1"/>
  <c r="AN35" i="1"/>
  <c r="B34" i="1"/>
  <c r="B33" i="1"/>
  <c r="B32" i="1"/>
  <c r="B31" i="1"/>
  <c r="B30" i="1"/>
  <c r="DC33" i="1"/>
  <c r="CG33" i="1"/>
  <c r="CG32" i="1"/>
  <c r="CG31" i="1"/>
  <c r="CG30" i="1"/>
  <c r="A33" i="1"/>
  <c r="A32" i="1"/>
  <c r="A31" i="1"/>
  <c r="A30" i="1"/>
  <c r="CN32" i="1"/>
  <c r="BX32" i="1"/>
  <c r="BX31" i="1"/>
  <c r="BY31" i="1"/>
  <c r="BX30" i="1"/>
  <c r="BY30" i="1" s="1"/>
  <c r="BX84" i="1"/>
  <c r="AN32" i="1"/>
  <c r="AN34" i="1" s="1"/>
  <c r="CS30" i="1"/>
  <c r="CP33" i="1"/>
  <c r="CO33" i="1"/>
  <c r="CP32" i="1"/>
  <c r="CO32" i="1"/>
  <c r="CP31" i="1"/>
  <c r="CO31" i="1"/>
  <c r="CN30" i="1"/>
  <c r="CL33" i="1"/>
  <c r="CK33" i="1"/>
  <c r="CL32" i="1"/>
  <c r="CK32" i="1"/>
  <c r="CL31" i="1"/>
  <c r="CK31" i="1"/>
  <c r="CL30" i="1"/>
  <c r="CK30" i="1"/>
  <c r="CD33" i="1"/>
  <c r="CC33" i="1"/>
  <c r="CC32" i="1"/>
  <c r="CD31" i="1"/>
  <c r="CC31" i="1"/>
  <c r="CB30" i="1"/>
  <c r="CB40" i="1" s="1"/>
  <c r="BY33" i="1"/>
  <c r="BY32" i="1"/>
  <c r="BT33" i="1"/>
  <c r="BT32" i="1"/>
  <c r="BT31" i="1"/>
  <c r="BV31" i="1" s="1"/>
  <c r="BR33" i="1"/>
  <c r="BP33" i="1"/>
  <c r="BP87" i="1" s="1"/>
  <c r="BP32" i="1"/>
  <c r="BP31" i="1"/>
  <c r="BQ30" i="1"/>
  <c r="BP30" i="1"/>
  <c r="BP84" i="1"/>
  <c r="BP104" i="1" s="1"/>
  <c r="BL33" i="1"/>
  <c r="BL32" i="1"/>
  <c r="BL31" i="1"/>
  <c r="BL30" i="1"/>
  <c r="BH33" i="1"/>
  <c r="BH87" i="1" s="1"/>
  <c r="BJ32" i="1"/>
  <c r="BH32" i="1"/>
  <c r="BH86" i="1" s="1"/>
  <c r="BH31" i="1"/>
  <c r="BH85" i="1"/>
  <c r="BH30" i="1"/>
  <c r="BD33" i="1"/>
  <c r="BD32" i="1"/>
  <c r="BD86" i="1"/>
  <c r="BF31" i="1"/>
  <c r="BE31" i="1"/>
  <c r="BD31" i="1"/>
  <c r="BD85" i="1"/>
  <c r="BD30" i="1"/>
  <c r="BE30" i="1" s="1"/>
  <c r="AZ33" i="1"/>
  <c r="AZ32" i="1"/>
  <c r="BA32" i="1" s="1"/>
  <c r="AZ31" i="1"/>
  <c r="BA31" i="1" s="1"/>
  <c r="AX33" i="1"/>
  <c r="AW33" i="1"/>
  <c r="AX32" i="1"/>
  <c r="AW32" i="1"/>
  <c r="AX31" i="1"/>
  <c r="AW31" i="1"/>
  <c r="AX30" i="1"/>
  <c r="AW30" i="1"/>
  <c r="AT33" i="1"/>
  <c r="AT32" i="1"/>
  <c r="AS32" i="1"/>
  <c r="AT31" i="1"/>
  <c r="AS31" i="1"/>
  <c r="AT30" i="1"/>
  <c r="AO33" i="1"/>
  <c r="AO31" i="1"/>
  <c r="AJ36" i="1"/>
  <c r="AL33" i="1"/>
  <c r="AJ33" i="1"/>
  <c r="AP33" i="1" s="1"/>
  <c r="AK32" i="1"/>
  <c r="AJ32" i="1"/>
  <c r="AP32" i="1" s="1"/>
  <c r="AJ86" i="1"/>
  <c r="AJ106" i="1"/>
  <c r="AK31" i="1"/>
  <c r="AJ31" i="1"/>
  <c r="AJ34" i="1" s="1"/>
  <c r="AJ30" i="1"/>
  <c r="AJ84" i="1" s="1"/>
  <c r="AF33" i="1"/>
  <c r="AF32" i="1"/>
  <c r="AG32" i="1" s="1"/>
  <c r="AF86" i="1"/>
  <c r="AG31" i="1"/>
  <c r="AF31" i="1"/>
  <c r="AF30" i="1"/>
  <c r="AB33" i="1"/>
  <c r="AH32" i="1"/>
  <c r="AB31" i="1"/>
  <c r="AC31" i="1" s="1"/>
  <c r="AB30" i="1"/>
  <c r="X31" i="1"/>
  <c r="Y30" i="1"/>
  <c r="X30" i="1"/>
  <c r="AD30" i="1"/>
  <c r="T30" i="1"/>
  <c r="Z30" i="1" s="1"/>
  <c r="Q31" i="1"/>
  <c r="P31" i="1"/>
  <c r="P30" i="1"/>
  <c r="L30" i="1"/>
  <c r="H31" i="1"/>
  <c r="H30" i="1"/>
  <c r="I30" i="1" s="1"/>
  <c r="D30" i="1"/>
  <c r="CC28" i="1"/>
  <c r="A26" i="1"/>
  <c r="A25" i="1"/>
  <c r="CF26" i="1"/>
  <c r="CF25" i="1"/>
  <c r="BD26" i="1"/>
  <c r="BD25" i="1"/>
  <c r="AZ26" i="1"/>
  <c r="AZ25" i="1"/>
  <c r="AV26" i="1"/>
  <c r="AV25" i="1"/>
  <c r="AR26" i="1"/>
  <c r="AR25" i="1"/>
  <c r="AN26" i="1"/>
  <c r="AN25" i="1"/>
  <c r="CN26" i="1"/>
  <c r="CN25" i="1"/>
  <c r="CO25" i="1" s="1"/>
  <c r="CN24" i="1"/>
  <c r="CJ26" i="1"/>
  <c r="CJ25" i="1"/>
  <c r="CJ24" i="1"/>
  <c r="CF24" i="1"/>
  <c r="V11" i="15" s="1"/>
  <c r="AS76" i="2" s="1"/>
  <c r="CB26" i="1"/>
  <c r="CB25" i="1"/>
  <c r="CB24" i="1"/>
  <c r="U11" i="15" s="1"/>
  <c r="AQ76" i="2" s="1"/>
  <c r="BX26" i="1"/>
  <c r="BX25" i="1"/>
  <c r="BX24" i="1"/>
  <c r="T11" i="15" s="1"/>
  <c r="AO76" i="2" s="1"/>
  <c r="BT26" i="1"/>
  <c r="BT25" i="1"/>
  <c r="BT24" i="1"/>
  <c r="BP26" i="1"/>
  <c r="BP25" i="1"/>
  <c r="BP24" i="1"/>
  <c r="BL26" i="1"/>
  <c r="BL25" i="1"/>
  <c r="BL24" i="1"/>
  <c r="Q11" i="15" s="1"/>
  <c r="AI76" i="2" s="1"/>
  <c r="BH24" i="1"/>
  <c r="P11" i="15" s="1"/>
  <c r="AG76" i="2" s="1"/>
  <c r="BD24" i="1"/>
  <c r="O11" i="15" s="1"/>
  <c r="AE76" i="2" s="1"/>
  <c r="AZ24" i="1"/>
  <c r="N11" i="15" s="1"/>
  <c r="AC76" i="2" s="1"/>
  <c r="AV24" i="1"/>
  <c r="AR24" i="1"/>
  <c r="L11" i="15" s="1"/>
  <c r="Y76" i="2" s="1"/>
  <c r="AN24" i="1"/>
  <c r="K11" i="15" s="1"/>
  <c r="AJ26" i="1"/>
  <c r="AK26" i="1" s="1"/>
  <c r="AJ25" i="1"/>
  <c r="AJ24" i="1"/>
  <c r="J11" i="15" s="1"/>
  <c r="AF26" i="1"/>
  <c r="AF25" i="1"/>
  <c r="AF24" i="1"/>
  <c r="I11" i="15" s="1"/>
  <c r="AB26" i="1"/>
  <c r="AB25" i="1"/>
  <c r="AC25" i="1" s="1"/>
  <c r="AB24" i="1"/>
  <c r="X26" i="1"/>
  <c r="X25" i="1"/>
  <c r="X24" i="1"/>
  <c r="G11" i="15" s="1"/>
  <c r="T26" i="1"/>
  <c r="T25" i="1"/>
  <c r="T24" i="1"/>
  <c r="P26" i="1"/>
  <c r="P25" i="1"/>
  <c r="P24" i="1"/>
  <c r="K76" i="2" s="1"/>
  <c r="L26" i="1"/>
  <c r="L25" i="1"/>
  <c r="L24" i="1"/>
  <c r="D11" i="15" s="1"/>
  <c r="C22" i="15" s="1"/>
  <c r="H26" i="1"/>
  <c r="H25" i="1"/>
  <c r="H24" i="1"/>
  <c r="G76" i="2" s="1"/>
  <c r="D26" i="1"/>
  <c r="D25" i="1"/>
  <c r="D24" i="1"/>
  <c r="B24" i="1"/>
  <c r="B23" i="1"/>
  <c r="B22" i="1"/>
  <c r="B21" i="1"/>
  <c r="B20" i="1"/>
  <c r="CG23" i="1"/>
  <c r="CG22" i="1"/>
  <c r="CG21" i="1"/>
  <c r="CG20" i="1"/>
  <c r="AK22" i="1"/>
  <c r="AK21" i="1"/>
  <c r="AK20" i="1"/>
  <c r="AG23" i="1"/>
  <c r="AG22" i="1"/>
  <c r="AG21" i="1"/>
  <c r="AG20" i="1"/>
  <c r="AC23" i="1"/>
  <c r="AC22" i="1"/>
  <c r="AC21" i="1"/>
  <c r="AC20" i="1"/>
  <c r="Y23" i="1"/>
  <c r="Y22" i="1"/>
  <c r="Y21" i="1"/>
  <c r="Y20" i="1"/>
  <c r="U23" i="1"/>
  <c r="U22" i="1"/>
  <c r="U21" i="1"/>
  <c r="U20" i="1"/>
  <c r="Q23" i="1"/>
  <c r="Q22" i="1"/>
  <c r="Q21" i="1"/>
  <c r="Q20" i="1"/>
  <c r="M23" i="1"/>
  <c r="M22" i="1"/>
  <c r="M21" i="1"/>
  <c r="M20" i="1"/>
  <c r="I23" i="1"/>
  <c r="I22" i="1"/>
  <c r="I21" i="1"/>
  <c r="I20" i="1"/>
  <c r="E23" i="1"/>
  <c r="E22" i="1"/>
  <c r="E21" i="1"/>
  <c r="E20" i="1"/>
  <c r="A23" i="1"/>
  <c r="A22" i="1"/>
  <c r="A21" i="1"/>
  <c r="A20" i="1"/>
  <c r="DE23" i="1"/>
  <c r="DF23" i="1" s="1"/>
  <c r="DF22" i="1"/>
  <c r="DE22" i="1"/>
  <c r="DF21" i="1"/>
  <c r="DF20" i="1"/>
  <c r="DB23" i="1"/>
  <c r="CS20" i="1"/>
  <c r="CO23" i="1"/>
  <c r="CO22" i="1"/>
  <c r="CO21" i="1"/>
  <c r="CT21" i="1"/>
  <c r="CO20" i="1"/>
  <c r="CT20" i="1"/>
  <c r="CK23" i="1"/>
  <c r="CL23" i="1" s="1"/>
  <c r="CY23" i="1" s="1"/>
  <c r="CK22" i="1"/>
  <c r="CL22" i="1" s="1"/>
  <c r="CY22" i="1" s="1"/>
  <c r="CK21" i="1"/>
  <c r="CL21" i="1"/>
  <c r="CY21" i="1" s="1"/>
  <c r="CK20" i="1"/>
  <c r="CL20" i="1"/>
  <c r="CY20" i="1"/>
  <c r="CD23" i="1"/>
  <c r="CC23" i="1"/>
  <c r="CC22" i="1"/>
  <c r="CC21" i="1"/>
  <c r="CC20" i="1"/>
  <c r="CD20" i="1" s="1"/>
  <c r="AR157" i="38" s="1"/>
  <c r="BY23" i="1"/>
  <c r="BY22" i="1"/>
  <c r="BY21" i="1"/>
  <c r="BZ21" i="1" s="1"/>
  <c r="BY20" i="1"/>
  <c r="BR23" i="1"/>
  <c r="BQ23" i="1"/>
  <c r="BQ22" i="1"/>
  <c r="DB22" i="1" s="1"/>
  <c r="BQ21" i="1"/>
  <c r="BR21" i="1" s="1"/>
  <c r="BQ20" i="1"/>
  <c r="BN23" i="1"/>
  <c r="BM23" i="1"/>
  <c r="BM22" i="1"/>
  <c r="BM21" i="1"/>
  <c r="BN21" i="1" s="1"/>
  <c r="BM20" i="1"/>
  <c r="BR20" i="1" s="1"/>
  <c r="BI23" i="1"/>
  <c r="BI22" i="1"/>
  <c r="BJ22" i="1" s="1"/>
  <c r="BI21" i="1"/>
  <c r="BJ21" i="1"/>
  <c r="BI20" i="1"/>
  <c r="BN20" i="1"/>
  <c r="BH20" i="1"/>
  <c r="F109" i="10" s="1"/>
  <c r="BE23" i="1"/>
  <c r="BF22" i="1"/>
  <c r="BE22" i="1"/>
  <c r="BE21" i="1"/>
  <c r="BE20" i="1"/>
  <c r="BF20" i="1"/>
  <c r="BA22" i="1"/>
  <c r="BB22" i="1" s="1"/>
  <c r="BA21" i="1"/>
  <c r="BF21" i="1" s="1"/>
  <c r="BA20" i="1"/>
  <c r="AW23" i="1"/>
  <c r="AW22" i="1"/>
  <c r="AX22" i="1" s="1"/>
  <c r="AW21" i="1"/>
  <c r="AX21" i="1"/>
  <c r="AW20" i="1"/>
  <c r="BB20" i="1" s="1"/>
  <c r="AT22" i="1"/>
  <c r="AS22" i="1"/>
  <c r="AS21" i="1"/>
  <c r="AO23" i="1"/>
  <c r="AP22" i="1"/>
  <c r="AO22" i="1"/>
  <c r="AO21" i="1"/>
  <c r="AP21" i="1" s="1"/>
  <c r="CC18" i="1"/>
  <c r="DA10" i="1"/>
  <c r="CP16" i="1"/>
  <c r="CN16" i="1"/>
  <c r="CP15" i="1"/>
  <c r="CO15" i="1"/>
  <c r="CN15" i="1"/>
  <c r="CL16" i="1"/>
  <c r="CJ16" i="1"/>
  <c r="CL15" i="1"/>
  <c r="CJ15" i="1"/>
  <c r="CK25" i="1" s="1"/>
  <c r="CF16" i="1"/>
  <c r="CF15" i="1"/>
  <c r="CK15" i="1" s="1"/>
  <c r="CB16" i="1"/>
  <c r="CD15" i="1"/>
  <c r="CB15" i="1"/>
  <c r="CC15" i="1" s="1"/>
  <c r="BP16" i="1"/>
  <c r="BR15" i="1"/>
  <c r="BR16" i="1" s="1"/>
  <c r="BP15" i="1"/>
  <c r="BL16" i="1"/>
  <c r="BL15" i="1"/>
  <c r="BH16" i="1"/>
  <c r="BI15" i="1"/>
  <c r="BH15" i="1"/>
  <c r="BJ15" i="1" s="1"/>
  <c r="BI146" i="1"/>
  <c r="BD16" i="1"/>
  <c r="BE16" i="1" s="1"/>
  <c r="BD15" i="1"/>
  <c r="BE15" i="1" s="1"/>
  <c r="AZ16" i="1"/>
  <c r="BB15" i="1"/>
  <c r="AZ15" i="1"/>
  <c r="BA15" i="1" s="1"/>
  <c r="AV16" i="1"/>
  <c r="AV15" i="1"/>
  <c r="AJ16" i="1"/>
  <c r="AJ15" i="1"/>
  <c r="AL15" i="1" s="1"/>
  <c r="AL16" i="1" s="1"/>
  <c r="AF16" i="1"/>
  <c r="AF15" i="1"/>
  <c r="AB16" i="1"/>
  <c r="AD15" i="1"/>
  <c r="AB15" i="1"/>
  <c r="X16" i="1"/>
  <c r="Y16" i="1" s="1"/>
  <c r="X15" i="1"/>
  <c r="V16" i="1"/>
  <c r="T16" i="1"/>
  <c r="T15" i="1"/>
  <c r="V15" i="1" s="1"/>
  <c r="P16" i="1"/>
  <c r="P15" i="1"/>
  <c r="L16" i="1"/>
  <c r="N15" i="1"/>
  <c r="L15" i="1"/>
  <c r="M25" i="1" s="1"/>
  <c r="H16" i="1"/>
  <c r="H15" i="1"/>
  <c r="E16" i="1"/>
  <c r="D16" i="1"/>
  <c r="F15" i="1"/>
  <c r="D15" i="1"/>
  <c r="E25" i="1"/>
  <c r="CT16" i="1"/>
  <c r="DA15" i="1"/>
  <c r="CN14" i="1"/>
  <c r="X7" i="15" s="1"/>
  <c r="CK14" i="1"/>
  <c r="CJ14" i="1"/>
  <c r="W7" i="15" s="1"/>
  <c r="CG14" i="1"/>
  <c r="CF14" i="1"/>
  <c r="CB14" i="1"/>
  <c r="BX16" i="1"/>
  <c r="BY26" i="1" s="1"/>
  <c r="BZ15" i="1"/>
  <c r="BX15" i="1"/>
  <c r="BY25" i="1" s="1"/>
  <c r="BX14" i="1"/>
  <c r="T7" i="15" s="1"/>
  <c r="K6" i="67" s="1"/>
  <c r="K86" i="67" s="1"/>
  <c r="BP14" i="1"/>
  <c r="R7" i="15" s="1"/>
  <c r="AK75" i="2" s="1"/>
  <c r="AK80" i="2" s="1"/>
  <c r="BQ60" i="1"/>
  <c r="BL14" i="1"/>
  <c r="Q7" i="15" s="1"/>
  <c r="AI75" i="2" s="1"/>
  <c r="BH14" i="1"/>
  <c r="BI24" i="1" s="1"/>
  <c r="BD14" i="1"/>
  <c r="AV14" i="1"/>
  <c r="M7" i="15" s="1"/>
  <c r="AF14" i="1"/>
  <c r="I7" i="15" s="1"/>
  <c r="AB14" i="1"/>
  <c r="Y14" i="1"/>
  <c r="X14" i="1"/>
  <c r="G7" i="5" s="1"/>
  <c r="Y98" i="1"/>
  <c r="T14" i="1"/>
  <c r="F7" i="5" s="1"/>
  <c r="P14" i="1"/>
  <c r="K75" i="2" s="1"/>
  <c r="L14" i="1"/>
  <c r="I75" i="2" s="1"/>
  <c r="I82" i="2" s="1"/>
  <c r="M98" i="1"/>
  <c r="H14" i="1"/>
  <c r="D14" i="1"/>
  <c r="B7" i="15" s="1"/>
  <c r="CO13" i="1"/>
  <c r="CN13" i="11" s="1"/>
  <c r="CO12" i="1"/>
  <c r="CO11" i="1"/>
  <c r="CN17" i="11" s="1"/>
  <c r="CO10" i="1"/>
  <c r="CK13" i="1"/>
  <c r="CJ13" i="11" s="1"/>
  <c r="CK12" i="1"/>
  <c r="CK11" i="1"/>
  <c r="CK10" i="1"/>
  <c r="CG13" i="1"/>
  <c r="CF13" i="11" s="1"/>
  <c r="CF19" i="11" s="1"/>
  <c r="CF25" i="11" s="1"/>
  <c r="CF31" i="11" s="1"/>
  <c r="CF37" i="11" s="1"/>
  <c r="CG12" i="1"/>
  <c r="CF12" i="11" s="1"/>
  <c r="CG11" i="1"/>
  <c r="CF11" i="11" s="1"/>
  <c r="CF17" i="11" s="1"/>
  <c r="CF23" i="11" s="1"/>
  <c r="CF29" i="11" s="1"/>
  <c r="CF35" i="11" s="1"/>
  <c r="CG10" i="1"/>
  <c r="CF10" i="11" s="1"/>
  <c r="CF16" i="11" s="1"/>
  <c r="CF22" i="11" s="1"/>
  <c r="CF28" i="11" s="1"/>
  <c r="CF34" i="11" s="1"/>
  <c r="CC13" i="1"/>
  <c r="CB13" i="11" s="1"/>
  <c r="CB19" i="11" s="1"/>
  <c r="CB25" i="11" s="1"/>
  <c r="CB31" i="11" s="1"/>
  <c r="CB37" i="11" s="1"/>
  <c r="CC12" i="1"/>
  <c r="CB12" i="11" s="1"/>
  <c r="CB18" i="11" s="1"/>
  <c r="CB24" i="11" s="1"/>
  <c r="CB30" i="11" s="1"/>
  <c r="CB36" i="11" s="1"/>
  <c r="CC11" i="1"/>
  <c r="CB11" i="11" s="1"/>
  <c r="CB17" i="11" s="1"/>
  <c r="CB23" i="11" s="1"/>
  <c r="CB29" i="11" s="1"/>
  <c r="CB35" i="11" s="1"/>
  <c r="CC10" i="1"/>
  <c r="CB10" i="11" s="1"/>
  <c r="CB16" i="11" s="1"/>
  <c r="CB22" i="11" s="1"/>
  <c r="CB28" i="11" s="1"/>
  <c r="CB34" i="11" s="1"/>
  <c r="BQ13" i="1"/>
  <c r="BP13" i="11" s="1"/>
  <c r="BP19" i="11" s="1"/>
  <c r="BP25" i="11" s="1"/>
  <c r="BP31" i="11" s="1"/>
  <c r="BP37" i="11" s="1"/>
  <c r="BQ12" i="1"/>
  <c r="BP12" i="11" s="1"/>
  <c r="BP18" i="11" s="1"/>
  <c r="BP24" i="11" s="1"/>
  <c r="BP30" i="11" s="1"/>
  <c r="BP36" i="11" s="1"/>
  <c r="BQ11" i="1"/>
  <c r="BP11" i="11" s="1"/>
  <c r="BP35" i="11" s="1"/>
  <c r="BQ10" i="1"/>
  <c r="BP10" i="11" s="1"/>
  <c r="BP28" i="11" s="1"/>
  <c r="BM13" i="1"/>
  <c r="BM12" i="1"/>
  <c r="BL12" i="11" s="1"/>
  <c r="BM11" i="1"/>
  <c r="BL11" i="11" s="1"/>
  <c r="BL17" i="11" s="1"/>
  <c r="BL23" i="11" s="1"/>
  <c r="BL29" i="11" s="1"/>
  <c r="BL35" i="11" s="1"/>
  <c r="BM10" i="1"/>
  <c r="BL10" i="11" s="1"/>
  <c r="BI13" i="1"/>
  <c r="BH13" i="11" s="1"/>
  <c r="BI12" i="1"/>
  <c r="BH12" i="11" s="1"/>
  <c r="BH18" i="11" s="1"/>
  <c r="BI11" i="1"/>
  <c r="BH11" i="11" s="1"/>
  <c r="BH17" i="11" s="1"/>
  <c r="BH23" i="11" s="1"/>
  <c r="BH29" i="11" s="1"/>
  <c r="BH35" i="11" s="1"/>
  <c r="BI10" i="1"/>
  <c r="BH10" i="11" s="1"/>
  <c r="BH28" i="11" s="1"/>
  <c r="BE12" i="1"/>
  <c r="BD12" i="11" s="1"/>
  <c r="BE11" i="1"/>
  <c r="BD11" i="11" s="1"/>
  <c r="BD17" i="11" s="1"/>
  <c r="BD23" i="11" s="1"/>
  <c r="BD29" i="11" s="1"/>
  <c r="BD35" i="11" s="1"/>
  <c r="BE10" i="1"/>
  <c r="BD10" i="11" s="1"/>
  <c r="AZ13" i="1"/>
  <c r="D98" i="10" s="1"/>
  <c r="L98" i="10" s="1"/>
  <c r="AW12" i="1"/>
  <c r="AV12" i="11" s="1"/>
  <c r="AW11" i="1"/>
  <c r="AV11" i="11" s="1"/>
  <c r="AV17" i="11" s="1"/>
  <c r="AV23" i="11" s="1"/>
  <c r="AR13" i="1"/>
  <c r="AO12" i="1"/>
  <c r="AN12" i="11" s="1"/>
  <c r="AO11" i="1"/>
  <c r="AN11" i="11" s="1"/>
  <c r="AJ13" i="1"/>
  <c r="D70" i="10" s="1"/>
  <c r="AG13" i="1"/>
  <c r="AF13" i="11" s="1"/>
  <c r="AF19" i="11" s="1"/>
  <c r="AF25" i="11" s="1"/>
  <c r="AG12" i="1"/>
  <c r="AF12" i="11" s="1"/>
  <c r="AG11" i="1"/>
  <c r="AF11" i="11" s="1"/>
  <c r="AG10" i="1"/>
  <c r="AF10" i="11" s="1"/>
  <c r="AF28" i="11" s="1"/>
  <c r="AC13" i="1"/>
  <c r="AB13" i="11" s="1"/>
  <c r="AC12" i="1"/>
  <c r="AB12" i="11" s="1"/>
  <c r="AB36" i="11" s="1"/>
  <c r="AC11" i="1"/>
  <c r="AB11" i="11" s="1"/>
  <c r="AB23" i="11" s="1"/>
  <c r="AC10" i="1"/>
  <c r="AB10" i="11" s="1"/>
  <c r="AB28" i="11" s="1"/>
  <c r="Y13" i="1"/>
  <c r="X13" i="11" s="1"/>
  <c r="Y12" i="1"/>
  <c r="X12" i="11" s="1"/>
  <c r="X30" i="11" s="1"/>
  <c r="Y11" i="1"/>
  <c r="X11" i="11" s="1"/>
  <c r="Y10" i="1"/>
  <c r="X10" i="11" s="1"/>
  <c r="C53" i="20"/>
  <c r="U13" i="1"/>
  <c r="T13" i="11" s="1"/>
  <c r="T31" i="11" s="1"/>
  <c r="U12" i="1"/>
  <c r="T12" i="11" s="1"/>
  <c r="U11" i="1"/>
  <c r="T11" i="11" s="1"/>
  <c r="T23" i="11" s="1"/>
  <c r="U10" i="1"/>
  <c r="T10" i="11" s="1"/>
  <c r="T28" i="11" s="1"/>
  <c r="Q13" i="1"/>
  <c r="P13" i="11" s="1"/>
  <c r="Q12" i="1"/>
  <c r="P12" i="11" s="1"/>
  <c r="P18" i="11" s="1"/>
  <c r="Q11" i="1"/>
  <c r="P11" i="11" s="1"/>
  <c r="Q10" i="1"/>
  <c r="P10" i="11" s="1"/>
  <c r="M13" i="1"/>
  <c r="L13" i="11" s="1"/>
  <c r="M12" i="1"/>
  <c r="M11" i="1"/>
  <c r="L11" i="11" s="1"/>
  <c r="M10" i="1"/>
  <c r="L10" i="11" s="1"/>
  <c r="L16" i="11" s="1"/>
  <c r="I13" i="1"/>
  <c r="H13" i="11" s="1"/>
  <c r="H31" i="11" s="1"/>
  <c r="I12" i="1"/>
  <c r="H12" i="11" s="1"/>
  <c r="I11" i="1"/>
  <c r="H11" i="11" s="1"/>
  <c r="H29" i="11" s="1"/>
  <c r="I10" i="1"/>
  <c r="H10" i="11" s="1"/>
  <c r="H28" i="11" s="1"/>
  <c r="E13" i="1"/>
  <c r="L14" i="10" s="1"/>
  <c r="D15" i="9"/>
  <c r="E12" i="1"/>
  <c r="E11" i="1"/>
  <c r="L12" i="10" s="1"/>
  <c r="E10" i="1"/>
  <c r="BA12" i="1"/>
  <c r="AZ12" i="11" s="1"/>
  <c r="AZ18" i="11" s="1"/>
  <c r="BA11" i="1"/>
  <c r="AZ11" i="11" s="1"/>
  <c r="BA10" i="1"/>
  <c r="AS12" i="1"/>
  <c r="AR12" i="11" s="1"/>
  <c r="AS11" i="1"/>
  <c r="AR11" i="11" s="1"/>
  <c r="AK12" i="1"/>
  <c r="AJ12" i="11" s="1"/>
  <c r="AK11" i="1"/>
  <c r="AJ11" i="11" s="1"/>
  <c r="AK10" i="1"/>
  <c r="DA11" i="1"/>
  <c r="CS10" i="1"/>
  <c r="CR28" i="11" s="1"/>
  <c r="BT13" i="1"/>
  <c r="D133" i="10" s="1"/>
  <c r="BT12" i="1"/>
  <c r="BU11" i="1"/>
  <c r="BT11" i="11" s="1"/>
  <c r="BT11" i="1"/>
  <c r="D131" i="10" s="1"/>
  <c r="BU21" i="1"/>
  <c r="BV21" i="1" s="1"/>
  <c r="BU10" i="1"/>
  <c r="BT10" i="11" s="1"/>
  <c r="BT10" i="1"/>
  <c r="D130" i="10" s="1"/>
  <c r="L130" i="10" s="1"/>
  <c r="AR10" i="1"/>
  <c r="AN10" i="1"/>
  <c r="CC8" i="1"/>
  <c r="L6" i="1"/>
  <c r="P6" i="1" s="1"/>
  <c r="T6" i="1" s="1"/>
  <c r="X6" i="1" s="1"/>
  <c r="AB6" i="1" s="1"/>
  <c r="AF6" i="1" s="1"/>
  <c r="AJ6" i="1" s="1"/>
  <c r="AN6" i="1" s="1"/>
  <c r="AR6" i="1" s="1"/>
  <c r="AV6" i="1" s="1"/>
  <c r="A1" i="1"/>
  <c r="S173" i="9"/>
  <c r="L173" i="9"/>
  <c r="F173" i="9"/>
  <c r="Z173" i="9"/>
  <c r="Z175" i="38" s="1"/>
  <c r="AB175" i="38" s="1"/>
  <c r="AK175" i="38" s="1"/>
  <c r="K174" i="9"/>
  <c r="L174" i="9"/>
  <c r="AS173" i="9"/>
  <c r="AR173" i="9"/>
  <c r="K173" i="9"/>
  <c r="U168" i="9"/>
  <c r="S169" i="9"/>
  <c r="F176" i="9" s="1"/>
  <c r="CM54" i="20" s="1"/>
  <c r="S168" i="9"/>
  <c r="DA12" i="1" s="1"/>
  <c r="S167" i="9"/>
  <c r="S166" i="9"/>
  <c r="N169" i="9"/>
  <c r="L169" i="9"/>
  <c r="L168" i="9"/>
  <c r="N168" i="9" s="1"/>
  <c r="L167" i="9"/>
  <c r="N167" i="9" s="1"/>
  <c r="L166" i="9"/>
  <c r="F169" i="9"/>
  <c r="F168" i="9"/>
  <c r="F167" i="9"/>
  <c r="F166" i="9"/>
  <c r="Z169" i="9"/>
  <c r="AB168" i="10" s="1"/>
  <c r="Z168" i="9"/>
  <c r="Z166" i="9"/>
  <c r="K169" i="9"/>
  <c r="K168" i="9"/>
  <c r="K167" i="9"/>
  <c r="K166" i="9"/>
  <c r="AS169" i="9"/>
  <c r="AR169" i="9"/>
  <c r="AS168" i="9"/>
  <c r="AR168" i="9"/>
  <c r="AS167" i="9"/>
  <c r="AR167" i="9"/>
  <c r="AS166" i="9"/>
  <c r="AQ166" i="9" s="1"/>
  <c r="AP166" i="9" s="1"/>
  <c r="AR166" i="9"/>
  <c r="S162" i="9"/>
  <c r="AI162" i="9" s="1"/>
  <c r="D169" i="9"/>
  <c r="S161" i="9"/>
  <c r="AI161" i="9" s="1"/>
  <c r="S160" i="9"/>
  <c r="U160" i="9" s="1"/>
  <c r="S159" i="9"/>
  <c r="N161" i="9"/>
  <c r="L162" i="9"/>
  <c r="N162" i="9" s="1"/>
  <c r="L161" i="9"/>
  <c r="L160" i="9"/>
  <c r="N160" i="9" s="1"/>
  <c r="L159" i="9"/>
  <c r="F162" i="9"/>
  <c r="F161" i="9"/>
  <c r="F160" i="9"/>
  <c r="F159" i="9"/>
  <c r="Z162" i="9"/>
  <c r="AB161" i="10" s="1"/>
  <c r="AD161" i="10" s="1"/>
  <c r="Z161" i="9"/>
  <c r="AB162" i="9" s="1"/>
  <c r="Z160" i="9"/>
  <c r="Z159" i="9"/>
  <c r="K162" i="9"/>
  <c r="K161" i="9"/>
  <c r="K160" i="9"/>
  <c r="K159" i="9"/>
  <c r="AS162" i="9"/>
  <c r="AQ162" i="9" s="1"/>
  <c r="AP162" i="9" s="1"/>
  <c r="AR162" i="9"/>
  <c r="AS161" i="9"/>
  <c r="AR161" i="9"/>
  <c r="AS160" i="9"/>
  <c r="AS163" i="9" s="1"/>
  <c r="AR160" i="9"/>
  <c r="AS159" i="9"/>
  <c r="AR159" i="9"/>
  <c r="U154" i="9"/>
  <c r="AI153" i="9"/>
  <c r="U152" i="9"/>
  <c r="N154" i="9"/>
  <c r="N153" i="9"/>
  <c r="N152" i="9"/>
  <c r="L155" i="9"/>
  <c r="L154" i="9"/>
  <c r="L153" i="9"/>
  <c r="L152" i="9"/>
  <c r="L156" i="9" s="1"/>
  <c r="F155" i="9"/>
  <c r="F154" i="9"/>
  <c r="F153" i="9"/>
  <c r="F152" i="9"/>
  <c r="Z155" i="9"/>
  <c r="AB154" i="10" s="1"/>
  <c r="AB159" i="9"/>
  <c r="Z154" i="9"/>
  <c r="Z156" i="38" s="1"/>
  <c r="Z153" i="9"/>
  <c r="AB153" i="9" s="1"/>
  <c r="Z152" i="9"/>
  <c r="K155" i="9"/>
  <c r="K154" i="9"/>
  <c r="K153" i="9"/>
  <c r="K152" i="9"/>
  <c r="AS155" i="9"/>
  <c r="AV155" i="9" s="1"/>
  <c r="AU155" i="9" s="1"/>
  <c r="AR155" i="9"/>
  <c r="AS154" i="9"/>
  <c r="AR154" i="9"/>
  <c r="AS153" i="9"/>
  <c r="AS156" i="9" s="1"/>
  <c r="AR153" i="9"/>
  <c r="AS152" i="9"/>
  <c r="AR152" i="9"/>
  <c r="D154" i="9"/>
  <c r="H154" i="9" s="1"/>
  <c r="U146" i="9"/>
  <c r="U145" i="9"/>
  <c r="L148" i="9"/>
  <c r="L147" i="9"/>
  <c r="L146" i="9"/>
  <c r="L145" i="9"/>
  <c r="F148" i="9"/>
  <c r="F147" i="9"/>
  <c r="F146" i="9"/>
  <c r="F145" i="9"/>
  <c r="Z148" i="9"/>
  <c r="AB147" i="10" s="1"/>
  <c r="AD147" i="10" s="1"/>
  <c r="Z147" i="9"/>
  <c r="AB148" i="9" s="1"/>
  <c r="Z146" i="9"/>
  <c r="Z148" i="38" s="1"/>
  <c r="K148" i="9"/>
  <c r="K147" i="9"/>
  <c r="K146" i="9"/>
  <c r="K145" i="9"/>
  <c r="AS148" i="9"/>
  <c r="AS147" i="9"/>
  <c r="AR147" i="9"/>
  <c r="AS146" i="9"/>
  <c r="AR146" i="9"/>
  <c r="AR149" i="9" s="1"/>
  <c r="AS145" i="9"/>
  <c r="AR145" i="9"/>
  <c r="AI140" i="9"/>
  <c r="AI138" i="9"/>
  <c r="L141" i="9"/>
  <c r="F141" i="9"/>
  <c r="F140" i="9"/>
  <c r="F139" i="9"/>
  <c r="F138" i="9"/>
  <c r="Z141" i="9"/>
  <c r="AB140" i="10" s="1"/>
  <c r="AD140" i="10" s="1"/>
  <c r="Z140" i="9"/>
  <c r="Z139" i="9"/>
  <c r="Z138" i="9"/>
  <c r="K141" i="9"/>
  <c r="J139" i="9"/>
  <c r="J138" i="9"/>
  <c r="V137" i="10" s="1"/>
  <c r="AS141" i="9"/>
  <c r="AR141" i="9"/>
  <c r="AQ141" i="9" s="1"/>
  <c r="AP141" i="9" s="1"/>
  <c r="AS140" i="9"/>
  <c r="AR140" i="9"/>
  <c r="AR139" i="9"/>
  <c r="AS138" i="9"/>
  <c r="AQ138" i="9" s="1"/>
  <c r="AP138" i="9" s="1"/>
  <c r="AR138" i="9"/>
  <c r="S132" i="9"/>
  <c r="AI132" i="9"/>
  <c r="S131" i="9"/>
  <c r="F134" i="9"/>
  <c r="F133" i="9"/>
  <c r="F132" i="9"/>
  <c r="F131" i="9"/>
  <c r="Z134" i="9"/>
  <c r="AB133" i="10" s="1"/>
  <c r="AD133" i="10" s="1"/>
  <c r="Z132" i="9"/>
  <c r="AS134" i="9"/>
  <c r="AV134" i="9" s="1"/>
  <c r="AU134" i="9" s="1"/>
  <c r="AR134" i="9"/>
  <c r="AS133" i="9"/>
  <c r="AR133" i="9"/>
  <c r="AS132" i="9"/>
  <c r="AR132" i="9"/>
  <c r="AS131" i="9"/>
  <c r="AR131" i="9"/>
  <c r="J133" i="9"/>
  <c r="V132" i="10" s="1"/>
  <c r="J132" i="9"/>
  <c r="K132" i="9" s="1"/>
  <c r="J131" i="9"/>
  <c r="V130" i="10" s="1"/>
  <c r="S127" i="9"/>
  <c r="S126" i="9"/>
  <c r="S125" i="9"/>
  <c r="AI125" i="9" s="1"/>
  <c r="S124" i="9"/>
  <c r="F128" i="9"/>
  <c r="F127" i="9"/>
  <c r="F126" i="9"/>
  <c r="F125" i="9"/>
  <c r="F124" i="9"/>
  <c r="Z127" i="9"/>
  <c r="AB126" i="10" s="1"/>
  <c r="Z126" i="9"/>
  <c r="Z125" i="9"/>
  <c r="AS127" i="9"/>
  <c r="AQ127" i="9" s="1"/>
  <c r="AP127" i="9" s="1"/>
  <c r="AR127" i="9"/>
  <c r="AS126" i="9"/>
  <c r="AR126" i="9"/>
  <c r="AR124" i="9"/>
  <c r="J126" i="9"/>
  <c r="V125" i="10" s="1"/>
  <c r="X125" i="10" s="1"/>
  <c r="J125" i="9"/>
  <c r="V124" i="10" s="1"/>
  <c r="X124" i="10" s="1"/>
  <c r="Z124" i="10" s="1"/>
  <c r="J124" i="9"/>
  <c r="V123" i="10" s="1"/>
  <c r="F121" i="9"/>
  <c r="Z118" i="9"/>
  <c r="AW77" i="20" s="1"/>
  <c r="Z117" i="9"/>
  <c r="AV77" i="20" s="1"/>
  <c r="F118" i="9"/>
  <c r="F117" i="9"/>
  <c r="AS120" i="9"/>
  <c r="AR120" i="9"/>
  <c r="AQ120" i="9" s="1"/>
  <c r="AS119" i="9"/>
  <c r="AR119" i="9"/>
  <c r="AS118" i="9"/>
  <c r="AR118" i="9"/>
  <c r="AS117" i="9"/>
  <c r="AR117" i="9"/>
  <c r="J118" i="9"/>
  <c r="V117" i="10" s="1"/>
  <c r="L118" i="9"/>
  <c r="N118" i="9" s="1"/>
  <c r="J117" i="9"/>
  <c r="V116" i="10" s="1"/>
  <c r="N111" i="9"/>
  <c r="L112" i="9"/>
  <c r="L111" i="9"/>
  <c r="F114" i="9"/>
  <c r="P74" i="5" s="1"/>
  <c r="P9" i="15" s="1"/>
  <c r="F113" i="9"/>
  <c r="F112" i="9"/>
  <c r="F111" i="9"/>
  <c r="F110" i="9"/>
  <c r="Z110" i="9"/>
  <c r="AQ77" i="20" s="1"/>
  <c r="K112" i="9"/>
  <c r="K111" i="9"/>
  <c r="AS113" i="9"/>
  <c r="AS112" i="9"/>
  <c r="AS111" i="9"/>
  <c r="AS110" i="9"/>
  <c r="AI105" i="9"/>
  <c r="L105" i="9"/>
  <c r="L104" i="9"/>
  <c r="F107" i="9"/>
  <c r="O74" i="5" s="1"/>
  <c r="O9" i="15" s="1"/>
  <c r="F106" i="9"/>
  <c r="F105" i="9"/>
  <c r="F104" i="9"/>
  <c r="F103" i="9"/>
  <c r="Z106" i="9"/>
  <c r="AB110" i="9" s="1"/>
  <c r="Z103" i="9"/>
  <c r="AS106" i="9"/>
  <c r="AS105" i="9"/>
  <c r="AS104" i="9"/>
  <c r="AS103" i="9"/>
  <c r="L98" i="9"/>
  <c r="F100" i="9"/>
  <c r="N74" i="5" s="1"/>
  <c r="N9" i="15" s="1"/>
  <c r="F99" i="9"/>
  <c r="F98" i="9"/>
  <c r="F97" i="9"/>
  <c r="F96" i="9"/>
  <c r="Z98" i="9"/>
  <c r="Z97" i="9"/>
  <c r="F93" i="9"/>
  <c r="M74" i="5" s="1"/>
  <c r="F92" i="9"/>
  <c r="F91" i="9"/>
  <c r="F90" i="9"/>
  <c r="F89" i="9"/>
  <c r="J91" i="9"/>
  <c r="V90" i="10" s="1"/>
  <c r="J90" i="9"/>
  <c r="V89" i="10" s="1"/>
  <c r="X89" i="10" s="1"/>
  <c r="J89" i="9"/>
  <c r="V88" i="10" s="1"/>
  <c r="X88" i="10" s="1"/>
  <c r="Z82" i="9"/>
  <c r="W77" i="20" s="1"/>
  <c r="AI84" i="9"/>
  <c r="AI83" i="9"/>
  <c r="F86" i="9"/>
  <c r="F85" i="9"/>
  <c r="F84" i="9"/>
  <c r="F83" i="9"/>
  <c r="F82" i="9"/>
  <c r="AI76" i="9"/>
  <c r="AI75" i="9"/>
  <c r="F79" i="9"/>
  <c r="K74" i="5" s="1"/>
  <c r="K9" i="15" s="1"/>
  <c r="F78" i="9"/>
  <c r="F77" i="9"/>
  <c r="F76" i="9"/>
  <c r="F75" i="9"/>
  <c r="Z76" i="9"/>
  <c r="Z75" i="9"/>
  <c r="R77" i="20" s="1"/>
  <c r="AI71" i="9"/>
  <c r="D75" i="9"/>
  <c r="F71" i="9"/>
  <c r="F70" i="9"/>
  <c r="F69" i="9"/>
  <c r="F68" i="9"/>
  <c r="Z69" i="9"/>
  <c r="N77" i="20" s="1"/>
  <c r="AI62" i="9"/>
  <c r="D68" i="9"/>
  <c r="F64" i="9"/>
  <c r="F63" i="9"/>
  <c r="F62" i="9"/>
  <c r="F61" i="9"/>
  <c r="Z63" i="9"/>
  <c r="Z62" i="9"/>
  <c r="D62" i="9"/>
  <c r="AI54" i="9"/>
  <c r="L56" i="9"/>
  <c r="L55" i="9"/>
  <c r="F58" i="9"/>
  <c r="H74" i="5" s="1"/>
  <c r="F57" i="9"/>
  <c r="F56" i="9"/>
  <c r="F55" i="9"/>
  <c r="F54" i="9"/>
  <c r="AU56" i="9"/>
  <c r="AU55" i="9"/>
  <c r="AU54" i="9"/>
  <c r="Z56" i="9"/>
  <c r="AB56" i="9" s="1"/>
  <c r="Z55" i="9"/>
  <c r="Z54" i="9"/>
  <c r="AI49" i="9"/>
  <c r="L49" i="9"/>
  <c r="N49" i="9" s="1"/>
  <c r="L48" i="9"/>
  <c r="F51" i="9"/>
  <c r="F50" i="9"/>
  <c r="F49" i="9"/>
  <c r="F48" i="9"/>
  <c r="F47" i="9"/>
  <c r="AU49" i="9"/>
  <c r="AU48" i="9"/>
  <c r="AU47" i="9"/>
  <c r="Z49" i="9"/>
  <c r="Z47" i="9"/>
  <c r="D49" i="9"/>
  <c r="H49" i="9" s="1"/>
  <c r="AI40" i="9"/>
  <c r="L42" i="9"/>
  <c r="L41" i="9"/>
  <c r="F44" i="9"/>
  <c r="F43" i="9"/>
  <c r="F42" i="9"/>
  <c r="F41" i="9"/>
  <c r="F40" i="9"/>
  <c r="AU42" i="9"/>
  <c r="AU41" i="9"/>
  <c r="AU40" i="9"/>
  <c r="AI35" i="9"/>
  <c r="U35" i="9"/>
  <c r="L35" i="9"/>
  <c r="L34" i="9"/>
  <c r="N34" i="9" s="1"/>
  <c r="F37" i="9"/>
  <c r="F36" i="9"/>
  <c r="F35" i="9"/>
  <c r="F34" i="9"/>
  <c r="F33" i="9"/>
  <c r="AU35" i="9"/>
  <c r="AU34" i="9"/>
  <c r="AU33" i="9"/>
  <c r="AI27" i="9"/>
  <c r="U27" i="9"/>
  <c r="D35" i="9"/>
  <c r="AI26" i="9"/>
  <c r="L28" i="9"/>
  <c r="L27" i="9"/>
  <c r="N27" i="9" s="1"/>
  <c r="F30" i="9"/>
  <c r="F29" i="9"/>
  <c r="F28" i="9"/>
  <c r="F27" i="9"/>
  <c r="F26" i="9"/>
  <c r="AU28" i="9"/>
  <c r="AU27" i="9"/>
  <c r="AU26" i="9"/>
  <c r="AI21" i="9"/>
  <c r="L21" i="9"/>
  <c r="L20" i="9"/>
  <c r="F23" i="9"/>
  <c r="F22" i="9"/>
  <c r="F21" i="9"/>
  <c r="F20" i="9"/>
  <c r="F19" i="9"/>
  <c r="B18" i="9"/>
  <c r="B25" i="9" s="1"/>
  <c r="B32" i="9" s="1"/>
  <c r="B39" i="9" s="1"/>
  <c r="B46" i="9" s="1"/>
  <c r="B53" i="9" s="1"/>
  <c r="AU21" i="9"/>
  <c r="AU20" i="9"/>
  <c r="AU19" i="9"/>
  <c r="AB16" i="9"/>
  <c r="AB14" i="9"/>
  <c r="AB13" i="9"/>
  <c r="AI12" i="9"/>
  <c r="AK12" i="9" s="1"/>
  <c r="AK16" i="9" s="1"/>
  <c r="L14" i="9"/>
  <c r="L13" i="9"/>
  <c r="L16" i="9"/>
  <c r="F16" i="9"/>
  <c r="F15" i="9"/>
  <c r="F14" i="9"/>
  <c r="F13" i="9"/>
  <c r="F12" i="9"/>
  <c r="D13" i="9"/>
  <c r="D12" i="9"/>
  <c r="B16" i="9"/>
  <c r="B15" i="9"/>
  <c r="B14" i="9"/>
  <c r="B182" i="9" s="1"/>
  <c r="B13" i="9"/>
  <c r="B181" i="9" s="1"/>
  <c r="B12" i="9"/>
  <c r="B180" i="9" s="1"/>
  <c r="J15" i="9"/>
  <c r="V14" i="10" s="1"/>
  <c r="A15" i="9"/>
  <c r="A14" i="9"/>
  <c r="A182" i="9" s="1"/>
  <c r="A13" i="9"/>
  <c r="A12" i="9"/>
  <c r="A180" i="9" s="1"/>
  <c r="A1" i="9"/>
  <c r="AI328" i="38"/>
  <c r="D328" i="38"/>
  <c r="H328" i="38" s="1"/>
  <c r="Z328" i="38"/>
  <c r="J328" i="38"/>
  <c r="AI324" i="38"/>
  <c r="AI323" i="38"/>
  <c r="AI322" i="38"/>
  <c r="AI321" i="38"/>
  <c r="S325" i="38"/>
  <c r="D324" i="38"/>
  <c r="H324" i="38" s="1"/>
  <c r="D323" i="38"/>
  <c r="H323" i="38"/>
  <c r="D322" i="38"/>
  <c r="H322" i="38"/>
  <c r="D321" i="38"/>
  <c r="H321" i="38"/>
  <c r="Z324" i="38"/>
  <c r="Z323" i="38"/>
  <c r="AB323" i="38" s="1"/>
  <c r="Z322" i="38"/>
  <c r="Z321" i="38"/>
  <c r="J324" i="38"/>
  <c r="J323" i="38"/>
  <c r="J322" i="38"/>
  <c r="J321" i="38"/>
  <c r="K321" i="38" s="1"/>
  <c r="AI317" i="38"/>
  <c r="AI316" i="38"/>
  <c r="AI315" i="38"/>
  <c r="AI314" i="38"/>
  <c r="S318" i="38"/>
  <c r="H317" i="38"/>
  <c r="D317" i="38"/>
  <c r="D316" i="38"/>
  <c r="H316" i="38" s="1"/>
  <c r="D315" i="38"/>
  <c r="H315" i="38" s="1"/>
  <c r="D314" i="38"/>
  <c r="H314" i="38" s="1"/>
  <c r="Z317" i="38"/>
  <c r="Z316" i="38"/>
  <c r="Z315" i="38"/>
  <c r="Z314" i="38"/>
  <c r="J317" i="38"/>
  <c r="J316" i="38"/>
  <c r="J315" i="38"/>
  <c r="J314" i="38"/>
  <c r="AI310" i="38"/>
  <c r="AI309" i="38"/>
  <c r="AI308" i="38"/>
  <c r="AI307" i="38"/>
  <c r="S311" i="38"/>
  <c r="H309" i="38"/>
  <c r="D310" i="38"/>
  <c r="H310" i="38" s="1"/>
  <c r="D309" i="38"/>
  <c r="D308" i="38"/>
  <c r="H308" i="38" s="1"/>
  <c r="D307" i="38"/>
  <c r="H307" i="38" s="1"/>
  <c r="Z310" i="38"/>
  <c r="AB310" i="38" s="1"/>
  <c r="Z309" i="38"/>
  <c r="Z308" i="38"/>
  <c r="Z307" i="38"/>
  <c r="J310" i="38"/>
  <c r="K309" i="38"/>
  <c r="J309" i="38"/>
  <c r="K310" i="38" s="1"/>
  <c r="J308" i="38"/>
  <c r="J307" i="38"/>
  <c r="AI303" i="38"/>
  <c r="AI302" i="38"/>
  <c r="AI301" i="38"/>
  <c r="AI300" i="38"/>
  <c r="AI304" i="38" s="1"/>
  <c r="S304" i="38"/>
  <c r="D303" i="38"/>
  <c r="H303" i="38" s="1"/>
  <c r="D302" i="38"/>
  <c r="H302" i="38" s="1"/>
  <c r="D300" i="38"/>
  <c r="H300" i="38" s="1"/>
  <c r="Z303" i="38"/>
  <c r="Z302" i="38"/>
  <c r="AB302" i="38" s="1"/>
  <c r="Z301" i="38"/>
  <c r="AB301" i="38" s="1"/>
  <c r="Z300" i="38"/>
  <c r="AB300" i="38"/>
  <c r="J303" i="38"/>
  <c r="J302" i="38"/>
  <c r="J301" i="38"/>
  <c r="J300" i="38"/>
  <c r="K300" i="38" s="1"/>
  <c r="AI296" i="38"/>
  <c r="AI295" i="38"/>
  <c r="AI293" i="38"/>
  <c r="D296" i="38"/>
  <c r="H296" i="38" s="1"/>
  <c r="D295" i="38"/>
  <c r="H295" i="38" s="1"/>
  <c r="D293" i="38"/>
  <c r="H293" i="38" s="1"/>
  <c r="Z296" i="38"/>
  <c r="Z295" i="38"/>
  <c r="Z294" i="38"/>
  <c r="Z293" i="38"/>
  <c r="S294" i="38"/>
  <c r="AS139" i="9" s="1"/>
  <c r="K296" i="38"/>
  <c r="J296" i="38"/>
  <c r="L296" i="38" s="1"/>
  <c r="K295" i="38"/>
  <c r="J295" i="38"/>
  <c r="K294" i="38"/>
  <c r="J294" i="38"/>
  <c r="L294" i="38"/>
  <c r="J293" i="38"/>
  <c r="AI289" i="38"/>
  <c r="AI288" i="38"/>
  <c r="AI287" i="38"/>
  <c r="AI286" i="38"/>
  <c r="S290" i="38"/>
  <c r="D289" i="38"/>
  <c r="H289" i="38" s="1"/>
  <c r="D288" i="38"/>
  <c r="H288" i="38" s="1"/>
  <c r="Z289" i="38"/>
  <c r="AB289" i="38" s="1"/>
  <c r="Z288" i="38"/>
  <c r="Z287" i="38"/>
  <c r="Z286" i="38"/>
  <c r="J288" i="38"/>
  <c r="J287" i="38"/>
  <c r="J286" i="38"/>
  <c r="AI282" i="38"/>
  <c r="AI281" i="38"/>
  <c r="D282" i="38"/>
  <c r="H282" i="38" s="1"/>
  <c r="D281" i="38"/>
  <c r="H281" i="38" s="1"/>
  <c r="D280" i="38"/>
  <c r="H280" i="38" s="1"/>
  <c r="Z282" i="38"/>
  <c r="Z281" i="38"/>
  <c r="Z280" i="38"/>
  <c r="AB281" i="38" s="1"/>
  <c r="Z279" i="38"/>
  <c r="S280" i="38"/>
  <c r="AS125" i="9" s="1"/>
  <c r="AI280" i="38"/>
  <c r="S279" i="38"/>
  <c r="J281" i="38"/>
  <c r="J128" i="38" s="1"/>
  <c r="J280" i="38"/>
  <c r="J279" i="38"/>
  <c r="J126" i="38" s="1"/>
  <c r="AI275" i="38"/>
  <c r="AI276" i="38" s="1"/>
  <c r="AI274" i="38"/>
  <c r="AI273" i="38"/>
  <c r="AI272" i="38"/>
  <c r="S276" i="38"/>
  <c r="D275" i="38"/>
  <c r="H275" i="38" s="1"/>
  <c r="D274" i="38"/>
  <c r="H274" i="38" s="1"/>
  <c r="D273" i="38"/>
  <c r="H273" i="38" s="1"/>
  <c r="D272" i="38"/>
  <c r="H272" i="38" s="1"/>
  <c r="Z275" i="38"/>
  <c r="Z273" i="38"/>
  <c r="Z272" i="38"/>
  <c r="J274" i="38"/>
  <c r="AI268" i="38"/>
  <c r="AI267" i="38"/>
  <c r="AI266" i="38"/>
  <c r="AI265" i="38"/>
  <c r="S269" i="38"/>
  <c r="L267" i="38"/>
  <c r="L266" i="38"/>
  <c r="D268" i="38"/>
  <c r="H268" i="38" s="1"/>
  <c r="D267" i="38"/>
  <c r="H267" i="38" s="1"/>
  <c r="D266" i="38"/>
  <c r="H266" i="38" s="1"/>
  <c r="D265" i="38"/>
  <c r="H265" i="38" s="1"/>
  <c r="Z268" i="38"/>
  <c r="AB268" i="38" s="1"/>
  <c r="Z267" i="38"/>
  <c r="Z266" i="38"/>
  <c r="Z265" i="38"/>
  <c r="K267" i="38"/>
  <c r="K266" i="38"/>
  <c r="AI261" i="38"/>
  <c r="AI260" i="38"/>
  <c r="AI259" i="38"/>
  <c r="AI258" i="38"/>
  <c r="S262" i="38"/>
  <c r="L260" i="38"/>
  <c r="N267" i="38" s="1"/>
  <c r="L259" i="38"/>
  <c r="U259" i="38" s="1"/>
  <c r="D261" i="38"/>
  <c r="H261" i="38" s="1"/>
  <c r="D260" i="38"/>
  <c r="H260" i="38" s="1"/>
  <c r="D259" i="38"/>
  <c r="H259" i="38" s="1"/>
  <c r="D258" i="38"/>
  <c r="H258" i="38" s="1"/>
  <c r="Z261" i="38"/>
  <c r="Z260" i="38"/>
  <c r="AB260" i="38" s="1"/>
  <c r="Z259" i="38"/>
  <c r="Z258" i="38"/>
  <c r="K260" i="38"/>
  <c r="K259" i="38"/>
  <c r="AI254" i="38"/>
  <c r="AI253" i="38"/>
  <c r="AI252" i="38"/>
  <c r="AI255" i="38" s="1"/>
  <c r="AI251" i="38"/>
  <c r="S255" i="38"/>
  <c r="D254" i="38"/>
  <c r="H254" i="38" s="1"/>
  <c r="D253" i="38"/>
  <c r="H253" i="38" s="1"/>
  <c r="D252" i="38"/>
  <c r="H252" i="38" s="1"/>
  <c r="D251" i="38"/>
  <c r="H251" i="38" s="1"/>
  <c r="Z254" i="38"/>
  <c r="Z253" i="38"/>
  <c r="Z252" i="38"/>
  <c r="Z251" i="38"/>
  <c r="J252" i="38"/>
  <c r="L253" i="38" s="1"/>
  <c r="U253" i="38" s="1"/>
  <c r="AI247" i="38"/>
  <c r="AI246" i="38"/>
  <c r="AI245" i="38"/>
  <c r="AI244" i="38"/>
  <c r="S248" i="38"/>
  <c r="Z247" i="38"/>
  <c r="Z246" i="38"/>
  <c r="AB247" i="38" s="1"/>
  <c r="Z245" i="38"/>
  <c r="AB245" i="38"/>
  <c r="Z244" i="38"/>
  <c r="J246" i="38"/>
  <c r="L246" i="38" s="1"/>
  <c r="U246" i="38" s="1"/>
  <c r="J245" i="38"/>
  <c r="L245" i="38"/>
  <c r="U245" i="38" s="1"/>
  <c r="J244" i="38"/>
  <c r="J91" i="38" s="1"/>
  <c r="AI237" i="38"/>
  <c r="L239" i="38"/>
  <c r="L238" i="38"/>
  <c r="U238" i="38" s="1"/>
  <c r="L237" i="38"/>
  <c r="U237" i="38" s="1"/>
  <c r="F241" i="38"/>
  <c r="Z240" i="38"/>
  <c r="Z239" i="38"/>
  <c r="AB239" i="38" s="1"/>
  <c r="AD246" i="38" s="1"/>
  <c r="Z238" i="38"/>
  <c r="Z237" i="38"/>
  <c r="AI238" i="38"/>
  <c r="AI220" i="38"/>
  <c r="L222" i="38"/>
  <c r="N229" i="38" s="1"/>
  <c r="H229" i="38" s="1"/>
  <c r="D229" i="38" s="1"/>
  <c r="D220" i="38"/>
  <c r="H220" i="38" s="1"/>
  <c r="Z220" i="38"/>
  <c r="K222" i="38"/>
  <c r="AU223" i="38"/>
  <c r="AT223" i="38"/>
  <c r="AU222" i="38"/>
  <c r="AT222" i="38"/>
  <c r="AU221" i="38"/>
  <c r="AT221" i="38"/>
  <c r="AU220" i="38"/>
  <c r="AT220" i="38"/>
  <c r="AR223" i="38"/>
  <c r="AQ223" i="38"/>
  <c r="AP223" i="38"/>
  <c r="AR222" i="38"/>
  <c r="AQ222" i="38"/>
  <c r="AP222" i="38"/>
  <c r="AR221" i="38"/>
  <c r="AQ221" i="38"/>
  <c r="AP221" i="38"/>
  <c r="AQ220" i="38"/>
  <c r="AP220" i="38"/>
  <c r="J220" i="38"/>
  <c r="L221" i="38"/>
  <c r="N228" i="38" s="1"/>
  <c r="AI216" i="38"/>
  <c r="AI215" i="38"/>
  <c r="AI214" i="38"/>
  <c r="AI213" i="38"/>
  <c r="S217" i="38"/>
  <c r="D217" i="38" s="1"/>
  <c r="H217" i="38" s="1"/>
  <c r="D216" i="38"/>
  <c r="H216" i="38" s="1"/>
  <c r="D215" i="38"/>
  <c r="H215" i="38" s="1"/>
  <c r="D214" i="38"/>
  <c r="H214" i="38" s="1"/>
  <c r="D213" i="38"/>
  <c r="H213" i="38"/>
  <c r="Z216" i="38"/>
  <c r="Z171" i="38" s="1"/>
  <c r="Z215" i="38"/>
  <c r="Z214" i="38"/>
  <c r="Z213" i="38"/>
  <c r="AU216" i="38"/>
  <c r="AT216" i="38"/>
  <c r="AU215" i="38"/>
  <c r="AT215" i="38"/>
  <c r="AU214" i="38"/>
  <c r="AT214" i="38"/>
  <c r="AU213" i="38"/>
  <c r="AT213" i="38"/>
  <c r="AV213" i="38" s="1"/>
  <c r="AQ216" i="38"/>
  <c r="AP216" i="38"/>
  <c r="AQ215" i="38"/>
  <c r="AP215" i="38"/>
  <c r="AR214" i="38"/>
  <c r="AQ214" i="38"/>
  <c r="AP214" i="38"/>
  <c r="AR213" i="38"/>
  <c r="AQ213" i="38"/>
  <c r="AP213" i="38"/>
  <c r="J216" i="38"/>
  <c r="K215" i="38"/>
  <c r="J215" i="38"/>
  <c r="J214" i="38"/>
  <c r="J213" i="38"/>
  <c r="AI209" i="38"/>
  <c r="AI208" i="38"/>
  <c r="AI207" i="38"/>
  <c r="AI206" i="38"/>
  <c r="S210" i="38"/>
  <c r="D210" i="38" s="1"/>
  <c r="H210" i="38" s="1"/>
  <c r="D209" i="38"/>
  <c r="H209" i="38" s="1"/>
  <c r="D208" i="38"/>
  <c r="H208" i="38" s="1"/>
  <c r="D207" i="38"/>
  <c r="H207" i="38" s="1"/>
  <c r="D206" i="38"/>
  <c r="H206" i="38" s="1"/>
  <c r="Z209" i="38"/>
  <c r="Z208" i="38"/>
  <c r="AB208" i="38"/>
  <c r="AK208" i="38" s="1"/>
  <c r="AM215" i="38" s="1"/>
  <c r="Z207" i="38"/>
  <c r="AB207" i="38" s="1"/>
  <c r="AK207" i="38" s="1"/>
  <c r="Z206" i="38"/>
  <c r="AU209" i="38"/>
  <c r="AT209" i="38"/>
  <c r="AV209" i="38" s="1"/>
  <c r="AU208" i="38"/>
  <c r="AT208" i="38"/>
  <c r="AU207" i="38"/>
  <c r="AT207" i="38"/>
  <c r="AU206" i="38"/>
  <c r="AT206" i="38"/>
  <c r="AQ209" i="38"/>
  <c r="AP209" i="38"/>
  <c r="AQ208" i="38"/>
  <c r="AP208" i="38"/>
  <c r="AQ207" i="38"/>
  <c r="AV207" i="38" s="1"/>
  <c r="AP207" i="38"/>
  <c r="AR206" i="38"/>
  <c r="AQ206" i="38"/>
  <c r="AP206" i="38"/>
  <c r="AV206" i="38" s="1"/>
  <c r="J209" i="38"/>
  <c r="J208" i="38"/>
  <c r="J207" i="38"/>
  <c r="L207" i="38" s="1"/>
  <c r="J206" i="38"/>
  <c r="AI202" i="38"/>
  <c r="AI201" i="38"/>
  <c r="AI200" i="38"/>
  <c r="AI199" i="38"/>
  <c r="F203" i="38"/>
  <c r="D203" i="38"/>
  <c r="H203" i="38" s="1"/>
  <c r="D202" i="38"/>
  <c r="H202" i="38" s="1"/>
  <c r="D201" i="38"/>
  <c r="H201" i="38" s="1"/>
  <c r="D200" i="38"/>
  <c r="H200" i="38" s="1"/>
  <c r="Z202" i="38"/>
  <c r="AB202" i="38" s="1"/>
  <c r="Z201" i="38"/>
  <c r="Z200" i="38"/>
  <c r="Z199" i="38"/>
  <c r="AU202" i="38"/>
  <c r="AT202" i="38"/>
  <c r="AU201" i="38"/>
  <c r="AT201" i="38"/>
  <c r="AU200" i="38"/>
  <c r="AV200" i="38" s="1"/>
  <c r="AT200" i="38"/>
  <c r="AQ202" i="38"/>
  <c r="AP202" i="38"/>
  <c r="AQ201" i="38"/>
  <c r="AP201" i="38"/>
  <c r="AQ200" i="38"/>
  <c r="AP200" i="38"/>
  <c r="AQ199" i="38"/>
  <c r="AP199" i="38"/>
  <c r="J202" i="38"/>
  <c r="J201" i="38"/>
  <c r="J200" i="38"/>
  <c r="K200" i="38" s="1"/>
  <c r="J199" i="38"/>
  <c r="K199" i="38" s="1"/>
  <c r="L199" i="38"/>
  <c r="U199" i="38" s="1"/>
  <c r="AI195" i="38"/>
  <c r="AI194" i="38"/>
  <c r="AI193" i="38"/>
  <c r="Z195" i="38"/>
  <c r="AB195" i="38" s="1"/>
  <c r="AK195" i="38" s="1"/>
  <c r="Z194" i="38"/>
  <c r="AB194" i="38" s="1"/>
  <c r="Z193" i="38"/>
  <c r="Z192" i="38"/>
  <c r="AB192" i="38" s="1"/>
  <c r="J195" i="38"/>
  <c r="J194" i="38"/>
  <c r="J193" i="38"/>
  <c r="J192" i="38"/>
  <c r="AU195" i="38"/>
  <c r="AT195" i="38"/>
  <c r="AU193" i="38"/>
  <c r="AT193" i="38"/>
  <c r="AU192" i="38"/>
  <c r="AT192" i="38"/>
  <c r="AQ195" i="38"/>
  <c r="AP195" i="38"/>
  <c r="AV195" i="38" s="1"/>
  <c r="AQ194" i="38"/>
  <c r="AP194" i="38"/>
  <c r="AQ193" i="38"/>
  <c r="AP193" i="38"/>
  <c r="AR192" i="38"/>
  <c r="AQ192" i="38"/>
  <c r="AP192" i="38"/>
  <c r="S192" i="38"/>
  <c r="D199" i="38" s="1"/>
  <c r="H199" i="38" s="1"/>
  <c r="AI175" i="38"/>
  <c r="L177" i="38"/>
  <c r="N184" i="38" s="1"/>
  <c r="H184" i="38" s="1"/>
  <c r="D184" i="38" s="1"/>
  <c r="D175" i="38"/>
  <c r="H175" i="38" s="1"/>
  <c r="K177" i="38"/>
  <c r="AU178" i="38"/>
  <c r="AT178" i="38"/>
  <c r="AU177" i="38"/>
  <c r="AT177" i="38"/>
  <c r="AU176" i="38"/>
  <c r="AT176" i="38"/>
  <c r="AU175" i="38"/>
  <c r="AT175" i="38"/>
  <c r="AQ178" i="38"/>
  <c r="AP178" i="38"/>
  <c r="AQ177" i="38"/>
  <c r="AP177" i="38"/>
  <c r="AR176" i="38"/>
  <c r="AQ176" i="38"/>
  <c r="AP176" i="38"/>
  <c r="AR175" i="38"/>
  <c r="AQ175" i="38"/>
  <c r="AP175" i="38"/>
  <c r="J175" i="38"/>
  <c r="AI171" i="38"/>
  <c r="AI170" i="38"/>
  <c r="AI169" i="38"/>
  <c r="AI168" i="38"/>
  <c r="S172" i="38"/>
  <c r="D171" i="38"/>
  <c r="H171" i="38"/>
  <c r="D170" i="38"/>
  <c r="H170" i="38"/>
  <c r="D169" i="38"/>
  <c r="H169" i="38" s="1"/>
  <c r="D168" i="38"/>
  <c r="H168" i="38" s="1"/>
  <c r="AU171" i="38"/>
  <c r="AT171" i="38"/>
  <c r="AU170" i="38"/>
  <c r="AT170" i="38"/>
  <c r="AU169" i="38"/>
  <c r="AT169" i="38"/>
  <c r="AU168" i="38"/>
  <c r="AT168" i="38"/>
  <c r="AV168" i="38" s="1"/>
  <c r="AQ171" i="38"/>
  <c r="AP171" i="38"/>
  <c r="AR170" i="38"/>
  <c r="AQ170" i="38"/>
  <c r="AP170" i="38"/>
  <c r="AQ169" i="38"/>
  <c r="AP169" i="38"/>
  <c r="AR168" i="38"/>
  <c r="AW168" i="38" s="1"/>
  <c r="AQ168" i="38"/>
  <c r="AP168" i="38"/>
  <c r="J171" i="38"/>
  <c r="J170" i="38"/>
  <c r="J169" i="38"/>
  <c r="J168" i="38"/>
  <c r="AI164" i="38"/>
  <c r="AI163" i="38"/>
  <c r="AI165" i="38" s="1"/>
  <c r="AI162" i="38"/>
  <c r="AI161" i="38"/>
  <c r="S165" i="38"/>
  <c r="D164" i="38"/>
  <c r="H164" i="38" s="1"/>
  <c r="D163" i="38"/>
  <c r="H163" i="38" s="1"/>
  <c r="D162" i="38"/>
  <c r="H162" i="38" s="1"/>
  <c r="D161" i="38"/>
  <c r="H161" i="38" s="1"/>
  <c r="AU164" i="38"/>
  <c r="AT164" i="38"/>
  <c r="AU163" i="38"/>
  <c r="AT163" i="38"/>
  <c r="AU162" i="38"/>
  <c r="AT162" i="38"/>
  <c r="AU161" i="38"/>
  <c r="AT161" i="38"/>
  <c r="AR164" i="38"/>
  <c r="AQ164" i="38"/>
  <c r="AP164" i="38"/>
  <c r="AQ163" i="38"/>
  <c r="AP163" i="38"/>
  <c r="AQ162" i="38"/>
  <c r="AP162" i="38"/>
  <c r="AQ161" i="38"/>
  <c r="AP161" i="38"/>
  <c r="J164" i="38"/>
  <c r="J163" i="38"/>
  <c r="J162" i="38"/>
  <c r="J161" i="38"/>
  <c r="AI157" i="38"/>
  <c r="AI156" i="38"/>
  <c r="AI155" i="38"/>
  <c r="AI154" i="38"/>
  <c r="D156" i="38"/>
  <c r="H156" i="38" s="1"/>
  <c r="D155" i="38"/>
  <c r="H155" i="38" s="1"/>
  <c r="D154" i="38"/>
  <c r="H154" i="38" s="1"/>
  <c r="J157" i="38"/>
  <c r="J156" i="38"/>
  <c r="J155" i="38"/>
  <c r="AU156" i="38"/>
  <c r="AT156" i="38"/>
  <c r="AU155" i="38"/>
  <c r="AT155" i="38"/>
  <c r="AU154" i="38"/>
  <c r="AT154" i="38"/>
  <c r="AQ157" i="38"/>
  <c r="AP157" i="38"/>
  <c r="AR156" i="38"/>
  <c r="AQ156" i="38"/>
  <c r="AP156" i="38"/>
  <c r="AR155" i="38"/>
  <c r="AQ155" i="38"/>
  <c r="AP155" i="38"/>
  <c r="AR154" i="38"/>
  <c r="AQ154" i="38"/>
  <c r="AP154" i="38"/>
  <c r="J154" i="38"/>
  <c r="L154" i="38"/>
  <c r="AI149" i="38"/>
  <c r="AI148" i="38"/>
  <c r="AI147" i="38"/>
  <c r="S150" i="38"/>
  <c r="AR148" i="9" s="1"/>
  <c r="L149" i="38"/>
  <c r="U149" i="38" s="1"/>
  <c r="D149" i="38"/>
  <c r="H149" i="38" s="1"/>
  <c r="D148" i="38"/>
  <c r="H148" i="38" s="1"/>
  <c r="D147" i="38"/>
  <c r="H147" i="38" s="1"/>
  <c r="Z149" i="38"/>
  <c r="AU150" i="38"/>
  <c r="AT150" i="38"/>
  <c r="AU149" i="38"/>
  <c r="AT149" i="38"/>
  <c r="AU148" i="38"/>
  <c r="AT148" i="38"/>
  <c r="AU147" i="38"/>
  <c r="AT147" i="38"/>
  <c r="AR150" i="38"/>
  <c r="AQ150" i="38"/>
  <c r="AP150" i="38"/>
  <c r="AR149" i="38"/>
  <c r="AQ149" i="38"/>
  <c r="AP149" i="38"/>
  <c r="AR148" i="38"/>
  <c r="AQ148" i="38"/>
  <c r="AP148" i="38"/>
  <c r="AR147" i="38"/>
  <c r="AQ147" i="38"/>
  <c r="AP147" i="38"/>
  <c r="J150" i="38"/>
  <c r="K149" i="38"/>
  <c r="J149" i="38"/>
  <c r="K150" i="38" s="1"/>
  <c r="J148" i="38"/>
  <c r="K147" i="38"/>
  <c r="J147" i="38"/>
  <c r="K148" i="38" s="1"/>
  <c r="AI143" i="38"/>
  <c r="AI142" i="38"/>
  <c r="AI141" i="38"/>
  <c r="AI140" i="38"/>
  <c r="S144" i="38"/>
  <c r="D143" i="38"/>
  <c r="H143" i="38" s="1"/>
  <c r="D142" i="38"/>
  <c r="H142" i="38" s="1"/>
  <c r="D141" i="38"/>
  <c r="H141" i="38" s="1"/>
  <c r="D140" i="38"/>
  <c r="H140" i="38" s="1"/>
  <c r="Z140" i="38"/>
  <c r="AB140" i="38" s="1"/>
  <c r="AU143" i="38"/>
  <c r="AT143" i="38"/>
  <c r="AU142" i="38"/>
  <c r="AT142" i="38"/>
  <c r="AU141" i="38"/>
  <c r="AT141" i="38"/>
  <c r="AU140" i="38"/>
  <c r="AT140" i="38"/>
  <c r="AR143" i="38"/>
  <c r="AQ143" i="38"/>
  <c r="AP143" i="38"/>
  <c r="AR142" i="38"/>
  <c r="AQ142" i="38"/>
  <c r="AP142" i="38"/>
  <c r="AR141" i="38"/>
  <c r="AQ141" i="38"/>
  <c r="AP141" i="38"/>
  <c r="AR140" i="38"/>
  <c r="AQ140" i="38"/>
  <c r="AP140" i="38"/>
  <c r="J143" i="38"/>
  <c r="K143" i="38" s="1"/>
  <c r="J142" i="38"/>
  <c r="L143" i="38"/>
  <c r="U143" i="38" s="1"/>
  <c r="J141" i="38"/>
  <c r="J140" i="38"/>
  <c r="AI136" i="38"/>
  <c r="AI135" i="38"/>
  <c r="AI134" i="38"/>
  <c r="AI133" i="38"/>
  <c r="S137" i="38"/>
  <c r="F137" i="38" s="1"/>
  <c r="D136" i="38"/>
  <c r="H136" i="38" s="1"/>
  <c r="D135" i="38"/>
  <c r="H135" i="38" s="1"/>
  <c r="Z136" i="38"/>
  <c r="Z135" i="38"/>
  <c r="AU136" i="38"/>
  <c r="AT136" i="38"/>
  <c r="AU135" i="38"/>
  <c r="AT135" i="38"/>
  <c r="AR136" i="38"/>
  <c r="AQ136" i="38"/>
  <c r="AP136" i="38"/>
  <c r="AR135" i="38"/>
  <c r="AQ135" i="38"/>
  <c r="AP135" i="38"/>
  <c r="AR134" i="38"/>
  <c r="AQ134" i="38"/>
  <c r="AP134" i="38"/>
  <c r="AR133" i="38"/>
  <c r="AQ133" i="38"/>
  <c r="AP133" i="38"/>
  <c r="J135" i="38"/>
  <c r="J133" i="38"/>
  <c r="AI129" i="38"/>
  <c r="AI128" i="38"/>
  <c r="D129" i="38"/>
  <c r="H129" i="38" s="1"/>
  <c r="D128" i="38"/>
  <c r="H128" i="38" s="1"/>
  <c r="Z128" i="38"/>
  <c r="Z127" i="38"/>
  <c r="AB127" i="38" s="1"/>
  <c r="AD127" i="38" s="1"/>
  <c r="Z126" i="38"/>
  <c r="S127" i="38"/>
  <c r="S126" i="38"/>
  <c r="AU129" i="38"/>
  <c r="AU128" i="38"/>
  <c r="AU127" i="38"/>
  <c r="AU126" i="38"/>
  <c r="AR129" i="38"/>
  <c r="AQ129" i="38"/>
  <c r="AP129" i="38"/>
  <c r="AR128" i="38"/>
  <c r="AQ128" i="38"/>
  <c r="AP128" i="38"/>
  <c r="AR127" i="38"/>
  <c r="AQ127" i="38"/>
  <c r="AP127" i="38"/>
  <c r="AR126" i="38"/>
  <c r="AQ126" i="38"/>
  <c r="AP126" i="38"/>
  <c r="AI122" i="38"/>
  <c r="AI121" i="38"/>
  <c r="AI120" i="38"/>
  <c r="AI119" i="38"/>
  <c r="S123" i="38"/>
  <c r="Z120" i="38"/>
  <c r="Z119" i="38"/>
  <c r="AB120" i="38" s="1"/>
  <c r="AU122" i="38"/>
  <c r="AU121" i="38"/>
  <c r="AU120" i="38"/>
  <c r="AU119" i="38"/>
  <c r="AR122" i="38"/>
  <c r="AQ122" i="38"/>
  <c r="AP122" i="38"/>
  <c r="AR121" i="38"/>
  <c r="AQ121" i="38"/>
  <c r="AP121" i="38"/>
  <c r="AR120" i="38"/>
  <c r="AQ120" i="38"/>
  <c r="AP120" i="38"/>
  <c r="AR119" i="38"/>
  <c r="AQ119" i="38"/>
  <c r="AV119" i="38" s="1"/>
  <c r="AP119" i="38"/>
  <c r="J120" i="38"/>
  <c r="L120" i="38" s="1"/>
  <c r="N127" i="38" s="1"/>
  <c r="J119" i="38"/>
  <c r="AI115" i="38"/>
  <c r="AR112" i="9"/>
  <c r="D120" i="38"/>
  <c r="H120" i="38" s="1"/>
  <c r="D119" i="38"/>
  <c r="H119" i="38" s="1"/>
  <c r="Z115" i="38"/>
  <c r="J114" i="38"/>
  <c r="J113" i="38"/>
  <c r="J112" i="38"/>
  <c r="AU115" i="38"/>
  <c r="AU114" i="38"/>
  <c r="AU113" i="38"/>
  <c r="AU112" i="38"/>
  <c r="AR115" i="38"/>
  <c r="AQ115" i="38"/>
  <c r="AP115" i="38"/>
  <c r="AR114" i="38"/>
  <c r="AQ114" i="38"/>
  <c r="AP114" i="38"/>
  <c r="AR113" i="38"/>
  <c r="AQ113" i="38"/>
  <c r="AP113" i="38"/>
  <c r="AR112" i="38"/>
  <c r="AQ112" i="38"/>
  <c r="AP112" i="38"/>
  <c r="AR106" i="9"/>
  <c r="AQ106" i="9" s="1"/>
  <c r="AP106" i="9" s="1"/>
  <c r="AR105" i="9"/>
  <c r="AQ105" i="9" s="1"/>
  <c r="AP105" i="9" s="1"/>
  <c r="AR104" i="9"/>
  <c r="J107" i="38"/>
  <c r="J106" i="38"/>
  <c r="J105" i="38"/>
  <c r="AU107" i="38"/>
  <c r="AU106" i="38"/>
  <c r="AU105" i="38"/>
  <c r="AR108" i="38"/>
  <c r="AQ108" i="38"/>
  <c r="AP108" i="38"/>
  <c r="AR107" i="38"/>
  <c r="AQ107" i="38"/>
  <c r="AP107" i="38"/>
  <c r="AR106" i="38"/>
  <c r="AQ106" i="38"/>
  <c r="AP106" i="38"/>
  <c r="AR105" i="38"/>
  <c r="AQ105" i="38"/>
  <c r="AP105" i="38"/>
  <c r="AI99" i="38"/>
  <c r="AI98" i="38"/>
  <c r="Z99" i="38"/>
  <c r="J100" i="38"/>
  <c r="J99" i="38"/>
  <c r="AU101" i="38"/>
  <c r="AU100" i="38"/>
  <c r="AU99" i="38"/>
  <c r="AU98" i="38"/>
  <c r="AR101" i="38"/>
  <c r="AQ101" i="38"/>
  <c r="AP101" i="38"/>
  <c r="AR100" i="38"/>
  <c r="AQ100" i="38"/>
  <c r="AP100" i="38"/>
  <c r="AR99" i="38"/>
  <c r="AQ99" i="38"/>
  <c r="AP99" i="38"/>
  <c r="AR98" i="38"/>
  <c r="AQ98" i="38"/>
  <c r="AP98" i="38"/>
  <c r="AI92" i="38"/>
  <c r="Z93" i="38"/>
  <c r="J93" i="38"/>
  <c r="AU94" i="38"/>
  <c r="AU93" i="38"/>
  <c r="AU92" i="38"/>
  <c r="AU91" i="38"/>
  <c r="AR94" i="38"/>
  <c r="AQ94" i="38"/>
  <c r="AP94" i="38"/>
  <c r="AR93" i="38"/>
  <c r="AQ93" i="38"/>
  <c r="AP93" i="38"/>
  <c r="AR92" i="38"/>
  <c r="AQ92" i="38"/>
  <c r="AP92" i="38"/>
  <c r="AR91" i="38"/>
  <c r="AQ91" i="38"/>
  <c r="AP91" i="38"/>
  <c r="F88" i="38"/>
  <c r="F87" i="38"/>
  <c r="AP87" i="38" s="1"/>
  <c r="J86" i="38"/>
  <c r="AU87" i="38"/>
  <c r="AU86" i="38"/>
  <c r="AR87" i="38"/>
  <c r="AQ87" i="38"/>
  <c r="AR86" i="38"/>
  <c r="AQ86" i="38"/>
  <c r="AP86" i="38"/>
  <c r="AR85" i="38"/>
  <c r="AR84" i="38"/>
  <c r="F85" i="38"/>
  <c r="AP85" i="38" s="1"/>
  <c r="F84" i="38"/>
  <c r="AP84" i="38" s="1"/>
  <c r="L82" i="38"/>
  <c r="AI79" i="38"/>
  <c r="AI77" i="38"/>
  <c r="F81" i="38"/>
  <c r="F80" i="38"/>
  <c r="F79" i="38"/>
  <c r="F78" i="38"/>
  <c r="F77" i="38"/>
  <c r="Z78" i="38"/>
  <c r="Z77" i="38"/>
  <c r="AI73" i="38"/>
  <c r="D77" i="38"/>
  <c r="F73" i="38"/>
  <c r="F72" i="38"/>
  <c r="F71" i="38"/>
  <c r="F70" i="38"/>
  <c r="Z71" i="38"/>
  <c r="AI66" i="38"/>
  <c r="AI63" i="38"/>
  <c r="F66" i="38"/>
  <c r="F65" i="38"/>
  <c r="F64" i="38"/>
  <c r="F63" i="38"/>
  <c r="Z65" i="38"/>
  <c r="Z64" i="38"/>
  <c r="D63" i="38"/>
  <c r="H63" i="38" s="1"/>
  <c r="L58" i="38"/>
  <c r="L57" i="38"/>
  <c r="F60" i="38"/>
  <c r="F59" i="38"/>
  <c r="F58" i="38"/>
  <c r="F57" i="38"/>
  <c r="F56" i="38"/>
  <c r="AT58" i="38"/>
  <c r="AT57" i="38"/>
  <c r="AT56" i="38"/>
  <c r="Z58" i="38"/>
  <c r="Z57" i="38"/>
  <c r="AB58" i="38" s="1"/>
  <c r="Z56" i="38"/>
  <c r="AI51" i="38"/>
  <c r="AI50" i="38"/>
  <c r="D56" i="38"/>
  <c r="L51" i="38"/>
  <c r="L50" i="38"/>
  <c r="F53" i="38"/>
  <c r="F52" i="38"/>
  <c r="F51" i="38"/>
  <c r="F50" i="38"/>
  <c r="F49" i="38"/>
  <c r="AT51" i="38"/>
  <c r="AT50" i="38"/>
  <c r="AT49" i="38"/>
  <c r="Z51" i="38"/>
  <c r="Z50" i="38"/>
  <c r="AB51" i="38" s="1"/>
  <c r="Z49" i="38"/>
  <c r="L44" i="38"/>
  <c r="U44" i="38" s="1"/>
  <c r="L43" i="38"/>
  <c r="F46" i="38"/>
  <c r="F45" i="38"/>
  <c r="F44" i="38"/>
  <c r="F43" i="38"/>
  <c r="F42" i="38"/>
  <c r="AT44" i="38"/>
  <c r="AT43" i="38"/>
  <c r="AT42" i="38"/>
  <c r="AI37" i="38"/>
  <c r="AI36" i="38"/>
  <c r="L37" i="38"/>
  <c r="L36" i="38"/>
  <c r="F39" i="38"/>
  <c r="F38" i="38"/>
  <c r="F37" i="38"/>
  <c r="F36" i="38"/>
  <c r="F35" i="38"/>
  <c r="AT37" i="38"/>
  <c r="AT36" i="38"/>
  <c r="AT35" i="38"/>
  <c r="AI28" i="38"/>
  <c r="L30" i="38"/>
  <c r="U30" i="38" s="1"/>
  <c r="L29" i="38"/>
  <c r="F32" i="38"/>
  <c r="F31" i="38"/>
  <c r="F30" i="38"/>
  <c r="F29" i="38"/>
  <c r="F28" i="38"/>
  <c r="AT30" i="38"/>
  <c r="AT29" i="38"/>
  <c r="AT28" i="38"/>
  <c r="L23" i="38"/>
  <c r="L22" i="38"/>
  <c r="F25" i="38"/>
  <c r="F24" i="38"/>
  <c r="F23" i="38"/>
  <c r="F22" i="38"/>
  <c r="F21" i="38"/>
  <c r="B20" i="38"/>
  <c r="B27" i="38" s="1"/>
  <c r="B34" i="38" s="1"/>
  <c r="B41" i="38" s="1"/>
  <c r="B48" i="38" s="1"/>
  <c r="B55" i="38" s="1"/>
  <c r="AT23" i="38"/>
  <c r="AT22" i="38"/>
  <c r="AT21" i="38"/>
  <c r="AB16" i="38"/>
  <c r="AB15" i="38"/>
  <c r="AB18" i="38" s="1"/>
  <c r="AI15" i="38"/>
  <c r="AI14" i="38"/>
  <c r="AK14" i="38" s="1"/>
  <c r="AK18" i="38" s="1"/>
  <c r="L16" i="38"/>
  <c r="L15" i="38"/>
  <c r="L18" i="38" s="1"/>
  <c r="F18" i="38"/>
  <c r="F17" i="38"/>
  <c r="F16" i="38"/>
  <c r="F15" i="38"/>
  <c r="F14" i="38"/>
  <c r="D17" i="38"/>
  <c r="H17" i="38" s="1"/>
  <c r="D15" i="38"/>
  <c r="B18" i="38"/>
  <c r="B17" i="38"/>
  <c r="B16" i="38"/>
  <c r="B288" i="38" s="1"/>
  <c r="B15" i="38"/>
  <c r="B336" i="38" s="1"/>
  <c r="B14" i="38"/>
  <c r="J17" i="38"/>
  <c r="L21" i="38" s="1"/>
  <c r="A17" i="38"/>
  <c r="A16" i="38"/>
  <c r="A15" i="38"/>
  <c r="A336" i="38" s="1"/>
  <c r="A14" i="38"/>
  <c r="CX81" i="20"/>
  <c r="CW81" i="20"/>
  <c r="CV81" i="20"/>
  <c r="CU81" i="20"/>
  <c r="CT81" i="20"/>
  <c r="DC79" i="20"/>
  <c r="DB79" i="20"/>
  <c r="DA79" i="20"/>
  <c r="CZ79" i="20"/>
  <c r="CY79" i="20"/>
  <c r="CX79" i="20"/>
  <c r="CU79" i="20"/>
  <c r="BN78" i="20"/>
  <c r="BM78" i="20"/>
  <c r="BL78" i="20"/>
  <c r="BK78" i="20"/>
  <c r="BN77" i="20"/>
  <c r="BM77" i="20"/>
  <c r="BK77" i="20"/>
  <c r="BH78" i="20"/>
  <c r="BG78" i="20"/>
  <c r="BF78" i="20"/>
  <c r="BH77" i="20"/>
  <c r="BF77" i="20"/>
  <c r="BC78" i="20"/>
  <c r="BB78" i="20"/>
  <c r="BA78" i="20"/>
  <c r="BD77" i="20"/>
  <c r="AY81" i="20"/>
  <c r="AX81" i="20"/>
  <c r="AW81" i="20"/>
  <c r="AV81" i="20"/>
  <c r="AY80" i="20"/>
  <c r="AX80" i="20"/>
  <c r="AW80" i="20"/>
  <c r="AV80" i="20"/>
  <c r="AW78" i="20"/>
  <c r="AV78" i="20"/>
  <c r="AX77" i="20"/>
  <c r="AT81" i="20"/>
  <c r="AS81" i="20"/>
  <c r="AR81" i="20"/>
  <c r="AQ81" i="20"/>
  <c r="AT80" i="20"/>
  <c r="AS80" i="20"/>
  <c r="AR80" i="20"/>
  <c r="AQ80" i="20"/>
  <c r="AS78" i="20"/>
  <c r="AR78" i="20"/>
  <c r="AQ78" i="20"/>
  <c r="AO81" i="20"/>
  <c r="AN81" i="20"/>
  <c r="AM81" i="20"/>
  <c r="AL81" i="20"/>
  <c r="AO80" i="20"/>
  <c r="AN80" i="20"/>
  <c r="AM80" i="20"/>
  <c r="AL80" i="20"/>
  <c r="AN78" i="20"/>
  <c r="AM78" i="20"/>
  <c r="AL78" i="20"/>
  <c r="AJ81" i="20"/>
  <c r="AI81" i="20"/>
  <c r="AH81" i="20"/>
  <c r="AG81" i="20"/>
  <c r="AJ80" i="20"/>
  <c r="AI80" i="20"/>
  <c r="AH80" i="20"/>
  <c r="AH79" i="20" s="1"/>
  <c r="AG80" i="20"/>
  <c r="AI78" i="20"/>
  <c r="AH78" i="20"/>
  <c r="AH77" i="20"/>
  <c r="AE81" i="20"/>
  <c r="AD81" i="20"/>
  <c r="AC81" i="20"/>
  <c r="AB81" i="20"/>
  <c r="AE80" i="20"/>
  <c r="AD80" i="20"/>
  <c r="AC80" i="20"/>
  <c r="AB80" i="20"/>
  <c r="AD78" i="20"/>
  <c r="AB78" i="20"/>
  <c r="Z81" i="20"/>
  <c r="Y81" i="20"/>
  <c r="X81" i="20"/>
  <c r="W81" i="20"/>
  <c r="Z80" i="20"/>
  <c r="Y80" i="20"/>
  <c r="X80" i="20"/>
  <c r="W80" i="20"/>
  <c r="Y78" i="20"/>
  <c r="U80" i="20"/>
  <c r="T80" i="20"/>
  <c r="S80" i="20"/>
  <c r="R80" i="20"/>
  <c r="S77" i="20"/>
  <c r="O81" i="20"/>
  <c r="P80" i="20"/>
  <c r="O80" i="20"/>
  <c r="N80" i="20"/>
  <c r="M80" i="20"/>
  <c r="K80" i="20"/>
  <c r="J80" i="20"/>
  <c r="I80" i="20"/>
  <c r="H80" i="20"/>
  <c r="J77" i="20"/>
  <c r="I77" i="20"/>
  <c r="F80" i="20"/>
  <c r="E80" i="20"/>
  <c r="D80" i="20"/>
  <c r="C80" i="20"/>
  <c r="E78" i="20"/>
  <c r="D78" i="20"/>
  <c r="C78" i="20"/>
  <c r="E77" i="20"/>
  <c r="D77" i="20"/>
  <c r="C77" i="20"/>
  <c r="BV65" i="20"/>
  <c r="BV63" i="20"/>
  <c r="T66" i="20"/>
  <c r="T65" i="20"/>
  <c r="T63" i="20"/>
  <c r="CG68" i="20"/>
  <c r="CF68" i="20"/>
  <c r="CE68" i="20"/>
  <c r="BZ68" i="20"/>
  <c r="CG67" i="20"/>
  <c r="CG66" i="20"/>
  <c r="CF66" i="20"/>
  <c r="CE65" i="20"/>
  <c r="BZ65" i="20"/>
  <c r="CV74" i="20"/>
  <c r="DJ71" i="20"/>
  <c r="DI71" i="20"/>
  <c r="DH71" i="20"/>
  <c r="DG71" i="20"/>
  <c r="DF71" i="20"/>
  <c r="DF77" i="20" s="1"/>
  <c r="DE71" i="20"/>
  <c r="DD71" i="20"/>
  <c r="DD77" i="20" s="1"/>
  <c r="DC71" i="20"/>
  <c r="DC77" i="20" s="1"/>
  <c r="DB71" i="20"/>
  <c r="CZ71" i="20"/>
  <c r="CZ77" i="20" s="1"/>
  <c r="CY71" i="20"/>
  <c r="CX71" i="20"/>
  <c r="CX72" i="20" s="1"/>
  <c r="CW71" i="20"/>
  <c r="DA70" i="20"/>
  <c r="CZ70" i="20"/>
  <c r="CY70" i="20"/>
  <c r="CX70" i="20"/>
  <c r="CW70" i="20"/>
  <c r="CV70" i="20"/>
  <c r="DB69" i="20"/>
  <c r="DA69" i="20"/>
  <c r="CZ69" i="20"/>
  <c r="CY69" i="20"/>
  <c r="CX69" i="20"/>
  <c r="CW69" i="20"/>
  <c r="CV69" i="20"/>
  <c r="CW68" i="20"/>
  <c r="CV68" i="20"/>
  <c r="CY67" i="20"/>
  <c r="CX67" i="20"/>
  <c r="CW67" i="20"/>
  <c r="CV67" i="20"/>
  <c r="CZ66" i="20"/>
  <c r="CY66" i="20"/>
  <c r="CX66" i="20"/>
  <c r="CW66" i="20"/>
  <c r="CV66" i="20"/>
  <c r="DM63" i="20"/>
  <c r="DL63" i="20"/>
  <c r="DK63" i="20"/>
  <c r="DJ63" i="20"/>
  <c r="DI63" i="20"/>
  <c r="DH63" i="20"/>
  <c r="DG63" i="20"/>
  <c r="DF63" i="20"/>
  <c r="DE63" i="20"/>
  <c r="DD63" i="20"/>
  <c r="DC63" i="20"/>
  <c r="DB63" i="20"/>
  <c r="DA63" i="20"/>
  <c r="CZ63" i="20"/>
  <c r="CY63" i="20"/>
  <c r="CU74" i="20"/>
  <c r="CT74" i="20"/>
  <c r="CU71" i="20"/>
  <c r="CT71" i="20"/>
  <c r="CU70" i="20"/>
  <c r="CT70" i="20"/>
  <c r="CU69" i="20"/>
  <c r="CT69" i="20"/>
  <c r="CU68" i="20"/>
  <c r="CT68" i="20"/>
  <c r="CU67" i="20"/>
  <c r="CT67" i="20"/>
  <c r="CU66" i="20"/>
  <c r="CT66" i="20"/>
  <c r="BX68" i="20"/>
  <c r="BW68" i="20"/>
  <c r="BX65" i="20"/>
  <c r="BW65" i="20"/>
  <c r="BX63" i="20"/>
  <c r="BW63" i="20"/>
  <c r="AG66" i="20"/>
  <c r="AI65" i="20"/>
  <c r="AH65" i="20"/>
  <c r="AG65" i="20"/>
  <c r="AI63" i="20"/>
  <c r="AH63" i="20"/>
  <c r="AG63" i="20"/>
  <c r="AD66" i="20"/>
  <c r="AE65" i="20"/>
  <c r="AD65" i="20"/>
  <c r="AC65" i="20"/>
  <c r="AB65" i="20"/>
  <c r="AE63" i="20"/>
  <c r="AD63" i="20"/>
  <c r="CX63" i="20" s="1"/>
  <c r="AC63" i="20"/>
  <c r="CW63" i="20" s="1"/>
  <c r="AB63" i="20"/>
  <c r="CV63" i="20" s="1"/>
  <c r="V65" i="20"/>
  <c r="U65" i="20"/>
  <c r="V63" i="20"/>
  <c r="CU63" i="20" s="1"/>
  <c r="U63" i="20"/>
  <c r="CT63" i="20" s="1"/>
  <c r="CW55" i="20"/>
  <c r="CV55" i="20"/>
  <c r="CU55" i="20"/>
  <c r="BD55" i="20"/>
  <c r="BC55" i="20"/>
  <c r="BB55" i="20"/>
  <c r="BA55" i="20"/>
  <c r="AY55" i="20"/>
  <c r="AX55" i="20"/>
  <c r="AW55" i="20"/>
  <c r="AV55" i="20"/>
  <c r="DM55" i="20"/>
  <c r="DM54" i="20"/>
  <c r="DJ54" i="20"/>
  <c r="DH54" i="20"/>
  <c r="DE54" i="20"/>
  <c r="DD54" i="20"/>
  <c r="DC54" i="20"/>
  <c r="CU54" i="20"/>
  <c r="CJ54" i="20"/>
  <c r="CH54" i="20"/>
  <c r="CG54" i="20"/>
  <c r="CF54" i="20"/>
  <c r="D37" i="65" s="1"/>
  <c r="CE54" i="20"/>
  <c r="CC54" i="20"/>
  <c r="CB54" i="20"/>
  <c r="CA54" i="20"/>
  <c r="BZ54" i="20"/>
  <c r="BX54" i="20"/>
  <c r="BW54" i="20"/>
  <c r="BV54" i="20"/>
  <c r="BU54" i="20"/>
  <c r="BS54" i="20"/>
  <c r="BR54" i="20"/>
  <c r="BQ54" i="20"/>
  <c r="BP54" i="20"/>
  <c r="BN54" i="20"/>
  <c r="BM54" i="20"/>
  <c r="Q37" i="65" s="1"/>
  <c r="Y37" i="65" s="1"/>
  <c r="BL54" i="20"/>
  <c r="BK54" i="20"/>
  <c r="BI54" i="20"/>
  <c r="BH54" i="20"/>
  <c r="BG54" i="20"/>
  <c r="BF54" i="20"/>
  <c r="AT55" i="20"/>
  <c r="AS55" i="20"/>
  <c r="AR55" i="20"/>
  <c r="AQ55" i="20"/>
  <c r="AT54" i="20"/>
  <c r="AS54" i="20"/>
  <c r="AR54" i="20"/>
  <c r="AQ54" i="20"/>
  <c r="AO55" i="20"/>
  <c r="AN55" i="20"/>
  <c r="AM55" i="20"/>
  <c r="AL55" i="20"/>
  <c r="AO54" i="20"/>
  <c r="AN54" i="20"/>
  <c r="AM54" i="20"/>
  <c r="AL54" i="20"/>
  <c r="AJ55" i="20"/>
  <c r="AI55" i="20"/>
  <c r="AH55" i="20"/>
  <c r="AG55" i="20"/>
  <c r="AJ54" i="20"/>
  <c r="AI54" i="20"/>
  <c r="AH54" i="20"/>
  <c r="AG54" i="20"/>
  <c r="AE55" i="20"/>
  <c r="AD55" i="20"/>
  <c r="AC55" i="20"/>
  <c r="AB55" i="20"/>
  <c r="AE54" i="20"/>
  <c r="AD54" i="20"/>
  <c r="AC54" i="20"/>
  <c r="AB54" i="20"/>
  <c r="Z55" i="20"/>
  <c r="Y55" i="20"/>
  <c r="X55" i="20"/>
  <c r="W55" i="20"/>
  <c r="Z54" i="20"/>
  <c r="Y54" i="20"/>
  <c r="X54" i="20"/>
  <c r="W54" i="20"/>
  <c r="U55" i="20"/>
  <c r="T55" i="20"/>
  <c r="S55" i="20"/>
  <c r="R55" i="20"/>
  <c r="U54" i="20"/>
  <c r="T54" i="20"/>
  <c r="S54" i="20"/>
  <c r="R54" i="20"/>
  <c r="P55" i="20"/>
  <c r="O55" i="20"/>
  <c r="N55" i="20"/>
  <c r="M55" i="20"/>
  <c r="P54" i="20"/>
  <c r="O54" i="20"/>
  <c r="N54" i="20"/>
  <c r="M54" i="20"/>
  <c r="K55" i="20"/>
  <c r="J55" i="20"/>
  <c r="I55" i="20"/>
  <c r="H55" i="20"/>
  <c r="K54" i="20"/>
  <c r="J54" i="20"/>
  <c r="I54" i="20"/>
  <c r="H54" i="20"/>
  <c r="C56" i="20"/>
  <c r="F55" i="20"/>
  <c r="E55" i="20"/>
  <c r="D55" i="20"/>
  <c r="C55" i="20"/>
  <c r="F54" i="20"/>
  <c r="E54" i="20"/>
  <c r="D54" i="20"/>
  <c r="C54" i="20"/>
  <c r="F53" i="20"/>
  <c r="E53" i="20"/>
  <c r="DM37" i="20"/>
  <c r="DL37" i="20"/>
  <c r="DK37" i="20"/>
  <c r="DJ37" i="20"/>
  <c r="DI37" i="20"/>
  <c r="DH37" i="20"/>
  <c r="DG37" i="20"/>
  <c r="DF37" i="20"/>
  <c r="DE37" i="20"/>
  <c r="DD37" i="20"/>
  <c r="DC37" i="20"/>
  <c r="DB37" i="20"/>
  <c r="DA37" i="20"/>
  <c r="CZ37" i="20"/>
  <c r="CY37" i="20"/>
  <c r="CX37" i="20"/>
  <c r="CW37" i="20"/>
  <c r="CV37" i="20"/>
  <c r="CU37" i="20"/>
  <c r="CT37" i="20"/>
  <c r="BX33" i="20"/>
  <c r="BW33" i="20"/>
  <c r="BV33" i="20"/>
  <c r="BU33" i="20"/>
  <c r="BX32" i="20"/>
  <c r="BW32" i="20"/>
  <c r="BV32" i="20"/>
  <c r="BU32" i="20"/>
  <c r="CZ33" i="20"/>
  <c r="CY33" i="20"/>
  <c r="DI32" i="20"/>
  <c r="DD32" i="20"/>
  <c r="DC32" i="20"/>
  <c r="DB32" i="20"/>
  <c r="S23" i="65" s="1"/>
  <c r="AA23" i="65" s="1"/>
  <c r="CH33" i="20"/>
  <c r="CG33" i="20"/>
  <c r="CF33" i="20"/>
  <c r="CE33" i="20"/>
  <c r="CH32" i="20"/>
  <c r="CG32" i="20"/>
  <c r="CF32" i="20"/>
  <c r="D23" i="65" s="1"/>
  <c r="CE32" i="20"/>
  <c r="CC33" i="20"/>
  <c r="BZ33" i="20"/>
  <c r="CC32" i="20"/>
  <c r="CB32" i="20"/>
  <c r="CA32" i="20"/>
  <c r="BZ32" i="20"/>
  <c r="BS33" i="20"/>
  <c r="BR33" i="20"/>
  <c r="BQ33" i="20"/>
  <c r="BP33" i="20"/>
  <c r="BS32" i="20"/>
  <c r="BR32" i="20"/>
  <c r="BQ32" i="20"/>
  <c r="BP32" i="20"/>
  <c r="BN33" i="20"/>
  <c r="BM33" i="20"/>
  <c r="BL33" i="20"/>
  <c r="BK33" i="20"/>
  <c r="BN32" i="20"/>
  <c r="BM32" i="20"/>
  <c r="Q23" i="65" s="1"/>
  <c r="Y23" i="65" s="1"/>
  <c r="BL32" i="20"/>
  <c r="BK32" i="20"/>
  <c r="BI33" i="20"/>
  <c r="BH33" i="20"/>
  <c r="BG33" i="20"/>
  <c r="BF33" i="20"/>
  <c r="BI32" i="20"/>
  <c r="BH32" i="20"/>
  <c r="BG32" i="20"/>
  <c r="BF32" i="20"/>
  <c r="BD33" i="20"/>
  <c r="BC33" i="20"/>
  <c r="BB33" i="20"/>
  <c r="BA33" i="20"/>
  <c r="BD32" i="20"/>
  <c r="BC32" i="20"/>
  <c r="BB32" i="20"/>
  <c r="BA32" i="20"/>
  <c r="AY33" i="20"/>
  <c r="AX33" i="20"/>
  <c r="AW33" i="20"/>
  <c r="AV33" i="20"/>
  <c r="AY32" i="20"/>
  <c r="AX32" i="20"/>
  <c r="AW32" i="20"/>
  <c r="AV32" i="20"/>
  <c r="AT33" i="20"/>
  <c r="AS33" i="20"/>
  <c r="AR33" i="20"/>
  <c r="AQ33" i="20"/>
  <c r="AT32" i="20"/>
  <c r="AS32" i="20"/>
  <c r="AR32" i="20"/>
  <c r="AQ32" i="20"/>
  <c r="AO33" i="20"/>
  <c r="AN33" i="20"/>
  <c r="AM33" i="20"/>
  <c r="AL33" i="20"/>
  <c r="AO32" i="20"/>
  <c r="AN32" i="20"/>
  <c r="AM32" i="20"/>
  <c r="AL32" i="20"/>
  <c r="AJ33" i="20"/>
  <c r="AI33" i="20"/>
  <c r="AH33" i="20"/>
  <c r="AG33" i="20"/>
  <c r="AJ32" i="20"/>
  <c r="AI32" i="20"/>
  <c r="AH32" i="20"/>
  <c r="AG32" i="20"/>
  <c r="AB33" i="20"/>
  <c r="AE32" i="20"/>
  <c r="AD32" i="20"/>
  <c r="AC32" i="20"/>
  <c r="AB32" i="20"/>
  <c r="W34" i="20"/>
  <c r="W33" i="20"/>
  <c r="Z32" i="20"/>
  <c r="Y32" i="20"/>
  <c r="X32" i="20"/>
  <c r="W32" i="20"/>
  <c r="U34" i="20"/>
  <c r="S34" i="20"/>
  <c r="R34" i="20"/>
  <c r="U33" i="20"/>
  <c r="T33" i="20"/>
  <c r="S33" i="20"/>
  <c r="R33" i="20"/>
  <c r="U32" i="20"/>
  <c r="T32" i="20"/>
  <c r="S32" i="20"/>
  <c r="R32" i="20"/>
  <c r="P34" i="20"/>
  <c r="O34" i="20"/>
  <c r="N34" i="20"/>
  <c r="M34" i="20"/>
  <c r="P33" i="20"/>
  <c r="O33" i="20"/>
  <c r="N33" i="20"/>
  <c r="M33" i="20"/>
  <c r="P32" i="20"/>
  <c r="O32" i="20"/>
  <c r="N32" i="20"/>
  <c r="M32" i="20"/>
  <c r="K34" i="20"/>
  <c r="I34" i="20"/>
  <c r="H34" i="20"/>
  <c r="K33" i="20"/>
  <c r="J33" i="20"/>
  <c r="I33" i="20"/>
  <c r="H33" i="20"/>
  <c r="K32" i="20"/>
  <c r="J32" i="20"/>
  <c r="I32" i="20"/>
  <c r="H32" i="20"/>
  <c r="F34" i="20"/>
  <c r="E34" i="20"/>
  <c r="D34" i="20"/>
  <c r="C34" i="20"/>
  <c r="F33" i="20"/>
  <c r="E33" i="20"/>
  <c r="D33" i="20"/>
  <c r="C33" i="20"/>
  <c r="F32" i="20"/>
  <c r="E32" i="20"/>
  <c r="D32" i="20"/>
  <c r="C32" i="20"/>
  <c r="CM28" i="20"/>
  <c r="CL28" i="20"/>
  <c r="CK28" i="20"/>
  <c r="CJ28" i="20"/>
  <c r="CH28" i="20"/>
  <c r="CG28" i="20"/>
  <c r="CF28" i="20"/>
  <c r="CE28" i="20"/>
  <c r="CC28" i="20"/>
  <c r="CB28" i="20"/>
  <c r="CA28" i="20"/>
  <c r="BZ28" i="20"/>
  <c r="BN28" i="20"/>
  <c r="BM28" i="20"/>
  <c r="BL28" i="20"/>
  <c r="BK28" i="20"/>
  <c r="BI28" i="20"/>
  <c r="BH28" i="20"/>
  <c r="BG28" i="20"/>
  <c r="BF28" i="20"/>
  <c r="BC28" i="20"/>
  <c r="BB28" i="20"/>
  <c r="BA28" i="20"/>
  <c r="CH26" i="20"/>
  <c r="CG26" i="20"/>
  <c r="CF26" i="20"/>
  <c r="D18" i="65" s="1"/>
  <c r="CE26" i="20"/>
  <c r="CC26" i="20"/>
  <c r="BX26" i="20"/>
  <c r="BW26" i="20"/>
  <c r="BV26" i="20"/>
  <c r="BU26" i="20"/>
  <c r="BR26" i="20"/>
  <c r="BQ26" i="20"/>
  <c r="BP26" i="20"/>
  <c r="BN26" i="20"/>
  <c r="BM26" i="20"/>
  <c r="Q18" i="65" s="1"/>
  <c r="Y18" i="65" s="1"/>
  <c r="BL26" i="20"/>
  <c r="BK26" i="20"/>
  <c r="BH26" i="20"/>
  <c r="BG26" i="20"/>
  <c r="BF26" i="20"/>
  <c r="BD26" i="20"/>
  <c r="BC26" i="20"/>
  <c r="BB26" i="20"/>
  <c r="BA26" i="20"/>
  <c r="AY26" i="20"/>
  <c r="AX26" i="20"/>
  <c r="AW26" i="20"/>
  <c r="AV26" i="20"/>
  <c r="AS26" i="20"/>
  <c r="AR26" i="20"/>
  <c r="AQ26" i="20"/>
  <c r="AO26" i="20"/>
  <c r="AN26" i="20"/>
  <c r="AM26" i="20"/>
  <c r="AL26" i="20"/>
  <c r="AJ26" i="20"/>
  <c r="AI26" i="20"/>
  <c r="AH26" i="20"/>
  <c r="AG26" i="20"/>
  <c r="AE26" i="20"/>
  <c r="AD26" i="20"/>
  <c r="AC26" i="20"/>
  <c r="AB26" i="20"/>
  <c r="Z26" i="20"/>
  <c r="Y26" i="20"/>
  <c r="X26" i="20"/>
  <c r="W26" i="20"/>
  <c r="U26" i="20"/>
  <c r="T26" i="20"/>
  <c r="S26" i="20"/>
  <c r="R26" i="20"/>
  <c r="P26" i="20"/>
  <c r="O26" i="20"/>
  <c r="N26" i="20"/>
  <c r="M26" i="20"/>
  <c r="K26" i="20"/>
  <c r="J26" i="20"/>
  <c r="I26" i="20"/>
  <c r="H26" i="20"/>
  <c r="F26" i="20"/>
  <c r="E26" i="20"/>
  <c r="D26" i="20"/>
  <c r="C26" i="20"/>
  <c r="CJ23" i="20" a="1"/>
  <c r="CL23" i="20" s="1"/>
  <c r="CH23" i="20"/>
  <c r="CG23" i="20"/>
  <c r="CF23" i="20"/>
  <c r="D15" i="65" s="1"/>
  <c r="CE23" i="20"/>
  <c r="CC23" i="20"/>
  <c r="CB23" i="20"/>
  <c r="CA23" i="20"/>
  <c r="BZ23" i="20"/>
  <c r="BX23" i="20"/>
  <c r="BW23" i="20"/>
  <c r="BV23" i="20"/>
  <c r="BU23" i="20"/>
  <c r="BS23" i="20"/>
  <c r="BR23" i="20"/>
  <c r="BQ23" i="20"/>
  <c r="BP23" i="20"/>
  <c r="BN23" i="20"/>
  <c r="BM23" i="20"/>
  <c r="Q15" i="65" s="1"/>
  <c r="Y15" i="65" s="1"/>
  <c r="BL23" i="20"/>
  <c r="BK23" i="20"/>
  <c r="BI23" i="20"/>
  <c r="BH23" i="20"/>
  <c r="BF23" i="20"/>
  <c r="BD23" i="20"/>
  <c r="BC23" i="20"/>
  <c r="BB23" i="20"/>
  <c r="BA23" i="20"/>
  <c r="AY23" i="20"/>
  <c r="AX23" i="20"/>
  <c r="AW23" i="20"/>
  <c r="AV23" i="20"/>
  <c r="AT23" i="20"/>
  <c r="AS23" i="20"/>
  <c r="AR23" i="20"/>
  <c r="AQ23" i="20"/>
  <c r="AO23" i="20"/>
  <c r="AN23" i="20"/>
  <c r="AM23" i="20"/>
  <c r="AL23" i="20"/>
  <c r="AJ23" i="20"/>
  <c r="AI23" i="20"/>
  <c r="AH23" i="20"/>
  <c r="AG23" i="20"/>
  <c r="AE23" i="20"/>
  <c r="AD23" i="20"/>
  <c r="AC23" i="20"/>
  <c r="AB23" i="20"/>
  <c r="Z23" i="20"/>
  <c r="Y23" i="20"/>
  <c r="X23" i="20"/>
  <c r="W23" i="20"/>
  <c r="U23" i="20"/>
  <c r="T23" i="20"/>
  <c r="S23" i="20"/>
  <c r="R23" i="20"/>
  <c r="P23" i="20"/>
  <c r="O23" i="20"/>
  <c r="N23" i="20"/>
  <c r="M23" i="20"/>
  <c r="K23" i="20"/>
  <c r="J23" i="20"/>
  <c r="I23" i="20"/>
  <c r="H23" i="20"/>
  <c r="F23" i="20"/>
  <c r="E23" i="20"/>
  <c r="D23" i="20"/>
  <c r="C23" i="20"/>
  <c r="DD19" i="20"/>
  <c r="DC19" i="20"/>
  <c r="DB19" i="20"/>
  <c r="DA19" i="20"/>
  <c r="DM18" i="20"/>
  <c r="DL18" i="20"/>
  <c r="DK18" i="20"/>
  <c r="DJ18" i="20"/>
  <c r="DI18" i="20"/>
  <c r="DH18" i="20"/>
  <c r="DG18" i="20"/>
  <c r="DC18" i="20"/>
  <c r="DA18" i="20"/>
  <c r="CZ18" i="20"/>
  <c r="DM17" i="20"/>
  <c r="DL17" i="20"/>
  <c r="DK17" i="20"/>
  <c r="DJ17" i="20"/>
  <c r="DI17" i="20"/>
  <c r="DH17" i="20"/>
  <c r="DG17" i="20"/>
  <c r="DB17" i="20"/>
  <c r="DA17" i="20"/>
  <c r="CZ17" i="20"/>
  <c r="DM16" i="20"/>
  <c r="DL16" i="20"/>
  <c r="DK16" i="20"/>
  <c r="DJ16" i="20"/>
  <c r="DI16" i="20"/>
  <c r="DH16" i="20"/>
  <c r="DG16" i="20"/>
  <c r="DB16" i="20"/>
  <c r="DA16" i="20"/>
  <c r="CH19" i="20"/>
  <c r="CG19" i="20"/>
  <c r="CF19" i="20"/>
  <c r="CE19" i="20"/>
  <c r="CH17" i="20"/>
  <c r="CG17" i="20"/>
  <c r="CF17" i="20"/>
  <c r="CE17" i="20"/>
  <c r="CH15" i="20"/>
  <c r="CG15" i="20"/>
  <c r="CF15" i="20"/>
  <c r="D9" i="65" s="1"/>
  <c r="CE15" i="20"/>
  <c r="CC19" i="20"/>
  <c r="CB19" i="20"/>
  <c r="CA19" i="20"/>
  <c r="BZ19" i="20"/>
  <c r="CC17" i="20"/>
  <c r="CB17" i="20"/>
  <c r="CA17" i="20"/>
  <c r="BZ17" i="20"/>
  <c r="CC15" i="20"/>
  <c r="CB15" i="20"/>
  <c r="CA15" i="20"/>
  <c r="BZ15" i="20"/>
  <c r="BX19" i="20"/>
  <c r="BW19" i="20"/>
  <c r="BV19" i="20"/>
  <c r="BU19" i="20"/>
  <c r="BX15" i="20"/>
  <c r="BW15" i="20"/>
  <c r="BV15" i="20"/>
  <c r="BU15" i="20"/>
  <c r="BS19" i="20"/>
  <c r="BR19" i="20"/>
  <c r="BQ19" i="20"/>
  <c r="BP19" i="20"/>
  <c r="BR18" i="20"/>
  <c r="BP18" i="20"/>
  <c r="BS17" i="20"/>
  <c r="BR17" i="20"/>
  <c r="BQ17" i="20"/>
  <c r="BP17" i="20"/>
  <c r="BS15" i="20"/>
  <c r="BR15" i="20"/>
  <c r="BQ15" i="20"/>
  <c r="BN19" i="20"/>
  <c r="BM19" i="20"/>
  <c r="BL19" i="20"/>
  <c r="BK19" i="20"/>
  <c r="BM18" i="20"/>
  <c r="BL18" i="20"/>
  <c r="BK18" i="20"/>
  <c r="BN17" i="20"/>
  <c r="BM17" i="20"/>
  <c r="BL17" i="20"/>
  <c r="BN15" i="20"/>
  <c r="BM15" i="20"/>
  <c r="BL15" i="20"/>
  <c r="BK15" i="20"/>
  <c r="BI19" i="20"/>
  <c r="BH19" i="20"/>
  <c r="BG19" i="20"/>
  <c r="BF19" i="20"/>
  <c r="BI18" i="20"/>
  <c r="BH18" i="20"/>
  <c r="BG18" i="20"/>
  <c r="BF18" i="20"/>
  <c r="BH17" i="20"/>
  <c r="BG17" i="20"/>
  <c r="BF17" i="20"/>
  <c r="BI16" i="20"/>
  <c r="BH16" i="20"/>
  <c r="BG16" i="20"/>
  <c r="BF16" i="20"/>
  <c r="BH15" i="20"/>
  <c r="BG15" i="20"/>
  <c r="BD19" i="20"/>
  <c r="BC19" i="20"/>
  <c r="BB19" i="20"/>
  <c r="BA19" i="20"/>
  <c r="BD18" i="20"/>
  <c r="BC18" i="20"/>
  <c r="BB18" i="20"/>
  <c r="BA18" i="20"/>
  <c r="BD17" i="20"/>
  <c r="BC17" i="20"/>
  <c r="BB17" i="20"/>
  <c r="BA17" i="20"/>
  <c r="BD16" i="20"/>
  <c r="BC16" i="20"/>
  <c r="BB16" i="20"/>
  <c r="BA16" i="20"/>
  <c r="BD15" i="20"/>
  <c r="BB15" i="20"/>
  <c r="BB56" i="20" s="1"/>
  <c r="BA15" i="20"/>
  <c r="AY19" i="20"/>
  <c r="AX19" i="20"/>
  <c r="AW19" i="20"/>
  <c r="AV19" i="20"/>
  <c r="AY18" i="20"/>
  <c r="AX18" i="20"/>
  <c r="AW18" i="20"/>
  <c r="AV18" i="20"/>
  <c r="AY17" i="20"/>
  <c r="AX17" i="20"/>
  <c r="AW17" i="20"/>
  <c r="AV17" i="20"/>
  <c r="AY16" i="20"/>
  <c r="AX16" i="20"/>
  <c r="AW16" i="20"/>
  <c r="AV16" i="20"/>
  <c r="AY15" i="20"/>
  <c r="AW15" i="20"/>
  <c r="AT19" i="20"/>
  <c r="AS19" i="20"/>
  <c r="AR19" i="20"/>
  <c r="AQ19" i="20"/>
  <c r="AT18" i="20"/>
  <c r="AS18" i="20"/>
  <c r="AR18" i="20"/>
  <c r="AQ18" i="20"/>
  <c r="AT17" i="20"/>
  <c r="AS17" i="20"/>
  <c r="AR17" i="20"/>
  <c r="AQ17" i="20"/>
  <c r="AT16" i="20"/>
  <c r="AS16" i="20"/>
  <c r="AR16" i="20"/>
  <c r="AQ16" i="20"/>
  <c r="AT15" i="20"/>
  <c r="AS15" i="20"/>
  <c r="AR15" i="20"/>
  <c r="AQ15" i="20"/>
  <c r="AO19" i="20"/>
  <c r="AN19" i="20"/>
  <c r="AM19" i="20"/>
  <c r="AO18" i="20"/>
  <c r="AN18" i="20"/>
  <c r="AM18" i="20"/>
  <c r="AL18" i="20"/>
  <c r="AO17" i="20"/>
  <c r="AN17" i="20"/>
  <c r="AM17" i="20"/>
  <c r="AL17" i="20"/>
  <c r="AO16" i="20"/>
  <c r="AN16" i="20"/>
  <c r="AM16" i="20"/>
  <c r="AL16" i="20"/>
  <c r="AN15" i="20"/>
  <c r="AM15" i="20"/>
  <c r="AM56" i="20" s="1"/>
  <c r="AL15" i="20"/>
  <c r="AJ19" i="20"/>
  <c r="AI19" i="20"/>
  <c r="AH19" i="20"/>
  <c r="AJ18" i="20"/>
  <c r="AI18" i="20"/>
  <c r="AH18" i="20"/>
  <c r="AG18" i="20"/>
  <c r="AJ17" i="20"/>
  <c r="AI17" i="20"/>
  <c r="AH17" i="20"/>
  <c r="AG17" i="20"/>
  <c r="AJ16" i="20"/>
  <c r="AI16" i="20"/>
  <c r="AH16" i="20"/>
  <c r="AG16" i="20"/>
  <c r="AJ15" i="20"/>
  <c r="AI15" i="20"/>
  <c r="AH15" i="20"/>
  <c r="AE15" i="20"/>
  <c r="AD15" i="20"/>
  <c r="AC15" i="20"/>
  <c r="AB15" i="20"/>
  <c r="Z15" i="20"/>
  <c r="Y15" i="20"/>
  <c r="X15" i="20"/>
  <c r="W15" i="20"/>
  <c r="U15" i="20"/>
  <c r="T15" i="20"/>
  <c r="S15" i="20"/>
  <c r="R15" i="20"/>
  <c r="P15" i="20"/>
  <c r="O15" i="20"/>
  <c r="N15" i="20"/>
  <c r="M15" i="20"/>
  <c r="K15" i="20"/>
  <c r="J15" i="20"/>
  <c r="I15" i="20"/>
  <c r="F15" i="20"/>
  <c r="E15" i="20"/>
  <c r="D15" i="20"/>
  <c r="C15" i="20"/>
  <c r="DJ11" i="20"/>
  <c r="CJ11" i="20" a="1"/>
  <c r="CM11" i="20" s="1"/>
  <c r="CR57" i="20" s="1"/>
  <c r="CF11" i="20"/>
  <c r="D10" i="65" s="1"/>
  <c r="CE11" i="20"/>
  <c r="CH10" i="20"/>
  <c r="CG10" i="20"/>
  <c r="CF10" i="20"/>
  <c r="D6" i="65" s="1"/>
  <c r="CE10" i="20"/>
  <c r="CE12" i="20" s="1"/>
  <c r="CC11" i="20"/>
  <c r="CB11" i="20"/>
  <c r="CA11" i="20"/>
  <c r="BZ11" i="20"/>
  <c r="CC10" i="20"/>
  <c r="CC12" i="20" s="1"/>
  <c r="CB10" i="20"/>
  <c r="CB12" i="20" s="1"/>
  <c r="CA10" i="20"/>
  <c r="BZ10" i="20"/>
  <c r="BZ12" i="20" s="1"/>
  <c r="BV11" i="20"/>
  <c r="BU11" i="20"/>
  <c r="BX10" i="20"/>
  <c r="BW10" i="20"/>
  <c r="BV10" i="20"/>
  <c r="BU10" i="20"/>
  <c r="BQ11" i="20"/>
  <c r="BP11" i="20"/>
  <c r="BS10" i="20"/>
  <c r="BR10" i="20"/>
  <c r="BQ10" i="20"/>
  <c r="BP10" i="20"/>
  <c r="BN11" i="20"/>
  <c r="BL11" i="20"/>
  <c r="BK11" i="20"/>
  <c r="BN10" i="20"/>
  <c r="BM10" i="20"/>
  <c r="Q6" i="65" s="1"/>
  <c r="Y6" i="65" s="1"/>
  <c r="BL10" i="20"/>
  <c r="BL12" i="20" s="1"/>
  <c r="BK10" i="20"/>
  <c r="BG11" i="20"/>
  <c r="BF11" i="20"/>
  <c r="BF57" i="20" s="1"/>
  <c r="BI10" i="20"/>
  <c r="BH10" i="20"/>
  <c r="BG10" i="20"/>
  <c r="BG12" i="20" s="1"/>
  <c r="BF10" i="20"/>
  <c r="BF12" i="20" s="1"/>
  <c r="BA11" i="20"/>
  <c r="BD10" i="20"/>
  <c r="BC10" i="20"/>
  <c r="BB10" i="20"/>
  <c r="BA10" i="20"/>
  <c r="AY11" i="20"/>
  <c r="AX11" i="20"/>
  <c r="AW11" i="20"/>
  <c r="AW57" i="20" s="1"/>
  <c r="AV11" i="20"/>
  <c r="AY10" i="20"/>
  <c r="AX10" i="20"/>
  <c r="AW10" i="20"/>
  <c r="AV10" i="20"/>
  <c r="AR11" i="20"/>
  <c r="AQ11" i="20"/>
  <c r="AT10" i="20"/>
  <c r="AS10" i="20"/>
  <c r="AR10" i="20"/>
  <c r="AO11" i="20"/>
  <c r="AN11" i="20"/>
  <c r="AM11" i="20"/>
  <c r="AL11" i="20"/>
  <c r="AO10" i="20"/>
  <c r="AN10" i="20"/>
  <c r="AM10" i="20"/>
  <c r="AL10" i="20"/>
  <c r="AJ11" i="20"/>
  <c r="AI11" i="20"/>
  <c r="AH11" i="20"/>
  <c r="AG11" i="20"/>
  <c r="AL57" i="20" s="1"/>
  <c r="AJ10" i="20"/>
  <c r="AI10" i="20"/>
  <c r="AH10" i="20"/>
  <c r="AG10" i="20"/>
  <c r="AE11" i="20"/>
  <c r="AD11" i="20"/>
  <c r="AC11" i="20"/>
  <c r="AB11" i="20"/>
  <c r="AE10" i="20"/>
  <c r="AD10" i="20"/>
  <c r="AC10" i="20"/>
  <c r="AB10" i="20"/>
  <c r="Z11" i="20"/>
  <c r="Y11" i="20"/>
  <c r="X11" i="20"/>
  <c r="W11" i="20"/>
  <c r="Z10" i="20"/>
  <c r="Y10" i="20"/>
  <c r="X10" i="20"/>
  <c r="W10" i="20"/>
  <c r="U11" i="20"/>
  <c r="T11" i="20"/>
  <c r="S11" i="20"/>
  <c r="R11" i="20"/>
  <c r="U10" i="20"/>
  <c r="T10" i="20"/>
  <c r="S10" i="20"/>
  <c r="R10" i="20"/>
  <c r="P11" i="20"/>
  <c r="O11" i="20"/>
  <c r="O45" i="20" s="1"/>
  <c r="N11" i="20"/>
  <c r="M11" i="20"/>
  <c r="P10" i="20"/>
  <c r="O10" i="20"/>
  <c r="N10" i="20"/>
  <c r="M10" i="20"/>
  <c r="K11" i="20"/>
  <c r="J11" i="20"/>
  <c r="I11" i="20"/>
  <c r="H11" i="20"/>
  <c r="K10" i="20"/>
  <c r="J10" i="20"/>
  <c r="I10" i="20"/>
  <c r="H10" i="20"/>
  <c r="F11" i="20"/>
  <c r="E11" i="20"/>
  <c r="D11" i="20"/>
  <c r="C11" i="20"/>
  <c r="F10" i="20"/>
  <c r="E10" i="20"/>
  <c r="D10" i="20"/>
  <c r="C10" i="20"/>
  <c r="CH8" i="20"/>
  <c r="CG8" i="20"/>
  <c r="CG14" i="20" s="1"/>
  <c r="CF8" i="20"/>
  <c r="D4" i="65" s="1"/>
  <c r="CE8" i="20"/>
  <c r="CC8" i="20"/>
  <c r="CB8" i="20"/>
  <c r="CB45" i="20" s="1"/>
  <c r="CA8" i="20"/>
  <c r="BZ8" i="20"/>
  <c r="BX8" i="20"/>
  <c r="BW8" i="20"/>
  <c r="BV8" i="20"/>
  <c r="BU8" i="20"/>
  <c r="BU14" i="20" s="1"/>
  <c r="BS8" i="20"/>
  <c r="BR8" i="20"/>
  <c r="BR41" i="20" s="1"/>
  <c r="BQ8" i="20"/>
  <c r="BQ14" i="20" s="1"/>
  <c r="BP8" i="20"/>
  <c r="BN8" i="20"/>
  <c r="BM8" i="20"/>
  <c r="Q4" i="65" s="1"/>
  <c r="Y4" i="65" s="1"/>
  <c r="BL8" i="20"/>
  <c r="BK8" i="20"/>
  <c r="BK41" i="20" s="1"/>
  <c r="BG8" i="20"/>
  <c r="BF8" i="20"/>
  <c r="BD8" i="20"/>
  <c r="BC8" i="20"/>
  <c r="BB8" i="20"/>
  <c r="BA8" i="20"/>
  <c r="AY8" i="20"/>
  <c r="AX8" i="20"/>
  <c r="AW8" i="20"/>
  <c r="AV8" i="20"/>
  <c r="AT8" i="20"/>
  <c r="AS8" i="20"/>
  <c r="AX53" i="20" s="1"/>
  <c r="AR8" i="20"/>
  <c r="AQ8" i="20"/>
  <c r="AO8" i="20"/>
  <c r="AN8" i="20"/>
  <c r="AM8" i="20"/>
  <c r="AM43" i="20" s="1"/>
  <c r="AL8" i="20"/>
  <c r="AL42" i="20" s="1"/>
  <c r="AI8" i="20"/>
  <c r="AH8" i="20"/>
  <c r="AG8" i="20"/>
  <c r="AE8" i="20"/>
  <c r="AD8" i="20"/>
  <c r="AC8" i="20"/>
  <c r="AB8" i="20"/>
  <c r="Y8" i="20"/>
  <c r="Y41" i="20" s="1"/>
  <c r="X8" i="20"/>
  <c r="U8" i="20"/>
  <c r="T8" i="20"/>
  <c r="S8" i="20"/>
  <c r="S14" i="20" s="1"/>
  <c r="O8" i="20"/>
  <c r="N8" i="20"/>
  <c r="M8" i="20"/>
  <c r="K8" i="20"/>
  <c r="J8" i="20"/>
  <c r="I8" i="20"/>
  <c r="H8" i="20"/>
  <c r="H14" i="20" s="1"/>
  <c r="F8" i="20"/>
  <c r="E8" i="20"/>
  <c r="D8" i="20"/>
  <c r="C8" i="20"/>
  <c r="C14" i="20" s="1"/>
  <c r="CT6" i="20"/>
  <c r="CU6" i="20" s="1"/>
  <c r="CV6" i="20" s="1"/>
  <c r="CW6" i="20" s="1"/>
  <c r="CX6" i="20" s="1"/>
  <c r="CY6" i="20" s="1"/>
  <c r="K6" i="20"/>
  <c r="P6" i="20" s="1"/>
  <c r="J6" i="20"/>
  <c r="O6" i="20" s="1"/>
  <c r="I6" i="20"/>
  <c r="N6" i="20" s="1"/>
  <c r="H6" i="20"/>
  <c r="M6" i="20" s="1"/>
  <c r="M5" i="20"/>
  <c r="H5" i="20"/>
  <c r="N7" i="11"/>
  <c r="F5" i="23"/>
  <c r="N21" i="10"/>
  <c r="T21" i="10"/>
  <c r="AB37" i="11"/>
  <c r="AB31" i="11"/>
  <c r="AB25" i="11"/>
  <c r="P21" i="10"/>
  <c r="J21" i="10"/>
  <c r="P118" i="10"/>
  <c r="AN117" i="10"/>
  <c r="N124" i="10"/>
  <c r="P117" i="10"/>
  <c r="AD117" i="10"/>
  <c r="B43" i="11"/>
  <c r="B37" i="11"/>
  <c r="B25" i="11"/>
  <c r="B31" i="11"/>
  <c r="P23" i="11"/>
  <c r="P29" i="11"/>
  <c r="P35" i="11"/>
  <c r="AB22" i="11"/>
  <c r="AB34" i="11"/>
  <c r="AB16" i="11"/>
  <c r="BS37" i="11"/>
  <c r="BR43" i="11"/>
  <c r="B28" i="11"/>
  <c r="B40" i="11"/>
  <c r="B22" i="11"/>
  <c r="B8" i="23"/>
  <c r="B14" i="23" s="1"/>
  <c r="B20" i="23" s="1"/>
  <c r="B26" i="23" s="1"/>
  <c r="B32" i="23" s="1"/>
  <c r="B38" i="23" s="1"/>
  <c r="B44" i="23" s="1"/>
  <c r="B50" i="23" s="1"/>
  <c r="B56" i="23" s="1"/>
  <c r="H34" i="11"/>
  <c r="H22" i="11"/>
  <c r="H16" i="11"/>
  <c r="L29" i="11"/>
  <c r="L35" i="11"/>
  <c r="L23" i="11"/>
  <c r="X34" i="11"/>
  <c r="X28" i="11"/>
  <c r="X16" i="11"/>
  <c r="X22" i="11"/>
  <c r="AB35" i="11"/>
  <c r="AB29" i="11"/>
  <c r="AB17" i="11"/>
  <c r="L17" i="11"/>
  <c r="W19" i="11"/>
  <c r="S19" i="11"/>
  <c r="AM19" i="11"/>
  <c r="AI19" i="11"/>
  <c r="AP37" i="11"/>
  <c r="AU19" i="11"/>
  <c r="AQ19" i="11"/>
  <c r="AX37" i="11"/>
  <c r="BC19" i="11"/>
  <c r="AY19" i="11"/>
  <c r="BK19" i="11"/>
  <c r="BF37" i="11"/>
  <c r="BG19" i="11"/>
  <c r="BS19" i="11"/>
  <c r="BO19" i="11"/>
  <c r="P30" i="11"/>
  <c r="P36" i="11"/>
  <c r="CD40" i="11"/>
  <c r="CE34" i="11"/>
  <c r="P37" i="11"/>
  <c r="P31" i="11"/>
  <c r="P25" i="11"/>
  <c r="G13" i="11"/>
  <c r="AE16" i="11"/>
  <c r="BW13" i="11"/>
  <c r="AF37" i="11"/>
  <c r="AF31" i="11"/>
  <c r="AL35" i="11"/>
  <c r="AQ16" i="11"/>
  <c r="B30" i="11"/>
  <c r="B10" i="23"/>
  <c r="B16" i="23" s="1"/>
  <c r="B22" i="23" s="1"/>
  <c r="B28" i="23" s="1"/>
  <c r="B34" i="23" s="1"/>
  <c r="B40" i="23" s="1"/>
  <c r="B46" i="23" s="1"/>
  <c r="B52" i="23" s="1"/>
  <c r="B58" i="23" s="1"/>
  <c r="B24" i="11"/>
  <c r="B42" i="11"/>
  <c r="H30" i="11"/>
  <c r="H18" i="11"/>
  <c r="P34" i="11"/>
  <c r="P16" i="11"/>
  <c r="P28" i="11"/>
  <c r="T35" i="11"/>
  <c r="T17" i="11"/>
  <c r="X24" i="11"/>
  <c r="X18" i="11"/>
  <c r="X36" i="11"/>
  <c r="AJ35" i="11"/>
  <c r="AJ17" i="11"/>
  <c r="AJ23" i="11"/>
  <c r="AJ29" i="11"/>
  <c r="AN24" i="11"/>
  <c r="AN36" i="11"/>
  <c r="AN30" i="11"/>
  <c r="AN18" i="11"/>
  <c r="AV30" i="11"/>
  <c r="AV36" i="11"/>
  <c r="AV18" i="11"/>
  <c r="AV24" i="11" s="1"/>
  <c r="AZ30" i="11"/>
  <c r="AZ36" i="11"/>
  <c r="AZ24" i="11"/>
  <c r="BD36" i="11"/>
  <c r="BD30" i="11"/>
  <c r="BD24" i="11"/>
  <c r="BD18" i="11"/>
  <c r="BH30" i="11"/>
  <c r="BH24" i="11"/>
  <c r="BH36" i="11"/>
  <c r="BL30" i="11"/>
  <c r="BL24" i="11"/>
  <c r="BL36" i="11"/>
  <c r="BL18" i="11"/>
  <c r="AM37" i="11"/>
  <c r="B19" i="11"/>
  <c r="O17" i="11"/>
  <c r="R35" i="11"/>
  <c r="S35" i="11" s="1"/>
  <c r="S17" i="11"/>
  <c r="W17" i="11"/>
  <c r="Z35" i="11"/>
  <c r="AA17" i="11"/>
  <c r="AE17" i="11"/>
  <c r="AH35" i="11"/>
  <c r="AI35" i="11"/>
  <c r="AI17" i="11"/>
  <c r="AM17" i="11"/>
  <c r="AP35" i="11"/>
  <c r="AQ17" i="11"/>
  <c r="AU17" i="11"/>
  <c r="AY17" i="11"/>
  <c r="AX35" i="11"/>
  <c r="BF35" i="11"/>
  <c r="BG17" i="11"/>
  <c r="BN35" i="11"/>
  <c r="BS17" i="11"/>
  <c r="BO17" i="11"/>
  <c r="CM17" i="11"/>
  <c r="J35" i="11"/>
  <c r="P22" i="11"/>
  <c r="AA25" i="11"/>
  <c r="T29" i="11"/>
  <c r="AH34" i="11"/>
  <c r="BJ42" i="11"/>
  <c r="AN137" i="10"/>
  <c r="P19" i="11"/>
  <c r="AB19" i="11"/>
  <c r="CQ16" i="11"/>
  <c r="F42" i="11"/>
  <c r="R37" i="11"/>
  <c r="AD37" i="11"/>
  <c r="AH43" i="11" s="1"/>
  <c r="AE13" i="11"/>
  <c r="AE34" i="11"/>
  <c r="Z40" i="11"/>
  <c r="AT40" i="11"/>
  <c r="BN34" i="11"/>
  <c r="BS16" i="11"/>
  <c r="CL41" i="11"/>
  <c r="CM35" i="11"/>
  <c r="G28" i="11"/>
  <c r="F34" i="11"/>
  <c r="O29" i="11"/>
  <c r="K29" i="11"/>
  <c r="S28" i="11"/>
  <c r="AQ29" i="11"/>
  <c r="AX34" i="11"/>
  <c r="AX40" i="11"/>
  <c r="BN43" i="11"/>
  <c r="BO37" i="11"/>
  <c r="BW37" i="11"/>
  <c r="J18" i="10"/>
  <c r="R18" i="10" s="1"/>
  <c r="X14" i="10"/>
  <c r="H37" i="11"/>
  <c r="H25" i="11"/>
  <c r="H19" i="11"/>
  <c r="G18" i="11"/>
  <c r="V41" i="11"/>
  <c r="AA16" i="11"/>
  <c r="BG16" i="11"/>
  <c r="BO16" i="11"/>
  <c r="W25" i="11"/>
  <c r="AU30" i="11"/>
  <c r="AY30" i="11"/>
  <c r="AA34" i="11"/>
  <c r="BR40" i="11"/>
  <c r="A43" i="11"/>
  <c r="A31" i="11"/>
  <c r="A37" i="11"/>
  <c r="AF34" i="11"/>
  <c r="AF16" i="11"/>
  <c r="AF22" i="11"/>
  <c r="CA10" i="11"/>
  <c r="BW10" i="11"/>
  <c r="K13" i="11"/>
  <c r="V37" i="11"/>
  <c r="W13" i="11"/>
  <c r="H49" i="10"/>
  <c r="P17" i="11"/>
  <c r="AQ36" i="11"/>
  <c r="K30" i="11"/>
  <c r="G30" i="11"/>
  <c r="BJ40" i="11"/>
  <c r="BV34" i="11"/>
  <c r="CA34" i="11" s="1"/>
  <c r="CE37" i="11"/>
  <c r="L22" i="11"/>
  <c r="L34" i="11"/>
  <c r="L28" i="11"/>
  <c r="T30" i="11"/>
  <c r="T24" i="11"/>
  <c r="T36" i="11"/>
  <c r="O25" i="11"/>
  <c r="K25" i="11"/>
  <c r="H42" i="10"/>
  <c r="BS13" i="11"/>
  <c r="T18" i="11"/>
  <c r="CA37" i="11"/>
  <c r="CI34" i="11"/>
  <c r="AJ30" i="11"/>
  <c r="A16" i="11"/>
  <c r="T16" i="11"/>
  <c r="AJ16" i="11"/>
  <c r="AT36" i="11"/>
  <c r="BH16" i="11"/>
  <c r="BH22" i="11" s="1"/>
  <c r="BP16" i="11"/>
  <c r="BP22" i="11" s="1"/>
  <c r="CL36" i="11"/>
  <c r="CM18" i="11"/>
  <c r="CI37" i="11"/>
  <c r="CH43" i="11"/>
  <c r="AJ22" i="11"/>
  <c r="A29" i="11"/>
  <c r="L31" i="11"/>
  <c r="AR29" i="11"/>
  <c r="BH31" i="11"/>
  <c r="T34" i="11"/>
  <c r="AJ34" i="11"/>
  <c r="BH34" i="11"/>
  <c r="CH40" i="11"/>
  <c r="AZ34" i="11"/>
  <c r="BD34" i="11"/>
  <c r="BD28" i="11"/>
  <c r="BT34" i="11"/>
  <c r="BT28" i="11"/>
  <c r="BJ35" i="11"/>
  <c r="A17" i="11"/>
  <c r="AF18" i="11"/>
  <c r="X23" i="11"/>
  <c r="A30" i="11"/>
  <c r="AD56" i="10"/>
  <c r="AF63" i="10" s="1"/>
  <c r="BG36" i="11"/>
  <c r="BF42" i="11"/>
  <c r="X25" i="11"/>
  <c r="AI13" i="11"/>
  <c r="B17" i="11"/>
  <c r="F35" i="11"/>
  <c r="G35" i="11"/>
  <c r="AL43" i="11"/>
  <c r="AU16" i="11"/>
  <c r="AT43" i="11"/>
  <c r="AZ17" i="11"/>
  <c r="AZ23" i="11" s="1"/>
  <c r="BC16" i="11"/>
  <c r="BK37" i="11"/>
  <c r="BJ43" i="11"/>
  <c r="BP17" i="11"/>
  <c r="BP23" i="11" s="1"/>
  <c r="BP29" i="11" s="1"/>
  <c r="BT16" i="11"/>
  <c r="BT22" i="11" s="1"/>
  <c r="T22" i="11"/>
  <c r="J36" i="11"/>
  <c r="K36" i="11" s="1"/>
  <c r="O30" i="11"/>
  <c r="AA31" i="11"/>
  <c r="AF35" i="11"/>
  <c r="CE36" i="11"/>
  <c r="CH42" i="11"/>
  <c r="A18" i="11"/>
  <c r="R42" i="11"/>
  <c r="AE36" i="11"/>
  <c r="BD16" i="11"/>
  <c r="BD22" i="11" s="1"/>
  <c r="BR35" i="11"/>
  <c r="BW17" i="11"/>
  <c r="AM28" i="11"/>
  <c r="A34" i="11"/>
  <c r="H35" i="11"/>
  <c r="S36" i="11"/>
  <c r="BP34" i="11"/>
  <c r="BZ40" i="11"/>
  <c r="BZ43" i="11"/>
  <c r="CD42" i="11"/>
  <c r="Z53" i="23"/>
  <c r="X56" i="23"/>
  <c r="D44" i="23"/>
  <c r="D50" i="23"/>
  <c r="D32" i="23"/>
  <c r="D56" i="23"/>
  <c r="L44" i="23"/>
  <c r="AJ50" i="23"/>
  <c r="L45" i="23"/>
  <c r="L51" i="23" s="1"/>
  <c r="L33" i="23"/>
  <c r="AL56" i="23"/>
  <c r="H34" i="23"/>
  <c r="H58" i="23"/>
  <c r="H46" i="23"/>
  <c r="H52" i="23"/>
  <c r="P34" i="23"/>
  <c r="P46" i="23"/>
  <c r="P52" i="23" s="1"/>
  <c r="T34" i="23"/>
  <c r="T46" i="23"/>
  <c r="T52" i="23" s="1"/>
  <c r="X34" i="23"/>
  <c r="X46" i="23"/>
  <c r="X52" i="23"/>
  <c r="AB34" i="23"/>
  <c r="AB58" i="23"/>
  <c r="AB46" i="23"/>
  <c r="AF34" i="23"/>
  <c r="AF46" i="23"/>
  <c r="AJ34" i="23"/>
  <c r="AJ46" i="23"/>
  <c r="AJ52" i="23"/>
  <c r="AT46" i="23"/>
  <c r="AT52" i="23"/>
  <c r="AF59" i="23"/>
  <c r="AJ59" i="23"/>
  <c r="AT47" i="23"/>
  <c r="AT53" i="23"/>
  <c r="AT35" i="23"/>
  <c r="AT34" i="23"/>
  <c r="AB52" i="23"/>
  <c r="AD56" i="23"/>
  <c r="P45" i="23"/>
  <c r="P33" i="23"/>
  <c r="P57" i="23" s="1"/>
  <c r="P51" i="23"/>
  <c r="AB56" i="23"/>
  <c r="H44" i="23"/>
  <c r="H50" i="23" s="1"/>
  <c r="H32" i="23"/>
  <c r="H56" i="23" s="1"/>
  <c r="D45" i="23"/>
  <c r="D51" i="23" s="1"/>
  <c r="D33" i="23"/>
  <c r="D57" i="23" s="1"/>
  <c r="AF52" i="23"/>
  <c r="F46" i="23"/>
  <c r="F58" i="23" s="1"/>
  <c r="F52" i="23"/>
  <c r="J46" i="23"/>
  <c r="J58" i="23" s="1"/>
  <c r="J52" i="23"/>
  <c r="D34" i="23"/>
  <c r="D58" i="23"/>
  <c r="D46" i="23"/>
  <c r="D52" i="23"/>
  <c r="L34" i="23"/>
  <c r="L46" i="23"/>
  <c r="L52" i="23" s="1"/>
  <c r="AV56" i="23"/>
  <c r="AB47" i="23"/>
  <c r="AB53" i="23" s="1"/>
  <c r="AD50" i="23"/>
  <c r="AL50" i="23"/>
  <c r="J32" i="23"/>
  <c r="N32" i="23"/>
  <c r="Z32" i="23"/>
  <c r="Z56" i="23"/>
  <c r="AH32" i="23"/>
  <c r="AR46" i="23"/>
  <c r="AR52" i="23"/>
  <c r="T51" i="23"/>
  <c r="AB51" i="23"/>
  <c r="AF51" i="23"/>
  <c r="AR51" i="23"/>
  <c r="AR33" i="23"/>
  <c r="AR57" i="23"/>
  <c r="AV44" i="23"/>
  <c r="AV50" i="23" s="1"/>
  <c r="V47" i="23"/>
  <c r="V53" i="23" s="1"/>
  <c r="Z47" i="23"/>
  <c r="Z59" i="23" s="1"/>
  <c r="AD47" i="23"/>
  <c r="AH47" i="23"/>
  <c r="AH53" i="23" s="1"/>
  <c r="AR32" i="23"/>
  <c r="AR56" i="23"/>
  <c r="T44" i="23"/>
  <c r="T56" i="23"/>
  <c r="X44" i="23"/>
  <c r="X50" i="23"/>
  <c r="AB44" i="23"/>
  <c r="AB50" i="23" s="1"/>
  <c r="AF44" i="23"/>
  <c r="AF50" i="23" s="1"/>
  <c r="AJ44" i="23"/>
  <c r="AJ56" i="23" s="1"/>
  <c r="AN44" i="23"/>
  <c r="AN50" i="23"/>
  <c r="AR44" i="23"/>
  <c r="AR50" i="23"/>
  <c r="AN32" i="23"/>
  <c r="AN56" i="23"/>
  <c r="B174" i="10"/>
  <c r="B160" i="10"/>
  <c r="B146" i="10"/>
  <c r="B167" i="10"/>
  <c r="B132" i="10"/>
  <c r="B97" i="10"/>
  <c r="B104" i="10"/>
  <c r="B83" i="10"/>
  <c r="B62" i="10"/>
  <c r="B90" i="10"/>
  <c r="B69" i="10"/>
  <c r="B34" i="10"/>
  <c r="B41" i="10"/>
  <c r="B118" i="10"/>
  <c r="B27" i="10"/>
  <c r="B125" i="10"/>
  <c r="B55" i="10"/>
  <c r="N34" i="10"/>
  <c r="AN34" i="10"/>
  <c r="P34" i="10"/>
  <c r="AD89" i="10"/>
  <c r="N89" i="10"/>
  <c r="T89" i="10"/>
  <c r="B20" i="10"/>
  <c r="B106" i="10"/>
  <c r="D43" i="10"/>
  <c r="B76" i="10"/>
  <c r="L153" i="10"/>
  <c r="L146" i="10"/>
  <c r="B153" i="10"/>
  <c r="Z70" i="9"/>
  <c r="O77" i="20" s="1"/>
  <c r="N27" i="10"/>
  <c r="T34" i="10"/>
  <c r="L47" i="10"/>
  <c r="F57" i="10"/>
  <c r="P63" i="10"/>
  <c r="N63" i="10"/>
  <c r="N70" i="10"/>
  <c r="AN63" i="10"/>
  <c r="AN61" i="10"/>
  <c r="P98" i="10"/>
  <c r="AD109" i="10"/>
  <c r="T109" i="10"/>
  <c r="J109" i="10"/>
  <c r="AI109" i="10" s="1"/>
  <c r="P109" i="10"/>
  <c r="AN109" i="10"/>
  <c r="Z134" i="38"/>
  <c r="B111" i="10"/>
  <c r="AD126" i="10"/>
  <c r="N126" i="10"/>
  <c r="P126" i="10"/>
  <c r="AD139" i="10"/>
  <c r="N139" i="10"/>
  <c r="J140" i="10"/>
  <c r="AN139" i="10"/>
  <c r="X139" i="10"/>
  <c r="P139" i="10"/>
  <c r="N146" i="10"/>
  <c r="B48" i="10"/>
  <c r="J34" i="10"/>
  <c r="AL34" i="10" s="1"/>
  <c r="T40" i="10"/>
  <c r="N110" i="10"/>
  <c r="P140" i="10"/>
  <c r="T160" i="10"/>
  <c r="R161" i="10"/>
  <c r="AN160" i="10"/>
  <c r="Z84" i="9"/>
  <c r="J12" i="10"/>
  <c r="T41" i="10"/>
  <c r="T67" i="10"/>
  <c r="J75" i="10"/>
  <c r="J74" i="10"/>
  <c r="AL74" i="10" s="1"/>
  <c r="T74" i="10"/>
  <c r="AN74" i="10"/>
  <c r="P74" i="10"/>
  <c r="T75" i="10"/>
  <c r="J153" i="10"/>
  <c r="N159" i="10"/>
  <c r="X34" i="10"/>
  <c r="T81" i="10"/>
  <c r="A111" i="10"/>
  <c r="A174" i="10"/>
  <c r="A153" i="10"/>
  <c r="A139" i="10"/>
  <c r="A125" i="10"/>
  <c r="A167" i="10"/>
  <c r="A97" i="10"/>
  <c r="A83" i="10"/>
  <c r="A132" i="10"/>
  <c r="A90" i="10"/>
  <c r="A146" i="10"/>
  <c r="A76" i="10"/>
  <c r="A118" i="10"/>
  <c r="A55" i="10"/>
  <c r="A48" i="10"/>
  <c r="A41" i="10"/>
  <c r="A20" i="10"/>
  <c r="B172" i="10"/>
  <c r="B144" i="10"/>
  <c r="B102" i="10"/>
  <c r="B39" i="10"/>
  <c r="L21" i="10"/>
  <c r="P27" i="10"/>
  <c r="X32" i="10"/>
  <c r="J32" i="10"/>
  <c r="AN40" i="10"/>
  <c r="N82" i="10"/>
  <c r="AN75" i="10"/>
  <c r="J76" i="10"/>
  <c r="R76" i="10" s="1"/>
  <c r="AD95" i="10"/>
  <c r="Z96" i="9"/>
  <c r="L95" i="10"/>
  <c r="AN103" i="10"/>
  <c r="L102" i="10"/>
  <c r="T138" i="10"/>
  <c r="A160" i="10"/>
  <c r="AB166" i="9"/>
  <c r="AD166" i="9" s="1"/>
  <c r="D71" i="10"/>
  <c r="N90" i="10"/>
  <c r="N18" i="10"/>
  <c r="P89" i="10"/>
  <c r="Z63" i="38"/>
  <c r="A154" i="10"/>
  <c r="B138" i="10"/>
  <c r="B124" i="10"/>
  <c r="B173" i="10"/>
  <c r="B159" i="10"/>
  <c r="B117" i="10"/>
  <c r="B145" i="10"/>
  <c r="B131" i="10"/>
  <c r="B96" i="10"/>
  <c r="B166" i="10"/>
  <c r="B152" i="10"/>
  <c r="B103" i="10"/>
  <c r="B82" i="10"/>
  <c r="B54" i="10"/>
  <c r="B47" i="10"/>
  <c r="B61" i="10"/>
  <c r="B89" i="10"/>
  <c r="B68" i="10"/>
  <c r="B40" i="10"/>
  <c r="B75" i="10"/>
  <c r="B18" i="10"/>
  <c r="N25" i="10"/>
  <c r="X27" i="10"/>
  <c r="J27" i="10"/>
  <c r="AN42" i="10"/>
  <c r="P49" i="10"/>
  <c r="F50" i="10"/>
  <c r="T46" i="10"/>
  <c r="A62" i="10"/>
  <c r="B67" i="10"/>
  <c r="T68" i="10"/>
  <c r="AN68" i="10"/>
  <c r="Z83" i="9"/>
  <c r="L96" i="10"/>
  <c r="B110" i="10"/>
  <c r="AD125" i="10"/>
  <c r="N125" i="10"/>
  <c r="N132" i="10"/>
  <c r="P125" i="10"/>
  <c r="J126" i="10"/>
  <c r="AN125" i="10"/>
  <c r="B139" i="10"/>
  <c r="AB169" i="9"/>
  <c r="B119" i="10"/>
  <c r="B147" i="10"/>
  <c r="B168" i="10"/>
  <c r="B133" i="10"/>
  <c r="B112" i="10"/>
  <c r="B161" i="10"/>
  <c r="B175" i="10"/>
  <c r="B105" i="10"/>
  <c r="B77" i="10"/>
  <c r="B91" i="10"/>
  <c r="B70" i="10"/>
  <c r="B35" i="10"/>
  <c r="B126" i="10"/>
  <c r="X20" i="10"/>
  <c r="B21" i="10"/>
  <c r="AN41" i="10"/>
  <c r="AI54" i="10"/>
  <c r="A61" i="10"/>
  <c r="N104" i="10"/>
  <c r="J105" i="10"/>
  <c r="AL105" i="10" s="1"/>
  <c r="AD104" i="10"/>
  <c r="AF111" i="10" s="1"/>
  <c r="AN104" i="10"/>
  <c r="L105" i="10"/>
  <c r="P116" i="10"/>
  <c r="T137" i="10"/>
  <c r="AB133" i="9"/>
  <c r="P48" i="10"/>
  <c r="B49" i="10"/>
  <c r="AQ81" i="10"/>
  <c r="AN81" i="10"/>
  <c r="AD81" i="10"/>
  <c r="N81" i="10"/>
  <c r="J82" i="10"/>
  <c r="R82" i="10" s="1"/>
  <c r="T95" i="10"/>
  <c r="T117" i="10"/>
  <c r="N133" i="10"/>
  <c r="J133" i="10"/>
  <c r="P133" i="10"/>
  <c r="B140" i="10"/>
  <c r="AD153" i="10"/>
  <c r="AF153" i="10" s="1"/>
  <c r="N153" i="10"/>
  <c r="J154" i="10"/>
  <c r="AN153" i="10"/>
  <c r="X153" i="10"/>
  <c r="T153" i="10"/>
  <c r="A144" i="10"/>
  <c r="A165" i="10"/>
  <c r="A109" i="10"/>
  <c r="A172" i="10"/>
  <c r="A151" i="10"/>
  <c r="A116" i="10"/>
  <c r="A88" i="10"/>
  <c r="A130" i="10"/>
  <c r="A137" i="10"/>
  <c r="A102" i="10"/>
  <c r="A74" i="10"/>
  <c r="A123" i="10"/>
  <c r="A81" i="10"/>
  <c r="A32" i="10"/>
  <c r="P19" i="10"/>
  <c r="A25" i="10"/>
  <c r="AD82" i="10"/>
  <c r="B98" i="10"/>
  <c r="J117" i="10"/>
  <c r="X116" i="10"/>
  <c r="T116" i="10"/>
  <c r="N116" i="10"/>
  <c r="J116" i="10"/>
  <c r="AN116" i="10"/>
  <c r="T118" i="10"/>
  <c r="AD154" i="10"/>
  <c r="AF154" i="10" s="1"/>
  <c r="N154" i="10"/>
  <c r="X154" i="10"/>
  <c r="P154" i="10"/>
  <c r="A158" i="10"/>
  <c r="AB97" i="9"/>
  <c r="A166" i="10"/>
  <c r="A173" i="10"/>
  <c r="A152" i="10"/>
  <c r="A117" i="10"/>
  <c r="A131" i="10"/>
  <c r="A124" i="10"/>
  <c r="A110" i="10"/>
  <c r="A96" i="10"/>
  <c r="A103" i="10"/>
  <c r="A82" i="10"/>
  <c r="A89" i="10"/>
  <c r="A145" i="10"/>
  <c r="A26" i="10"/>
  <c r="A33" i="10"/>
  <c r="D50" i="10"/>
  <c r="L50" i="10" s="1"/>
  <c r="AD83" i="10"/>
  <c r="J89" i="10"/>
  <c r="N88" i="10"/>
  <c r="T97" i="10"/>
  <c r="T104" i="10"/>
  <c r="T126" i="10"/>
  <c r="L151" i="10"/>
  <c r="A159" i="10"/>
  <c r="AD46" i="10"/>
  <c r="P53" i="10"/>
  <c r="AD53" i="10"/>
  <c r="J53" i="10"/>
  <c r="AD68" i="10"/>
  <c r="D99" i="10"/>
  <c r="N105" i="10"/>
  <c r="AD111" i="10"/>
  <c r="N111" i="10"/>
  <c r="J118" i="10"/>
  <c r="AL118" i="10"/>
  <c r="X117" i="10"/>
  <c r="N140" i="10"/>
  <c r="AF146" i="10"/>
  <c r="L165" i="10"/>
  <c r="P47" i="10"/>
  <c r="P54" i="10"/>
  <c r="AD61" i="10"/>
  <c r="J95" i="10"/>
  <c r="P112" i="10"/>
  <c r="X111" i="10"/>
  <c r="J112" i="10"/>
  <c r="AI126" i="10"/>
  <c r="T125" i="10"/>
  <c r="N147" i="10"/>
  <c r="AF147" i="10"/>
  <c r="AD165" i="10"/>
  <c r="N165" i="10"/>
  <c r="J165" i="10"/>
  <c r="P165" i="10"/>
  <c r="AN165" i="10"/>
  <c r="X165" i="10"/>
  <c r="P62" i="10"/>
  <c r="AD62" i="10"/>
  <c r="P70" i="10"/>
  <c r="T88" i="10"/>
  <c r="AI89" i="10"/>
  <c r="N166" i="10"/>
  <c r="F85" i="10"/>
  <c r="J98" i="10"/>
  <c r="AL98" i="10" s="1"/>
  <c r="R109" i="10"/>
  <c r="T105" i="10"/>
  <c r="J125" i="10"/>
  <c r="AD130" i="10"/>
  <c r="T151" i="10"/>
  <c r="P82" i="10"/>
  <c r="L109" i="10"/>
  <c r="L125" i="10"/>
  <c r="T139" i="10"/>
  <c r="AN151" i="10"/>
  <c r="P83" i="10"/>
  <c r="AN159" i="10"/>
  <c r="L166" i="10"/>
  <c r="J172" i="10"/>
  <c r="AD172" i="10"/>
  <c r="N172" i="10"/>
  <c r="L154" i="10"/>
  <c r="L161" i="10"/>
  <c r="AN158" i="10"/>
  <c r="AN146" i="10"/>
  <c r="J151" i="10"/>
  <c r="AD151" i="10"/>
  <c r="N151" i="10"/>
  <c r="D43" i="65" s="1"/>
  <c r="N161" i="10"/>
  <c r="X145" i="10"/>
  <c r="J146" i="10"/>
  <c r="J158" i="10"/>
  <c r="X167" i="10"/>
  <c r="J168" i="10"/>
  <c r="J137" i="10"/>
  <c r="P146" i="10"/>
  <c r="X146" i="10"/>
  <c r="P158" i="10"/>
  <c r="X158" i="10"/>
  <c r="P168" i="10"/>
  <c r="AD131" i="10"/>
  <c r="P137" i="10"/>
  <c r="X137" i="10"/>
  <c r="P147" i="10"/>
  <c r="P159" i="10"/>
  <c r="J160" i="10"/>
  <c r="P132" i="10"/>
  <c r="P160" i="10"/>
  <c r="X160" i="10"/>
  <c r="Y131" i="2"/>
  <c r="D70" i="3"/>
  <c r="D71" i="3" s="1"/>
  <c r="P74" i="3"/>
  <c r="P80" i="3"/>
  <c r="L70" i="3"/>
  <c r="L71" i="3" s="1"/>
  <c r="L30" i="3"/>
  <c r="L60" i="3" s="1"/>
  <c r="AB32" i="3"/>
  <c r="BJ39" i="3"/>
  <c r="L46" i="3"/>
  <c r="T81" i="3"/>
  <c r="T79" i="3"/>
  <c r="AR46" i="3"/>
  <c r="R81" i="3"/>
  <c r="AN46" i="3"/>
  <c r="AQ131" i="2"/>
  <c r="AE131" i="2"/>
  <c r="AA111" i="2"/>
  <c r="AS106" i="2"/>
  <c r="AS30" i="2"/>
  <c r="AU26" i="2"/>
  <c r="BA29" i="2"/>
  <c r="AX25" i="3" s="1"/>
  <c r="AY69" i="2"/>
  <c r="I81" i="2"/>
  <c r="AK81" i="2"/>
  <c r="BA83" i="2"/>
  <c r="AG111" i="2"/>
  <c r="O112" i="2"/>
  <c r="Q112" i="2"/>
  <c r="AK117" i="2"/>
  <c r="AG54" i="2"/>
  <c r="BE47" i="2"/>
  <c r="AS111" i="2"/>
  <c r="AS117" i="2"/>
  <c r="O111" i="2"/>
  <c r="AA118" i="2"/>
  <c r="AA112" i="2"/>
  <c r="AI118" i="2"/>
  <c r="K112" i="2"/>
  <c r="W112" i="2"/>
  <c r="Q111" i="2"/>
  <c r="AE118" i="2"/>
  <c r="AE112" i="2"/>
  <c r="AM30" i="2"/>
  <c r="AQ40" i="2"/>
  <c r="AQ45" i="2" s="1"/>
  <c r="AQ54" i="2" s="1"/>
  <c r="AM69" i="2"/>
  <c r="S112" i="2"/>
  <c r="AO106" i="2"/>
  <c r="AO69" i="2"/>
  <c r="S111" i="2"/>
  <c r="O80" i="2"/>
  <c r="W41" i="15"/>
  <c r="R22" i="15"/>
  <c r="R8" i="15"/>
  <c r="R12" i="15"/>
  <c r="R18" i="15"/>
  <c r="R32" i="15"/>
  <c r="I22" i="15"/>
  <c r="I12" i="15"/>
  <c r="I18" i="15"/>
  <c r="I35" i="15"/>
  <c r="Q22" i="15"/>
  <c r="Q8" i="15"/>
  <c r="Q12" i="15"/>
  <c r="Q27" i="15"/>
  <c r="Q32" i="15"/>
  <c r="R29" i="15"/>
  <c r="V35" i="15"/>
  <c r="DH11" i="20"/>
  <c r="P22" i="15"/>
  <c r="P18" i="15"/>
  <c r="W18" i="15"/>
  <c r="X22" i="15"/>
  <c r="X37" i="15"/>
  <c r="I41" i="15"/>
  <c r="E18" i="15"/>
  <c r="M18" i="15"/>
  <c r="P29" i="15"/>
  <c r="CY32" i="20"/>
  <c r="F18" i="15"/>
  <c r="V37" i="15"/>
  <c r="V43" i="15" s="1"/>
  <c r="X12" i="15"/>
  <c r="U74" i="15"/>
  <c r="CZ32" i="20"/>
  <c r="V18" i="15"/>
  <c r="P76" i="15"/>
  <c r="U18" i="15"/>
  <c r="CX32" i="20"/>
  <c r="F15" i="5"/>
  <c r="F62" i="5" s="1"/>
  <c r="Z164" i="38"/>
  <c r="N44" i="5"/>
  <c r="B68" i="5"/>
  <c r="Z81" i="5"/>
  <c r="AA81" i="5" s="1"/>
  <c r="AB81" i="5"/>
  <c r="AC81" i="5" s="1"/>
  <c r="AB221" i="38"/>
  <c r="I63" i="5"/>
  <c r="G15" i="5"/>
  <c r="G62" i="5" s="1"/>
  <c r="B62" i="5"/>
  <c r="DA66" i="20"/>
  <c r="H66" i="5"/>
  <c r="CT72" i="20"/>
  <c r="H62" i="5"/>
  <c r="X66" i="5"/>
  <c r="X62" i="5"/>
  <c r="X63" i="5"/>
  <c r="T77" i="5"/>
  <c r="U77" i="5"/>
  <c r="G66" i="5"/>
  <c r="F66" i="5"/>
  <c r="N66" i="5"/>
  <c r="W66" i="5"/>
  <c r="V66" i="5"/>
  <c r="M66" i="5"/>
  <c r="F72" i="5"/>
  <c r="V77" i="5"/>
  <c r="B41" i="5"/>
  <c r="C41" i="5"/>
  <c r="D41" i="5" s="1"/>
  <c r="E41" i="5" s="1"/>
  <c r="F41" i="5" s="1"/>
  <c r="G41" i="5" s="1"/>
  <c r="H41" i="5" s="1"/>
  <c r="I41" i="5" s="1"/>
  <c r="Q62" i="5"/>
  <c r="G72" i="5"/>
  <c r="I66" i="5"/>
  <c r="Q66" i="5"/>
  <c r="Q77" i="15" s="1"/>
  <c r="I72" i="5"/>
  <c r="AR87" i="1"/>
  <c r="AS97" i="1"/>
  <c r="AS77" i="1"/>
  <c r="AS81" i="1"/>
  <c r="AS23" i="1"/>
  <c r="AS13" i="1"/>
  <c r="AR13" i="11" s="1"/>
  <c r="AW13" i="1"/>
  <c r="AV13" i="11" s="1"/>
  <c r="Z8" i="20"/>
  <c r="Z14" i="20" s="1"/>
  <c r="AD16" i="1"/>
  <c r="AC16" i="1"/>
  <c r="BM100" i="1"/>
  <c r="BQ16" i="1"/>
  <c r="I25" i="1"/>
  <c r="J15" i="1"/>
  <c r="J16" i="1" s="1"/>
  <c r="AG99" i="1"/>
  <c r="AH15" i="1"/>
  <c r="AH16" i="1"/>
  <c r="AG15" i="1"/>
  <c r="AG25" i="1"/>
  <c r="BM16" i="1"/>
  <c r="BM26" i="1"/>
  <c r="J48" i="1"/>
  <c r="E48" i="1"/>
  <c r="D52" i="1"/>
  <c r="BM145" i="1"/>
  <c r="BM24" i="1"/>
  <c r="BN24" i="1"/>
  <c r="BM14" i="1"/>
  <c r="BM60" i="1"/>
  <c r="Q100" i="1"/>
  <c r="U16" i="1"/>
  <c r="AK16" i="1"/>
  <c r="AG26" i="1"/>
  <c r="AG100" i="1"/>
  <c r="X85" i="1"/>
  <c r="X35" i="1"/>
  <c r="Y31" i="1"/>
  <c r="X36" i="1"/>
  <c r="BP132" i="1"/>
  <c r="BP161" i="1" s="1"/>
  <c r="BQ114" i="1"/>
  <c r="BQ104" i="1"/>
  <c r="CC40" i="1"/>
  <c r="BF14" i="20"/>
  <c r="BF40" i="20" s="1"/>
  <c r="AI101" i="38"/>
  <c r="BU143" i="1"/>
  <c r="BU66" i="1"/>
  <c r="BU50" i="1"/>
  <c r="BU58" i="1"/>
  <c r="BT86" i="1"/>
  <c r="BH8" i="20"/>
  <c r="BY12" i="1"/>
  <c r="BX12" i="11" s="1"/>
  <c r="AK97" i="1"/>
  <c r="AJ14" i="1"/>
  <c r="AK98" i="1" s="1"/>
  <c r="AK13" i="1"/>
  <c r="AJ13" i="11" s="1"/>
  <c r="AO13" i="1"/>
  <c r="AN13" i="11" s="1"/>
  <c r="P8" i="20"/>
  <c r="AK77" i="1"/>
  <c r="AK23" i="1"/>
  <c r="AP23" i="1" s="1"/>
  <c r="CO68" i="1"/>
  <c r="CO98" i="1"/>
  <c r="CO24" i="1"/>
  <c r="CP24" i="1" s="1"/>
  <c r="CO78" i="1"/>
  <c r="I26" i="1"/>
  <c r="Q16" i="1"/>
  <c r="AG16" i="1"/>
  <c r="AO20" i="1"/>
  <c r="AP20" i="1"/>
  <c r="AT21" i="1"/>
  <c r="CP22" i="1"/>
  <c r="CZ22" i="1"/>
  <c r="CT22" i="1"/>
  <c r="DA21" i="1"/>
  <c r="Q26" i="1"/>
  <c r="P85" i="1"/>
  <c r="X86" i="1"/>
  <c r="Y32" i="1"/>
  <c r="AD31" i="1"/>
  <c r="AK36" i="1"/>
  <c r="BF44" i="1"/>
  <c r="CZ16" i="20"/>
  <c r="BE98" i="1"/>
  <c r="CC100" i="1"/>
  <c r="AC26" i="1"/>
  <c r="BD87" i="1"/>
  <c r="BF33" i="1"/>
  <c r="BJ33" i="1"/>
  <c r="AO15" i="20"/>
  <c r="AO41" i="20" s="1"/>
  <c r="CO105" i="1"/>
  <c r="CN133" i="1"/>
  <c r="CN162" i="1" s="1"/>
  <c r="CP105" i="1"/>
  <c r="Q99" i="1"/>
  <c r="Q25" i="1"/>
  <c r="R15" i="1"/>
  <c r="Q15" i="1"/>
  <c r="AC14" i="1"/>
  <c r="I15" i="1"/>
  <c r="P84" i="1"/>
  <c r="Q30" i="1"/>
  <c r="P35" i="1"/>
  <c r="Q50" i="1"/>
  <c r="R8" i="20"/>
  <c r="BP16" i="20"/>
  <c r="BU12" i="1"/>
  <c r="BT12" i="11" s="1"/>
  <c r="BT18" i="11" s="1"/>
  <c r="BT24" i="11" s="1"/>
  <c r="BT30" i="11" s="1"/>
  <c r="BT36" i="11" s="1"/>
  <c r="BQ14" i="1"/>
  <c r="R16" i="1"/>
  <c r="BU22" i="1"/>
  <c r="BV22" i="1"/>
  <c r="M24" i="1"/>
  <c r="AD51" i="1"/>
  <c r="AC51" i="1"/>
  <c r="BR52" i="1"/>
  <c r="BN52" i="1"/>
  <c r="BM52" i="1"/>
  <c r="DC17" i="20"/>
  <c r="BM80" i="1"/>
  <c r="BE99" i="1"/>
  <c r="BL84" i="1"/>
  <c r="BN30" i="1"/>
  <c r="BM30" i="1"/>
  <c r="AV15" i="20"/>
  <c r="AV41" i="20"/>
  <c r="BL35" i="1"/>
  <c r="BR30" i="1"/>
  <c r="CS11" i="1"/>
  <c r="DA22" i="1"/>
  <c r="BN22" i="1"/>
  <c r="AF84" i="1"/>
  <c r="AF36" i="1"/>
  <c r="AH30" i="1"/>
  <c r="AF35" i="1"/>
  <c r="AG30" i="1"/>
  <c r="AL30" i="1"/>
  <c r="BE33" i="1"/>
  <c r="CB107" i="1"/>
  <c r="CC117" i="1"/>
  <c r="CC87" i="1"/>
  <c r="BV12" i="20"/>
  <c r="AO94" i="1"/>
  <c r="AN84" i="1"/>
  <c r="AO74" i="1"/>
  <c r="AO30" i="1"/>
  <c r="AS10" i="1"/>
  <c r="AR10" i="11" s="1"/>
  <c r="AN16" i="1"/>
  <c r="AO10" i="1"/>
  <c r="AN10" i="11" s="1"/>
  <c r="CC147" i="1"/>
  <c r="CC26" i="1"/>
  <c r="CD16" i="1"/>
  <c r="CC16" i="1"/>
  <c r="AC24" i="1"/>
  <c r="AJ134" i="1"/>
  <c r="AK106" i="1"/>
  <c r="AK116" i="1"/>
  <c r="AS33" i="1"/>
  <c r="CL36" i="1"/>
  <c r="CK36" i="1"/>
  <c r="U14" i="1"/>
  <c r="U24" i="1"/>
  <c r="CC145" i="1"/>
  <c r="CC68" i="1"/>
  <c r="CC24" i="1"/>
  <c r="CC14" i="1"/>
  <c r="M15" i="1"/>
  <c r="BJ16" i="1"/>
  <c r="BI16" i="1"/>
  <c r="CG146" i="1"/>
  <c r="CG25" i="1"/>
  <c r="CH15" i="1"/>
  <c r="CH16" i="1" s="1"/>
  <c r="CG69" i="1"/>
  <c r="CG15" i="1"/>
  <c r="CO146" i="1"/>
  <c r="CO69" i="1"/>
  <c r="CO99" i="1"/>
  <c r="BB21" i="1"/>
  <c r="BV32" i="1"/>
  <c r="BU32" i="1"/>
  <c r="CO34" i="1"/>
  <c r="CP34" i="1"/>
  <c r="BF60" i="1"/>
  <c r="AX78" i="1"/>
  <c r="AW78" i="1"/>
  <c r="CS142" i="1"/>
  <c r="CS95" i="1"/>
  <c r="CS49" i="1"/>
  <c r="CS75" i="1"/>
  <c r="CS65" i="1"/>
  <c r="E14" i="1"/>
  <c r="E24" i="1"/>
  <c r="M26" i="1"/>
  <c r="N16" i="1"/>
  <c r="M16" i="1"/>
  <c r="AW26" i="1"/>
  <c r="BA16" i="1"/>
  <c r="BJ20" i="1"/>
  <c r="CP20" i="1"/>
  <c r="CZ20" i="1"/>
  <c r="F173" i="10"/>
  <c r="N59" i="1"/>
  <c r="I59" i="1"/>
  <c r="D139" i="9"/>
  <c r="H139" i="9" s="1"/>
  <c r="BU144" i="1"/>
  <c r="BU97" i="1"/>
  <c r="BU67" i="1"/>
  <c r="BT87" i="1"/>
  <c r="BU23" i="1"/>
  <c r="BV23" i="1" s="1"/>
  <c r="BY13" i="1"/>
  <c r="BX13" i="11" s="1"/>
  <c r="BX19" i="11" s="1"/>
  <c r="BX25" i="11" s="1"/>
  <c r="BX31" i="11" s="1"/>
  <c r="BU13" i="1"/>
  <c r="BT13" i="11" s="1"/>
  <c r="BT19" i="11" s="1"/>
  <c r="BT25" i="11" s="1"/>
  <c r="BT31" i="11" s="1"/>
  <c r="BT37" i="11" s="1"/>
  <c r="BA144" i="1"/>
  <c r="AZ87" i="1"/>
  <c r="BA97" i="1"/>
  <c r="BA59" i="1"/>
  <c r="BA77" i="1"/>
  <c r="AZ14" i="1"/>
  <c r="N7" i="15" s="1"/>
  <c r="Y118" i="2" s="1"/>
  <c r="BA43" i="1"/>
  <c r="BA67" i="1"/>
  <c r="BA51" i="1"/>
  <c r="BA23" i="1"/>
  <c r="BA13" i="1"/>
  <c r="AZ13" i="11" s="1"/>
  <c r="BE13" i="1"/>
  <c r="BD13" i="11" s="1"/>
  <c r="BD25" i="11" s="1"/>
  <c r="AJ8" i="20"/>
  <c r="BY68" i="1"/>
  <c r="BY98" i="1"/>
  <c r="BY24" i="1"/>
  <c r="BQ32" i="1"/>
  <c r="BP86" i="1"/>
  <c r="BC15" i="20"/>
  <c r="BP36" i="1"/>
  <c r="CB84" i="1"/>
  <c r="CB35" i="1"/>
  <c r="CB34" i="1"/>
  <c r="CD30" i="1"/>
  <c r="CC30" i="1"/>
  <c r="BP15" i="20"/>
  <c r="BP41" i="20" s="1"/>
  <c r="CB36" i="1"/>
  <c r="CH36" i="1" s="1"/>
  <c r="H15" i="20"/>
  <c r="H56" i="20" s="1"/>
  <c r="D138" i="9"/>
  <c r="H138" i="9" s="1"/>
  <c r="AI131" i="9"/>
  <c r="BE24" i="1"/>
  <c r="BJ24" i="1" s="1"/>
  <c r="BE44" i="1"/>
  <c r="CR15" i="1"/>
  <c r="AW99" i="1"/>
  <c r="AX15" i="1"/>
  <c r="AX16" i="1" s="1"/>
  <c r="AW25" i="1"/>
  <c r="BE146" i="1"/>
  <c r="BE79" i="1"/>
  <c r="BE25" i="1"/>
  <c r="BF15" i="1"/>
  <c r="BF16" i="1" s="1"/>
  <c r="BM79" i="1"/>
  <c r="BM99" i="1"/>
  <c r="BN15" i="1"/>
  <c r="BN16" i="1" s="1"/>
  <c r="BM15" i="1"/>
  <c r="BM25" i="1"/>
  <c r="CG70" i="1"/>
  <c r="CK16" i="1"/>
  <c r="CG100" i="1"/>
  <c r="BH84" i="1"/>
  <c r="BH26" i="1"/>
  <c r="BI26" i="1"/>
  <c r="AQ10" i="20"/>
  <c r="BH25" i="1"/>
  <c r="BI25" i="1"/>
  <c r="BJ25" i="1" s="1"/>
  <c r="BR22" i="1"/>
  <c r="CD22" i="1"/>
  <c r="AF34" i="1"/>
  <c r="BV33" i="1"/>
  <c r="BU33" i="1"/>
  <c r="BI15" i="20"/>
  <c r="BZ33" i="1"/>
  <c r="BU42" i="1"/>
  <c r="AJ87" i="1"/>
  <c r="BH107" i="1"/>
  <c r="BI87" i="1"/>
  <c r="BN87" i="1"/>
  <c r="CD56" i="1"/>
  <c r="AR215" i="38" s="1"/>
  <c r="CC56" i="1"/>
  <c r="CF56" i="1"/>
  <c r="BN60" i="1"/>
  <c r="BJ60" i="1"/>
  <c r="BI60" i="1"/>
  <c r="I79" i="1"/>
  <c r="BR75" i="1"/>
  <c r="BQ75" i="1"/>
  <c r="BP79" i="1"/>
  <c r="BQ79" i="1" s="1"/>
  <c r="BV75" i="1"/>
  <c r="BP76" i="1"/>
  <c r="BL105" i="1"/>
  <c r="BM85" i="1"/>
  <c r="BB11" i="20"/>
  <c r="AR84" i="1"/>
  <c r="AS74" i="1"/>
  <c r="AS94" i="1"/>
  <c r="AS30" i="1"/>
  <c r="Q24" i="1"/>
  <c r="AG24" i="1"/>
  <c r="U25" i="1"/>
  <c r="AK79" i="1"/>
  <c r="AK25" i="1"/>
  <c r="BQ146" i="1"/>
  <c r="BQ25" i="1"/>
  <c r="DB21" i="1"/>
  <c r="T84" i="1"/>
  <c r="V30" i="1"/>
  <c r="U30" i="1"/>
  <c r="CG34" i="1"/>
  <c r="Z51" i="1"/>
  <c r="Y51" i="1"/>
  <c r="BD70" i="1"/>
  <c r="BE70" i="1"/>
  <c r="BD69" i="1"/>
  <c r="BE69" i="1"/>
  <c r="BE64" i="1"/>
  <c r="CC70" i="1"/>
  <c r="CG89" i="1"/>
  <c r="CL89" i="1"/>
  <c r="BI98" i="1"/>
  <c r="BX86" i="1"/>
  <c r="CD32" i="1"/>
  <c r="AR169" i="38"/>
  <c r="BZ32" i="1"/>
  <c r="N50" i="1"/>
  <c r="I50" i="1"/>
  <c r="H52" i="1"/>
  <c r="AD56" i="1"/>
  <c r="DB18" i="20"/>
  <c r="BU141" i="1"/>
  <c r="BU48" i="1"/>
  <c r="BU56" i="1"/>
  <c r="BU64" i="1"/>
  <c r="BU74" i="1"/>
  <c r="BT14" i="1"/>
  <c r="Q14" i="1"/>
  <c r="AG14" i="1"/>
  <c r="BI14" i="1"/>
  <c r="CG78" i="1"/>
  <c r="CG24" i="1"/>
  <c r="E15" i="1"/>
  <c r="U15" i="1"/>
  <c r="AK15" i="1"/>
  <c r="BE26" i="1"/>
  <c r="BQ15" i="1"/>
  <c r="BT16" i="1"/>
  <c r="CP21" i="1"/>
  <c r="CZ21" i="1"/>
  <c r="AF87" i="1"/>
  <c r="AH33" i="1"/>
  <c r="AG33" i="1"/>
  <c r="AJ85" i="1"/>
  <c r="AP31" i="1"/>
  <c r="AL31" i="1"/>
  <c r="AJ35" i="1"/>
  <c r="BP85" i="1"/>
  <c r="BP89" i="1" s="1"/>
  <c r="BQ89" i="1" s="1"/>
  <c r="BR31" i="1"/>
  <c r="BQ31" i="1"/>
  <c r="DA31" i="1" s="1"/>
  <c r="CN84" i="1"/>
  <c r="CN36" i="1"/>
  <c r="CT30" i="1"/>
  <c r="CP30" i="1"/>
  <c r="CN35" i="1"/>
  <c r="CO30" i="1"/>
  <c r="CH35" i="1"/>
  <c r="CG35" i="1"/>
  <c r="BX42" i="1"/>
  <c r="J51" i="1"/>
  <c r="Q51" i="1"/>
  <c r="AB52" i="1"/>
  <c r="CD58" i="1"/>
  <c r="CK89" i="1"/>
  <c r="M100" i="1"/>
  <c r="CO100" i="1"/>
  <c r="BA40" i="1"/>
  <c r="BF40" i="1"/>
  <c r="AZ30" i="1"/>
  <c r="R57" i="1"/>
  <c r="Q57" i="1"/>
  <c r="BV59" i="1"/>
  <c r="BU59" i="1"/>
  <c r="BX59" i="1"/>
  <c r="BX60" i="1" s="1"/>
  <c r="BT60" i="1"/>
  <c r="S28" i="15" s="1"/>
  <c r="BE80" i="1"/>
  <c r="BB79" i="1"/>
  <c r="BF79" i="1"/>
  <c r="BA79" i="1"/>
  <c r="BU142" i="1"/>
  <c r="BU85" i="1"/>
  <c r="BU57" i="1"/>
  <c r="BU75" i="1"/>
  <c r="BU65" i="1"/>
  <c r="BU41" i="1"/>
  <c r="BU49" i="1"/>
  <c r="CK78" i="1"/>
  <c r="CK52" i="1"/>
  <c r="CK24" i="1"/>
  <c r="CL24" i="1" s="1"/>
  <c r="CK68" i="1"/>
  <c r="BA100" i="1"/>
  <c r="BA26" i="1"/>
  <c r="BQ26" i="1"/>
  <c r="BR26" i="1"/>
  <c r="CK147" i="1"/>
  <c r="CK70" i="1"/>
  <c r="CK26" i="1"/>
  <c r="U26" i="1"/>
  <c r="D84" i="1"/>
  <c r="E50" i="1"/>
  <c r="E94" i="1"/>
  <c r="E30" i="1"/>
  <c r="AB86" i="1"/>
  <c r="AD32" i="1"/>
  <c r="AC32" i="1"/>
  <c r="AK86" i="1"/>
  <c r="AZ86" i="1"/>
  <c r="BB86" i="1" s="1"/>
  <c r="BB32" i="1"/>
  <c r="BH36" i="1"/>
  <c r="BJ30" i="1"/>
  <c r="BI30" i="1"/>
  <c r="BH35" i="1"/>
  <c r="BN31" i="1"/>
  <c r="BM31" i="1"/>
  <c r="BQ87" i="1"/>
  <c r="BP107" i="1"/>
  <c r="AT34" i="1"/>
  <c r="AX34" i="1"/>
  <c r="AW34" i="1"/>
  <c r="CL34" i="1"/>
  <c r="CG36" i="1"/>
  <c r="V48" i="1"/>
  <c r="U48" i="1"/>
  <c r="Z48" i="1"/>
  <c r="CT52" i="1"/>
  <c r="E57" i="1"/>
  <c r="BM69" i="1"/>
  <c r="X77" i="1"/>
  <c r="X78" i="1"/>
  <c r="Y76" i="1"/>
  <c r="X80" i="1"/>
  <c r="AG79" i="1"/>
  <c r="AL79" i="1"/>
  <c r="BM98" i="1"/>
  <c r="CK98" i="1"/>
  <c r="CP52" i="1"/>
  <c r="CO52" i="1"/>
  <c r="V57" i="1"/>
  <c r="U57" i="1"/>
  <c r="AG78" i="1"/>
  <c r="AL78" i="1"/>
  <c r="AR14" i="1"/>
  <c r="L7" i="15" s="1"/>
  <c r="W117" i="2" s="1"/>
  <c r="AR15" i="1"/>
  <c r="CC69" i="1"/>
  <c r="CC25" i="1"/>
  <c r="CD25" i="1" s="1"/>
  <c r="AR162" i="38" s="1"/>
  <c r="CC99" i="1"/>
  <c r="BQ24" i="1"/>
  <c r="AB87" i="1"/>
  <c r="AC33" i="1"/>
  <c r="BD84" i="1"/>
  <c r="BD35" i="1"/>
  <c r="BD34" i="1"/>
  <c r="BI85" i="1"/>
  <c r="BH105" i="1"/>
  <c r="BN85" i="1"/>
  <c r="BU31" i="1"/>
  <c r="AO32" i="1"/>
  <c r="AN86" i="1"/>
  <c r="AN36" i="1"/>
  <c r="AX35" i="1"/>
  <c r="AW35" i="1"/>
  <c r="CL35" i="1"/>
  <c r="CK35" i="1"/>
  <c r="BT44" i="1"/>
  <c r="S24" i="15" s="1"/>
  <c r="BV40" i="1"/>
  <c r="BU40" i="1"/>
  <c r="BT30" i="1"/>
  <c r="P52" i="1"/>
  <c r="R48" i="1"/>
  <c r="Q48" i="1"/>
  <c r="AD59" i="1"/>
  <c r="AC59" i="1"/>
  <c r="AB60" i="1"/>
  <c r="CN76" i="1"/>
  <c r="CT75" i="1"/>
  <c r="CP75" i="1"/>
  <c r="CO75" i="1"/>
  <c r="AG80" i="1"/>
  <c r="BJ85" i="1"/>
  <c r="BP100" i="1"/>
  <c r="BQ100" i="1" s="1"/>
  <c r="BP98" i="1"/>
  <c r="R40" i="15" s="1"/>
  <c r="BP99" i="1"/>
  <c r="BQ99" i="1" s="1"/>
  <c r="CC98" i="1"/>
  <c r="AV135" i="1"/>
  <c r="AW117" i="1"/>
  <c r="AW107" i="1"/>
  <c r="AB35" i="1"/>
  <c r="BD105" i="1"/>
  <c r="BE85" i="1"/>
  <c r="BH106" i="1"/>
  <c r="BI86" i="1"/>
  <c r="BN86" i="1"/>
  <c r="BP34" i="1"/>
  <c r="BX89" i="1"/>
  <c r="CD89" i="1" s="1"/>
  <c r="BX34" i="1"/>
  <c r="BX40" i="1"/>
  <c r="CD40" i="1" s="1"/>
  <c r="BU43" i="1"/>
  <c r="BI44" i="1"/>
  <c r="AD49" i="1"/>
  <c r="AC49" i="1"/>
  <c r="AD57" i="1"/>
  <c r="BI70" i="1"/>
  <c r="CO70" i="1"/>
  <c r="AW89" i="1"/>
  <c r="CF105" i="1"/>
  <c r="CH85" i="1"/>
  <c r="CF90" i="1"/>
  <c r="CG90" i="1" s="1"/>
  <c r="CG85" i="1"/>
  <c r="CN107" i="1"/>
  <c r="CP87" i="1"/>
  <c r="CB176" i="1"/>
  <c r="CB177" i="1"/>
  <c r="D177" i="1"/>
  <c r="D176" i="1"/>
  <c r="AP30" i="1"/>
  <c r="BX85" i="1"/>
  <c r="BX41" i="1"/>
  <c r="J50" i="1"/>
  <c r="V51" i="1"/>
  <c r="AD50" i="1"/>
  <c r="AC50" i="1"/>
  <c r="E59" i="1"/>
  <c r="J59" i="1"/>
  <c r="R56" i="1"/>
  <c r="AD58" i="1"/>
  <c r="AC58" i="1"/>
  <c r="BP70" i="1"/>
  <c r="BQ70" i="1" s="1"/>
  <c r="BP69" i="1"/>
  <c r="BQ69" i="1" s="1"/>
  <c r="AB78" i="1"/>
  <c r="H34" i="15" s="1"/>
  <c r="AH78" i="1"/>
  <c r="AH76" i="1"/>
  <c r="AD76" i="1"/>
  <c r="AC76" i="1"/>
  <c r="AP80" i="1"/>
  <c r="AT80" i="1"/>
  <c r="AX80" i="1"/>
  <c r="AB85" i="1"/>
  <c r="CO87" i="1"/>
  <c r="BU94" i="1"/>
  <c r="I98" i="1"/>
  <c r="AW100" i="1"/>
  <c r="AB36" i="1"/>
  <c r="AJ104" i="1"/>
  <c r="AK84" i="1"/>
  <c r="AL32" i="1"/>
  <c r="BD106" i="1"/>
  <c r="BE86" i="1"/>
  <c r="BP35" i="1"/>
  <c r="CN86" i="1"/>
  <c r="BX35" i="1"/>
  <c r="BQ44" i="1"/>
  <c r="N51" i="1"/>
  <c r="I51" i="1"/>
  <c r="R49" i="1"/>
  <c r="V49" i="1"/>
  <c r="Q49" i="1"/>
  <c r="X52" i="1"/>
  <c r="BZ48" i="1"/>
  <c r="CD48" i="1"/>
  <c r="AR185" i="38" s="1"/>
  <c r="AR207" i="38"/>
  <c r="BY48" i="1"/>
  <c r="CD50" i="1"/>
  <c r="AR209" i="38" s="1"/>
  <c r="CC50" i="1"/>
  <c r="BE52" i="1"/>
  <c r="H60" i="1"/>
  <c r="R58" i="1"/>
  <c r="V58" i="1"/>
  <c r="Q58" i="1"/>
  <c r="BZ56" i="1"/>
  <c r="BY56" i="1"/>
  <c r="AZ85" i="1"/>
  <c r="CK90" i="1"/>
  <c r="BU96" i="1"/>
  <c r="I100" i="1"/>
  <c r="BA99" i="1"/>
  <c r="BI99" i="1"/>
  <c r="CG98" i="1"/>
  <c r="CP107" i="1"/>
  <c r="CK107" i="1"/>
  <c r="CJ135" i="1"/>
  <c r="CJ164" i="1" s="1"/>
  <c r="CB118" i="1"/>
  <c r="U46" i="15" s="1"/>
  <c r="CK117" i="1"/>
  <c r="I31" i="1"/>
  <c r="Y50" i="1"/>
  <c r="X84" i="1"/>
  <c r="AF106" i="1"/>
  <c r="AL86" i="1"/>
  <c r="AG86" i="1"/>
  <c r="AK30" i="1"/>
  <c r="BQ84" i="1"/>
  <c r="Y48" i="1"/>
  <c r="BX52" i="1"/>
  <c r="CD51" i="1"/>
  <c r="CC51" i="1"/>
  <c r="BZ57" i="1"/>
  <c r="BY57" i="1"/>
  <c r="CB57" i="1"/>
  <c r="CG68" i="1"/>
  <c r="BH76" i="1"/>
  <c r="BH80" i="1"/>
  <c r="BJ75" i="1"/>
  <c r="BI75" i="1"/>
  <c r="BH79" i="1"/>
  <c r="BM77" i="1"/>
  <c r="AL80" i="1"/>
  <c r="AK80" i="1"/>
  <c r="AV134" i="1"/>
  <c r="AW116" i="1"/>
  <c r="AW106" i="1"/>
  <c r="U98" i="1"/>
  <c r="BI100" i="1"/>
  <c r="J56" i="1"/>
  <c r="D79" i="1"/>
  <c r="P79" i="1"/>
  <c r="Q75" i="1"/>
  <c r="BX76" i="1"/>
  <c r="CJ106" i="1"/>
  <c r="CL86" i="1"/>
  <c r="Q98" i="1"/>
  <c r="AK99" i="1"/>
  <c r="BE100" i="1"/>
  <c r="CK99" i="1"/>
  <c r="P76" i="1"/>
  <c r="AZ78" i="1"/>
  <c r="N34" i="15" s="1"/>
  <c r="N35" i="15" s="1"/>
  <c r="AZ80" i="1"/>
  <c r="BF80" i="1" s="1"/>
  <c r="CB76" i="1"/>
  <c r="CD75" i="1"/>
  <c r="AV104" i="1"/>
  <c r="AV90" i="1"/>
  <c r="AV88" i="1"/>
  <c r="BY87" i="1"/>
  <c r="CD87" i="1"/>
  <c r="BX107" i="1"/>
  <c r="CK86" i="1"/>
  <c r="AR105" i="1"/>
  <c r="AX85" i="1"/>
  <c r="AS85" i="1"/>
  <c r="I99" i="1"/>
  <c r="AC100" i="1"/>
  <c r="BA98" i="1"/>
  <c r="CK100" i="1"/>
  <c r="V75" i="1"/>
  <c r="AK78" i="1"/>
  <c r="AW80" i="1"/>
  <c r="BX79" i="1"/>
  <c r="AT87" i="1"/>
  <c r="AO87" i="1"/>
  <c r="AN107" i="1"/>
  <c r="CJ88" i="1"/>
  <c r="CG99" i="1"/>
  <c r="CN118" i="1"/>
  <c r="X46" i="15" s="1"/>
  <c r="CO115" i="1"/>
  <c r="AB80" i="1"/>
  <c r="CR104" i="1"/>
  <c r="CS84" i="1"/>
  <c r="Y100" i="1"/>
  <c r="AW98" i="1"/>
  <c r="BY100" i="1"/>
  <c r="CC115" i="1"/>
  <c r="CC105" i="1"/>
  <c r="AF177" i="1"/>
  <c r="AF176" i="1"/>
  <c r="BT79" i="1"/>
  <c r="BV79" i="1" s="1"/>
  <c r="CF79" i="1"/>
  <c r="BT99" i="1"/>
  <c r="CJ104" i="1"/>
  <c r="BM75" i="1"/>
  <c r="BL78" i="1"/>
  <c r="CF76" i="1"/>
  <c r="AB79" i="1"/>
  <c r="CK84" i="1"/>
  <c r="CR99" i="1"/>
  <c r="BT105" i="1"/>
  <c r="CH86" i="1"/>
  <c r="CK105" i="1"/>
  <c r="CJ115" i="1"/>
  <c r="CA26" i="20" s="1"/>
  <c r="AS116" i="1"/>
  <c r="AR134" i="1"/>
  <c r="AX106" i="1"/>
  <c r="CK145" i="1"/>
  <c r="CR177" i="1"/>
  <c r="Y57" i="15"/>
  <c r="D13" i="68" s="1"/>
  <c r="CC116" i="1"/>
  <c r="CC106" i="1"/>
  <c r="CN120" i="1"/>
  <c r="BA147" i="1"/>
  <c r="BM115" i="1"/>
  <c r="CJ200" i="1"/>
  <c r="BD118" i="1"/>
  <c r="O46" i="15" s="1"/>
  <c r="BE116" i="1"/>
  <c r="BY145" i="1"/>
  <c r="AR200" i="1"/>
  <c r="X33" i="20" s="1"/>
  <c r="AF203" i="1"/>
  <c r="I72" i="15" s="1"/>
  <c r="BL120" i="1"/>
  <c r="CN119" i="1"/>
  <c r="BI147" i="1"/>
  <c r="BQ145" i="1"/>
  <c r="CG145" i="1"/>
  <c r="X177" i="1"/>
  <c r="BA146" i="1"/>
  <c r="CG147" i="1"/>
  <c r="T177" i="1"/>
  <c r="T176" i="1"/>
  <c r="X201" i="1"/>
  <c r="X200" i="1"/>
  <c r="X191" i="1"/>
  <c r="BT118" i="1"/>
  <c r="S46" i="15" s="1"/>
  <c r="CK146" i="1"/>
  <c r="BQ147" i="1"/>
  <c r="CO145" i="1"/>
  <c r="BY147" i="1"/>
  <c r="CJ176" i="1"/>
  <c r="P177" i="1"/>
  <c r="P176" i="1"/>
  <c r="CJ177" i="1"/>
  <c r="BL147" i="1"/>
  <c r="BM147" i="1"/>
  <c r="CO147" i="1"/>
  <c r="CC146" i="1"/>
  <c r="X176" i="1"/>
  <c r="AN175" i="1"/>
  <c r="K57" i="15" s="1"/>
  <c r="CW32" i="20" s="1"/>
  <c r="CR176" i="1"/>
  <c r="AB176" i="1"/>
  <c r="CJ208" i="1"/>
  <c r="CJ209" i="1" s="1"/>
  <c r="CJ210" i="1" s="1"/>
  <c r="W73" i="15" s="1"/>
  <c r="W74" i="15" s="1"/>
  <c r="CN206" i="1"/>
  <c r="A159" i="9"/>
  <c r="A166" i="9"/>
  <c r="A131" i="9"/>
  <c r="A173" i="9"/>
  <c r="A152" i="9"/>
  <c r="A145" i="9"/>
  <c r="A103" i="9"/>
  <c r="A124" i="9"/>
  <c r="A138" i="9"/>
  <c r="A117" i="9"/>
  <c r="A110" i="9"/>
  <c r="A96" i="9"/>
  <c r="A75" i="9"/>
  <c r="A61" i="9"/>
  <c r="A47" i="9"/>
  <c r="A19" i="9"/>
  <c r="A89" i="9"/>
  <c r="A54" i="9"/>
  <c r="A40" i="9"/>
  <c r="A82" i="9"/>
  <c r="B175" i="9"/>
  <c r="B140" i="9"/>
  <c r="B168" i="9"/>
  <c r="B161" i="9"/>
  <c r="B154" i="9"/>
  <c r="B133" i="9"/>
  <c r="B119" i="9"/>
  <c r="B112" i="9"/>
  <c r="B91" i="9"/>
  <c r="B49" i="9"/>
  <c r="B21" i="9"/>
  <c r="B126" i="9"/>
  <c r="B98" i="9"/>
  <c r="B147" i="9"/>
  <c r="B105" i="9"/>
  <c r="B84" i="9"/>
  <c r="B63" i="9"/>
  <c r="B35" i="9"/>
  <c r="B28" i="9"/>
  <c r="B70" i="9"/>
  <c r="D19" i="9"/>
  <c r="H19" i="9" s="1"/>
  <c r="AI19" i="9"/>
  <c r="D26" i="9"/>
  <c r="H26" i="9" s="1"/>
  <c r="D64" i="9"/>
  <c r="H64" i="9" s="1"/>
  <c r="L90" i="9"/>
  <c r="L91" i="9"/>
  <c r="N98" i="9" s="1"/>
  <c r="J92" i="38"/>
  <c r="L92" i="38" s="1"/>
  <c r="U92" i="38" s="1"/>
  <c r="AI20" i="9"/>
  <c r="A26" i="9"/>
  <c r="D47" i="9"/>
  <c r="H47" i="9" s="1"/>
  <c r="AI47" i="9"/>
  <c r="D54" i="9"/>
  <c r="H54" i="9" s="1"/>
  <c r="D69" i="9"/>
  <c r="H69" i="9"/>
  <c r="AI69" i="9"/>
  <c r="D76" i="9"/>
  <c r="H76" i="9" s="1"/>
  <c r="L19" i="9"/>
  <c r="U19" i="9" s="1"/>
  <c r="AI70" i="9"/>
  <c r="D70" i="9"/>
  <c r="H70" i="9" s="1"/>
  <c r="K125" i="9"/>
  <c r="K126" i="9"/>
  <c r="L125" i="9"/>
  <c r="N125" i="9"/>
  <c r="AV159" i="9"/>
  <c r="AU159" i="9" s="1"/>
  <c r="AI14" i="9"/>
  <c r="U14" i="9"/>
  <c r="D21" i="9"/>
  <c r="H21" i="9" s="1"/>
  <c r="P21" i="9" s="1"/>
  <c r="U34" i="9"/>
  <c r="W34" i="9" s="1"/>
  <c r="D34" i="9"/>
  <c r="H34" i="9" s="1"/>
  <c r="AI34" i="9"/>
  <c r="D41" i="9"/>
  <c r="H41" i="9" s="1"/>
  <c r="AI57" i="9"/>
  <c r="B77" i="9"/>
  <c r="A33" i="9"/>
  <c r="AI33" i="9"/>
  <c r="D33" i="9"/>
  <c r="H33" i="9" s="1"/>
  <c r="D40" i="9"/>
  <c r="H40" i="9" s="1"/>
  <c r="AC78" i="20"/>
  <c r="H35" i="9"/>
  <c r="AB49" i="9"/>
  <c r="A68" i="9"/>
  <c r="S86" i="9"/>
  <c r="N21" i="9"/>
  <c r="B42" i="9"/>
  <c r="B167" i="9"/>
  <c r="B174" i="9"/>
  <c r="B160" i="9"/>
  <c r="B125" i="9"/>
  <c r="B153" i="9"/>
  <c r="B139" i="9"/>
  <c r="B118" i="9"/>
  <c r="B111" i="9"/>
  <c r="B146" i="9"/>
  <c r="B34" i="9"/>
  <c r="B97" i="9"/>
  <c r="B48" i="9"/>
  <c r="B20" i="9"/>
  <c r="B104" i="9"/>
  <c r="B76" i="9"/>
  <c r="B83" i="9"/>
  <c r="B132" i="9"/>
  <c r="B90" i="9"/>
  <c r="B55" i="9"/>
  <c r="B56" i="9"/>
  <c r="N20" i="9"/>
  <c r="B44" i="9"/>
  <c r="AI48" i="9"/>
  <c r="U48" i="9"/>
  <c r="D48" i="9"/>
  <c r="H48" i="9" s="1"/>
  <c r="P48" i="9" s="1"/>
  <c r="S79" i="9"/>
  <c r="K7" i="5" s="1"/>
  <c r="D77" i="9"/>
  <c r="H77" i="9" s="1"/>
  <c r="AI77" i="9"/>
  <c r="D84" i="9"/>
  <c r="H84" i="9"/>
  <c r="N148" i="9"/>
  <c r="L149" i="9"/>
  <c r="B23" i="9"/>
  <c r="U21" i="9"/>
  <c r="W21" i="9" s="1"/>
  <c r="AI41" i="9"/>
  <c r="U41" i="9"/>
  <c r="W41" i="9" s="1"/>
  <c r="D55" i="9"/>
  <c r="H55" i="9" s="1"/>
  <c r="AI106" i="9"/>
  <c r="A133" i="9"/>
  <c r="A175" i="9"/>
  <c r="A56" i="9"/>
  <c r="B142" i="9"/>
  <c r="B149" i="9"/>
  <c r="B135" i="9"/>
  <c r="B156" i="9"/>
  <c r="B128" i="9"/>
  <c r="B107" i="9"/>
  <c r="B100" i="9"/>
  <c r="B93" i="9"/>
  <c r="B79" i="9"/>
  <c r="B65" i="9"/>
  <c r="B30" i="9"/>
  <c r="B86" i="9"/>
  <c r="B72" i="9"/>
  <c r="B51" i="9"/>
  <c r="B121" i="9"/>
  <c r="D28" i="9"/>
  <c r="H28" i="9" s="1"/>
  <c r="AI28" i="9"/>
  <c r="AI42" i="9"/>
  <c r="D42" i="9"/>
  <c r="H42" i="9" s="1"/>
  <c r="N174" i="9"/>
  <c r="J127" i="38"/>
  <c r="L128" i="38" s="1"/>
  <c r="U128" i="38" s="1"/>
  <c r="A141" i="9"/>
  <c r="A148" i="9"/>
  <c r="A169" i="9"/>
  <c r="A162" i="9"/>
  <c r="A176" i="9"/>
  <c r="A155" i="9"/>
  <c r="A120" i="9"/>
  <c r="A106" i="9"/>
  <c r="A78" i="9"/>
  <c r="A64" i="9"/>
  <c r="A50" i="9"/>
  <c r="A22" i="9"/>
  <c r="A92" i="9"/>
  <c r="A71" i="9"/>
  <c r="A36" i="9"/>
  <c r="A127" i="9"/>
  <c r="A113" i="9"/>
  <c r="A134" i="9"/>
  <c r="A85" i="9"/>
  <c r="B37" i="9"/>
  <c r="D56" i="9"/>
  <c r="H56" i="9" s="1"/>
  <c r="B177" i="9"/>
  <c r="N48" i="9"/>
  <c r="U55" i="9"/>
  <c r="W55" i="9" s="1"/>
  <c r="AI55" i="9"/>
  <c r="N105" i="9"/>
  <c r="U49" i="9"/>
  <c r="D71" i="9"/>
  <c r="H71" i="9" s="1"/>
  <c r="AI78" i="9"/>
  <c r="L133" i="9"/>
  <c r="K133" i="9"/>
  <c r="AI166" i="9"/>
  <c r="U166" i="9"/>
  <c r="S170" i="9"/>
  <c r="D173" i="9"/>
  <c r="H173" i="9" s="1"/>
  <c r="P173" i="9" s="1"/>
  <c r="N56" i="9"/>
  <c r="S65" i="9"/>
  <c r="I7" i="5" s="1"/>
  <c r="AI63" i="9"/>
  <c r="D78" i="9"/>
  <c r="H78" i="9"/>
  <c r="N112" i="9"/>
  <c r="AV169" i="9"/>
  <c r="AU169" i="9" s="1"/>
  <c r="AQ169" i="9"/>
  <c r="AP169" i="9"/>
  <c r="AI64" i="9"/>
  <c r="D85" i="9"/>
  <c r="H85" i="9"/>
  <c r="AI85" i="9"/>
  <c r="AI126" i="9"/>
  <c r="S128" i="9"/>
  <c r="AQ131" i="9"/>
  <c r="AP131" i="9" s="1"/>
  <c r="P154" i="9"/>
  <c r="A27" i="9"/>
  <c r="B29" i="9"/>
  <c r="A55" i="9"/>
  <c r="B64" i="9"/>
  <c r="S72" i="9"/>
  <c r="J7" i="5" s="1"/>
  <c r="B78" i="9"/>
  <c r="AI127" i="9"/>
  <c r="D134" i="9"/>
  <c r="H134" i="9" s="1"/>
  <c r="AQ140" i="9"/>
  <c r="AP140" i="9" s="1"/>
  <c r="L139" i="9"/>
  <c r="K139" i="9"/>
  <c r="K140" i="9"/>
  <c r="AB146" i="9"/>
  <c r="B159" i="9"/>
  <c r="B166" i="9"/>
  <c r="B173" i="9"/>
  <c r="B124" i="9"/>
  <c r="B145" i="9"/>
  <c r="B152" i="9"/>
  <c r="B96" i="9"/>
  <c r="B138" i="9"/>
  <c r="B40" i="9"/>
  <c r="B54" i="9"/>
  <c r="B68" i="9"/>
  <c r="B89" i="9"/>
  <c r="U105" i="9"/>
  <c r="B120" i="9"/>
  <c r="L163" i="9"/>
  <c r="N163" i="9" s="1"/>
  <c r="N159" i="9"/>
  <c r="A167" i="9"/>
  <c r="A146" i="9"/>
  <c r="A118" i="9"/>
  <c r="A111" i="9"/>
  <c r="A160" i="9"/>
  <c r="A104" i="9"/>
  <c r="A97" i="9"/>
  <c r="B176" i="9"/>
  <c r="B141" i="9"/>
  <c r="B148" i="9"/>
  <c r="B134" i="9"/>
  <c r="B113" i="9"/>
  <c r="B169" i="9"/>
  <c r="B127" i="9"/>
  <c r="B106" i="9"/>
  <c r="A41" i="9"/>
  <c r="B43" i="9"/>
  <c r="B57" i="9"/>
  <c r="B71" i="9"/>
  <c r="B82" i="9"/>
  <c r="J119" i="9"/>
  <c r="V118" i="10" s="1"/>
  <c r="K118" i="9"/>
  <c r="A153" i="9"/>
  <c r="D131" i="9"/>
  <c r="H131" i="9" s="1"/>
  <c r="AI124" i="9"/>
  <c r="AV147" i="9"/>
  <c r="AU147" i="9" s="1"/>
  <c r="AB155" i="9"/>
  <c r="D160" i="9"/>
  <c r="H160" i="9" s="1"/>
  <c r="D132" i="9"/>
  <c r="AV173" i="9"/>
  <c r="AU173" i="9" s="1"/>
  <c r="AQ173" i="9"/>
  <c r="AP173" i="9" s="1"/>
  <c r="AR156" i="9"/>
  <c r="AV152" i="9"/>
  <c r="AU152" i="9" s="1"/>
  <c r="AK153" i="9"/>
  <c r="N166" i="9"/>
  <c r="L170" i="9"/>
  <c r="N170" i="9"/>
  <c r="N173" i="9"/>
  <c r="AI141" i="9"/>
  <c r="U141" i="9"/>
  <c r="N155" i="9"/>
  <c r="S156" i="9"/>
  <c r="D152" i="9"/>
  <c r="H152" i="9" s="1"/>
  <c r="P152" i="9" s="1"/>
  <c r="AQ159" i="9"/>
  <c r="U167" i="9"/>
  <c r="W167" i="9" s="1"/>
  <c r="D167" i="9"/>
  <c r="H167" i="9"/>
  <c r="N156" i="9"/>
  <c r="U159" i="9"/>
  <c r="S163" i="9"/>
  <c r="D159" i="9"/>
  <c r="H159" i="9" s="1"/>
  <c r="P159" i="9" s="1"/>
  <c r="AI159" i="9"/>
  <c r="AR170" i="9"/>
  <c r="D168" i="9"/>
  <c r="H168" i="9" s="1"/>
  <c r="AV154" i="9"/>
  <c r="AU154" i="9" s="1"/>
  <c r="AI139" i="9"/>
  <c r="U148" i="9"/>
  <c r="AI147" i="9"/>
  <c r="AI155" i="9"/>
  <c r="U173" i="9"/>
  <c r="K128" i="38"/>
  <c r="N21" i="38"/>
  <c r="D37" i="38"/>
  <c r="H37" i="38" s="1"/>
  <c r="AI30" i="38"/>
  <c r="AI57" i="38"/>
  <c r="AI58" i="38"/>
  <c r="D58" i="38"/>
  <c r="A150" i="38"/>
  <c r="L17" i="38"/>
  <c r="A23" i="38"/>
  <c r="B29" i="38"/>
  <c r="A36" i="38"/>
  <c r="B272" i="38"/>
  <c r="B300" i="38"/>
  <c r="B293" i="38"/>
  <c r="B307" i="38"/>
  <c r="B286" i="38"/>
  <c r="B321" i="38"/>
  <c r="B314" i="38"/>
  <c r="B328" i="38"/>
  <c r="B244" i="38"/>
  <c r="B251" i="38"/>
  <c r="B237" i="38"/>
  <c r="B220" i="38"/>
  <c r="B199" i="38"/>
  <c r="B161" i="38"/>
  <c r="B265" i="38"/>
  <c r="B206" i="38"/>
  <c r="B192" i="38"/>
  <c r="B258" i="38"/>
  <c r="B147" i="38"/>
  <c r="B133" i="38"/>
  <c r="B175" i="38"/>
  <c r="B168" i="38"/>
  <c r="B154" i="38"/>
  <c r="B140" i="38"/>
  <c r="B279" i="38"/>
  <c r="B77" i="38"/>
  <c r="B98" i="38"/>
  <c r="B35" i="38"/>
  <c r="B112" i="38"/>
  <c r="B91" i="38"/>
  <c r="B126" i="38"/>
  <c r="B63" i="38"/>
  <c r="B213" i="38"/>
  <c r="AI72" i="38"/>
  <c r="D79" i="38"/>
  <c r="H79" i="38" s="1"/>
  <c r="AB315" i="38"/>
  <c r="A328" i="38"/>
  <c r="A300" i="38"/>
  <c r="A293" i="38"/>
  <c r="A307" i="38"/>
  <c r="A286" i="38"/>
  <c r="A321" i="38"/>
  <c r="A265" i="38"/>
  <c r="A251" i="38"/>
  <c r="A244" i="38"/>
  <c r="A314" i="38"/>
  <c r="A258" i="38"/>
  <c r="A272" i="38"/>
  <c r="A199" i="38"/>
  <c r="A161" i="38"/>
  <c r="A279" i="38"/>
  <c r="A237" i="38"/>
  <c r="A206" i="38"/>
  <c r="A213" i="38"/>
  <c r="A220" i="38"/>
  <c r="A147" i="38"/>
  <c r="A133" i="38"/>
  <c r="A192" i="38"/>
  <c r="A140" i="38"/>
  <c r="A42" i="38"/>
  <c r="A168" i="38"/>
  <c r="A175" i="38"/>
  <c r="A77" i="38"/>
  <c r="B302" i="38"/>
  <c r="B201" i="38"/>
  <c r="AI22" i="38"/>
  <c r="D30" i="38"/>
  <c r="U29" i="38"/>
  <c r="B46" i="38"/>
  <c r="AI43" i="38"/>
  <c r="A56" i="38"/>
  <c r="B64" i="38"/>
  <c r="B81" i="38"/>
  <c r="AI100" i="38"/>
  <c r="B105" i="38"/>
  <c r="A112" i="38"/>
  <c r="K120" i="38"/>
  <c r="AV126" i="38"/>
  <c r="D133" i="38"/>
  <c r="H133" i="38" s="1"/>
  <c r="S130" i="38"/>
  <c r="AI126" i="38"/>
  <c r="D126" i="38"/>
  <c r="H126" i="38" s="1"/>
  <c r="D150" i="38"/>
  <c r="H150" i="38" s="1"/>
  <c r="AT157" i="38"/>
  <c r="D157" i="38"/>
  <c r="H157" i="38" s="1"/>
  <c r="AU157" i="38"/>
  <c r="AI150" i="38"/>
  <c r="Z170" i="38"/>
  <c r="AB215" i="38"/>
  <c r="S151" i="38"/>
  <c r="AI71" i="38"/>
  <c r="K280" i="38"/>
  <c r="L280" i="38"/>
  <c r="D29" i="38"/>
  <c r="H29" i="38" s="1"/>
  <c r="AI35" i="38"/>
  <c r="D35" i="38"/>
  <c r="H35" i="38" s="1"/>
  <c r="B49" i="38"/>
  <c r="A301" i="38"/>
  <c r="A294" i="38"/>
  <c r="A280" i="38"/>
  <c r="A308" i="38"/>
  <c r="A287" i="38"/>
  <c r="A315" i="38"/>
  <c r="A322" i="38"/>
  <c r="A329" i="38"/>
  <c r="A252" i="38"/>
  <c r="A266" i="38"/>
  <c r="A238" i="38"/>
  <c r="A207" i="38"/>
  <c r="A214" i="38"/>
  <c r="A259" i="38"/>
  <c r="A193" i="38"/>
  <c r="A169" i="38"/>
  <c r="A162" i="38"/>
  <c r="A245" i="38"/>
  <c r="A141" i="38"/>
  <c r="A221" i="38"/>
  <c r="A113" i="38"/>
  <c r="A273" i="38"/>
  <c r="A43" i="38"/>
  <c r="A120" i="38"/>
  <c r="A85" i="38"/>
  <c r="A64" i="38"/>
  <c r="A50" i="38"/>
  <c r="A127" i="38"/>
  <c r="A99" i="38"/>
  <c r="A78" i="38"/>
  <c r="A57" i="38"/>
  <c r="A29" i="38"/>
  <c r="A200" i="38"/>
  <c r="A148" i="38"/>
  <c r="B317" i="38"/>
  <c r="B324" i="38"/>
  <c r="B303" i="38"/>
  <c r="B331" i="38"/>
  <c r="B296" i="38"/>
  <c r="B282" i="38"/>
  <c r="B261" i="38"/>
  <c r="B268" i="38"/>
  <c r="B223" i="38"/>
  <c r="B275" i="38"/>
  <c r="B195" i="38"/>
  <c r="B178" i="38"/>
  <c r="B310" i="38"/>
  <c r="B254" i="38"/>
  <c r="B216" i="38"/>
  <c r="B202" i="38"/>
  <c r="B129" i="38"/>
  <c r="B164" i="38"/>
  <c r="B240" i="38"/>
  <c r="B136" i="38"/>
  <c r="B87" i="38"/>
  <c r="B80" i="38"/>
  <c r="B73" i="38"/>
  <c r="B59" i="38"/>
  <c r="B45" i="38"/>
  <c r="B108" i="38"/>
  <c r="B94" i="38"/>
  <c r="B157" i="38"/>
  <c r="B122" i="38"/>
  <c r="B52" i="38"/>
  <c r="B66" i="38"/>
  <c r="B31" i="38"/>
  <c r="B289" i="38"/>
  <c r="B171" i="38"/>
  <c r="B150" i="38"/>
  <c r="B209" i="38"/>
  <c r="A21" i="38"/>
  <c r="B24" i="38"/>
  <c r="D43" i="38"/>
  <c r="H43" i="38" s="1"/>
  <c r="AI44" i="38"/>
  <c r="D44" i="38"/>
  <c r="D50" i="38"/>
  <c r="H50" i="38" s="1"/>
  <c r="AI80" i="38"/>
  <c r="A91" i="38"/>
  <c r="B115" i="38"/>
  <c r="B119" i="38"/>
  <c r="B247" i="38"/>
  <c r="AI64" i="38"/>
  <c r="AB78" i="38"/>
  <c r="AB324" i="38"/>
  <c r="AK324" i="38" s="1"/>
  <c r="AB328" i="38"/>
  <c r="D57" i="38"/>
  <c r="H57" i="38" s="1"/>
  <c r="B301" i="38"/>
  <c r="B294" i="38"/>
  <c r="B280" i="38"/>
  <c r="B308" i="38"/>
  <c r="B287" i="38"/>
  <c r="B315" i="38"/>
  <c r="B252" i="38"/>
  <c r="B238" i="38"/>
  <c r="B266" i="38"/>
  <c r="B322" i="38"/>
  <c r="B273" i="38"/>
  <c r="B207" i="38"/>
  <c r="B193" i="38"/>
  <c r="B259" i="38"/>
  <c r="B214" i="38"/>
  <c r="B329" i="38"/>
  <c r="B221" i="38"/>
  <c r="B200" i="38"/>
  <c r="B141" i="38"/>
  <c r="B162" i="38"/>
  <c r="B106" i="38"/>
  <c r="B169" i="38"/>
  <c r="B134" i="38"/>
  <c r="B99" i="38"/>
  <c r="B36" i="38"/>
  <c r="B113" i="38"/>
  <c r="B176" i="38"/>
  <c r="B78" i="38"/>
  <c r="B71" i="38"/>
  <c r="B57" i="38"/>
  <c r="B43" i="38"/>
  <c r="B120" i="38"/>
  <c r="B50" i="38"/>
  <c r="B22" i="38"/>
  <c r="B155" i="38"/>
  <c r="B148" i="38"/>
  <c r="B92" i="38"/>
  <c r="B21" i="38"/>
  <c r="B42" i="38"/>
  <c r="AB50" i="38"/>
  <c r="AI78" i="38"/>
  <c r="D121" i="38"/>
  <c r="H121" i="38" s="1"/>
  <c r="B127" i="38"/>
  <c r="A309" i="38"/>
  <c r="A288" i="38"/>
  <c r="A316" i="38"/>
  <c r="A323" i="38"/>
  <c r="A302" i="38"/>
  <c r="A330" i="38"/>
  <c r="A281" i="38"/>
  <c r="A253" i="38"/>
  <c r="A274" i="38"/>
  <c r="A246" i="38"/>
  <c r="A222" i="38"/>
  <c r="A215" i="38"/>
  <c r="A156" i="38"/>
  <c r="A267" i="38"/>
  <c r="A295" i="38"/>
  <c r="A260" i="38"/>
  <c r="A201" i="38"/>
  <c r="A142" i="38"/>
  <c r="A194" i="38"/>
  <c r="A239" i="38"/>
  <c r="A177" i="38"/>
  <c r="A170" i="38"/>
  <c r="A135" i="38"/>
  <c r="A128" i="38"/>
  <c r="A93" i="38"/>
  <c r="A163" i="38"/>
  <c r="A121" i="38"/>
  <c r="A86" i="38"/>
  <c r="A65" i="38"/>
  <c r="A51" i="38"/>
  <c r="A149" i="38"/>
  <c r="A114" i="38"/>
  <c r="B325" i="38"/>
  <c r="B332" i="38"/>
  <c r="B276" i="38"/>
  <c r="B304" i="38"/>
  <c r="B318" i="38"/>
  <c r="B311" i="38"/>
  <c r="B224" i="38"/>
  <c r="B217" i="38"/>
  <c r="B262" i="38"/>
  <c r="B248" i="38"/>
  <c r="B269" i="38"/>
  <c r="B283" i="38"/>
  <c r="B203" i="38"/>
  <c r="B172" i="38"/>
  <c r="B290" i="38"/>
  <c r="B144" i="38"/>
  <c r="B241" i="38"/>
  <c r="B297" i="38"/>
  <c r="B255" i="38"/>
  <c r="B151" i="38"/>
  <c r="B130" i="38"/>
  <c r="B123" i="38"/>
  <c r="B109" i="38"/>
  <c r="B95" i="38"/>
  <c r="B179" i="38"/>
  <c r="B158" i="38"/>
  <c r="B53" i="38"/>
  <c r="B196" i="38"/>
  <c r="B165" i="38"/>
  <c r="B88" i="38"/>
  <c r="B137" i="38"/>
  <c r="B60" i="38"/>
  <c r="U15" i="38"/>
  <c r="AI16" i="38"/>
  <c r="A22" i="38"/>
  <c r="B25" i="38"/>
  <c r="B28" i="38"/>
  <c r="A35" i="38"/>
  <c r="N44" i="38"/>
  <c r="D51" i="38"/>
  <c r="H51" i="38" s="1"/>
  <c r="A63" i="38"/>
  <c r="B67" i="38"/>
  <c r="A79" i="38"/>
  <c r="D78" i="38"/>
  <c r="H78" i="38" s="1"/>
  <c r="A84" i="38"/>
  <c r="A92" i="38"/>
  <c r="B116" i="38"/>
  <c r="A126" i="38"/>
  <c r="A176" i="38"/>
  <c r="AI94" i="38"/>
  <c r="AU134" i="38"/>
  <c r="AT134" i="38"/>
  <c r="L164" i="38"/>
  <c r="K171" i="38"/>
  <c r="L213" i="38"/>
  <c r="K214" i="38"/>
  <c r="K175" i="38"/>
  <c r="L176" i="38"/>
  <c r="N183" i="38" s="1"/>
  <c r="S74" i="38"/>
  <c r="AB136" i="38"/>
  <c r="K155" i="38"/>
  <c r="AV164" i="38"/>
  <c r="AB314" i="38"/>
  <c r="Z161" i="38"/>
  <c r="AI56" i="38"/>
  <c r="D144" i="38"/>
  <c r="AW164" i="38"/>
  <c r="L195" i="38"/>
  <c r="U195" i="38" s="1"/>
  <c r="L194" i="38"/>
  <c r="AI240" i="38"/>
  <c r="AB128" i="38"/>
  <c r="AK128" i="38" s="1"/>
  <c r="L162" i="38"/>
  <c r="U162" i="38" s="1"/>
  <c r="K168" i="38"/>
  <c r="L168" i="38"/>
  <c r="K162" i="38"/>
  <c r="AB252" i="38"/>
  <c r="L161" i="38"/>
  <c r="U161" i="38" s="1"/>
  <c r="K170" i="38"/>
  <c r="K207" i="38"/>
  <c r="AB206" i="38"/>
  <c r="L214" i="38"/>
  <c r="AB280" i="38"/>
  <c r="AK280" i="38" s="1"/>
  <c r="L142" i="38"/>
  <c r="U142" i="38" s="1"/>
  <c r="W149" i="38" s="1"/>
  <c r="L252" i="38"/>
  <c r="N259" i="38" s="1"/>
  <c r="AB273" i="38"/>
  <c r="Z274" i="38"/>
  <c r="U296" i="38"/>
  <c r="L148" i="38"/>
  <c r="AV156" i="38"/>
  <c r="AW156" i="38" s="1"/>
  <c r="AK301" i="38"/>
  <c r="AK323" i="38"/>
  <c r="AB330" i="38"/>
  <c r="AD330" i="38" s="1"/>
  <c r="AB329" i="38"/>
  <c r="K206" i="38"/>
  <c r="AB216" i="38"/>
  <c r="AK216" i="38" s="1"/>
  <c r="AB246" i="38"/>
  <c r="AI279" i="38"/>
  <c r="D279" i="38"/>
  <c r="H279" i="38" s="1"/>
  <c r="L208" i="38"/>
  <c r="U208" i="38" s="1"/>
  <c r="AB209" i="38"/>
  <c r="AI217" i="38"/>
  <c r="K221" i="38"/>
  <c r="L220" i="38"/>
  <c r="N227" i="38" s="1"/>
  <c r="AB238" i="38"/>
  <c r="AK238" i="38" s="1"/>
  <c r="L329" i="38"/>
  <c r="N336" i="38" s="1"/>
  <c r="H336" i="38" s="1"/>
  <c r="L328" i="38"/>
  <c r="N335" i="38" s="1"/>
  <c r="H335" i="38" s="1"/>
  <c r="Z169" i="38"/>
  <c r="AB259" i="38"/>
  <c r="L281" i="38"/>
  <c r="K281" i="38"/>
  <c r="F290" i="38"/>
  <c r="AK310" i="38"/>
  <c r="AI311" i="38"/>
  <c r="U294" i="38"/>
  <c r="L310" i="38"/>
  <c r="AB317" i="38"/>
  <c r="AK302" i="38"/>
  <c r="K316" i="38"/>
  <c r="D311" i="38"/>
  <c r="H311" i="38" s="1"/>
  <c r="AB308" i="38"/>
  <c r="AD308" i="38" s="1"/>
  <c r="L317" i="38"/>
  <c r="N317" i="38" s="1"/>
  <c r="P317" i="38" s="1"/>
  <c r="K317" i="38"/>
  <c r="AI325" i="38"/>
  <c r="D287" i="38"/>
  <c r="H287" i="38" s="1"/>
  <c r="S297" i="38"/>
  <c r="F297" i="38" s="1"/>
  <c r="L300" i="38"/>
  <c r="BQ57" i="20"/>
  <c r="BQ45" i="20"/>
  <c r="I14" i="20"/>
  <c r="I21" i="20" s="1"/>
  <c r="BG14" i="20"/>
  <c r="BG21" i="20" s="1"/>
  <c r="BG46" i="20" s="1"/>
  <c r="CA14" i="20"/>
  <c r="BK12" i="20"/>
  <c r="AY56" i="20"/>
  <c r="AY41" i="20"/>
  <c r="R57" i="20"/>
  <c r="R45" i="20"/>
  <c r="AB57" i="20"/>
  <c r="AQ57" i="20"/>
  <c r="BZ57" i="20"/>
  <c r="N57" i="20"/>
  <c r="N45" i="20"/>
  <c r="X57" i="20"/>
  <c r="X45" i="20"/>
  <c r="AM57" i="20"/>
  <c r="N53" i="20"/>
  <c r="N14" i="20"/>
  <c r="AH53" i="20"/>
  <c r="AH14" i="20"/>
  <c r="BL14" i="20"/>
  <c r="BV53" i="20"/>
  <c r="BV14" i="20"/>
  <c r="BV21" i="20" s="1"/>
  <c r="CF53" i="20"/>
  <c r="D36" i="65" s="1"/>
  <c r="D44" i="65" s="1"/>
  <c r="CF14" i="20"/>
  <c r="BU12" i="20"/>
  <c r="AX14" i="20"/>
  <c r="AX40" i="20" s="1"/>
  <c r="W57" i="20"/>
  <c r="AG57" i="20"/>
  <c r="BQ12" i="20"/>
  <c r="AL45" i="20"/>
  <c r="CT79" i="20"/>
  <c r="F81" i="20"/>
  <c r="D81" i="20"/>
  <c r="E81" i="20"/>
  <c r="C81" i="20"/>
  <c r="S57" i="20"/>
  <c r="S45" i="20"/>
  <c r="AC57" i="20"/>
  <c r="AC45" i="20"/>
  <c r="AR57" i="20"/>
  <c r="BG45" i="20"/>
  <c r="CA45" i="20"/>
  <c r="CC56" i="20"/>
  <c r="D14" i="20"/>
  <c r="X53" i="20"/>
  <c r="X14" i="20"/>
  <c r="AS53" i="20"/>
  <c r="BC53" i="20"/>
  <c r="BW53" i="20"/>
  <c r="CF45" i="20"/>
  <c r="D28" i="65" s="1"/>
  <c r="AY14" i="20"/>
  <c r="AY21" i="20" s="1"/>
  <c r="BS56" i="20"/>
  <c r="BS41" i="20"/>
  <c r="CG41" i="20"/>
  <c r="M57" i="20"/>
  <c r="AH57" i="20"/>
  <c r="AH45" i="20"/>
  <c r="AN14" i="20"/>
  <c r="AN40" i="20" s="1"/>
  <c r="BN56" i="20"/>
  <c r="CB14" i="20"/>
  <c r="CB40" i="20" s="1"/>
  <c r="M53" i="20"/>
  <c r="BK53" i="20"/>
  <c r="BU53" i="20"/>
  <c r="CE53" i="20"/>
  <c r="AM42" i="20"/>
  <c r="BD53" i="20"/>
  <c r="AD45" i="20"/>
  <c r="W56" i="20"/>
  <c r="AB41" i="20"/>
  <c r="AQ56" i="20"/>
  <c r="BA56" i="20"/>
  <c r="BA41" i="20"/>
  <c r="BU41" i="20"/>
  <c r="BZ56" i="20"/>
  <c r="CE56" i="20"/>
  <c r="U57" i="20"/>
  <c r="AY45" i="20"/>
  <c r="D41" i="20"/>
  <c r="I56" i="20"/>
  <c r="I41" i="20"/>
  <c r="N56" i="20"/>
  <c r="N41" i="20"/>
  <c r="S41" i="20"/>
  <c r="S56" i="20"/>
  <c r="X56" i="20"/>
  <c r="X41" i="20"/>
  <c r="AC56" i="20"/>
  <c r="AC41" i="20"/>
  <c r="AH41" i="20"/>
  <c r="AR56" i="20"/>
  <c r="AW56" i="20"/>
  <c r="BQ56" i="20"/>
  <c r="BV56" i="20"/>
  <c r="BV41" i="20"/>
  <c r="CA56" i="20"/>
  <c r="CA41" i="20"/>
  <c r="CA72" i="20" s="1"/>
  <c r="CF41" i="20"/>
  <c r="D29" i="65" s="1"/>
  <c r="CF56" i="20"/>
  <c r="D38" i="65" s="1"/>
  <c r="DB77" i="20"/>
  <c r="I53" i="20"/>
  <c r="AC53" i="20"/>
  <c r="BQ53" i="20"/>
  <c r="CA53" i="20"/>
  <c r="BU45" i="20"/>
  <c r="J56" i="20"/>
  <c r="O56" i="20"/>
  <c r="O41" i="20"/>
  <c r="AD56" i="20"/>
  <c r="AD41" i="20"/>
  <c r="AI56" i="20"/>
  <c r="AS56" i="20"/>
  <c r="AS41" i="20"/>
  <c r="BM56" i="20"/>
  <c r="Q38" i="65" s="1"/>
  <c r="Y38" i="65" s="1"/>
  <c r="BR56" i="20"/>
  <c r="BW56" i="20"/>
  <c r="DJ72" i="20"/>
  <c r="CT77" i="20"/>
  <c r="P81" i="20"/>
  <c r="N81" i="20"/>
  <c r="DI72" i="20"/>
  <c r="CX77" i="20"/>
  <c r="CW77" i="20"/>
  <c r="DE77" i="20"/>
  <c r="BV41" i="11"/>
  <c r="BW35" i="11"/>
  <c r="AU36" i="11"/>
  <c r="AT42" i="11"/>
  <c r="N49" i="10"/>
  <c r="J49" i="10"/>
  <c r="BO34" i="11"/>
  <c r="BN40" i="11"/>
  <c r="J41" i="11"/>
  <c r="O35" i="11"/>
  <c r="T49" i="10"/>
  <c r="BB40" i="11"/>
  <c r="Z41" i="11"/>
  <c r="AA35" i="11"/>
  <c r="BF43" i="11"/>
  <c r="BG37" i="11"/>
  <c r="AI37" i="11"/>
  <c r="AX43" i="11"/>
  <c r="AY37" i="11"/>
  <c r="W37" i="11"/>
  <c r="P42" i="10"/>
  <c r="T42" i="10"/>
  <c r="N42" i="10"/>
  <c r="N41" i="11"/>
  <c r="V43" i="11"/>
  <c r="AD42" i="10"/>
  <c r="AP43" i="11"/>
  <c r="AQ37" i="11"/>
  <c r="J42" i="11"/>
  <c r="O36" i="11"/>
  <c r="N42" i="11"/>
  <c r="K35" i="11"/>
  <c r="F41" i="11"/>
  <c r="CM36" i="11"/>
  <c r="CL42" i="11"/>
  <c r="F40" i="11"/>
  <c r="BV40" i="11"/>
  <c r="BW34" i="11"/>
  <c r="AI34" i="11"/>
  <c r="BO35" i="11"/>
  <c r="R41" i="11"/>
  <c r="W35" i="11"/>
  <c r="BB41" i="11"/>
  <c r="BB43" i="11"/>
  <c r="AM35" i="11"/>
  <c r="AP41" i="11"/>
  <c r="AQ35" i="11"/>
  <c r="BC37" i="11"/>
  <c r="G34" i="11"/>
  <c r="BS34" i="11"/>
  <c r="AL41" i="11"/>
  <c r="BC35" i="11"/>
  <c r="R7" i="11"/>
  <c r="H5" i="23"/>
  <c r="AT59" i="23"/>
  <c r="AJ58" i="23"/>
  <c r="T58" i="23"/>
  <c r="L57" i="23"/>
  <c r="X58" i="23"/>
  <c r="T50" i="23"/>
  <c r="AB59" i="23"/>
  <c r="L58" i="23"/>
  <c r="Q87" i="15"/>
  <c r="R87" i="15"/>
  <c r="AF58" i="23"/>
  <c r="P58" i="23"/>
  <c r="AT58" i="23"/>
  <c r="AF75" i="10"/>
  <c r="AI160" i="10"/>
  <c r="Z165" i="10"/>
  <c r="L162" i="10"/>
  <c r="AI133" i="10"/>
  <c r="AL133" i="10"/>
  <c r="AL140" i="10"/>
  <c r="R140" i="10"/>
  <c r="R27" i="10"/>
  <c r="R158" i="10"/>
  <c r="AL158" i="10"/>
  <c r="AI158" i="10"/>
  <c r="AL125" i="10"/>
  <c r="AI125" i="10"/>
  <c r="R125" i="10"/>
  <c r="R105" i="10"/>
  <c r="AL89" i="10"/>
  <c r="R89" i="10"/>
  <c r="R74" i="10"/>
  <c r="AF116" i="10"/>
  <c r="R160" i="10"/>
  <c r="R168" i="10"/>
  <c r="AI168" i="10"/>
  <c r="AL168" i="10"/>
  <c r="R75" i="10"/>
  <c r="AL75" i="10"/>
  <c r="AI75" i="10"/>
  <c r="AI105" i="10"/>
  <c r="Z34" i="10"/>
  <c r="Y77" i="20"/>
  <c r="Z86" i="38"/>
  <c r="Z146" i="10"/>
  <c r="R146" i="10"/>
  <c r="AL146" i="10"/>
  <c r="AI146" i="10"/>
  <c r="AI140" i="10"/>
  <c r="AI53" i="10"/>
  <c r="AL154" i="10"/>
  <c r="R154" i="10"/>
  <c r="AI154" i="10"/>
  <c r="R34" i="10"/>
  <c r="AB70" i="9"/>
  <c r="AL165" i="10"/>
  <c r="AI165" i="10"/>
  <c r="R165" i="10"/>
  <c r="AL95" i="10"/>
  <c r="AF53" i="10"/>
  <c r="R133" i="10"/>
  <c r="AL137" i="10"/>
  <c r="AF172" i="10"/>
  <c r="R137" i="10"/>
  <c r="Z116" i="10"/>
  <c r="R32" i="10"/>
  <c r="AL32" i="10"/>
  <c r="AL153" i="10"/>
  <c r="AI153" i="10"/>
  <c r="R153" i="10"/>
  <c r="AL151" i="10"/>
  <c r="R151" i="10"/>
  <c r="AL76" i="10"/>
  <c r="AI76" i="10"/>
  <c r="AI118" i="10"/>
  <c r="AG77" i="20"/>
  <c r="Z98" i="38"/>
  <c r="Z85" i="38"/>
  <c r="R172" i="10"/>
  <c r="AL172" i="10"/>
  <c r="R117" i="10"/>
  <c r="AL117" i="10"/>
  <c r="AI117" i="10"/>
  <c r="R118" i="10"/>
  <c r="AL126" i="10"/>
  <c r="R126" i="10"/>
  <c r="AL109" i="10"/>
  <c r="P81" i="3"/>
  <c r="P79" i="3"/>
  <c r="BG47" i="2"/>
  <c r="BI47" i="2" s="1"/>
  <c r="BA69" i="2"/>
  <c r="BC29" i="2"/>
  <c r="AZ25" i="3" s="1"/>
  <c r="AO118" i="2"/>
  <c r="AO112" i="2"/>
  <c r="AS118" i="2"/>
  <c r="AS112" i="2"/>
  <c r="BC83" i="2"/>
  <c r="AU30" i="2"/>
  <c r="AW26" i="2"/>
  <c r="V89" i="5"/>
  <c r="AB222" i="38"/>
  <c r="CT65" i="20"/>
  <c r="O44" i="5"/>
  <c r="CZ67" i="20"/>
  <c r="BJ80" i="1"/>
  <c r="BI80" i="1"/>
  <c r="BN80" i="1"/>
  <c r="AW88" i="1"/>
  <c r="D40" i="1"/>
  <c r="BU16" i="1"/>
  <c r="BH104" i="1"/>
  <c r="BN84" i="1"/>
  <c r="BH89" i="1"/>
  <c r="BH88" i="1"/>
  <c r="BH90" i="1"/>
  <c r="BI84" i="1"/>
  <c r="BY76" i="1"/>
  <c r="BM11" i="20"/>
  <c r="BY34" i="1"/>
  <c r="BE35" i="1"/>
  <c r="AG87" i="1"/>
  <c r="AL87" i="1"/>
  <c r="AF107" i="1"/>
  <c r="AN104" i="1"/>
  <c r="AP104" i="1" s="1"/>
  <c r="AN89" i="1"/>
  <c r="AO84" i="1"/>
  <c r="BH53" i="20"/>
  <c r="BH14" i="20"/>
  <c r="Y85" i="1"/>
  <c r="AD85" i="1"/>
  <c r="X41" i="1"/>
  <c r="X105" i="1"/>
  <c r="AC80" i="1"/>
  <c r="AD80" i="1"/>
  <c r="AH80" i="1"/>
  <c r="AV132" i="1"/>
  <c r="AW104" i="1"/>
  <c r="AW114" i="1"/>
  <c r="AZ105" i="1"/>
  <c r="Z52" i="1"/>
  <c r="Y52" i="1"/>
  <c r="AJ132" i="1"/>
  <c r="AK104" i="1"/>
  <c r="AK114" i="1"/>
  <c r="AS79" i="1"/>
  <c r="AS99" i="1"/>
  <c r="AS25" i="1"/>
  <c r="AS35" i="1"/>
  <c r="AT15" i="1"/>
  <c r="CO35" i="1"/>
  <c r="CP35" i="1"/>
  <c r="AG34" i="1"/>
  <c r="BF23" i="1"/>
  <c r="BB23" i="1"/>
  <c r="CJ133" i="1"/>
  <c r="CJ162" i="1" s="1"/>
  <c r="CP88" i="1"/>
  <c r="CK88" i="1"/>
  <c r="BZ79" i="1"/>
  <c r="BY79" i="1"/>
  <c r="AS105" i="1"/>
  <c r="AR133" i="1"/>
  <c r="AS115" i="1"/>
  <c r="BJ79" i="1"/>
  <c r="BI79" i="1"/>
  <c r="BN79" i="1"/>
  <c r="CD57" i="1"/>
  <c r="AR216" i="38"/>
  <c r="CF57" i="1"/>
  <c r="CC57" i="1"/>
  <c r="CB41" i="1"/>
  <c r="BQ18" i="20"/>
  <c r="AF134" i="1"/>
  <c r="N60" i="1"/>
  <c r="AC85" i="1"/>
  <c r="AB41" i="1"/>
  <c r="AB105" i="1"/>
  <c r="BZ41" i="1"/>
  <c r="BY41" i="1"/>
  <c r="BL16" i="20"/>
  <c r="CG115" i="1"/>
  <c r="BH134" i="1"/>
  <c r="BI116" i="1"/>
  <c r="BI106" i="1"/>
  <c r="CN77" i="1"/>
  <c r="CP76" i="1"/>
  <c r="CO76" i="1"/>
  <c r="CG11" i="20"/>
  <c r="CT76" i="1"/>
  <c r="AS98" i="1"/>
  <c r="AS78" i="1"/>
  <c r="AS34" i="1"/>
  <c r="AW14" i="1"/>
  <c r="AS24" i="1"/>
  <c r="AB106" i="1"/>
  <c r="BY59" i="1"/>
  <c r="BZ59" i="1"/>
  <c r="BX43" i="1"/>
  <c r="BX44" i="1" s="1"/>
  <c r="T24" i="15" s="1"/>
  <c r="T25" i="15" s="1"/>
  <c r="BN18" i="20"/>
  <c r="CB59" i="1"/>
  <c r="CB60" i="1" s="1"/>
  <c r="AK35" i="1"/>
  <c r="AP35" i="1"/>
  <c r="CC34" i="1"/>
  <c r="CH25" i="1"/>
  <c r="R53" i="20"/>
  <c r="R14" i="20"/>
  <c r="R40" i="20" s="1"/>
  <c r="X106" i="1"/>
  <c r="Y86" i="1"/>
  <c r="X42" i="1"/>
  <c r="CJ134" i="1"/>
  <c r="CJ163" i="1" s="1"/>
  <c r="CK106" i="1"/>
  <c r="CJ116" i="1"/>
  <c r="CB26" i="20" s="1"/>
  <c r="Y77" i="1"/>
  <c r="AD77" i="1"/>
  <c r="X33" i="1"/>
  <c r="AZ84" i="1"/>
  <c r="AZ34" i="1"/>
  <c r="N14" i="15" s="1"/>
  <c r="BA30" i="1"/>
  <c r="AZ36" i="1"/>
  <c r="AG15" i="20"/>
  <c r="BB30" i="1"/>
  <c r="BF30" i="1"/>
  <c r="AZ35" i="1"/>
  <c r="AW90" i="1"/>
  <c r="BR79" i="1"/>
  <c r="BN35" i="1"/>
  <c r="BM35" i="1"/>
  <c r="BM53" i="20"/>
  <c r="Q36" i="65" s="1"/>
  <c r="Y36" i="65" s="1"/>
  <c r="BY35" i="1"/>
  <c r="BY89" i="1"/>
  <c r="BD88" i="1"/>
  <c r="BE84" i="1"/>
  <c r="BJ84" i="1"/>
  <c r="BD104" i="1"/>
  <c r="BD90" i="1"/>
  <c r="BD89" i="1"/>
  <c r="BU60" i="1"/>
  <c r="BV60" i="1"/>
  <c r="BQ85" i="1"/>
  <c r="BP105" i="1"/>
  <c r="BR105" i="1" s="1"/>
  <c r="BV85" i="1"/>
  <c r="BU145" i="1"/>
  <c r="BU24" i="1"/>
  <c r="BV24" i="1"/>
  <c r="BU14" i="1"/>
  <c r="AP87" i="1"/>
  <c r="AZ107" i="1"/>
  <c r="BF87" i="1"/>
  <c r="BA87" i="1"/>
  <c r="Q35" i="1"/>
  <c r="DA23" i="1"/>
  <c r="P45" i="20"/>
  <c r="CJ201" i="1"/>
  <c r="CB33" i="20" s="1"/>
  <c r="CA33" i="20"/>
  <c r="AC79" i="1"/>
  <c r="CJ108" i="1"/>
  <c r="CJ109" i="1"/>
  <c r="CJ114" i="1"/>
  <c r="CJ110" i="1"/>
  <c r="CK104" i="1"/>
  <c r="CB77" i="1"/>
  <c r="CC76" i="1"/>
  <c r="CB80" i="1"/>
  <c r="BR11" i="20"/>
  <c r="AV153" i="1"/>
  <c r="AW153" i="1" s="1"/>
  <c r="X89" i="1"/>
  <c r="X104" i="1"/>
  <c r="Y84" i="1"/>
  <c r="X40" i="1"/>
  <c r="X90" i="1"/>
  <c r="CN106" i="1"/>
  <c r="CO86" i="1"/>
  <c r="CP86" i="1"/>
  <c r="BX105" i="1"/>
  <c r="CD85" i="1"/>
  <c r="BY85" i="1"/>
  <c r="BZ85" i="1"/>
  <c r="BX90" i="1"/>
  <c r="AH79" i="1"/>
  <c r="BQ117" i="1"/>
  <c r="BQ107" i="1"/>
  <c r="BI36" i="1"/>
  <c r="CJ56" i="1"/>
  <c r="CH56" i="1"/>
  <c r="CG56" i="1"/>
  <c r="BU18" i="20"/>
  <c r="CC35" i="1"/>
  <c r="CD35" i="1"/>
  <c r="AR194" i="38"/>
  <c r="BZ24" i="1"/>
  <c r="AI134" i="9"/>
  <c r="D141" i="9"/>
  <c r="H141" i="9" s="1"/>
  <c r="D18" i="38"/>
  <c r="H18" i="38" s="1"/>
  <c r="D16" i="9"/>
  <c r="H16" i="9" s="1"/>
  <c r="AH35" i="1"/>
  <c r="BZ22" i="1"/>
  <c r="AX23" i="1"/>
  <c r="AT23" i="1"/>
  <c r="CL25" i="1"/>
  <c r="AT107" i="1"/>
  <c r="P77" i="1"/>
  <c r="P32" i="1"/>
  <c r="BY40" i="1"/>
  <c r="BK16" i="20"/>
  <c r="BZ40" i="1"/>
  <c r="CR25" i="1"/>
  <c r="CR85" i="1"/>
  <c r="BD107" i="1"/>
  <c r="BJ87" i="1"/>
  <c r="BE87" i="1"/>
  <c r="AV154" i="1"/>
  <c r="BJ35" i="1"/>
  <c r="BI35" i="1"/>
  <c r="H41" i="20"/>
  <c r="CN207" i="1"/>
  <c r="CN208" i="1" s="1"/>
  <c r="CN209" i="1" s="1"/>
  <c r="BD133" i="1"/>
  <c r="BE115" i="1"/>
  <c r="BE105" i="1"/>
  <c r="BJ105" i="1"/>
  <c r="AX84" i="1"/>
  <c r="AR88" i="1"/>
  <c r="BF24" i="1"/>
  <c r="CB104" i="1"/>
  <c r="CB90" i="1"/>
  <c r="CB89" i="1"/>
  <c r="CC84" i="1"/>
  <c r="CB88" i="1"/>
  <c r="CH84" i="1"/>
  <c r="AJ153" i="1"/>
  <c r="CB135" i="1"/>
  <c r="CB154" i="1" s="1"/>
  <c r="CC107" i="1"/>
  <c r="AK24" i="1"/>
  <c r="AK14" i="1"/>
  <c r="BH41" i="20"/>
  <c r="BM78" i="1"/>
  <c r="CG79" i="1"/>
  <c r="BA78" i="1"/>
  <c r="BB78" i="1"/>
  <c r="Q79" i="1"/>
  <c r="AP84" i="1"/>
  <c r="BT36" i="1"/>
  <c r="BV30" i="1"/>
  <c r="BT35" i="1"/>
  <c r="BT34" i="1"/>
  <c r="BF15" i="20"/>
  <c r="BU30" i="1"/>
  <c r="DA30" i="1"/>
  <c r="BZ30" i="1"/>
  <c r="BI105" i="1"/>
  <c r="BH133" i="1"/>
  <c r="BI115" i="1"/>
  <c r="BN105" i="1"/>
  <c r="BR24" i="1"/>
  <c r="BF86" i="1"/>
  <c r="BA86" i="1"/>
  <c r="AZ106" i="1"/>
  <c r="AC52" i="1"/>
  <c r="AD52" i="1"/>
  <c r="CO36" i="1"/>
  <c r="CP36" i="1"/>
  <c r="BL133" i="1"/>
  <c r="BM105" i="1"/>
  <c r="BQ36" i="1"/>
  <c r="BA145" i="1"/>
  <c r="BA52" i="1"/>
  <c r="BA24" i="1"/>
  <c r="BE14" i="1"/>
  <c r="BA14" i="1"/>
  <c r="CT31" i="1"/>
  <c r="CR35" i="1"/>
  <c r="CD24" i="1"/>
  <c r="AR161" i="38" s="1"/>
  <c r="AH36" i="1"/>
  <c r="BL104" i="1"/>
  <c r="BM84" i="1"/>
  <c r="BR84" i="1"/>
  <c r="BL89" i="1"/>
  <c r="Q84" i="1"/>
  <c r="P89" i="1"/>
  <c r="P40" i="1"/>
  <c r="P104" i="1"/>
  <c r="P64" i="1"/>
  <c r="V84" i="1"/>
  <c r="BF34" i="1"/>
  <c r="BU87" i="1"/>
  <c r="CL90" i="1"/>
  <c r="BV44" i="1"/>
  <c r="BU44" i="1"/>
  <c r="BY86" i="1"/>
  <c r="BX106" i="1"/>
  <c r="CD86" i="1"/>
  <c r="BH135" i="1"/>
  <c r="BN107" i="1"/>
  <c r="BI117" i="1"/>
  <c r="BI107" i="1"/>
  <c r="BW11" i="20"/>
  <c r="BX135" i="1"/>
  <c r="BX154" i="1" s="1"/>
  <c r="CD107" i="1"/>
  <c r="BQ35" i="1"/>
  <c r="BR35" i="1"/>
  <c r="AC78" i="1"/>
  <c r="AB107" i="1"/>
  <c r="AC87" i="1"/>
  <c r="AB43" i="1"/>
  <c r="AH87" i="1"/>
  <c r="Y80" i="1"/>
  <c r="BZ42" i="1"/>
  <c r="BM16" i="20"/>
  <c r="BY42" i="1"/>
  <c r="Z84" i="1"/>
  <c r="C58" i="20" s="1"/>
  <c r="BR85" i="1"/>
  <c r="AR153" i="1"/>
  <c r="AW134" i="1"/>
  <c r="BZ105" i="1"/>
  <c r="CR132" i="1"/>
  <c r="CR161" i="1" s="1"/>
  <c r="CS104" i="1"/>
  <c r="CS114" i="1"/>
  <c r="BB87" i="1"/>
  <c r="P80" i="1"/>
  <c r="J79" i="1"/>
  <c r="E79" i="1"/>
  <c r="BH77" i="1"/>
  <c r="BJ76" i="1"/>
  <c r="BI76" i="1"/>
  <c r="BN76" i="1"/>
  <c r="AS11" i="20"/>
  <c r="BP88" i="1"/>
  <c r="BZ60" i="1"/>
  <c r="BD134" i="1"/>
  <c r="BJ106" i="1"/>
  <c r="BE106" i="1"/>
  <c r="AC36" i="1"/>
  <c r="AC56" i="1"/>
  <c r="CN135" i="1"/>
  <c r="CN154" i="1" s="1"/>
  <c r="CO107" i="1"/>
  <c r="CO117" i="1"/>
  <c r="AP36" i="1"/>
  <c r="AT36" i="1"/>
  <c r="CN104" i="1"/>
  <c r="CP104" i="1" s="1"/>
  <c r="CN88" i="1"/>
  <c r="CO84" i="1"/>
  <c r="BT84" i="1"/>
  <c r="BU68" i="1"/>
  <c r="AK34" i="1"/>
  <c r="BR76" i="1"/>
  <c r="AW15" i="1"/>
  <c r="CD36" i="1"/>
  <c r="AR195" i="38" s="1"/>
  <c r="CC36" i="1"/>
  <c r="BZ23" i="1"/>
  <c r="AG84" i="1"/>
  <c r="AF104" i="1"/>
  <c r="AL84" i="1"/>
  <c r="BU51" i="1"/>
  <c r="BI17" i="20"/>
  <c r="J52" i="1"/>
  <c r="AX87" i="1"/>
  <c r="AS87" i="1"/>
  <c r="AS91" i="1"/>
  <c r="AR107" i="1"/>
  <c r="BY14" i="1"/>
  <c r="AK159" i="9"/>
  <c r="AP159" i="9"/>
  <c r="U139" i="9"/>
  <c r="N146" i="9"/>
  <c r="AD153" i="9"/>
  <c r="F156" i="9"/>
  <c r="AK14" i="9"/>
  <c r="N19" i="9"/>
  <c r="P34" i="9"/>
  <c r="P167" i="9"/>
  <c r="W166" i="9"/>
  <c r="D79" i="9"/>
  <c r="H79" i="9" s="1"/>
  <c r="P56" i="9"/>
  <c r="K119" i="9"/>
  <c r="AX78" i="20"/>
  <c r="L119" i="9"/>
  <c r="J121" i="38"/>
  <c r="P160" i="9"/>
  <c r="P168" i="9"/>
  <c r="W173" i="9"/>
  <c r="F170" i="9"/>
  <c r="U125" i="9"/>
  <c r="N161" i="38"/>
  <c r="U194" i="38"/>
  <c r="F74" i="38"/>
  <c r="D94" i="38"/>
  <c r="H94" i="38" s="1"/>
  <c r="U148" i="38"/>
  <c r="U220" i="38"/>
  <c r="U300" i="38"/>
  <c r="AD324" i="38"/>
  <c r="AF324" i="38" s="1"/>
  <c r="AD315" i="38"/>
  <c r="AF315" i="38" s="1"/>
  <c r="AK315" i="38"/>
  <c r="U252" i="38"/>
  <c r="AB274" i="38"/>
  <c r="AK274" i="38" s="1"/>
  <c r="AB210" i="38"/>
  <c r="U207" i="38"/>
  <c r="U120" i="38"/>
  <c r="N214" i="38"/>
  <c r="P214" i="38"/>
  <c r="U214" i="38"/>
  <c r="W214" i="38" s="1"/>
  <c r="U213" i="38"/>
  <c r="U168" i="38"/>
  <c r="N168" i="38"/>
  <c r="P168" i="38" s="1"/>
  <c r="AK136" i="38"/>
  <c r="U176" i="38"/>
  <c r="U164" i="38"/>
  <c r="D158" i="38"/>
  <c r="H158" i="38" s="1"/>
  <c r="F151" i="38"/>
  <c r="AD215" i="38"/>
  <c r="AF215" i="38" s="1"/>
  <c r="AK215" i="38"/>
  <c r="AK246" i="38"/>
  <c r="AD317" i="38"/>
  <c r="AF317" i="38" s="1"/>
  <c r="AK317" i="38"/>
  <c r="AM317" i="38" s="1"/>
  <c r="D130" i="38"/>
  <c r="H130" i="38" s="1"/>
  <c r="D137" i="38"/>
  <c r="H137" i="38" s="1"/>
  <c r="U310" i="38"/>
  <c r="AD259" i="38"/>
  <c r="AK308" i="38"/>
  <c r="AM308" i="38" s="1"/>
  <c r="AK209" i="38"/>
  <c r="AD202" i="38"/>
  <c r="AF202" i="38" s="1"/>
  <c r="AB170" i="38"/>
  <c r="AK170" i="38" s="1"/>
  <c r="BL40" i="20"/>
  <c r="D40" i="20"/>
  <c r="D21" i="20"/>
  <c r="AN21" i="20"/>
  <c r="AN36" i="20" s="1"/>
  <c r="AN50" i="20" s="1"/>
  <c r="BG40" i="20"/>
  <c r="CF40" i="20"/>
  <c r="D26" i="65" s="1"/>
  <c r="AH40" i="20"/>
  <c r="CA40" i="20"/>
  <c r="CA21" i="20"/>
  <c r="AY40" i="20"/>
  <c r="X40" i="20"/>
  <c r="X21" i="20"/>
  <c r="BV40" i="20"/>
  <c r="N40" i="20"/>
  <c r="N21" i="20"/>
  <c r="V7" i="11"/>
  <c r="J5" i="23"/>
  <c r="AL49" i="10"/>
  <c r="AI49" i="10"/>
  <c r="R49" i="10"/>
  <c r="BE29" i="2"/>
  <c r="BB25" i="3" s="1"/>
  <c r="BC69" i="2"/>
  <c r="BE83" i="2"/>
  <c r="BG83" i="2" s="1"/>
  <c r="AY26" i="2"/>
  <c r="AW30" i="2"/>
  <c r="P44" i="5"/>
  <c r="DA67" i="20"/>
  <c r="J41" i="5"/>
  <c r="CU65" i="20"/>
  <c r="BH152" i="1"/>
  <c r="BH162" i="1"/>
  <c r="BM133" i="1"/>
  <c r="CB132" i="1"/>
  <c r="CB138" i="1" s="1"/>
  <c r="CB167" i="1" s="1"/>
  <c r="CB110" i="1"/>
  <c r="CC114" i="1"/>
  <c r="CB109" i="1"/>
  <c r="CB108" i="1"/>
  <c r="CC104" i="1"/>
  <c r="CC80" i="1"/>
  <c r="BE89" i="1"/>
  <c r="BJ89" i="1"/>
  <c r="CG57" i="1"/>
  <c r="CH57" i="1"/>
  <c r="CJ57" i="1"/>
  <c r="BV18" i="20"/>
  <c r="BI90" i="1"/>
  <c r="AC117" i="1"/>
  <c r="AB135" i="1"/>
  <c r="AH107" i="1"/>
  <c r="AC107" i="1"/>
  <c r="BD162" i="1"/>
  <c r="BI162" i="1" s="1"/>
  <c r="BD152" i="1"/>
  <c r="BI152" i="1"/>
  <c r="BI133" i="1"/>
  <c r="Y89" i="1"/>
  <c r="BE114" i="1"/>
  <c r="BD132" i="1"/>
  <c r="BD108" i="1"/>
  <c r="BJ104" i="1"/>
  <c r="BD110" i="1"/>
  <c r="BE104" i="1"/>
  <c r="BD109" i="1"/>
  <c r="BB36" i="1"/>
  <c r="BA36" i="1"/>
  <c r="AC41" i="1"/>
  <c r="AD41" i="1"/>
  <c r="AO114" i="1"/>
  <c r="AO104" i="1"/>
  <c r="AN132" i="1"/>
  <c r="BN89" i="1"/>
  <c r="BI89" i="1"/>
  <c r="AS45" i="20"/>
  <c r="Q80" i="1"/>
  <c r="BX134" i="1"/>
  <c r="BX163" i="1" s="1"/>
  <c r="BY116" i="1"/>
  <c r="CD106" i="1"/>
  <c r="BY106" i="1"/>
  <c r="CT35" i="1"/>
  <c r="CY35" i="1"/>
  <c r="CC77" i="1"/>
  <c r="CD77" i="1"/>
  <c r="BS11" i="20"/>
  <c r="CK109" i="1"/>
  <c r="CP109" i="1"/>
  <c r="Y42" i="1"/>
  <c r="AV151" i="1"/>
  <c r="BH40" i="20"/>
  <c r="BH21" i="20"/>
  <c r="BH46" i="20" s="1"/>
  <c r="AG117" i="1"/>
  <c r="AF135" i="1"/>
  <c r="AG107" i="1"/>
  <c r="AG114" i="1"/>
  <c r="AL104" i="1"/>
  <c r="AF132" i="1"/>
  <c r="AG104" i="1"/>
  <c r="BJ77" i="1"/>
  <c r="BI77" i="1"/>
  <c r="AT11" i="20"/>
  <c r="BN77" i="1"/>
  <c r="Y41" i="1"/>
  <c r="BH164" i="1"/>
  <c r="BM164" i="1" s="1"/>
  <c r="BH154" i="1"/>
  <c r="BM154" i="1"/>
  <c r="BM135" i="1"/>
  <c r="CK110" i="1"/>
  <c r="AL56" i="20"/>
  <c r="BN88" i="1"/>
  <c r="BI88" i="1"/>
  <c r="BQ88" i="1"/>
  <c r="BL132" i="1"/>
  <c r="BM104" i="1"/>
  <c r="BL109" i="1"/>
  <c r="BM114" i="1"/>
  <c r="BR104" i="1"/>
  <c r="BL162" i="1"/>
  <c r="BL152" i="1"/>
  <c r="CJ120" i="1"/>
  <c r="CK120" i="1"/>
  <c r="CJ119" i="1"/>
  <c r="CK119" i="1"/>
  <c r="CJ118" i="1"/>
  <c r="BZ26" i="20"/>
  <c r="CO88" i="1"/>
  <c r="BH78" i="1"/>
  <c r="Q64" i="1"/>
  <c r="BF56" i="20"/>
  <c r="BK56" i="20"/>
  <c r="CC88" i="1"/>
  <c r="P86" i="1"/>
  <c r="Q32" i="1"/>
  <c r="P36" i="1"/>
  <c r="Q56" i="1" s="1"/>
  <c r="CD105" i="1"/>
  <c r="BX133" i="1"/>
  <c r="BX162" i="1" s="1"/>
  <c r="BY105" i="1"/>
  <c r="BY115" i="1"/>
  <c r="BB34" i="1"/>
  <c r="BA34" i="1"/>
  <c r="CD59" i="1"/>
  <c r="CC59" i="1"/>
  <c r="CB43" i="1"/>
  <c r="BS18" i="20"/>
  <c r="CF59" i="1"/>
  <c r="AB134" i="1"/>
  <c r="AC116" i="1"/>
  <c r="AH106" i="1"/>
  <c r="AC106" i="1"/>
  <c r="CO77" i="1"/>
  <c r="CT77" i="1"/>
  <c r="CP77" i="1"/>
  <c r="CH11" i="20"/>
  <c r="AF153" i="1"/>
  <c r="AK153" i="1" s="1"/>
  <c r="AK134" i="1"/>
  <c r="BM45" i="20"/>
  <c r="BM12" i="20"/>
  <c r="BH132" i="1"/>
  <c r="BI114" i="1"/>
  <c r="BI104" i="1"/>
  <c r="BN104" i="1"/>
  <c r="BH109" i="1"/>
  <c r="BH110" i="1"/>
  <c r="BH108" i="1"/>
  <c r="E40" i="1"/>
  <c r="BY90" i="1"/>
  <c r="CD90" i="1"/>
  <c r="BP133" i="1"/>
  <c r="BP162" i="1" s="1"/>
  <c r="BQ162" i="1" s="1"/>
  <c r="BQ115" i="1"/>
  <c r="BQ105" i="1"/>
  <c r="BV105" i="1"/>
  <c r="BP109" i="1"/>
  <c r="CJ153" i="1"/>
  <c r="CG12" i="20"/>
  <c r="CG45" i="20"/>
  <c r="CG57" i="20"/>
  <c r="AC115" i="1"/>
  <c r="AC105" i="1"/>
  <c r="AB133" i="1"/>
  <c r="Q114" i="1"/>
  <c r="P132" i="1"/>
  <c r="Q104" i="1"/>
  <c r="AX88" i="1"/>
  <c r="AS88" i="1"/>
  <c r="Q77" i="1"/>
  <c r="P33" i="1"/>
  <c r="CK108" i="1"/>
  <c r="BJ88" i="1"/>
  <c r="BE88" i="1"/>
  <c r="AZ104" i="1"/>
  <c r="BA84" i="1"/>
  <c r="AZ88" i="1"/>
  <c r="BF84" i="1"/>
  <c r="AZ90" i="1"/>
  <c r="BB84" i="1"/>
  <c r="AZ89" i="1"/>
  <c r="BT104" i="1"/>
  <c r="BZ84" i="1"/>
  <c r="BT89" i="1"/>
  <c r="BU84" i="1"/>
  <c r="BV84" i="1"/>
  <c r="Q40" i="1"/>
  <c r="BR89" i="1"/>
  <c r="BM89" i="1"/>
  <c r="BA116" i="1"/>
  <c r="BA106" i="1"/>
  <c r="AZ134" i="1"/>
  <c r="BF106" i="1"/>
  <c r="BB106" i="1"/>
  <c r="BV35" i="1"/>
  <c r="CH89" i="1"/>
  <c r="CC89" i="1"/>
  <c r="BD135" i="1"/>
  <c r="BE107" i="1"/>
  <c r="BJ107" i="1"/>
  <c r="BE117" i="1"/>
  <c r="Y40" i="1"/>
  <c r="BR12" i="20"/>
  <c r="BR57" i="20"/>
  <c r="BR45" i="20"/>
  <c r="BA117" i="1"/>
  <c r="BA107" i="1"/>
  <c r="BF107" i="1"/>
  <c r="AZ135" i="1"/>
  <c r="BB107" i="1"/>
  <c r="BZ35" i="1"/>
  <c r="BB35" i="1"/>
  <c r="BA35" i="1"/>
  <c r="X87" i="1"/>
  <c r="Y33" i="1"/>
  <c r="X34" i="1"/>
  <c r="AD33" i="1"/>
  <c r="X134" i="1"/>
  <c r="Y116" i="1"/>
  <c r="Y106" i="1"/>
  <c r="AD106" i="1"/>
  <c r="CD60" i="1"/>
  <c r="AR220" i="38" s="1"/>
  <c r="CC60" i="1"/>
  <c r="BZ43" i="1"/>
  <c r="BY43" i="1"/>
  <c r="BN16" i="20"/>
  <c r="CC41" i="1"/>
  <c r="CD41" i="1"/>
  <c r="BQ16" i="20"/>
  <c r="AZ133" i="1"/>
  <c r="BF105" i="1"/>
  <c r="BA115" i="1"/>
  <c r="BA105" i="1"/>
  <c r="AC43" i="1"/>
  <c r="BW12" i="20"/>
  <c r="BW57" i="20"/>
  <c r="Q89" i="1"/>
  <c r="BU36" i="1"/>
  <c r="BV36" i="1"/>
  <c r="BZ36" i="1"/>
  <c r="BZ44" i="1"/>
  <c r="BY44" i="1"/>
  <c r="Y114" i="1"/>
  <c r="X132" i="1"/>
  <c r="X151" i="1" s="1"/>
  <c r="X109" i="1"/>
  <c r="Y104" i="1"/>
  <c r="X110" i="1"/>
  <c r="BH163" i="1"/>
  <c r="BH153" i="1"/>
  <c r="AJ151" i="1"/>
  <c r="BE90" i="1"/>
  <c r="BJ90" i="1"/>
  <c r="BU34" i="1"/>
  <c r="BV34" i="1"/>
  <c r="CN56" i="1"/>
  <c r="CK56" i="1"/>
  <c r="BZ18" i="20"/>
  <c r="CJ40" i="1"/>
  <c r="CL56" i="1"/>
  <c r="Y90" i="1"/>
  <c r="AR135" i="1"/>
  <c r="AS117" i="1"/>
  <c r="AS107" i="1"/>
  <c r="AX107" i="1"/>
  <c r="CN132" i="1"/>
  <c r="CN151" i="1" s="1"/>
  <c r="CT104" i="1"/>
  <c r="CN109" i="1"/>
  <c r="CO114" i="1"/>
  <c r="CO104" i="1"/>
  <c r="BD163" i="1"/>
  <c r="BD153" i="1"/>
  <c r="BI153" i="1"/>
  <c r="BI134" i="1"/>
  <c r="CC90" i="1"/>
  <c r="CH90" i="1"/>
  <c r="Q52" i="1"/>
  <c r="CB78" i="1"/>
  <c r="CJ132" i="1"/>
  <c r="CJ151" i="1" s="1"/>
  <c r="AR152" i="1"/>
  <c r="X133" i="1"/>
  <c r="AD105" i="1"/>
  <c r="Y105" i="1"/>
  <c r="Y115" i="1"/>
  <c r="BF35" i="1"/>
  <c r="N119" i="9"/>
  <c r="W146" i="9"/>
  <c r="AM315" i="38"/>
  <c r="W168" i="38"/>
  <c r="AM324" i="38"/>
  <c r="AM216" i="38"/>
  <c r="I36" i="20"/>
  <c r="I50" i="20" s="1"/>
  <c r="X46" i="20"/>
  <c r="X36" i="20"/>
  <c r="X24" i="20"/>
  <c r="X29" i="20" s="1"/>
  <c r="X31" i="20" s="1"/>
  <c r="N24" i="20"/>
  <c r="N29" i="20" s="1"/>
  <c r="N31" i="20" s="1"/>
  <c r="CA36" i="20"/>
  <c r="CA46" i="20"/>
  <c r="CA24" i="20"/>
  <c r="CA29" i="20" s="1"/>
  <c r="CA31" i="20" s="1"/>
  <c r="D36" i="20"/>
  <c r="D50" i="20" s="1"/>
  <c r="Z7" i="11"/>
  <c r="L5" i="23"/>
  <c r="N173" i="10"/>
  <c r="P173" i="10"/>
  <c r="J173" i="10"/>
  <c r="BE69" i="2"/>
  <c r="BG29" i="2"/>
  <c r="BI29" i="2" s="1"/>
  <c r="BA26" i="2"/>
  <c r="BC26" i="2" s="1"/>
  <c r="AY30" i="2"/>
  <c r="K41" i="5"/>
  <c r="CV65" i="20"/>
  <c r="CC108" i="1"/>
  <c r="CC118" i="1"/>
  <c r="CO56" i="1"/>
  <c r="CP56" i="1"/>
  <c r="CR56" i="1"/>
  <c r="CE18" i="20"/>
  <c r="CN40" i="1"/>
  <c r="P151" i="1"/>
  <c r="AN151" i="1"/>
  <c r="AO151" i="1" s="1"/>
  <c r="Y120" i="1"/>
  <c r="Y110" i="1"/>
  <c r="AB153" i="1"/>
  <c r="AG153" i="1"/>
  <c r="AG134" i="1"/>
  <c r="BE108" i="1"/>
  <c r="BE118" i="1"/>
  <c r="CJ161" i="1"/>
  <c r="AZ162" i="1"/>
  <c r="BE162" i="1" s="1"/>
  <c r="BE133" i="1"/>
  <c r="AZ152" i="1"/>
  <c r="BA89" i="1"/>
  <c r="BF89" i="1"/>
  <c r="BB89" i="1"/>
  <c r="P87" i="1"/>
  <c r="Q33" i="1"/>
  <c r="BI109" i="1"/>
  <c r="BN109" i="1"/>
  <c r="BI119" i="1"/>
  <c r="CH59" i="1"/>
  <c r="CJ59" i="1"/>
  <c r="BX18" i="20"/>
  <c r="CG59" i="1"/>
  <c r="P106" i="1"/>
  <c r="P66" i="1"/>
  <c r="P42" i="1"/>
  <c r="Q86" i="1"/>
  <c r="P88" i="1"/>
  <c r="E89" i="5" s="1"/>
  <c r="P90" i="1"/>
  <c r="BI78" i="1"/>
  <c r="BM109" i="1"/>
  <c r="BR109" i="1"/>
  <c r="BM119" i="1"/>
  <c r="BD151" i="1"/>
  <c r="BI151" i="1" s="1"/>
  <c r="CL57" i="1"/>
  <c r="CK57" i="1"/>
  <c r="CJ41" i="1"/>
  <c r="CA18" i="20"/>
  <c r="CN57" i="1"/>
  <c r="CC120" i="1"/>
  <c r="CC110" i="1"/>
  <c r="X107" i="1"/>
  <c r="AD87" i="1"/>
  <c r="Y87" i="1"/>
  <c r="X43" i="1"/>
  <c r="X88" i="1"/>
  <c r="G89" i="5" s="1"/>
  <c r="G90" i="5" s="1"/>
  <c r="AB152" i="1"/>
  <c r="CH57" i="20"/>
  <c r="X153" i="1"/>
  <c r="AC153" i="1"/>
  <c r="AC134" i="1"/>
  <c r="BI120" i="1"/>
  <c r="BI110" i="1"/>
  <c r="BH24" i="20"/>
  <c r="BH48" i="20" s="1"/>
  <c r="X152" i="1"/>
  <c r="AC133" i="1"/>
  <c r="CH78" i="1"/>
  <c r="CO109" i="1"/>
  <c r="CO119" i="1"/>
  <c r="AO132" i="1"/>
  <c r="BQ119" i="1"/>
  <c r="BQ109" i="1"/>
  <c r="AK132" i="1"/>
  <c r="AF151" i="1"/>
  <c r="BS57" i="20"/>
  <c r="BS12" i="20"/>
  <c r="AZ154" i="1"/>
  <c r="BA154" i="1" s="1"/>
  <c r="AZ164" i="1"/>
  <c r="BE135" i="1"/>
  <c r="BA135" i="1"/>
  <c r="BJ110" i="1"/>
  <c r="BI135" i="1"/>
  <c r="BD164" i="1"/>
  <c r="BI164" i="1" s="1"/>
  <c r="BD154" i="1"/>
  <c r="BI154" i="1" s="1"/>
  <c r="AZ132" i="1"/>
  <c r="BA114" i="1"/>
  <c r="AZ64" i="1" s="1"/>
  <c r="AZ110" i="1"/>
  <c r="BA104" i="1"/>
  <c r="AZ109" i="1"/>
  <c r="AZ108" i="1"/>
  <c r="BF104" i="1"/>
  <c r="BB104" i="1"/>
  <c r="BZ16" i="20"/>
  <c r="CK40" i="1"/>
  <c r="AB154" i="1"/>
  <c r="AG135" i="1"/>
  <c r="Y109" i="1"/>
  <c r="Y119" i="1"/>
  <c r="AZ153" i="1"/>
  <c r="AZ163" i="1"/>
  <c r="BE163" i="1"/>
  <c r="BE134" i="1"/>
  <c r="BA134" i="1"/>
  <c r="P34" i="1"/>
  <c r="AT45" i="20"/>
  <c r="AT57" i="20"/>
  <c r="AY57" i="20"/>
  <c r="BE119" i="1"/>
  <c r="BJ109" i="1"/>
  <c r="BE109" i="1"/>
  <c r="BM162" i="1"/>
  <c r="CC119" i="1"/>
  <c r="CC109" i="1"/>
  <c r="Y34" i="1"/>
  <c r="BU104" i="1"/>
  <c r="BU114" i="1"/>
  <c r="BT109" i="1"/>
  <c r="BT132" i="1"/>
  <c r="BT151" i="1" s="1"/>
  <c r="BV104" i="1"/>
  <c r="BF90" i="1"/>
  <c r="BA90" i="1"/>
  <c r="BB90" i="1"/>
  <c r="CD43" i="1"/>
  <c r="AR202" i="38" s="1"/>
  <c r="AW135" i="1"/>
  <c r="AR154" i="1"/>
  <c r="AW154" i="1" s="1"/>
  <c r="X138" i="1"/>
  <c r="X137" i="1"/>
  <c r="AR200" i="38"/>
  <c r="AR178" i="38"/>
  <c r="BM132" i="1"/>
  <c r="BH161" i="1"/>
  <c r="BH138" i="1"/>
  <c r="BH151" i="1"/>
  <c r="BH156" i="1" s="1"/>
  <c r="BH137" i="1"/>
  <c r="BH136" i="1"/>
  <c r="BH155" i="1" s="1"/>
  <c r="BM155" i="1" s="1"/>
  <c r="Q36" i="1"/>
  <c r="BL161" i="1"/>
  <c r="BL151" i="1"/>
  <c r="BL137" i="1"/>
  <c r="AF154" i="1"/>
  <c r="BM152" i="1"/>
  <c r="X47" i="20"/>
  <c r="X48" i="20"/>
  <c r="N47" i="20"/>
  <c r="N48" i="20"/>
  <c r="CA47" i="20"/>
  <c r="AD7" i="11"/>
  <c r="AH7" i="11" s="1"/>
  <c r="N5" i="23"/>
  <c r="AL173" i="10"/>
  <c r="L41" i="5"/>
  <c r="CW65" i="20"/>
  <c r="Q34" i="1"/>
  <c r="CN59" i="1"/>
  <c r="CJ43" i="1"/>
  <c r="CL59" i="1"/>
  <c r="CK59" i="1"/>
  <c r="CC18" i="20"/>
  <c r="AZ70" i="1"/>
  <c r="BA70" i="1"/>
  <c r="AZ69" i="1"/>
  <c r="BA69" i="1" s="1"/>
  <c r="AZ68" i="1"/>
  <c r="N31" i="15" s="1"/>
  <c r="N32" i="15" s="1"/>
  <c r="BA68" i="1"/>
  <c r="BA64" i="1"/>
  <c r="AG19" i="20"/>
  <c r="AZ161" i="1"/>
  <c r="AZ151" i="1"/>
  <c r="AZ137" i="1"/>
  <c r="AZ136" i="1"/>
  <c r="BE132" i="1"/>
  <c r="AZ138" i="1"/>
  <c r="BA132" i="1"/>
  <c r="Y43" i="1"/>
  <c r="AD43" i="1"/>
  <c r="X44" i="1"/>
  <c r="AK151" i="1"/>
  <c r="BE152" i="1"/>
  <c r="BL166" i="1"/>
  <c r="BA108" i="1"/>
  <c r="X135" i="1"/>
  <c r="AC135" i="1" s="1"/>
  <c r="Y117" i="1"/>
  <c r="AD107" i="1"/>
  <c r="Y107" i="1"/>
  <c r="X108" i="1"/>
  <c r="P134" i="1"/>
  <c r="Q116" i="1"/>
  <c r="Q106" i="1"/>
  <c r="BH167" i="1"/>
  <c r="BE153" i="1"/>
  <c r="BA153" i="1"/>
  <c r="CP57" i="1"/>
  <c r="CO57" i="1"/>
  <c r="CN41" i="1"/>
  <c r="CR57" i="1"/>
  <c r="CR41" i="1" s="1"/>
  <c r="CS41" i="1" s="1"/>
  <c r="CF18" i="20"/>
  <c r="AG154" i="1"/>
  <c r="Q66" i="1"/>
  <c r="BM137" i="1"/>
  <c r="BH166" i="1"/>
  <c r="BA109" i="1"/>
  <c r="BF109" i="1"/>
  <c r="BA119" i="1"/>
  <c r="BE164" i="1"/>
  <c r="BD157" i="1"/>
  <c r="BD156" i="1"/>
  <c r="BI156" i="1" s="1"/>
  <c r="V87" i="1"/>
  <c r="P107" i="1"/>
  <c r="Q87" i="1"/>
  <c r="P67" i="1"/>
  <c r="P43" i="1"/>
  <c r="CO40" i="1"/>
  <c r="CP40" i="1"/>
  <c r="CE16" i="20"/>
  <c r="BA110" i="1"/>
  <c r="BF110" i="1"/>
  <c r="BA120" i="1"/>
  <c r="BM161" i="1"/>
  <c r="AC152" i="1"/>
  <c r="Y88" i="1"/>
  <c r="CT56" i="1"/>
  <c r="CS56" i="1"/>
  <c r="CR40" i="1"/>
  <c r="CS40" i="1" s="1"/>
  <c r="Q42" i="1"/>
  <c r="CK41" i="1"/>
  <c r="CA16" i="20"/>
  <c r="BM151" i="1"/>
  <c r="Q90" i="1"/>
  <c r="X49" i="20"/>
  <c r="N49" i="20"/>
  <c r="P5" i="23"/>
  <c r="BE26" i="2"/>
  <c r="CT57" i="1"/>
  <c r="BA151" i="1"/>
  <c r="P135" i="1"/>
  <c r="Q117" i="1"/>
  <c r="P153" i="1"/>
  <c r="Y44" i="1"/>
  <c r="CO41" i="1"/>
  <c r="CP41" i="1"/>
  <c r="CF16" i="20"/>
  <c r="AZ166" i="1"/>
  <c r="AZ167" i="1"/>
  <c r="Q67" i="1"/>
  <c r="CT40" i="1"/>
  <c r="CC16" i="20"/>
  <c r="CK43" i="1"/>
  <c r="X154" i="1"/>
  <c r="AC154" i="1" s="1"/>
  <c r="X136" i="1"/>
  <c r="Q43" i="1"/>
  <c r="C169" i="67"/>
  <c r="R170" i="67"/>
  <c r="Q170" i="67"/>
  <c r="P170" i="67"/>
  <c r="R125" i="67"/>
  <c r="Q125" i="67"/>
  <c r="P125" i="67"/>
  <c r="O125" i="67"/>
  <c r="N125" i="67"/>
  <c r="M125" i="67"/>
  <c r="L125" i="67"/>
  <c r="K125" i="67"/>
  <c r="J125" i="67"/>
  <c r="I125" i="67"/>
  <c r="H125" i="67"/>
  <c r="G125" i="67"/>
  <c r="F125" i="67"/>
  <c r="E125" i="67"/>
  <c r="D125" i="67"/>
  <c r="C125" i="67"/>
  <c r="R124" i="67"/>
  <c r="Q124" i="67"/>
  <c r="P124" i="67"/>
  <c r="K124" i="67"/>
  <c r="J124" i="67"/>
  <c r="I124" i="67"/>
  <c r="H124" i="67"/>
  <c r="G124" i="67"/>
  <c r="F124" i="67"/>
  <c r="E124" i="67"/>
  <c r="D124" i="67"/>
  <c r="C124" i="67"/>
  <c r="O83" i="67"/>
  <c r="O124" i="67"/>
  <c r="N83" i="67"/>
  <c r="N124" i="67"/>
  <c r="M83" i="67"/>
  <c r="M124" i="67"/>
  <c r="L83" i="67"/>
  <c r="L124" i="67" s="1"/>
  <c r="O42" i="67"/>
  <c r="N42" i="67"/>
  <c r="M42" i="67"/>
  <c r="L42" i="67"/>
  <c r="C36" i="67"/>
  <c r="R36" i="67"/>
  <c r="R171" i="67" s="1"/>
  <c r="R169" i="67" s="1"/>
  <c r="O36" i="67"/>
  <c r="O171" i="67"/>
  <c r="O169" i="67" s="1"/>
  <c r="N36" i="67"/>
  <c r="N75" i="67" s="1"/>
  <c r="N170" i="67" s="1"/>
  <c r="M36" i="67"/>
  <c r="J36" i="67"/>
  <c r="I36" i="67"/>
  <c r="H36" i="67"/>
  <c r="H169" i="67" s="1"/>
  <c r="G36" i="67"/>
  <c r="F36" i="67"/>
  <c r="F116" i="67" s="1"/>
  <c r="O24" i="67"/>
  <c r="O147" i="67" s="1"/>
  <c r="O145" i="67" s="1"/>
  <c r="N24" i="67"/>
  <c r="N147" i="67" s="1"/>
  <c r="N145" i="67" s="1"/>
  <c r="L24" i="67"/>
  <c r="L145" i="67" s="1"/>
  <c r="J24" i="67"/>
  <c r="J63" i="67" s="1"/>
  <c r="J104" i="67" s="1"/>
  <c r="I24" i="67"/>
  <c r="I63" i="67" s="1"/>
  <c r="I104" i="67" s="1"/>
  <c r="H24" i="67"/>
  <c r="H145" i="67" s="1"/>
  <c r="G24" i="67"/>
  <c r="G63" i="67" s="1"/>
  <c r="G104" i="67" s="1"/>
  <c r="F24" i="67"/>
  <c r="F145" i="67" s="1"/>
  <c r="E24" i="67"/>
  <c r="E63" i="67" s="1"/>
  <c r="E104" i="67" s="1"/>
  <c r="D24" i="67"/>
  <c r="D145" i="67" s="1"/>
  <c r="C24" i="67"/>
  <c r="C63" i="67" s="1"/>
  <c r="C104" i="67" s="1"/>
  <c r="K18" i="67"/>
  <c r="J18" i="67"/>
  <c r="J139" i="67" s="1"/>
  <c r="I15" i="67"/>
  <c r="I54" i="67" s="1"/>
  <c r="O12" i="67"/>
  <c r="O133" i="67" s="1"/>
  <c r="N12" i="67"/>
  <c r="N92" i="67" s="1"/>
  <c r="M12" i="67"/>
  <c r="M133" i="67" s="1"/>
  <c r="N11" i="67"/>
  <c r="N50" i="67" s="1"/>
  <c r="K11" i="67"/>
  <c r="K91" i="67" s="1"/>
  <c r="C11" i="67"/>
  <c r="C132" i="67" s="1"/>
  <c r="L8" i="67"/>
  <c r="H8" i="67"/>
  <c r="D8" i="67"/>
  <c r="D88" i="67" s="1"/>
  <c r="N6" i="67"/>
  <c r="O35" i="67" s="1"/>
  <c r="I6" i="67"/>
  <c r="DF32" i="20"/>
  <c r="DG32" i="20"/>
  <c r="DG10" i="20"/>
  <c r="DA54" i="20"/>
  <c r="DB54" i="20"/>
  <c r="Z85" i="9"/>
  <c r="Z87" i="38" s="1"/>
  <c r="Z92" i="9"/>
  <c r="AB92" i="9" s="1"/>
  <c r="DC8" i="20"/>
  <c r="CX10" i="20"/>
  <c r="DA10" i="20"/>
  <c r="R6" i="65" s="1"/>
  <c r="Z6" i="65" s="1"/>
  <c r="DC10" i="20"/>
  <c r="DB23" i="20"/>
  <c r="S15" i="65" s="1"/>
  <c r="AA15" i="65" s="1"/>
  <c r="CU32" i="20"/>
  <c r="CV32" i="20"/>
  <c r="CV34" i="20"/>
  <c r="L100" i="5"/>
  <c r="CW23" i="20"/>
  <c r="CX26" i="20"/>
  <c r="CY23" i="20"/>
  <c r="CU33" i="20"/>
  <c r="CW33" i="20"/>
  <c r="CY10" i="20"/>
  <c r="CU34" i="20"/>
  <c r="CU8" i="20"/>
  <c r="CV10" i="20"/>
  <c r="DF26" i="20"/>
  <c r="DH26" i="20"/>
  <c r="DI15" i="20"/>
  <c r="DI41" i="20" s="1"/>
  <c r="DD16" i="20"/>
  <c r="CT34" i="20"/>
  <c r="CT33" i="20"/>
  <c r="DC26" i="20"/>
  <c r="DE26" i="20"/>
  <c r="DE18" i="20"/>
  <c r="DD18" i="20"/>
  <c r="CW54" i="20"/>
  <c r="CZ54" i="20"/>
  <c r="DI8" i="20"/>
  <c r="DH10" i="20"/>
  <c r="DH14" i="20" s="1"/>
  <c r="DF15" i="20"/>
  <c r="CT11" i="20"/>
  <c r="CZ19" i="20"/>
  <c r="DC23" i="20"/>
  <c r="Z113" i="9"/>
  <c r="CV33" i="20"/>
  <c r="DE10" i="20"/>
  <c r="DG26" i="20"/>
  <c r="CW75" i="20"/>
  <c r="DD23" i="20"/>
  <c r="BG26" i="2"/>
  <c r="J57" i="67"/>
  <c r="M92" i="67"/>
  <c r="M51" i="67"/>
  <c r="E145" i="67"/>
  <c r="AB113" i="9"/>
  <c r="AT77" i="20"/>
  <c r="AB117" i="9"/>
  <c r="AE77" i="20"/>
  <c r="AB89" i="9"/>
  <c r="Z43" i="9"/>
  <c r="AB47" i="9" s="1"/>
  <c r="Z45" i="38"/>
  <c r="AB49" i="38" s="1"/>
  <c r="Z36" i="9"/>
  <c r="Z38" i="38"/>
  <c r="Z66" i="38"/>
  <c r="AB66" i="38" s="1"/>
  <c r="AK66" i="38" s="1"/>
  <c r="Z64" i="9"/>
  <c r="Z15" i="9"/>
  <c r="AB15" i="9" s="1"/>
  <c r="Z17" i="38"/>
  <c r="AB17" i="38" s="1"/>
  <c r="Z59" i="38"/>
  <c r="AB63" i="38" s="1"/>
  <c r="CY8" i="20"/>
  <c r="CY14" i="20" s="1"/>
  <c r="CY40" i="20" s="1"/>
  <c r="D6" i="67"/>
  <c r="D86" i="67" s="1"/>
  <c r="DG23" i="20"/>
  <c r="L15" i="67"/>
  <c r="DD26" i="20"/>
  <c r="DF23" i="20"/>
  <c r="K15" i="67"/>
  <c r="K136" i="67" s="1"/>
  <c r="DJ8" i="20"/>
  <c r="O6" i="67"/>
  <c r="CU10" i="20"/>
  <c r="CU14" i="20" s="1"/>
  <c r="CU40" i="20" s="1"/>
  <c r="DA8" i="20"/>
  <c r="R4" i="65" s="1"/>
  <c r="Z4" i="65" s="1"/>
  <c r="F6" i="67"/>
  <c r="F45" i="67" s="1"/>
  <c r="CT23" i="20"/>
  <c r="I45" i="67"/>
  <c r="DJ10" i="20"/>
  <c r="O8" i="67"/>
  <c r="CZ8" i="20"/>
  <c r="DA53" i="20" s="1"/>
  <c r="R36" i="65" s="1"/>
  <c r="Z36" i="65" s="1"/>
  <c r="E6" i="67"/>
  <c r="DD8" i="20"/>
  <c r="CU11" i="20"/>
  <c r="CW11" i="20"/>
  <c r="CZ26" i="20"/>
  <c r="CW10" i="20"/>
  <c r="CW12" i="20" s="1"/>
  <c r="DD10" i="20"/>
  <c r="I8" i="67"/>
  <c r="I47" i="67" s="1"/>
  <c r="I49" i="67" s="1"/>
  <c r="I68" i="67" s="1"/>
  <c r="DB10" i="20"/>
  <c r="S6" i="65" s="1"/>
  <c r="AA6" i="65" s="1"/>
  <c r="G8" i="67"/>
  <c r="CV23" i="20"/>
  <c r="K139" i="67"/>
  <c r="K98" i="67"/>
  <c r="K57" i="67"/>
  <c r="X155" i="1"/>
  <c r="CW26" i="20"/>
  <c r="CU23" i="20"/>
  <c r="CX15" i="20"/>
  <c r="DI23" i="20"/>
  <c r="N15" i="67"/>
  <c r="N95" i="67" s="1"/>
  <c r="DJ23" i="20"/>
  <c r="O15" i="67"/>
  <c r="O54" i="67" s="1"/>
  <c r="CZ15" i="20"/>
  <c r="E11" i="67"/>
  <c r="CY11" i="20"/>
  <c r="CZ11" i="20"/>
  <c r="E12" i="67"/>
  <c r="E51" i="67" s="1"/>
  <c r="DI10" i="20"/>
  <c r="DH8" i="20"/>
  <c r="DA26" i="20"/>
  <c r="M6" i="67"/>
  <c r="P154" i="1"/>
  <c r="U154" i="1" s="1"/>
  <c r="U135" i="1"/>
  <c r="DB8" i="20"/>
  <c r="DC53" i="20" s="1"/>
  <c r="G6" i="67"/>
  <c r="CT32" i="20"/>
  <c r="CY26" i="20"/>
  <c r="D18" i="67"/>
  <c r="DE16" i="20"/>
  <c r="CV26" i="20"/>
  <c r="F18" i="67"/>
  <c r="F98" i="67"/>
  <c r="CZ23" i="20"/>
  <c r="E15" i="67"/>
  <c r="CV11" i="20"/>
  <c r="J8" i="67"/>
  <c r="J47" i="67" s="1"/>
  <c r="D15" i="67"/>
  <c r="L18" i="67"/>
  <c r="L98" i="67" s="1"/>
  <c r="DI53" i="20"/>
  <c r="H6" i="67"/>
  <c r="H127" i="67" s="1"/>
  <c r="C8" i="67"/>
  <c r="M15" i="67"/>
  <c r="M18" i="67"/>
  <c r="M8" i="67"/>
  <c r="D11" i="67"/>
  <c r="G15" i="67"/>
  <c r="G136" i="67" s="1"/>
  <c r="F8" i="67"/>
  <c r="F129" i="67" s="1"/>
  <c r="M11" i="67"/>
  <c r="N37" i="67" s="1"/>
  <c r="H15" i="67"/>
  <c r="H54" i="67" s="1"/>
  <c r="H18" i="67"/>
  <c r="H57" i="67" s="1"/>
  <c r="CK54" i="20"/>
  <c r="C37" i="65" s="1"/>
  <c r="CT54" i="20"/>
  <c r="E36" i="67"/>
  <c r="L95" i="67"/>
  <c r="C116" i="67"/>
  <c r="C75" i="67"/>
  <c r="R116" i="67"/>
  <c r="R172" i="67" s="1"/>
  <c r="F47" i="67"/>
  <c r="N86" i="67"/>
  <c r="I127" i="67"/>
  <c r="I168" i="67" s="1"/>
  <c r="I86" i="67"/>
  <c r="G169" i="67"/>
  <c r="G116" i="67"/>
  <c r="G75" i="67"/>
  <c r="O116" i="67"/>
  <c r="O172" i="67"/>
  <c r="O75" i="67"/>
  <c r="O170" i="67"/>
  <c r="K50" i="67"/>
  <c r="H86" i="67"/>
  <c r="H90" i="67" s="1"/>
  <c r="H109" i="67" s="1"/>
  <c r="H88" i="67"/>
  <c r="H47" i="67"/>
  <c r="H129" i="67"/>
  <c r="H131" i="67" s="1"/>
  <c r="H116" i="67"/>
  <c r="O86" i="67"/>
  <c r="C91" i="67"/>
  <c r="L129" i="67"/>
  <c r="L47" i="67"/>
  <c r="L88" i="67"/>
  <c r="D63" i="67"/>
  <c r="D104" i="67" s="1"/>
  <c r="I169" i="67"/>
  <c r="I116" i="67"/>
  <c r="I75" i="67"/>
  <c r="N63" i="67"/>
  <c r="N91" i="67"/>
  <c r="N110" i="67" s="1"/>
  <c r="N160" i="67" s="1"/>
  <c r="I95" i="67"/>
  <c r="G145" i="67"/>
  <c r="O63" i="67"/>
  <c r="O104" i="67" s="1"/>
  <c r="O148" i="67" s="1"/>
  <c r="J98" i="67"/>
  <c r="N30" i="67"/>
  <c r="N159" i="67" s="1"/>
  <c r="N157" i="67" s="1"/>
  <c r="F169" i="67"/>
  <c r="F75" i="67"/>
  <c r="N116" i="67"/>
  <c r="N172" i="67" s="1"/>
  <c r="E169" i="67"/>
  <c r="M171" i="67"/>
  <c r="M169" i="67" s="1"/>
  <c r="M116" i="67"/>
  <c r="M172" i="67" s="1"/>
  <c r="M75" i="67"/>
  <c r="M170" i="67" s="1"/>
  <c r="I35" i="67"/>
  <c r="I177" i="67" s="1"/>
  <c r="I178" i="67" s="1"/>
  <c r="F139" i="67"/>
  <c r="F57" i="67"/>
  <c r="K77" i="20"/>
  <c r="AB64" i="9"/>
  <c r="G95" i="67"/>
  <c r="DA14" i="20"/>
  <c r="R8" i="65" s="1"/>
  <c r="Z8" i="65" s="1"/>
  <c r="CW57" i="20"/>
  <c r="M57" i="67"/>
  <c r="M98" i="67"/>
  <c r="M95" i="67"/>
  <c r="L57" i="67"/>
  <c r="O45" i="67"/>
  <c r="M88" i="67"/>
  <c r="M47" i="67"/>
  <c r="L139" i="67"/>
  <c r="G54" i="67"/>
  <c r="H136" i="67"/>
  <c r="H95" i="67"/>
  <c r="H45" i="67"/>
  <c r="I74" i="67" s="1"/>
  <c r="H10" i="67"/>
  <c r="O136" i="67"/>
  <c r="E35" i="67"/>
  <c r="E177" i="67" s="1"/>
  <c r="E178" i="67" s="1"/>
  <c r="CU12" i="20"/>
  <c r="DJ53" i="20"/>
  <c r="D139" i="67"/>
  <c r="G86" i="67"/>
  <c r="E116" i="67"/>
  <c r="E75" i="67"/>
  <c r="N146" i="67"/>
  <c r="N104" i="67"/>
  <c r="N148" i="67" s="1"/>
  <c r="I80" i="67"/>
  <c r="I81" i="67" s="1"/>
  <c r="H29" i="67"/>
  <c r="H153" i="67"/>
  <c r="F196" i="38"/>
  <c r="AQ126" i="9"/>
  <c r="AP126" i="9" s="1"/>
  <c r="AI93" i="38"/>
  <c r="AV134" i="38"/>
  <c r="AW134" i="38" s="1"/>
  <c r="D106" i="38"/>
  <c r="H106" i="38" s="1"/>
  <c r="D100" i="38"/>
  <c r="H100" i="38" s="1"/>
  <c r="AI105" i="38"/>
  <c r="AR103" i="9"/>
  <c r="U280" i="38"/>
  <c r="AI107" i="38"/>
  <c r="AK245" i="38"/>
  <c r="D107" i="38"/>
  <c r="H107" i="38" s="1"/>
  <c r="D114" i="38"/>
  <c r="H114" i="38" s="1"/>
  <c r="AK247" i="38"/>
  <c r="K127" i="38"/>
  <c r="L127" i="38"/>
  <c r="D255" i="38"/>
  <c r="H255" i="38" s="1"/>
  <c r="AQ112" i="9"/>
  <c r="AD281" i="38"/>
  <c r="AF281" i="38" s="1"/>
  <c r="AK281" i="38"/>
  <c r="D98" i="38"/>
  <c r="H98" i="38" s="1"/>
  <c r="S109" i="38"/>
  <c r="D262" i="38"/>
  <c r="D269" i="38"/>
  <c r="H269" i="38" s="1"/>
  <c r="F262" i="38"/>
  <c r="U266" i="38"/>
  <c r="W266" i="38" s="1"/>
  <c r="U267" i="38"/>
  <c r="AQ118" i="9"/>
  <c r="AP118" i="9" s="1"/>
  <c r="AS121" i="9"/>
  <c r="AI91" i="38"/>
  <c r="D101" i="38"/>
  <c r="H101" i="38" s="1"/>
  <c r="AI114" i="38"/>
  <c r="AV127" i="9"/>
  <c r="AU127" i="9" s="1"/>
  <c r="D87" i="38"/>
  <c r="H87" i="38" s="1"/>
  <c r="AI87" i="38"/>
  <c r="D115" i="38"/>
  <c r="H115" i="38" s="1"/>
  <c r="D122" i="38"/>
  <c r="H122" i="38" s="1"/>
  <c r="AR113" i="9"/>
  <c r="D99" i="38"/>
  <c r="H99" i="38" s="1"/>
  <c r="L106" i="38"/>
  <c r="U106" i="38" s="1"/>
  <c r="AB99" i="38"/>
  <c r="AK99" i="38" s="1"/>
  <c r="N245" i="38"/>
  <c r="P245" i="38" s="1"/>
  <c r="AR111" i="9"/>
  <c r="AK259" i="38"/>
  <c r="CB137" i="1"/>
  <c r="CB166" i="1" s="1"/>
  <c r="CB151" i="1"/>
  <c r="BU132" i="1"/>
  <c r="BP151" i="1"/>
  <c r="BQ132" i="1"/>
  <c r="CB162" i="1"/>
  <c r="CC135" i="1"/>
  <c r="CJ154" i="1"/>
  <c r="BP152" i="1"/>
  <c r="BQ152" i="1" s="1"/>
  <c r="BX152" i="1"/>
  <c r="CC152" i="1" s="1"/>
  <c r="CB161" i="1"/>
  <c r="CR202" i="1"/>
  <c r="CJ32" i="20" a="1"/>
  <c r="CJ32" i="20" s="1"/>
  <c r="L175" i="9"/>
  <c r="N182" i="9" s="1"/>
  <c r="H182" i="9" s="1"/>
  <c r="K175" i="9"/>
  <c r="CQ35" i="11"/>
  <c r="CP41" i="11"/>
  <c r="AS174" i="9"/>
  <c r="U329" i="38"/>
  <c r="AI329" i="38"/>
  <c r="U221" i="38"/>
  <c r="W221" i="38" s="1"/>
  <c r="AI221" i="38"/>
  <c r="AI176" i="38"/>
  <c r="AR174" i="9"/>
  <c r="CJ11" i="20"/>
  <c r="CO57" i="20" s="1"/>
  <c r="CK11" i="20"/>
  <c r="CP57" i="20" s="1"/>
  <c r="CL11" i="20"/>
  <c r="CQ57" i="20" s="1"/>
  <c r="Y34" i="15"/>
  <c r="AV11" i="3" s="1"/>
  <c r="DJ26" i="20"/>
  <c r="O18" i="67"/>
  <c r="O98" i="67" s="1"/>
  <c r="CK23" i="20"/>
  <c r="C15" i="65" s="1"/>
  <c r="H15" i="65" s="1"/>
  <c r="CM23" i="20"/>
  <c r="CJ23" i="20"/>
  <c r="CT85" i="1"/>
  <c r="CT41" i="1"/>
  <c r="CS25" i="1"/>
  <c r="CT25" i="1" s="1"/>
  <c r="CR105" i="1"/>
  <c r="CS115" i="1" s="1"/>
  <c r="CR89" i="1"/>
  <c r="CS89" i="1"/>
  <c r="CS85" i="1"/>
  <c r="CS69" i="1"/>
  <c r="CS99" i="1"/>
  <c r="CS146" i="1"/>
  <c r="CS15" i="1"/>
  <c r="AN172" i="10"/>
  <c r="R173" i="10"/>
  <c r="CS35" i="1"/>
  <c r="T172" i="10"/>
  <c r="U127" i="38"/>
  <c r="AK329" i="38"/>
  <c r="AK221" i="38"/>
  <c r="AQ174" i="9"/>
  <c r="AP174" i="9" s="1"/>
  <c r="Q12" i="67"/>
  <c r="DK11" i="20"/>
  <c r="DK57" i="20" s="1"/>
  <c r="P12" i="67"/>
  <c r="CR109" i="1"/>
  <c r="CS105" i="1"/>
  <c r="CT105" i="1"/>
  <c r="AA34" i="15"/>
  <c r="E13" i="72" s="1"/>
  <c r="D13" i="72"/>
  <c r="CR119" i="1"/>
  <c r="CS119" i="1" s="1"/>
  <c r="CR133" i="1"/>
  <c r="CT109" i="1"/>
  <c r="CS109" i="1"/>
  <c r="AI174" i="9"/>
  <c r="U174" i="9"/>
  <c r="W174" i="9"/>
  <c r="D174" i="9"/>
  <c r="H174" i="9" s="1"/>
  <c r="P174" i="9" s="1"/>
  <c r="P172" i="67"/>
  <c r="AD173" i="10"/>
  <c r="Z174" i="9"/>
  <c r="F13" i="65"/>
  <c r="F8" i="65"/>
  <c r="F20" i="65"/>
  <c r="F16" i="65"/>
  <c r="F22" i="65"/>
  <c r="F4" i="65"/>
  <c r="AK78" i="38" l="1"/>
  <c r="F65" i="9"/>
  <c r="W48" i="9"/>
  <c r="AK58" i="38"/>
  <c r="AW200" i="38"/>
  <c r="BI69" i="2"/>
  <c r="BF25" i="3"/>
  <c r="CR203" i="1"/>
  <c r="CV199" i="1"/>
  <c r="DA13" i="1"/>
  <c r="C79" i="20"/>
  <c r="D176" i="9"/>
  <c r="S176" i="9" s="1"/>
  <c r="AO128" i="1"/>
  <c r="CA49" i="20"/>
  <c r="BY128" i="1"/>
  <c r="BX164" i="1"/>
  <c r="CO135" i="1"/>
  <c r="U128" i="1"/>
  <c r="CN164" i="1"/>
  <c r="CO164" i="1" s="1"/>
  <c r="BQ133" i="1"/>
  <c r="DJ28" i="20"/>
  <c r="BM166" i="1"/>
  <c r="DK32" i="20"/>
  <c r="CV176" i="1"/>
  <c r="DK23" i="20"/>
  <c r="P15" i="67"/>
  <c r="CV95" i="1"/>
  <c r="CV96" i="1" s="1"/>
  <c r="CV97" i="1" s="1"/>
  <c r="CO23" i="20" s="1" a="1"/>
  <c r="CV100" i="1"/>
  <c r="CV98" i="1"/>
  <c r="Z40" i="15" s="1"/>
  <c r="Q15" i="67" s="1"/>
  <c r="Q136" i="67" s="1"/>
  <c r="CT78" i="1"/>
  <c r="CX78" i="1"/>
  <c r="CL54" i="20"/>
  <c r="AD79" i="20"/>
  <c r="AR79" i="20"/>
  <c r="AS79" i="20"/>
  <c r="AT79" i="20"/>
  <c r="Z79" i="20"/>
  <c r="AO79" i="20"/>
  <c r="AJ79" i="20"/>
  <c r="AL79" i="20"/>
  <c r="AW79" i="20"/>
  <c r="X79" i="20"/>
  <c r="N79" i="20"/>
  <c r="AE79" i="20"/>
  <c r="AQ79" i="20"/>
  <c r="W79" i="20"/>
  <c r="AI79" i="20"/>
  <c r="AV79" i="20"/>
  <c r="Y79" i="20"/>
  <c r="AM79" i="20"/>
  <c r="AX79" i="20"/>
  <c r="E79" i="20"/>
  <c r="AC79" i="20"/>
  <c r="AN79" i="20"/>
  <c r="AY79" i="20"/>
  <c r="I143" i="74"/>
  <c r="I153" i="74" s="1"/>
  <c r="O156" i="74"/>
  <c r="P156" i="74" s="1"/>
  <c r="Q156" i="74" s="1"/>
  <c r="R156" i="74" s="1"/>
  <c r="W163" i="74"/>
  <c r="V165" i="74"/>
  <c r="W165" i="74" s="1"/>
  <c r="R159" i="74"/>
  <c r="S159" i="74" s="1"/>
  <c r="T159" i="74" s="1"/>
  <c r="W158" i="74"/>
  <c r="U167" i="74"/>
  <c r="U32" i="74"/>
  <c r="U59" i="74"/>
  <c r="U60" i="74" s="1"/>
  <c r="U55" i="74"/>
  <c r="U51" i="74"/>
  <c r="U52" i="74" s="1"/>
  <c r="S160" i="74"/>
  <c r="T154" i="74"/>
  <c r="Q157" i="74"/>
  <c r="R157" i="74" s="1"/>
  <c r="S157" i="74" s="1"/>
  <c r="W153" i="74"/>
  <c r="W54" i="74"/>
  <c r="W22" i="74"/>
  <c r="U164" i="74"/>
  <c r="V164" i="74" s="1"/>
  <c r="W164" i="74" s="1"/>
  <c r="U166" i="74"/>
  <c r="V153" i="74"/>
  <c r="V54" i="74"/>
  <c r="V22" i="74"/>
  <c r="D79" i="20"/>
  <c r="P79" i="20"/>
  <c r="C136" i="67"/>
  <c r="C54" i="67"/>
  <c r="C95" i="67"/>
  <c r="C57" i="67"/>
  <c r="C139" i="67"/>
  <c r="M63" i="67"/>
  <c r="M147" i="67"/>
  <c r="M145" i="67" s="1"/>
  <c r="V51" i="15"/>
  <c r="V47" i="15"/>
  <c r="DH79" i="20" s="1"/>
  <c r="V44" i="15"/>
  <c r="DI12" i="20"/>
  <c r="P24" i="67"/>
  <c r="DA40" i="20"/>
  <c r="R26" i="65" s="1"/>
  <c r="Z26" i="65" s="1"/>
  <c r="N51" i="67"/>
  <c r="N133" i="67"/>
  <c r="C50" i="67"/>
  <c r="N45" i="67"/>
  <c r="O74" i="67" s="1"/>
  <c r="C6" i="67"/>
  <c r="C127" i="67" s="1"/>
  <c r="G10" i="67"/>
  <c r="N8" i="67"/>
  <c r="N47" i="67" s="1"/>
  <c r="N49" i="67" s="1"/>
  <c r="E18" i="67"/>
  <c r="E139" i="67" s="1"/>
  <c r="L6" i="67"/>
  <c r="CX8" i="20"/>
  <c r="CT26" i="20"/>
  <c r="CX23" i="20"/>
  <c r="F15" i="67"/>
  <c r="F63" i="67"/>
  <c r="F104" i="67" s="1"/>
  <c r="X38" i="15"/>
  <c r="AF46" i="15"/>
  <c r="W16" i="15"/>
  <c r="G61" i="15"/>
  <c r="F8" i="15"/>
  <c r="O57" i="67"/>
  <c r="AY62" i="2"/>
  <c r="O146" i="67"/>
  <c r="DD53" i="20"/>
  <c r="J88" i="67"/>
  <c r="I136" i="67"/>
  <c r="K24" i="67"/>
  <c r="K8" i="67"/>
  <c r="DC14" i="20"/>
  <c r="DC40" i="20" s="1"/>
  <c r="CX41" i="20"/>
  <c r="DG8" i="20"/>
  <c r="DG14" i="20" s="1"/>
  <c r="DG40" i="20" s="1"/>
  <c r="O11" i="67"/>
  <c r="O50" i="67" s="1"/>
  <c r="O76" i="67" s="1"/>
  <c r="C145" i="67"/>
  <c r="DF16" i="20"/>
  <c r="DF8" i="20"/>
  <c r="DF41" i="20" s="1"/>
  <c r="DH15" i="20"/>
  <c r="DI56" i="20" s="1"/>
  <c r="DH32" i="20"/>
  <c r="DA23" i="20"/>
  <c r="R15" i="65" s="1"/>
  <c r="Z15" i="65" s="1"/>
  <c r="DF10" i="20"/>
  <c r="X43" i="15"/>
  <c r="V38" i="15"/>
  <c r="T22" i="15"/>
  <c r="DH45" i="20"/>
  <c r="DA32" i="20"/>
  <c r="DE32" i="20"/>
  <c r="AF7" i="15"/>
  <c r="E41" i="15"/>
  <c r="T41" i="15"/>
  <c r="U41" i="15"/>
  <c r="AF11" i="15"/>
  <c r="M91" i="67"/>
  <c r="N117" i="67" s="1"/>
  <c r="J129" i="67"/>
  <c r="O115" i="67"/>
  <c r="F10" i="67"/>
  <c r="F29" i="67" s="1"/>
  <c r="E8" i="67"/>
  <c r="DH41" i="20"/>
  <c r="CZ10" i="20"/>
  <c r="DJ15" i="20"/>
  <c r="DJ56" i="20" s="1"/>
  <c r="DH23" i="20"/>
  <c r="X89" i="5"/>
  <c r="T18" i="15"/>
  <c r="T12" i="15"/>
  <c r="V8" i="15"/>
  <c r="V15" i="15"/>
  <c r="K118" i="2"/>
  <c r="S74" i="15"/>
  <c r="AF57" i="15"/>
  <c r="H49" i="67"/>
  <c r="H68" i="67" s="1"/>
  <c r="I121" i="67"/>
  <c r="I122" i="67" s="1"/>
  <c r="DH53" i="20"/>
  <c r="CZ45" i="20"/>
  <c r="O51" i="67"/>
  <c r="O92" i="67"/>
  <c r="D47" i="67"/>
  <c r="K132" i="67"/>
  <c r="I129" i="67"/>
  <c r="CZ56" i="20"/>
  <c r="DJ12" i="20"/>
  <c r="DH12" i="20"/>
  <c r="AK82" i="2"/>
  <c r="K127" i="67"/>
  <c r="I10" i="67"/>
  <c r="I29" i="67" s="1"/>
  <c r="K45" i="67"/>
  <c r="L63" i="67"/>
  <c r="L104" i="67" s="1"/>
  <c r="D129" i="67"/>
  <c r="I88" i="67"/>
  <c r="C98" i="67"/>
  <c r="N54" i="67"/>
  <c r="K30" i="67"/>
  <c r="H63" i="5"/>
  <c r="G16" i="5"/>
  <c r="AI290" i="38"/>
  <c r="AK289" i="38"/>
  <c r="CZ57" i="20"/>
  <c r="N58" i="20"/>
  <c r="AE53" i="20"/>
  <c r="AQ53" i="20"/>
  <c r="BA53" i="20"/>
  <c r="BF41" i="20"/>
  <c r="T57" i="20"/>
  <c r="Y57" i="20"/>
  <c r="AI57" i="20"/>
  <c r="AN57" i="20"/>
  <c r="BV45" i="20"/>
  <c r="E41" i="20"/>
  <c r="K41" i="20"/>
  <c r="U56" i="20"/>
  <c r="Z41" i="20"/>
  <c r="AE41" i="20"/>
  <c r="AN42" i="20"/>
  <c r="AN44" i="20"/>
  <c r="AT56" i="20"/>
  <c r="BW41" i="20"/>
  <c r="CB56" i="20"/>
  <c r="CG56" i="20"/>
  <c r="DB14" i="20"/>
  <c r="S8" i="65" s="1"/>
  <c r="AA8" i="65" s="1"/>
  <c r="DI14" i="20"/>
  <c r="DI40" i="20" s="1"/>
  <c r="AB112" i="9"/>
  <c r="AR77" i="20"/>
  <c r="L123" i="10"/>
  <c r="D120" i="10"/>
  <c r="AK64" i="9"/>
  <c r="Z50" i="9"/>
  <c r="AB50" i="9" s="1"/>
  <c r="AB96" i="9"/>
  <c r="AI95" i="10"/>
  <c r="T123" i="10"/>
  <c r="P46" i="10"/>
  <c r="J46" i="10"/>
  <c r="Z101" i="38"/>
  <c r="AB125" i="9"/>
  <c r="AK125" i="9" s="1"/>
  <c r="BB77" i="20"/>
  <c r="B158" i="10"/>
  <c r="B88" i="10"/>
  <c r="B81" i="10"/>
  <c r="B60" i="10"/>
  <c r="B137" i="10"/>
  <c r="B116" i="10"/>
  <c r="B109" i="10"/>
  <c r="B53" i="10"/>
  <c r="B95" i="10"/>
  <c r="B123" i="10"/>
  <c r="B151" i="10"/>
  <c r="B165" i="10"/>
  <c r="B46" i="10"/>
  <c r="B25" i="10"/>
  <c r="B130" i="10"/>
  <c r="B183" i="10"/>
  <c r="B92" i="10"/>
  <c r="B78" i="10"/>
  <c r="B148" i="10"/>
  <c r="B64" i="10"/>
  <c r="J26" i="10"/>
  <c r="R26" i="10" s="1"/>
  <c r="P26" i="10"/>
  <c r="J25" i="10"/>
  <c r="J29" i="10" s="1"/>
  <c r="P25" i="10"/>
  <c r="X25" i="10"/>
  <c r="T25" i="10"/>
  <c r="J131" i="10"/>
  <c r="AL131" i="10" s="1"/>
  <c r="AN130" i="10"/>
  <c r="P131" i="10"/>
  <c r="N137" i="10"/>
  <c r="J130" i="10"/>
  <c r="J134" i="10" s="1"/>
  <c r="AI134" i="10" s="1"/>
  <c r="P130" i="10"/>
  <c r="AN138" i="10"/>
  <c r="J139" i="10"/>
  <c r="J138" i="10"/>
  <c r="P138" i="10"/>
  <c r="F141" i="10"/>
  <c r="T133" i="10"/>
  <c r="AB148" i="38"/>
  <c r="AK148" i="38" s="1"/>
  <c r="L152" i="10"/>
  <c r="D148" i="10"/>
  <c r="AN152" i="10"/>
  <c r="P153" i="10"/>
  <c r="AD152" i="10"/>
  <c r="AF152" i="10" s="1"/>
  <c r="X152" i="10"/>
  <c r="N152" i="10"/>
  <c r="P152" i="10"/>
  <c r="J152" i="10"/>
  <c r="L155" i="10"/>
  <c r="T152" i="10"/>
  <c r="AI161" i="10"/>
  <c r="AL161" i="10"/>
  <c r="Z159" i="10"/>
  <c r="F162" i="10"/>
  <c r="T159" i="10"/>
  <c r="J167" i="10"/>
  <c r="J166" i="10"/>
  <c r="AN166" i="10"/>
  <c r="P166" i="10"/>
  <c r="AD166" i="10"/>
  <c r="X166" i="10"/>
  <c r="Z166" i="10" s="1"/>
  <c r="P167" i="10"/>
  <c r="AB168" i="9"/>
  <c r="AB170" i="9" s="1"/>
  <c r="AB167" i="9"/>
  <c r="L133" i="10"/>
  <c r="L140" i="10"/>
  <c r="AP77" i="10"/>
  <c r="AQ77" i="10" s="1"/>
  <c r="AD77" i="10"/>
  <c r="A119" i="10"/>
  <c r="A133" i="10"/>
  <c r="A91" i="10"/>
  <c r="A56" i="10"/>
  <c r="A49" i="10"/>
  <c r="A140" i="10"/>
  <c r="A168" i="10"/>
  <c r="A147" i="10"/>
  <c r="A63" i="10"/>
  <c r="A175" i="10"/>
  <c r="A126" i="10"/>
  <c r="A112" i="10"/>
  <c r="A98" i="10"/>
  <c r="A70" i="10"/>
  <c r="A21" i="10"/>
  <c r="J111" i="10"/>
  <c r="AD110" i="10"/>
  <c r="AF117" i="10" s="1"/>
  <c r="J110" i="10"/>
  <c r="X110" i="10"/>
  <c r="Z117" i="10" s="1"/>
  <c r="P111" i="10"/>
  <c r="P110" i="10"/>
  <c r="T110" i="10"/>
  <c r="P119" i="10"/>
  <c r="T119" i="10"/>
  <c r="R116" i="10"/>
  <c r="F120" i="10"/>
  <c r="Z94" i="38"/>
  <c r="AB94" i="38" s="1"/>
  <c r="AD101" i="38" s="1"/>
  <c r="AF101" i="38" s="1"/>
  <c r="Z78" i="9"/>
  <c r="AI116" i="10"/>
  <c r="AI74" i="10"/>
  <c r="AB111" i="9"/>
  <c r="AB114" i="9" s="1"/>
  <c r="N119" i="10"/>
  <c r="N117" i="10"/>
  <c r="L111" i="10"/>
  <c r="X77" i="20"/>
  <c r="AB83" i="9"/>
  <c r="A77" i="10"/>
  <c r="AB84" i="9"/>
  <c r="A42" i="10"/>
  <c r="Z105" i="38"/>
  <c r="AB105" i="38" s="1"/>
  <c r="AL77" i="20"/>
  <c r="AB161" i="9"/>
  <c r="AB160" i="9"/>
  <c r="AD160" i="9" s="1"/>
  <c r="AF160" i="9" s="1"/>
  <c r="Z162" i="38"/>
  <c r="AB162" i="38" s="1"/>
  <c r="AK162" i="38" s="1"/>
  <c r="AN76" i="10"/>
  <c r="P76" i="10"/>
  <c r="P77" i="10"/>
  <c r="AP76" i="10"/>
  <c r="Z77" i="9"/>
  <c r="T77" i="20" s="1"/>
  <c r="Z79" i="38"/>
  <c r="AB79" i="38" s="1"/>
  <c r="AN82" i="10"/>
  <c r="T82" i="10"/>
  <c r="T90" i="10"/>
  <c r="X90" i="10"/>
  <c r="Z97" i="10" s="1"/>
  <c r="AN90" i="10"/>
  <c r="P90" i="10"/>
  <c r="P91" i="10"/>
  <c r="J90" i="10"/>
  <c r="AD90" i="10"/>
  <c r="AF90" i="10" s="1"/>
  <c r="J91" i="10"/>
  <c r="N97" i="10"/>
  <c r="F92" i="10"/>
  <c r="AN89" i="10"/>
  <c r="J97" i="10"/>
  <c r="J96" i="10"/>
  <c r="R96" i="10" s="1"/>
  <c r="T96" i="10"/>
  <c r="X96" i="10"/>
  <c r="Z96" i="10" s="1"/>
  <c r="AD102" i="10"/>
  <c r="AF102" i="10" s="1"/>
  <c r="N109" i="10"/>
  <c r="P102" i="10"/>
  <c r="D106" i="10"/>
  <c r="L106" i="10" s="1"/>
  <c r="L110" i="10"/>
  <c r="L103" i="10"/>
  <c r="N130" i="10"/>
  <c r="AN123" i="10"/>
  <c r="J124" i="10"/>
  <c r="AI124" i="10" s="1"/>
  <c r="J123" i="10"/>
  <c r="AL123" i="10" s="1"/>
  <c r="P124" i="10"/>
  <c r="Z80" i="38"/>
  <c r="AB80" i="38" s="1"/>
  <c r="AK80" i="38" s="1"/>
  <c r="AL116" i="10"/>
  <c r="T111" i="10"/>
  <c r="A105" i="10"/>
  <c r="AI77" i="20"/>
  <c r="AB98" i="9"/>
  <c r="BG77" i="20"/>
  <c r="AB132" i="9"/>
  <c r="AK132" i="9" s="1"/>
  <c r="BL77" i="20"/>
  <c r="AB139" i="9"/>
  <c r="P28" i="10"/>
  <c r="J28" i="10"/>
  <c r="R28" i="10" s="1"/>
  <c r="N28" i="10"/>
  <c r="T28" i="10"/>
  <c r="N35" i="10"/>
  <c r="T32" i="10"/>
  <c r="N32" i="10"/>
  <c r="AN32" i="10"/>
  <c r="J33" i="10"/>
  <c r="J42" i="10"/>
  <c r="J41" i="10"/>
  <c r="N48" i="10"/>
  <c r="N41" i="10"/>
  <c r="R47" i="10"/>
  <c r="AI47" i="10"/>
  <c r="AL47" i="10"/>
  <c r="AI48" i="10"/>
  <c r="R48" i="10"/>
  <c r="P56" i="10"/>
  <c r="P55" i="10"/>
  <c r="N55" i="10"/>
  <c r="AD55" i="10"/>
  <c r="AF62" i="10" s="1"/>
  <c r="H77" i="20"/>
  <c r="AB62" i="9"/>
  <c r="L60" i="10"/>
  <c r="J67" i="10"/>
  <c r="AN67" i="10"/>
  <c r="N74" i="10"/>
  <c r="AD67" i="10"/>
  <c r="P68" i="10"/>
  <c r="Z68" i="9"/>
  <c r="Z70" i="38"/>
  <c r="AB70" i="38" s="1"/>
  <c r="AD70" i="38" s="1"/>
  <c r="L67" i="10"/>
  <c r="AI137" i="10"/>
  <c r="R95" i="10"/>
  <c r="L99" i="10"/>
  <c r="AD49" i="10"/>
  <c r="AB48" i="9"/>
  <c r="AB126" i="9"/>
  <c r="AK126" i="9" s="1"/>
  <c r="AB140" i="9"/>
  <c r="AD162" i="9"/>
  <c r="L131" i="10"/>
  <c r="T33" i="10"/>
  <c r="T56" i="10"/>
  <c r="T91" i="10"/>
  <c r="AL160" i="10"/>
  <c r="AL53" i="10"/>
  <c r="Z155" i="38"/>
  <c r="AQ84" i="10"/>
  <c r="AL48" i="10"/>
  <c r="AB149" i="38"/>
  <c r="AD159" i="10"/>
  <c r="AF159" i="10" s="1"/>
  <c r="AD168" i="9"/>
  <c r="AF168" i="9" s="1"/>
  <c r="AB119" i="9"/>
  <c r="P66" i="5"/>
  <c r="P77" i="15" s="1"/>
  <c r="AB106" i="9"/>
  <c r="AD133" i="9"/>
  <c r="BC77" i="20"/>
  <c r="Z108" i="38"/>
  <c r="AB173" i="9"/>
  <c r="AD173" i="9" s="1"/>
  <c r="AF173" i="9" s="1"/>
  <c r="AB147" i="9"/>
  <c r="AB154" i="9"/>
  <c r="AB99" i="9"/>
  <c r="AB127" i="9"/>
  <c r="AK127" i="9" s="1"/>
  <c r="AB103" i="9"/>
  <c r="AB76" i="9"/>
  <c r="AK166" i="9"/>
  <c r="AM166" i="9" s="1"/>
  <c r="AD146" i="9"/>
  <c r="AK48" i="9"/>
  <c r="AO77" i="20"/>
  <c r="AB63" i="9"/>
  <c r="A27" i="10"/>
  <c r="A181" i="10"/>
  <c r="B42" i="10"/>
  <c r="B182" i="10"/>
  <c r="J63" i="10"/>
  <c r="AI63" i="10" s="1"/>
  <c r="AF109" i="10"/>
  <c r="A84" i="10"/>
  <c r="A182" i="10"/>
  <c r="B74" i="10"/>
  <c r="B179" i="10"/>
  <c r="P41" i="10"/>
  <c r="X41" i="10"/>
  <c r="Z41" i="10" s="1"/>
  <c r="N54" i="10"/>
  <c r="L116" i="10"/>
  <c r="AD160" i="10"/>
  <c r="AF160" i="10" s="1"/>
  <c r="AN35" i="10"/>
  <c r="AD155" i="9"/>
  <c r="A18" i="10"/>
  <c r="A179" i="10"/>
  <c r="B19" i="10"/>
  <c r="B180" i="10"/>
  <c r="AN131" i="10"/>
  <c r="Z147" i="10"/>
  <c r="L172" i="10"/>
  <c r="AF173" i="10"/>
  <c r="A19" i="10"/>
  <c r="A180" i="10"/>
  <c r="AQ76" i="10"/>
  <c r="AN111" i="10"/>
  <c r="N138" i="10"/>
  <c r="F46" i="3"/>
  <c r="BL39" i="3"/>
  <c r="N29" i="23"/>
  <c r="AM13" i="11"/>
  <c r="AE25" i="11"/>
  <c r="G31" i="11"/>
  <c r="N77" i="10"/>
  <c r="AA19" i="11"/>
  <c r="P46" i="3"/>
  <c r="AD46" i="3"/>
  <c r="H70" i="3"/>
  <c r="H71" i="3" s="1"/>
  <c r="Z32" i="3"/>
  <c r="AM118" i="2"/>
  <c r="AM112" i="2"/>
  <c r="CF67" i="20"/>
  <c r="CE67" i="20"/>
  <c r="AI117" i="2"/>
  <c r="AI111" i="2"/>
  <c r="AK111" i="2"/>
  <c r="BW66" i="20"/>
  <c r="U111" i="2"/>
  <c r="F29" i="23"/>
  <c r="F47" i="23" s="1"/>
  <c r="AQ30" i="2"/>
  <c r="BA28" i="2"/>
  <c r="M111" i="2"/>
  <c r="AG112" i="2"/>
  <c r="E87" i="2"/>
  <c r="AM54" i="2"/>
  <c r="AI112" i="2"/>
  <c r="AD98" i="10"/>
  <c r="AF105" i="10" s="1"/>
  <c r="M112" i="2"/>
  <c r="U112" i="2"/>
  <c r="N47" i="23"/>
  <c r="N53" i="23" s="1"/>
  <c r="U66" i="20" s="1"/>
  <c r="K31" i="11"/>
  <c r="O31" i="11"/>
  <c r="L32" i="3"/>
  <c r="R98" i="10"/>
  <c r="AU131" i="2"/>
  <c r="R53" i="10"/>
  <c r="N56" i="10"/>
  <c r="J35" i="10"/>
  <c r="S13" i="11"/>
  <c r="AE19" i="11"/>
  <c r="N30" i="3"/>
  <c r="D29" i="23"/>
  <c r="D47" i="23" s="1"/>
  <c r="D53" i="23" s="1"/>
  <c r="AI98" i="10"/>
  <c r="P88" i="10"/>
  <c r="AN56" i="10"/>
  <c r="J56" i="10"/>
  <c r="T35" i="10"/>
  <c r="O81" i="2"/>
  <c r="D30" i="3"/>
  <c r="P81" i="10"/>
  <c r="N112" i="10"/>
  <c r="G25" i="11"/>
  <c r="H29" i="23"/>
  <c r="H47" i="23" s="1"/>
  <c r="H53" i="23" s="1"/>
  <c r="J99" i="10"/>
  <c r="J46" i="3"/>
  <c r="P35" i="10"/>
  <c r="J88" i="10"/>
  <c r="AD35" i="10"/>
  <c r="AF42" i="10" s="1"/>
  <c r="J37" i="11"/>
  <c r="F37" i="11"/>
  <c r="Z37" i="11"/>
  <c r="H30" i="3"/>
  <c r="P30" i="3"/>
  <c r="BR39" i="3"/>
  <c r="P32" i="10"/>
  <c r="J30" i="3"/>
  <c r="R46" i="3"/>
  <c r="R30" i="3"/>
  <c r="BL38" i="3"/>
  <c r="Z46" i="3"/>
  <c r="F77" i="20"/>
  <c r="AB57" i="9"/>
  <c r="AD57" i="9" s="1"/>
  <c r="AB61" i="9"/>
  <c r="N171" i="67"/>
  <c r="N169" i="67" s="1"/>
  <c r="H75" i="67"/>
  <c r="AB134" i="9"/>
  <c r="AK134" i="9" s="1"/>
  <c r="O66" i="5"/>
  <c r="O77" i="15" s="1"/>
  <c r="DI54" i="20"/>
  <c r="DA71" i="20"/>
  <c r="DB72" i="20" s="1"/>
  <c r="BI77" i="20"/>
  <c r="E75" i="5"/>
  <c r="P70" i="3"/>
  <c r="P71" i="3" s="1"/>
  <c r="AB59" i="38"/>
  <c r="AB138" i="9"/>
  <c r="AK138" i="9" s="1"/>
  <c r="P62" i="5"/>
  <c r="AF161" i="10"/>
  <c r="AV80" i="3"/>
  <c r="AV78" i="3" s="1"/>
  <c r="AV81" i="3" s="1"/>
  <c r="H98" i="67"/>
  <c r="F88" i="67"/>
  <c r="F90" i="67" s="1"/>
  <c r="F109" i="67" s="1"/>
  <c r="N29" i="15"/>
  <c r="T74" i="15"/>
  <c r="Q18" i="15"/>
  <c r="AQ75" i="2"/>
  <c r="AQ81" i="2" s="1"/>
  <c r="F49" i="67"/>
  <c r="F68" i="67" s="1"/>
  <c r="K69" i="67"/>
  <c r="CC162" i="1"/>
  <c r="CS132" i="1"/>
  <c r="I128" i="1"/>
  <c r="CR137" i="1"/>
  <c r="CR166" i="1" s="1"/>
  <c r="CR151" i="1"/>
  <c r="CS151" i="1" s="1"/>
  <c r="BP156" i="1"/>
  <c r="Y128" i="1"/>
  <c r="CO154" i="1"/>
  <c r="M128" i="1"/>
  <c r="CN152" i="1"/>
  <c r="CN156" i="1" s="1"/>
  <c r="CB156" i="1"/>
  <c r="CO162" i="1"/>
  <c r="BP154" i="1"/>
  <c r="BP164" i="1"/>
  <c r="CO151" i="1"/>
  <c r="CC154" i="1"/>
  <c r="BQ161" i="1"/>
  <c r="CS133" i="1"/>
  <c r="CJ136" i="1"/>
  <c r="CJ155" i="1" s="1"/>
  <c r="Q128" i="1"/>
  <c r="CB164" i="1"/>
  <c r="CC164" i="1" s="1"/>
  <c r="BU151" i="1"/>
  <c r="CC134" i="1"/>
  <c r="BP137" i="1"/>
  <c r="CN161" i="1"/>
  <c r="CS161" i="1" s="1"/>
  <c r="CJ137" i="1"/>
  <c r="CR162" i="1"/>
  <c r="CS162" i="1" s="1"/>
  <c r="CR152" i="1"/>
  <c r="BQ151" i="1"/>
  <c r="CO132" i="1"/>
  <c r="CO133" i="1"/>
  <c r="CJ138" i="1"/>
  <c r="CJ167" i="1" s="1"/>
  <c r="CB136" i="1"/>
  <c r="AQ78" i="2" s="1"/>
  <c r="AN10" i="3" s="1"/>
  <c r="BX153" i="1"/>
  <c r="CC153" i="1" s="1"/>
  <c r="CJ152" i="1"/>
  <c r="CJ156" i="1" s="1"/>
  <c r="CB163" i="1"/>
  <c r="CC163" i="1" s="1"/>
  <c r="BD28" i="20"/>
  <c r="CB157" i="1"/>
  <c r="CN137" i="1"/>
  <c r="BT161" i="1"/>
  <c r="BU161" i="1" s="1"/>
  <c r="CC133" i="1"/>
  <c r="DK28" i="20"/>
  <c r="AK128" i="1"/>
  <c r="AM323" i="38"/>
  <c r="N164" i="38"/>
  <c r="P164" i="38" s="1"/>
  <c r="AD221" i="38"/>
  <c r="AF221" i="38" s="1"/>
  <c r="A338" i="38"/>
  <c r="A310" i="38"/>
  <c r="A129" i="38"/>
  <c r="A136" i="38"/>
  <c r="A261" i="38"/>
  <c r="A80" i="38"/>
  <c r="A202" i="38"/>
  <c r="A209" i="38"/>
  <c r="S116" i="38"/>
  <c r="D123" i="38" s="1"/>
  <c r="H123" i="38" s="1"/>
  <c r="AD216" i="38"/>
  <c r="AF216" i="38" s="1"/>
  <c r="W252" i="38"/>
  <c r="U317" i="38"/>
  <c r="W317" i="38" s="1"/>
  <c r="D297" i="38"/>
  <c r="H297" i="38" s="1"/>
  <c r="AM310" i="38"/>
  <c r="U281" i="38"/>
  <c r="B51" i="38"/>
  <c r="H30" i="38"/>
  <c r="B114" i="38"/>
  <c r="B222" i="38"/>
  <c r="A94" i="38"/>
  <c r="L155" i="38"/>
  <c r="K156" i="38"/>
  <c r="L163" i="38"/>
  <c r="K164" i="38"/>
  <c r="K163" i="38"/>
  <c r="AB199" i="38"/>
  <c r="AD206" i="38" s="1"/>
  <c r="AF206" i="38" s="1"/>
  <c r="AD209" i="38"/>
  <c r="AF209" i="38" s="1"/>
  <c r="AK202" i="38"/>
  <c r="AM209" i="38" s="1"/>
  <c r="AW213" i="38"/>
  <c r="AV215" i="38"/>
  <c r="AB214" i="38"/>
  <c r="AK214" i="38" s="1"/>
  <c r="AB213" i="38"/>
  <c r="AB303" i="38"/>
  <c r="AK303" i="38" s="1"/>
  <c r="Z150" i="38"/>
  <c r="AB150" i="38" s="1"/>
  <c r="AK150" i="38" s="1"/>
  <c r="AV132" i="9"/>
  <c r="AU132" i="9" s="1"/>
  <c r="AS135" i="9"/>
  <c r="AI21" i="38"/>
  <c r="D28" i="38"/>
  <c r="H28" i="38" s="1"/>
  <c r="D21" i="38"/>
  <c r="H21" i="38" s="1"/>
  <c r="P21" i="38" s="1"/>
  <c r="AI210" i="38"/>
  <c r="AK206" i="38"/>
  <c r="AK210" i="38" s="1"/>
  <c r="AI113" i="38"/>
  <c r="N149" i="38"/>
  <c r="D304" i="38"/>
  <c r="H304" i="38" s="1"/>
  <c r="P161" i="38"/>
  <c r="K121" i="38"/>
  <c r="AD208" i="38"/>
  <c r="AF208" i="38" s="1"/>
  <c r="U14" i="38"/>
  <c r="U18" i="38" s="1"/>
  <c r="B128" i="38"/>
  <c r="B170" i="38"/>
  <c r="A254" i="38"/>
  <c r="N37" i="38"/>
  <c r="P37" i="38" s="1"/>
  <c r="AV140" i="38"/>
  <c r="AW140" i="38" s="1"/>
  <c r="AV147" i="38"/>
  <c r="AW147" i="38" s="1"/>
  <c r="K157" i="38"/>
  <c r="L157" i="38"/>
  <c r="K176" i="38"/>
  <c r="L175" i="38"/>
  <c r="AI203" i="38"/>
  <c r="L274" i="38"/>
  <c r="N281" i="38" s="1"/>
  <c r="P281" i="38" s="1"/>
  <c r="K274" i="38"/>
  <c r="AS124" i="9"/>
  <c r="AQ124" i="9" s="1"/>
  <c r="AP124" i="9" s="1"/>
  <c r="AT133" i="38"/>
  <c r="D286" i="38"/>
  <c r="H286" i="38" s="1"/>
  <c r="AU133" i="38"/>
  <c r="S283" i="38"/>
  <c r="D290" i="38" s="1"/>
  <c r="H290" i="38" s="1"/>
  <c r="Z163" i="38"/>
  <c r="AB316" i="38"/>
  <c r="AK316" i="38" s="1"/>
  <c r="Z168" i="38"/>
  <c r="AB168" i="38" s="1"/>
  <c r="AB321" i="38"/>
  <c r="AD321" i="38" s="1"/>
  <c r="AF321" i="38" s="1"/>
  <c r="L330" i="38"/>
  <c r="N337" i="38" s="1"/>
  <c r="H337" i="38" s="1"/>
  <c r="D337" i="38" s="1"/>
  <c r="K329" i="38"/>
  <c r="K330" i="38"/>
  <c r="B309" i="38"/>
  <c r="B330" i="38"/>
  <c r="B267" i="38"/>
  <c r="B260" i="38"/>
  <c r="B177" i="38"/>
  <c r="B142" i="38"/>
  <c r="B100" i="38"/>
  <c r="B58" i="38"/>
  <c r="B149" i="38"/>
  <c r="B316" i="38"/>
  <c r="B253" i="38"/>
  <c r="B215" i="38"/>
  <c r="B274" i="38"/>
  <c r="B208" i="38"/>
  <c r="B163" i="38"/>
  <c r="B79" i="38"/>
  <c r="B107" i="38"/>
  <c r="B37" i="38"/>
  <c r="B323" i="38"/>
  <c r="B239" i="38"/>
  <c r="B156" i="38"/>
  <c r="B295" i="38"/>
  <c r="B194" i="38"/>
  <c r="B246" i="38"/>
  <c r="B72" i="38"/>
  <c r="B93" i="38"/>
  <c r="B23" i="38"/>
  <c r="Z100" i="38"/>
  <c r="AB101" i="38" s="1"/>
  <c r="AB253" i="38"/>
  <c r="AD253" i="38" s="1"/>
  <c r="AF253" i="38" s="1"/>
  <c r="L307" i="38"/>
  <c r="L308" i="38"/>
  <c r="K307" i="38"/>
  <c r="AB87" i="38"/>
  <c r="U328" i="38"/>
  <c r="N252" i="38"/>
  <c r="AB169" i="38"/>
  <c r="AK169" i="38" s="1"/>
  <c r="B121" i="38"/>
  <c r="U21" i="38"/>
  <c r="B65" i="38"/>
  <c r="B44" i="38"/>
  <c r="B281" i="38"/>
  <c r="N51" i="38"/>
  <c r="P51" i="38" s="1"/>
  <c r="U51" i="38"/>
  <c r="W51" i="38" s="1"/>
  <c r="AI59" i="38"/>
  <c r="AI60" i="38" s="1"/>
  <c r="D66" i="38"/>
  <c r="H66" i="38" s="1"/>
  <c r="S60" i="38"/>
  <c r="D71" i="38"/>
  <c r="H71" i="38" s="1"/>
  <c r="D64" i="38"/>
  <c r="H64" i="38" s="1"/>
  <c r="D80" i="38"/>
  <c r="H80" i="38" s="1"/>
  <c r="AV161" i="38"/>
  <c r="AW161" i="38" s="1"/>
  <c r="L170" i="38"/>
  <c r="L171" i="38"/>
  <c r="AV170" i="38"/>
  <c r="AB171" i="38"/>
  <c r="Z112" i="38"/>
  <c r="AB112" i="38" s="1"/>
  <c r="AD112" i="38" s="1"/>
  <c r="AB266" i="38"/>
  <c r="AD266" i="38" s="1"/>
  <c r="AF266" i="38" s="1"/>
  <c r="AD329" i="38"/>
  <c r="AF329" i="38" s="1"/>
  <c r="AD280" i="38"/>
  <c r="AK240" i="38"/>
  <c r="AB318" i="38"/>
  <c r="H58" i="38"/>
  <c r="D36" i="38"/>
  <c r="H36" i="38" s="1"/>
  <c r="AV142" i="38"/>
  <c r="L147" i="38"/>
  <c r="U147" i="38" s="1"/>
  <c r="AV149" i="38"/>
  <c r="AW149" i="38" s="1"/>
  <c r="AI151" i="38"/>
  <c r="K161" i="38"/>
  <c r="AV169" i="38"/>
  <c r="AW169" i="38" s="1"/>
  <c r="AV171" i="38"/>
  <c r="AV192" i="38"/>
  <c r="AW206" i="38"/>
  <c r="L215" i="38"/>
  <c r="AB220" i="38"/>
  <c r="AB251" i="38"/>
  <c r="AK251" i="38" s="1"/>
  <c r="AB265" i="38"/>
  <c r="AB293" i="38"/>
  <c r="AK293" i="38" s="1"/>
  <c r="L309" i="38"/>
  <c r="U309" i="38" s="1"/>
  <c r="AD310" i="38"/>
  <c r="AK322" i="38"/>
  <c r="AM322" i="38" s="1"/>
  <c r="AK149" i="38"/>
  <c r="AW209" i="38"/>
  <c r="N29" i="38"/>
  <c r="P29" i="38" s="1"/>
  <c r="N43" i="38"/>
  <c r="AV105" i="38"/>
  <c r="AV121" i="38"/>
  <c r="AV128" i="38"/>
  <c r="AV129" i="38"/>
  <c r="AI158" i="38"/>
  <c r="AV162" i="38"/>
  <c r="AW162" i="38" s="1"/>
  <c r="AV175" i="38"/>
  <c r="AW175" i="38" s="1"/>
  <c r="AB201" i="38"/>
  <c r="AK201" i="38" s="1"/>
  <c r="AM208" i="38" s="1"/>
  <c r="AB244" i="38"/>
  <c r="AB279" i="38"/>
  <c r="K288" i="38"/>
  <c r="AB294" i="38"/>
  <c r="AD301" i="38" s="1"/>
  <c r="AB307" i="38"/>
  <c r="AK307" i="38" s="1"/>
  <c r="N220" i="38"/>
  <c r="P220" i="38" s="1"/>
  <c r="H44" i="38"/>
  <c r="P44" i="38" s="1"/>
  <c r="AV157" i="38"/>
  <c r="AW157" i="38" s="1"/>
  <c r="AW207" i="38"/>
  <c r="U22" i="38"/>
  <c r="W29" i="38" s="1"/>
  <c r="AB57" i="38"/>
  <c r="AK57" i="38" s="1"/>
  <c r="H77" i="38"/>
  <c r="D151" i="38"/>
  <c r="H151" i="38" s="1"/>
  <c r="L150" i="38"/>
  <c r="L151" i="38" s="1"/>
  <c r="L156" i="38"/>
  <c r="AV176" i="38"/>
  <c r="AW176" i="38" s="1"/>
  <c r="AV178" i="38"/>
  <c r="AW178" i="38" s="1"/>
  <c r="K208" i="38"/>
  <c r="AV221" i="38"/>
  <c r="AW221" i="38" s="1"/>
  <c r="AV220" i="38"/>
  <c r="AW220" i="38" s="1"/>
  <c r="AV222" i="38"/>
  <c r="AB240" i="38"/>
  <c r="AB254" i="38"/>
  <c r="AD254" i="38" s="1"/>
  <c r="AF254" i="38" s="1"/>
  <c r="AB258" i="38"/>
  <c r="AB261" i="38"/>
  <c r="AB272" i="38"/>
  <c r="L295" i="38"/>
  <c r="U295" i="38" s="1"/>
  <c r="AI294" i="38"/>
  <c r="AK294" i="38" s="1"/>
  <c r="AM301" i="38" s="1"/>
  <c r="K301" i="38"/>
  <c r="K308" i="38"/>
  <c r="AB309" i="38"/>
  <c r="AB322" i="38"/>
  <c r="AS170" i="9"/>
  <c r="AV138" i="9"/>
  <c r="AU138" i="9" s="1"/>
  <c r="AS107" i="9"/>
  <c r="AS114" i="9"/>
  <c r="AV166" i="9"/>
  <c r="AU166" i="9" s="1"/>
  <c r="AQ132" i="9"/>
  <c r="AP132" i="9" s="1"/>
  <c r="AQ134" i="9"/>
  <c r="AP134" i="9" s="1"/>
  <c r="AS142" i="9"/>
  <c r="AQ153" i="9"/>
  <c r="AQ168" i="9"/>
  <c r="AP168" i="9" s="1"/>
  <c r="AV174" i="9"/>
  <c r="AU174" i="9" s="1"/>
  <c r="AQ113" i="9"/>
  <c r="AQ148" i="9"/>
  <c r="AP148" i="9" s="1"/>
  <c r="AR135" i="9"/>
  <c r="AQ154" i="9"/>
  <c r="AP154" i="9" s="1"/>
  <c r="AW192" i="38"/>
  <c r="L100" i="38"/>
  <c r="AV136" i="38"/>
  <c r="AW136" i="38" s="1"/>
  <c r="AK268" i="38"/>
  <c r="D108" i="38"/>
  <c r="H108" i="38" s="1"/>
  <c r="P267" i="38"/>
  <c r="AI262" i="38"/>
  <c r="W127" i="38"/>
  <c r="N246" i="38"/>
  <c r="P246" i="38" s="1"/>
  <c r="AI83" i="10"/>
  <c r="AL83" i="10"/>
  <c r="R83" i="10"/>
  <c r="AB104" i="9"/>
  <c r="AD104" i="9" s="1"/>
  <c r="Z106" i="38"/>
  <c r="AB105" i="9"/>
  <c r="AD112" i="9" s="1"/>
  <c r="AM77" i="20"/>
  <c r="J169" i="10"/>
  <c r="AI167" i="10"/>
  <c r="AB51" i="9"/>
  <c r="AF56" i="10"/>
  <c r="AF49" i="10"/>
  <c r="M77" i="20"/>
  <c r="AB68" i="9"/>
  <c r="AB90" i="9"/>
  <c r="Z92" i="38"/>
  <c r="AB93" i="38" s="1"/>
  <c r="AC77" i="20"/>
  <c r="AB91" i="9"/>
  <c r="R132" i="10"/>
  <c r="AL132" i="10"/>
  <c r="AB85" i="9"/>
  <c r="AL82" i="10"/>
  <c r="AL152" i="10"/>
  <c r="A35" i="10"/>
  <c r="P20" i="10"/>
  <c r="A28" i="10"/>
  <c r="L27" i="10"/>
  <c r="T26" i="10"/>
  <c r="B33" i="10"/>
  <c r="T47" i="10"/>
  <c r="X47" i="10"/>
  <c r="T55" i="10"/>
  <c r="R63" i="10"/>
  <c r="N75" i="10"/>
  <c r="P75" i="10"/>
  <c r="N83" i="10"/>
  <c r="J81" i="10"/>
  <c r="X104" i="10"/>
  <c r="Z104" i="10" s="1"/>
  <c r="D113" i="10"/>
  <c r="L117" i="10"/>
  <c r="AN124" i="10"/>
  <c r="AD123" i="10"/>
  <c r="AF123" i="10" s="1"/>
  <c r="T131" i="10"/>
  <c r="T146" i="10"/>
  <c r="T145" i="10"/>
  <c r="T165" i="10"/>
  <c r="Z77" i="20"/>
  <c r="Z86" i="9"/>
  <c r="AF55" i="10"/>
  <c r="Z154" i="10"/>
  <c r="AL41" i="10"/>
  <c r="A75" i="10"/>
  <c r="N19" i="10"/>
  <c r="L28" i="10"/>
  <c r="X46" i="10"/>
  <c r="AN47" i="10"/>
  <c r="L49" i="10"/>
  <c r="P67" i="10"/>
  <c r="N84" i="10"/>
  <c r="P105" i="10"/>
  <c r="R131" i="10"/>
  <c r="L138" i="10"/>
  <c r="J147" i="10"/>
  <c r="T166" i="10"/>
  <c r="AF68" i="10"/>
  <c r="AI82" i="10"/>
  <c r="AB69" i="9"/>
  <c r="AD76" i="9" s="1"/>
  <c r="AF76" i="9" s="1"/>
  <c r="AI172" i="10"/>
  <c r="AD14" i="10"/>
  <c r="J19" i="10"/>
  <c r="T18" i="10"/>
  <c r="T19" i="10"/>
  <c r="L25" i="10"/>
  <c r="P33" i="10"/>
  <c r="L54" i="10"/>
  <c r="N61" i="10"/>
  <c r="N62" i="10"/>
  <c r="J68" i="10"/>
  <c r="T76" i="10"/>
  <c r="X83" i="10"/>
  <c r="N91" i="10"/>
  <c r="L89" i="10"/>
  <c r="AN88" i="10"/>
  <c r="P95" i="10"/>
  <c r="N145" i="10"/>
  <c r="X151" i="10"/>
  <c r="Z172" i="10"/>
  <c r="Z111" i="10"/>
  <c r="Z27" i="10"/>
  <c r="B32" i="10"/>
  <c r="AN33" i="10"/>
  <c r="J55" i="10"/>
  <c r="AD54" i="10"/>
  <c r="AF61" i="10" s="1"/>
  <c r="L55" i="10"/>
  <c r="T54" i="10"/>
  <c r="T61" i="10"/>
  <c r="L68" i="10"/>
  <c r="L84" i="10"/>
  <c r="L90" i="10"/>
  <c r="T112" i="10"/>
  <c r="L145" i="10"/>
  <c r="L158" i="10"/>
  <c r="AD58" i="38"/>
  <c r="AF58" i="38" s="1"/>
  <c r="AK50" i="38"/>
  <c r="AK49" i="9"/>
  <c r="AK76" i="9"/>
  <c r="AB77" i="9"/>
  <c r="AD77" i="9" s="1"/>
  <c r="AF77" i="9" s="1"/>
  <c r="AV201" i="38"/>
  <c r="AI192" i="38"/>
  <c r="AT199" i="38"/>
  <c r="AK199" i="38"/>
  <c r="AU199" i="38"/>
  <c r="AW195" i="38"/>
  <c r="N57" i="38"/>
  <c r="F144" i="38"/>
  <c r="H144" i="38" s="1"/>
  <c r="P43" i="38"/>
  <c r="U43" i="38"/>
  <c r="N36" i="38"/>
  <c r="AV141" i="9"/>
  <c r="AU141" i="9" s="1"/>
  <c r="AK15" i="38"/>
  <c r="U36" i="38"/>
  <c r="AW150" i="38"/>
  <c r="AV154" i="38"/>
  <c r="N50" i="38"/>
  <c r="P50" i="38" s="1"/>
  <c r="AK94" i="38"/>
  <c r="P149" i="38"/>
  <c r="U16" i="38"/>
  <c r="N22" i="38"/>
  <c r="AK16" i="38"/>
  <c r="U57" i="38"/>
  <c r="AI137" i="38"/>
  <c r="AV141" i="38"/>
  <c r="AW141" i="38" s="1"/>
  <c r="AV150" i="38"/>
  <c r="AI173" i="10"/>
  <c r="AV94" i="38"/>
  <c r="AV99" i="38"/>
  <c r="AV107" i="38"/>
  <c r="AV113" i="38"/>
  <c r="AV120" i="38"/>
  <c r="AV135" i="38"/>
  <c r="AW135" i="38" s="1"/>
  <c r="AQ119" i="9"/>
  <c r="AV106" i="38"/>
  <c r="AK120" i="38"/>
  <c r="AV148" i="38"/>
  <c r="AW148" i="38" s="1"/>
  <c r="N157" i="38"/>
  <c r="P157" i="38" s="1"/>
  <c r="AV127" i="38"/>
  <c r="AV143" i="38"/>
  <c r="N266" i="38"/>
  <c r="P266" i="38" s="1"/>
  <c r="AI269" i="38"/>
  <c r="D283" i="38"/>
  <c r="H283" i="38" s="1"/>
  <c r="AF280" i="38"/>
  <c r="AI283" i="38"/>
  <c r="AQ104" i="9"/>
  <c r="AP104" i="9" s="1"/>
  <c r="AR107" i="9"/>
  <c r="F109" i="38"/>
  <c r="D113" i="38"/>
  <c r="H113" i="38" s="1"/>
  <c r="D105" i="38"/>
  <c r="H105" i="38" s="1"/>
  <c r="U260" i="38"/>
  <c r="W260" i="38" s="1"/>
  <c r="AR110" i="9"/>
  <c r="AQ110" i="9" s="1"/>
  <c r="L93" i="38"/>
  <c r="U93" i="38" s="1"/>
  <c r="L107" i="38"/>
  <c r="U107" i="38" s="1"/>
  <c r="AV112" i="38"/>
  <c r="AK260" i="38"/>
  <c r="AQ111" i="9"/>
  <c r="S95" i="38"/>
  <c r="F95" i="38" s="1"/>
  <c r="AI106" i="38"/>
  <c r="S102" i="38"/>
  <c r="D109" i="38" s="1"/>
  <c r="AM281" i="38"/>
  <c r="AQ103" i="9"/>
  <c r="L121" i="38"/>
  <c r="AD247" i="38"/>
  <c r="AK272" i="38"/>
  <c r="D276" i="38"/>
  <c r="H276" i="38" s="1"/>
  <c r="H262" i="38"/>
  <c r="P259" i="38"/>
  <c r="AV133" i="38"/>
  <c r="AW133" i="38" s="1"/>
  <c r="AV91" i="38"/>
  <c r="P252" i="38"/>
  <c r="AV92" i="38"/>
  <c r="AV101" i="38"/>
  <c r="AV114" i="38"/>
  <c r="W253" i="38"/>
  <c r="AI248" i="38"/>
  <c r="AD273" i="38"/>
  <c r="AF273" i="38" s="1"/>
  <c r="AD245" i="38"/>
  <c r="AF259" i="38"/>
  <c r="AV86" i="38"/>
  <c r="AV93" i="38"/>
  <c r="AV115" i="38"/>
  <c r="AD251" i="38"/>
  <c r="AF251" i="38" s="1"/>
  <c r="S40" i="20"/>
  <c r="S21" i="20"/>
  <c r="CG40" i="20"/>
  <c r="CG21" i="20"/>
  <c r="BV46" i="20"/>
  <c r="CA58" i="20"/>
  <c r="Z21" i="20"/>
  <c r="Z46" i="20" s="1"/>
  <c r="Z40" i="20"/>
  <c r="CA48" i="20"/>
  <c r="AS57" i="20"/>
  <c r="BU56" i="20"/>
  <c r="Z53" i="20"/>
  <c r="BK57" i="20"/>
  <c r="S53" i="20"/>
  <c r="BP56" i="20"/>
  <c r="CG53" i="20"/>
  <c r="BA45" i="20"/>
  <c r="BV57" i="20"/>
  <c r="E14" i="20"/>
  <c r="O14" i="20"/>
  <c r="X50" i="20"/>
  <c r="I40" i="20"/>
  <c r="BG56" i="20"/>
  <c r="Y45" i="20"/>
  <c r="Z56" i="20"/>
  <c r="BF45" i="20"/>
  <c r="U41" i="20"/>
  <c r="BB57" i="20"/>
  <c r="DF72" i="20"/>
  <c r="DI57" i="20"/>
  <c r="AW14" i="20"/>
  <c r="CH14" i="20"/>
  <c r="U14" i="20"/>
  <c r="U45" i="20"/>
  <c r="DJ57" i="20"/>
  <c r="K56" i="20"/>
  <c r="AN56" i="20"/>
  <c r="CB21" i="20"/>
  <c r="CB24" i="20" s="1"/>
  <c r="I58" i="20"/>
  <c r="BF21" i="20"/>
  <c r="BL21" i="20"/>
  <c r="BL36" i="20" s="1"/>
  <c r="AQ14" i="20"/>
  <c r="AN43" i="20"/>
  <c r="BB53" i="20"/>
  <c r="Z45" i="20"/>
  <c r="AE14" i="20"/>
  <c r="AE45" i="20"/>
  <c r="AJ14" i="20"/>
  <c r="AO45" i="20"/>
  <c r="AQ45" i="20"/>
  <c r="BP45" i="20"/>
  <c r="BZ45" i="20"/>
  <c r="AH42" i="20"/>
  <c r="AH43" i="20"/>
  <c r="AH44" i="20"/>
  <c r="AO43" i="20"/>
  <c r="BD41" i="20"/>
  <c r="BQ41" i="20"/>
  <c r="F79" i="20"/>
  <c r="CA71" i="20"/>
  <c r="AN24" i="20"/>
  <c r="AN46" i="20"/>
  <c r="AM53" i="20"/>
  <c r="C41" i="20"/>
  <c r="CH53" i="20"/>
  <c r="D8" i="65"/>
  <c r="CF21" i="20"/>
  <c r="I24" i="20"/>
  <c r="I29" i="20" s="1"/>
  <c r="I46" i="20"/>
  <c r="BV36" i="20"/>
  <c r="BV50" i="20" s="1"/>
  <c r="BV24" i="20"/>
  <c r="J81" i="20"/>
  <c r="J79" i="20" s="1"/>
  <c r="H81" i="20"/>
  <c r="H79" i="20" s="1"/>
  <c r="D24" i="20"/>
  <c r="D46" i="20"/>
  <c r="BG36" i="20"/>
  <c r="C21" i="20"/>
  <c r="C40" i="20"/>
  <c r="M14" i="20"/>
  <c r="M45" i="20"/>
  <c r="AB14" i="20"/>
  <c r="AB21" i="20" s="1"/>
  <c r="AB45" i="20"/>
  <c r="AG14" i="20"/>
  <c r="AG41" i="20"/>
  <c r="AG45" i="20"/>
  <c r="AG53" i="20"/>
  <c r="AG43" i="20"/>
  <c r="AM14" i="20"/>
  <c r="AM44" i="20"/>
  <c r="AM41" i="20"/>
  <c r="AM45" i="20"/>
  <c r="BB14" i="20"/>
  <c r="BB41" i="20"/>
  <c r="BG41" i="20"/>
  <c r="BG53" i="20"/>
  <c r="BN14" i="20"/>
  <c r="BN45" i="20"/>
  <c r="BN41" i="20"/>
  <c r="BS45" i="20"/>
  <c r="BS14" i="20"/>
  <c r="BX53" i="20"/>
  <c r="AE57" i="20"/>
  <c r="AJ57" i="20"/>
  <c r="AX45" i="20"/>
  <c r="AX57" i="20"/>
  <c r="BG57" i="20"/>
  <c r="BL57" i="20"/>
  <c r="BP57" i="20"/>
  <c r="BU57" i="20"/>
  <c r="CE57" i="20"/>
  <c r="M41" i="20"/>
  <c r="M56" i="20"/>
  <c r="R21" i="20"/>
  <c r="R41" i="20"/>
  <c r="AB56" i="20"/>
  <c r="AG56" i="20"/>
  <c r="AH56" i="20"/>
  <c r="AH21" i="20"/>
  <c r="AQ41" i="20"/>
  <c r="AV56" i="20"/>
  <c r="AW41" i="20"/>
  <c r="Q11" i="65"/>
  <c r="Y11" i="65" s="1"/>
  <c r="BM41" i="20"/>
  <c r="Q29" i="65" s="1"/>
  <c r="Y29" i="65" s="1"/>
  <c r="BX41" i="20"/>
  <c r="BX56" i="20"/>
  <c r="CH56" i="20"/>
  <c r="CH41" i="20"/>
  <c r="BV48" i="20"/>
  <c r="CU77" i="20"/>
  <c r="CU72" i="20"/>
  <c r="CY77" i="20"/>
  <c r="CZ72" i="20"/>
  <c r="CY72" i="20"/>
  <c r="CA73" i="20"/>
  <c r="I60" i="20"/>
  <c r="N46" i="20"/>
  <c r="N36" i="20"/>
  <c r="S58" i="20"/>
  <c r="CB57" i="20"/>
  <c r="BW45" i="20"/>
  <c r="BB45" i="20"/>
  <c r="CE45" i="20"/>
  <c r="AO57" i="20"/>
  <c r="R56" i="20"/>
  <c r="AW45" i="20"/>
  <c r="BD56" i="20"/>
  <c r="BI56" i="20"/>
  <c r="F41" i="20"/>
  <c r="BW14" i="20"/>
  <c r="BW40" i="20" s="1"/>
  <c r="CB71" i="20" s="1"/>
  <c r="BC14" i="20"/>
  <c r="BC40" i="20" s="1"/>
  <c r="BZ14" i="20"/>
  <c r="BZ40" i="20" s="1"/>
  <c r="CE14" i="20"/>
  <c r="CE40" i="20" s="1"/>
  <c r="AO14" i="20"/>
  <c r="AO40" i="20" s="1"/>
  <c r="AJ56" i="20"/>
  <c r="AG79" i="20"/>
  <c r="K81" i="20"/>
  <c r="K79" i="20" s="1"/>
  <c r="CL32" i="20"/>
  <c r="I81" i="20"/>
  <c r="I79" i="20" s="1"/>
  <c r="I15" i="65"/>
  <c r="CF12" i="20"/>
  <c r="CL57" i="20"/>
  <c r="AB79" i="20"/>
  <c r="DD14" i="20"/>
  <c r="DD40" i="20" s="1"/>
  <c r="DH72" i="20"/>
  <c r="CV57" i="20"/>
  <c r="A227" i="38"/>
  <c r="A335" i="38"/>
  <c r="B230" i="38"/>
  <c r="B338" i="38"/>
  <c r="AV126" i="9"/>
  <c r="AU126" i="9" s="1"/>
  <c r="AQ133" i="9"/>
  <c r="B227" i="38"/>
  <c r="B335" i="38"/>
  <c r="B231" i="38"/>
  <c r="B339" i="38"/>
  <c r="AB86" i="38"/>
  <c r="AD86" i="38" s="1"/>
  <c r="A229" i="38"/>
  <c r="A337" i="38"/>
  <c r="H15" i="38"/>
  <c r="AV140" i="9"/>
  <c r="AU140" i="9" s="1"/>
  <c r="AV145" i="9"/>
  <c r="AU145" i="9" s="1"/>
  <c r="B229" i="38"/>
  <c r="B337" i="38"/>
  <c r="AM169" i="38"/>
  <c r="B143" i="38"/>
  <c r="AV153" i="9"/>
  <c r="AU153" i="9" s="1"/>
  <c r="AQ160" i="9"/>
  <c r="AP160" i="9" s="1"/>
  <c r="A155" i="38"/>
  <c r="A228" i="38"/>
  <c r="AK51" i="38"/>
  <c r="AK63" i="38"/>
  <c r="AB100" i="38"/>
  <c r="AQ145" i="9"/>
  <c r="AP145" i="9" s="1"/>
  <c r="AD222" i="38"/>
  <c r="B183" i="38"/>
  <c r="B228" i="38"/>
  <c r="U37" i="38"/>
  <c r="W37" i="38" s="1"/>
  <c r="A185" i="38"/>
  <c r="A230" i="38"/>
  <c r="W36" i="38"/>
  <c r="W43" i="38"/>
  <c r="AD265" i="38"/>
  <c r="AF265" i="38" s="1"/>
  <c r="AD272" i="38"/>
  <c r="AF272" i="38" s="1"/>
  <c r="AK265" i="38"/>
  <c r="AM272" i="38" s="1"/>
  <c r="AD175" i="38"/>
  <c r="AF175" i="38" s="1"/>
  <c r="A154" i="38"/>
  <c r="A182" i="38"/>
  <c r="A72" i="38"/>
  <c r="A184" i="38"/>
  <c r="B39" i="38"/>
  <c r="B186" i="38"/>
  <c r="U50" i="38"/>
  <c r="D70" i="38"/>
  <c r="H70" i="38" s="1"/>
  <c r="AF70" i="38" s="1"/>
  <c r="AV160" i="9"/>
  <c r="AU160" i="9" s="1"/>
  <c r="AV168" i="9"/>
  <c r="AU168" i="9" s="1"/>
  <c r="B86" i="38"/>
  <c r="B184" i="38"/>
  <c r="AI81" i="38"/>
  <c r="A134" i="38"/>
  <c r="A183" i="38"/>
  <c r="AI49" i="38"/>
  <c r="AK49" i="38" s="1"/>
  <c r="AB64" i="38"/>
  <c r="S81" i="38"/>
  <c r="D81" i="38" s="1"/>
  <c r="H81" i="38" s="1"/>
  <c r="AI108" i="38"/>
  <c r="AI109" i="38" s="1"/>
  <c r="AQ155" i="9"/>
  <c r="AI95" i="38"/>
  <c r="AK79" i="38"/>
  <c r="A70" i="38"/>
  <c r="A58" i="38"/>
  <c r="B56" i="38"/>
  <c r="B182" i="38"/>
  <c r="B38" i="38"/>
  <c r="B185" i="38"/>
  <c r="D73" i="38"/>
  <c r="H73" i="38" s="1"/>
  <c r="AV131" i="9"/>
  <c r="AU131" i="9" s="1"/>
  <c r="AV162" i="9"/>
  <c r="AU162" i="9" s="1"/>
  <c r="H62" i="9"/>
  <c r="AD110" i="9"/>
  <c r="AD117" i="9"/>
  <c r="H68" i="9"/>
  <c r="AF133" i="10"/>
  <c r="AF140" i="10"/>
  <c r="AK171" i="38"/>
  <c r="AK155" i="9"/>
  <c r="D72" i="9"/>
  <c r="AD134" i="9"/>
  <c r="AF134" i="9" s="1"/>
  <c r="L113" i="38"/>
  <c r="H12" i="9"/>
  <c r="AB55" i="9"/>
  <c r="D83" i="9"/>
  <c r="AK161" i="9"/>
  <c r="Z158" i="10"/>
  <c r="A29" i="9"/>
  <c r="A183" i="9"/>
  <c r="U12" i="9"/>
  <c r="U16" i="9" s="1"/>
  <c r="AQ147" i="9"/>
  <c r="AP147" i="9" s="1"/>
  <c r="AQ152" i="9"/>
  <c r="AP152" i="9" s="1"/>
  <c r="V174" i="10"/>
  <c r="AI173" i="9"/>
  <c r="AK173" i="9" s="1"/>
  <c r="AM173" i="9" s="1"/>
  <c r="X161" i="10"/>
  <c r="Z161" i="10" s="1"/>
  <c r="AK105" i="38"/>
  <c r="F72" i="9"/>
  <c r="J74" i="5" s="1"/>
  <c r="AD140" i="9"/>
  <c r="B50" i="9"/>
  <c r="B183" i="9"/>
  <c r="B26" i="9"/>
  <c r="AD56" i="9"/>
  <c r="AF56" i="9" s="1"/>
  <c r="AB141" i="9"/>
  <c r="AV167" i="9"/>
  <c r="AU167" i="9" s="1"/>
  <c r="N175" i="9"/>
  <c r="AB156" i="38"/>
  <c r="A139" i="9"/>
  <c r="A181" i="9"/>
  <c r="B114" i="9"/>
  <c r="B184" i="9"/>
  <c r="AK140" i="9"/>
  <c r="AV148" i="9"/>
  <c r="AU148" i="9" s="1"/>
  <c r="AD148" i="9"/>
  <c r="AB152" i="9"/>
  <c r="AI152" i="9"/>
  <c r="AI169" i="9"/>
  <c r="AK169" i="9" s="1"/>
  <c r="AP103" i="9"/>
  <c r="D90" i="67"/>
  <c r="D109" i="67" s="1"/>
  <c r="AZ11" i="3"/>
  <c r="AZ80" i="3" s="1"/>
  <c r="AZ78" i="3" s="1"/>
  <c r="AZ81" i="3" s="1"/>
  <c r="AX11" i="3"/>
  <c r="AX80" i="3" s="1"/>
  <c r="AX78" i="3" s="1"/>
  <c r="AX81" i="3" s="1"/>
  <c r="CM32" i="20"/>
  <c r="DH40" i="20"/>
  <c r="E121" i="67"/>
  <c r="E122" i="67" s="1"/>
  <c r="K110" i="67"/>
  <c r="CY45" i="20"/>
  <c r="E92" i="67"/>
  <c r="E86" i="67"/>
  <c r="F86" i="67"/>
  <c r="D45" i="67"/>
  <c r="E127" i="67"/>
  <c r="E168" i="67" s="1"/>
  <c r="K10" i="67"/>
  <c r="D127" i="67"/>
  <c r="O91" i="67"/>
  <c r="K47" i="67"/>
  <c r="K49" i="67" s="1"/>
  <c r="CY12" i="20"/>
  <c r="D10" i="67"/>
  <c r="D29" i="67" s="1"/>
  <c r="P57" i="38"/>
  <c r="P74" i="15"/>
  <c r="Q73" i="15"/>
  <c r="Q74" i="15" s="1"/>
  <c r="AI176" i="9"/>
  <c r="CK32" i="20"/>
  <c r="C23" i="65" s="1"/>
  <c r="I23" i="65" s="1"/>
  <c r="N136" i="67"/>
  <c r="C157" i="67"/>
  <c r="F127" i="67"/>
  <c r="DL11" i="20"/>
  <c r="DL57" i="20" s="1"/>
  <c r="CY21" i="20"/>
  <c r="CY24" i="20" s="1"/>
  <c r="E133" i="67"/>
  <c r="M50" i="67"/>
  <c r="N76" i="67" s="1"/>
  <c r="E45" i="67"/>
  <c r="CU45" i="20"/>
  <c r="I131" i="67"/>
  <c r="I153" i="67" s="1"/>
  <c r="M9" i="15"/>
  <c r="D36" i="67"/>
  <c r="CY54" i="20"/>
  <c r="AI128" i="9"/>
  <c r="W152" i="9"/>
  <c r="W159" i="9"/>
  <c r="BP53" i="20"/>
  <c r="B101" i="38"/>
  <c r="B135" i="38"/>
  <c r="AW170" i="38"/>
  <c r="B210" i="38"/>
  <c r="D153" i="9"/>
  <c r="H153" i="9" s="1"/>
  <c r="P153" i="9" s="1"/>
  <c r="S149" i="9"/>
  <c r="AP153" i="9"/>
  <c r="D166" i="9"/>
  <c r="H166" i="9" s="1"/>
  <c r="P166" i="9" s="1"/>
  <c r="CD49" i="1"/>
  <c r="AR208" i="38" s="1"/>
  <c r="Q15" i="5"/>
  <c r="Q16" i="5" s="1"/>
  <c r="F41" i="15"/>
  <c r="R74" i="3"/>
  <c r="A53" i="10"/>
  <c r="B26" i="10"/>
  <c r="F29" i="10"/>
  <c r="L40" i="10"/>
  <c r="AN46" i="10"/>
  <c r="L48" i="10"/>
  <c r="AN62" i="10"/>
  <c r="T62" i="10"/>
  <c r="L62" i="10"/>
  <c r="L119" i="10"/>
  <c r="L126" i="10"/>
  <c r="F169" i="10"/>
  <c r="L173" i="10"/>
  <c r="A8" i="23"/>
  <c r="A14" i="23" s="1"/>
  <c r="A20" i="23" s="1"/>
  <c r="A26" i="23" s="1"/>
  <c r="A32" i="23" s="1"/>
  <c r="A38" i="23" s="1"/>
  <c r="A44" i="23" s="1"/>
  <c r="A50" i="23" s="1"/>
  <c r="A56" i="23" s="1"/>
  <c r="B18" i="11"/>
  <c r="B29" i="11"/>
  <c r="AL43" i="20"/>
  <c r="B102" i="38"/>
  <c r="A119" i="38"/>
  <c r="H132" i="9"/>
  <c r="AI146" i="9"/>
  <c r="AK146" i="9" s="1"/>
  <c r="AM153" i="9" s="1"/>
  <c r="U153" i="9"/>
  <c r="L18" i="15"/>
  <c r="AA62" i="2"/>
  <c r="B28" i="10"/>
  <c r="L41" i="10"/>
  <c r="P24" i="11"/>
  <c r="K53" i="20"/>
  <c r="BR53" i="20"/>
  <c r="A30" i="38"/>
  <c r="B32" i="38"/>
  <c r="B70" i="38"/>
  <c r="A98" i="38"/>
  <c r="AW143" i="38"/>
  <c r="AW222" i="38"/>
  <c r="B162" i="9"/>
  <c r="P49" i="9"/>
  <c r="H75" i="9"/>
  <c r="D146" i="9"/>
  <c r="H146" i="9" s="1"/>
  <c r="P146" i="9" s="1"/>
  <c r="Q41" i="15"/>
  <c r="J74" i="15"/>
  <c r="AC62" i="2"/>
  <c r="AN48" i="10"/>
  <c r="L124" i="10"/>
  <c r="A22" i="11"/>
  <c r="A36" i="11"/>
  <c r="D156" i="9"/>
  <c r="H156" i="9" s="1"/>
  <c r="P156" i="9" s="1"/>
  <c r="W148" i="9"/>
  <c r="L127" i="10"/>
  <c r="P57" i="20"/>
  <c r="BN12" i="20"/>
  <c r="AE56" i="20"/>
  <c r="AG44" i="20"/>
  <c r="A37" i="38"/>
  <c r="A71" i="38"/>
  <c r="A106" i="38"/>
  <c r="H13" i="9"/>
  <c r="AI154" i="9"/>
  <c r="U162" i="9"/>
  <c r="P25" i="15"/>
  <c r="M41" i="15"/>
  <c r="L74" i="15"/>
  <c r="N74" i="15"/>
  <c r="D29" i="10"/>
  <c r="L29" i="10" s="1"/>
  <c r="AL63" i="10"/>
  <c r="L76" i="10"/>
  <c r="L82" i="10"/>
  <c r="AN97" i="10"/>
  <c r="L104" i="10"/>
  <c r="L159" i="10"/>
  <c r="BZ21" i="20"/>
  <c r="CZ12" i="20"/>
  <c r="CZ14" i="20"/>
  <c r="CZ21" i="20" s="1"/>
  <c r="BQ40" i="20"/>
  <c r="BQ21" i="20"/>
  <c r="M40" i="20"/>
  <c r="M21" i="20"/>
  <c r="AB40" i="20"/>
  <c r="CH40" i="20"/>
  <c r="CH21" i="20"/>
  <c r="CZ41" i="20"/>
  <c r="H53" i="20"/>
  <c r="AV53" i="20"/>
  <c r="AC14" i="20"/>
  <c r="AS14" i="20"/>
  <c r="BK14" i="20"/>
  <c r="BK21" i="20" s="1"/>
  <c r="BP14" i="20"/>
  <c r="AN41" i="20"/>
  <c r="CB41" i="20"/>
  <c r="CU57" i="20"/>
  <c r="BS53" i="20"/>
  <c r="O57" i="20"/>
  <c r="AD57" i="20"/>
  <c r="AN45" i="20"/>
  <c r="BK45" i="20"/>
  <c r="AO42" i="20"/>
  <c r="DE72" i="20"/>
  <c r="DJ14" i="20"/>
  <c r="BZ53" i="20"/>
  <c r="K14" i="20"/>
  <c r="Z57" i="20"/>
  <c r="BR14" i="20"/>
  <c r="AL41" i="20"/>
  <c r="AO44" i="20"/>
  <c r="AV14" i="20"/>
  <c r="BZ41" i="20"/>
  <c r="BZ72" i="20" s="1"/>
  <c r="AX60" i="20"/>
  <c r="AD53" i="20"/>
  <c r="P56" i="20"/>
  <c r="CE41" i="20"/>
  <c r="AY60" i="20"/>
  <c r="Q95" i="67"/>
  <c r="Z176" i="38"/>
  <c r="AB174" i="9"/>
  <c r="Q51" i="67"/>
  <c r="Q92" i="67"/>
  <c r="Q133" i="67"/>
  <c r="AD66" i="38"/>
  <c r="AF66" i="38" s="1"/>
  <c r="DM11" i="20"/>
  <c r="AB34" i="15"/>
  <c r="AC34" i="15" s="1"/>
  <c r="DO11" i="20" s="1"/>
  <c r="R12" i="67"/>
  <c r="CJ57" i="20"/>
  <c r="AI102" i="38"/>
  <c r="M146" i="67"/>
  <c r="M104" i="67"/>
  <c r="M148" i="67" s="1"/>
  <c r="AR114" i="9"/>
  <c r="C10" i="65"/>
  <c r="CK57" i="20"/>
  <c r="O80" i="67"/>
  <c r="O81" i="67" s="1"/>
  <c r="O179" i="67" s="1"/>
  <c r="O177" i="67"/>
  <c r="O121" i="67"/>
  <c r="P133" i="67"/>
  <c r="U100" i="38"/>
  <c r="AK101" i="38"/>
  <c r="D95" i="67"/>
  <c r="D54" i="67"/>
  <c r="D136" i="67"/>
  <c r="AD113" i="9"/>
  <c r="O10" i="67"/>
  <c r="O88" i="67"/>
  <c r="O90" i="67" s="1"/>
  <c r="O47" i="67"/>
  <c r="O49" i="67" s="1"/>
  <c r="AK85" i="9"/>
  <c r="AD92" i="9"/>
  <c r="CY46" i="20"/>
  <c r="N69" i="67"/>
  <c r="N158" i="67" s="1"/>
  <c r="M45" i="67"/>
  <c r="M35" i="67"/>
  <c r="M86" i="67"/>
  <c r="N35" i="67"/>
  <c r="J116" i="67"/>
  <c r="J169" i="67"/>
  <c r="J75" i="67"/>
  <c r="BF46" i="20"/>
  <c r="BF36" i="20"/>
  <c r="BF24" i="20"/>
  <c r="CP106" i="1"/>
  <c r="CN108" i="1"/>
  <c r="CN134" i="1"/>
  <c r="CN110" i="1"/>
  <c r="CO116" i="1"/>
  <c r="CO106" i="1"/>
  <c r="AK194" i="38"/>
  <c r="AM201" i="38" s="1"/>
  <c r="AD201" i="38"/>
  <c r="AF201" i="38" s="1"/>
  <c r="G35" i="67"/>
  <c r="G45" i="67"/>
  <c r="H35" i="67"/>
  <c r="G127" i="67"/>
  <c r="E30" i="67"/>
  <c r="E37" i="67"/>
  <c r="E132" i="67"/>
  <c r="E91" i="67"/>
  <c r="E50" i="67"/>
  <c r="K54" i="67"/>
  <c r="K95" i="67"/>
  <c r="CY41" i="20"/>
  <c r="AD96" i="9"/>
  <c r="AD103" i="9"/>
  <c r="S46" i="38"/>
  <c r="R18" i="65"/>
  <c r="Z18" i="65" s="1"/>
  <c r="G29" i="67"/>
  <c r="M10" i="67"/>
  <c r="F74" i="67"/>
  <c r="C30" i="67"/>
  <c r="C10" i="67"/>
  <c r="D35" i="67"/>
  <c r="C86" i="67"/>
  <c r="C45" i="67"/>
  <c r="D50" i="67"/>
  <c r="D91" i="67"/>
  <c r="D13" i="67"/>
  <c r="D30" i="67"/>
  <c r="D37" i="67"/>
  <c r="D132" i="67"/>
  <c r="E136" i="67"/>
  <c r="E95" i="67"/>
  <c r="E54" i="67"/>
  <c r="AK47" i="9"/>
  <c r="H115" i="67"/>
  <c r="G115" i="67"/>
  <c r="I90" i="67"/>
  <c r="I115" i="67"/>
  <c r="C129" i="67"/>
  <c r="C131" i="67" s="1"/>
  <c r="C88" i="67"/>
  <c r="C47" i="67"/>
  <c r="D57" i="67"/>
  <c r="D98" i="67"/>
  <c r="AB52" i="38"/>
  <c r="AB56" i="38"/>
  <c r="AD63" i="38" s="1"/>
  <c r="AF63" i="38" s="1"/>
  <c r="G47" i="67"/>
  <c r="G88" i="67"/>
  <c r="G90" i="67" s="1"/>
  <c r="L136" i="67"/>
  <c r="L54" i="67"/>
  <c r="AZ165" i="1"/>
  <c r="AZ155" i="1"/>
  <c r="X156" i="1"/>
  <c r="X157" i="1"/>
  <c r="DJ45" i="20"/>
  <c r="CY56" i="20"/>
  <c r="S4" i="65"/>
  <c r="AA4" i="65" s="1"/>
  <c r="DB53" i="20"/>
  <c r="S36" i="65" s="1"/>
  <c r="AA36" i="65" s="1"/>
  <c r="DJ41" i="20"/>
  <c r="M30" i="67"/>
  <c r="M159" i="67" s="1"/>
  <c r="M157" i="67" s="1"/>
  <c r="K29" i="67"/>
  <c r="K13" i="67"/>
  <c r="I98" i="67"/>
  <c r="I57" i="67"/>
  <c r="I139" i="67"/>
  <c r="CV12" i="20"/>
  <c r="E80" i="67"/>
  <c r="E81" i="67" s="1"/>
  <c r="CZ53" i="20"/>
  <c r="C69" i="67"/>
  <c r="G129" i="67"/>
  <c r="M54" i="67"/>
  <c r="M136" i="67"/>
  <c r="E98" i="67"/>
  <c r="E57" i="67"/>
  <c r="BL156" i="1"/>
  <c r="O95" i="67"/>
  <c r="H139" i="67"/>
  <c r="D133" i="67"/>
  <c r="D92" i="67"/>
  <c r="AL7" i="11"/>
  <c r="R5" i="23"/>
  <c r="AI117" i="9"/>
  <c r="D124" i="9"/>
  <c r="H124" i="9" s="1"/>
  <c r="S121" i="9"/>
  <c r="M41" i="5"/>
  <c r="CX65" i="20"/>
  <c r="F35" i="67"/>
  <c r="CH48" i="1"/>
  <c r="CG48" i="1"/>
  <c r="BU17" i="20"/>
  <c r="CF52" i="1"/>
  <c r="CL48" i="1"/>
  <c r="CF40" i="1"/>
  <c r="V107" i="1"/>
  <c r="Q107" i="1"/>
  <c r="BH29" i="20"/>
  <c r="BH47" i="20"/>
  <c r="U34" i="15"/>
  <c r="CC78" i="1"/>
  <c r="DA75" i="20"/>
  <c r="O97" i="5"/>
  <c r="BL60" i="20"/>
  <c r="BL50" i="20"/>
  <c r="CF42" i="1"/>
  <c r="CG50" i="1"/>
  <c r="BW17" i="20"/>
  <c r="CL50" i="1"/>
  <c r="CH50" i="1"/>
  <c r="I145" i="67"/>
  <c r="Y108" i="1"/>
  <c r="Y118" i="1"/>
  <c r="BT106" i="1"/>
  <c r="BZ86" i="1"/>
  <c r="BU86" i="1"/>
  <c r="BV86" i="1"/>
  <c r="BT90" i="1"/>
  <c r="BT88" i="1"/>
  <c r="CL49" i="1"/>
  <c r="CG49" i="1"/>
  <c r="CH49" i="1"/>
  <c r="BV17" i="20"/>
  <c r="CF41" i="1"/>
  <c r="AI118" i="9"/>
  <c r="D125" i="9"/>
  <c r="H125" i="9" s="1"/>
  <c r="U118" i="9"/>
  <c r="W101" i="5"/>
  <c r="X13" i="5"/>
  <c r="X101" i="5" s="1"/>
  <c r="W14" i="5"/>
  <c r="CG51" i="1"/>
  <c r="CL51" i="1"/>
  <c r="BX17" i="20"/>
  <c r="CF43" i="1"/>
  <c r="CH51" i="1"/>
  <c r="D98" i="9"/>
  <c r="H98" i="9" s="1"/>
  <c r="U98" i="9"/>
  <c r="D105" i="9"/>
  <c r="H105" i="9" s="1"/>
  <c r="AI98" i="9"/>
  <c r="AK98" i="9" s="1"/>
  <c r="D91" i="9"/>
  <c r="H91" i="9" s="1"/>
  <c r="U91" i="9"/>
  <c r="AI91" i="9"/>
  <c r="AK91" i="9" s="1"/>
  <c r="AP120" i="9"/>
  <c r="D127" i="9"/>
  <c r="H127" i="9" s="1"/>
  <c r="AI120" i="9"/>
  <c r="BI163" i="1"/>
  <c r="BB88" i="1"/>
  <c r="BA88" i="1"/>
  <c r="BF88" i="1"/>
  <c r="DB67" i="20"/>
  <c r="Q44" i="5"/>
  <c r="DB75" i="20"/>
  <c r="P97" i="5"/>
  <c r="P99" i="5"/>
  <c r="BM136" i="1"/>
  <c r="CR59" i="1"/>
  <c r="CO59" i="1"/>
  <c r="CN43" i="1"/>
  <c r="CH18" i="20"/>
  <c r="CP59" i="1"/>
  <c r="BA118" i="1"/>
  <c r="BF108" i="1"/>
  <c r="AZ157" i="1"/>
  <c r="BE157" i="1" s="1"/>
  <c r="AZ156" i="1"/>
  <c r="BE156" i="1" s="1"/>
  <c r="BJ108" i="1"/>
  <c r="BI108" i="1"/>
  <c r="BN108" i="1"/>
  <c r="D117" i="9"/>
  <c r="H117" i="9" s="1"/>
  <c r="S107" i="9"/>
  <c r="AI103" i="9"/>
  <c r="D103" i="9"/>
  <c r="H103" i="9" s="1"/>
  <c r="AI89" i="9"/>
  <c r="D89" i="9"/>
  <c r="H89" i="9" s="1"/>
  <c r="S93" i="9"/>
  <c r="D93" i="9" s="1"/>
  <c r="H93" i="9" s="1"/>
  <c r="CS57" i="1"/>
  <c r="BH157" i="1"/>
  <c r="BZ89" i="1"/>
  <c r="BV89" i="1"/>
  <c r="CC43" i="1"/>
  <c r="BS16" i="20"/>
  <c r="BL58" i="20"/>
  <c r="BL46" i="20"/>
  <c r="BL24" i="20"/>
  <c r="O100" i="5"/>
  <c r="O12" i="5"/>
  <c r="N12" i="5"/>
  <c r="N100" i="5"/>
  <c r="J145" i="67"/>
  <c r="H63" i="67"/>
  <c r="H104" i="67" s="1"/>
  <c r="BU119" i="1"/>
  <c r="CA60" i="20"/>
  <c r="CA50" i="20"/>
  <c r="CA74" i="20" s="1"/>
  <c r="BE110" i="1"/>
  <c r="BE120" i="1"/>
  <c r="M100" i="5"/>
  <c r="M12" i="5"/>
  <c r="BD25" i="3"/>
  <c r="BG69" i="2"/>
  <c r="W46" i="15"/>
  <c r="CK118" i="1"/>
  <c r="BV87" i="1"/>
  <c r="BZ87" i="1"/>
  <c r="BT107" i="1"/>
  <c r="N23" i="38"/>
  <c r="U23" i="38"/>
  <c r="N30" i="38"/>
  <c r="U104" i="9"/>
  <c r="AI104" i="9"/>
  <c r="AK104" i="9" s="1"/>
  <c r="D104" i="9"/>
  <c r="H104" i="9" s="1"/>
  <c r="AI97" i="9"/>
  <c r="AK97" i="9" s="1"/>
  <c r="D97" i="9"/>
  <c r="H97" i="9" s="1"/>
  <c r="D90" i="9"/>
  <c r="H90" i="9" s="1"/>
  <c r="AI90" i="9"/>
  <c r="AK90" i="9" s="1"/>
  <c r="U90" i="9"/>
  <c r="V14" i="5"/>
  <c r="V101" i="5"/>
  <c r="U14" i="5"/>
  <c r="U101" i="5"/>
  <c r="BE151" i="1"/>
  <c r="BV109" i="1"/>
  <c r="CH45" i="20"/>
  <c r="CH12" i="20"/>
  <c r="CH36" i="20"/>
  <c r="AY24" i="20"/>
  <c r="AY36" i="20"/>
  <c r="AY50" i="20" s="1"/>
  <c r="AY46" i="20"/>
  <c r="F163" i="9"/>
  <c r="D163" i="9"/>
  <c r="D170" i="9"/>
  <c r="H170" i="9" s="1"/>
  <c r="D118" i="9"/>
  <c r="H118" i="9" s="1"/>
  <c r="D106" i="9"/>
  <c r="H106" i="9" s="1"/>
  <c r="D99" i="9"/>
  <c r="H99" i="9" s="1"/>
  <c r="AI99" i="9"/>
  <c r="AK99" i="9" s="1"/>
  <c r="L10" i="3"/>
  <c r="L16" i="3" s="1"/>
  <c r="L34" i="3" s="1"/>
  <c r="L51" i="3" s="1"/>
  <c r="L54" i="3" s="1"/>
  <c r="O78" i="2"/>
  <c r="I47" i="20"/>
  <c r="I48" i="20"/>
  <c r="BD137" i="1"/>
  <c r="BD136" i="1"/>
  <c r="BE136" i="1" s="1"/>
  <c r="BI132" i="1"/>
  <c r="BD161" i="1"/>
  <c r="BI161" i="1" s="1"/>
  <c r="Q12" i="5"/>
  <c r="Q100" i="5"/>
  <c r="P100" i="5"/>
  <c r="P12" i="5"/>
  <c r="AI92" i="9"/>
  <c r="AK92" i="9" s="1"/>
  <c r="D92" i="9"/>
  <c r="H92" i="9" s="1"/>
  <c r="Q88" i="1"/>
  <c r="BD138" i="1"/>
  <c r="Z24" i="20"/>
  <c r="AD11" i="3"/>
  <c r="AD80" i="3" s="1"/>
  <c r="AD78" i="3" s="1"/>
  <c r="AD81" i="3" s="1"/>
  <c r="P34" i="15"/>
  <c r="BN78" i="1"/>
  <c r="O77" i="2"/>
  <c r="O84" i="2" s="1"/>
  <c r="G14" i="15"/>
  <c r="AG116" i="1"/>
  <c r="AG106" i="1"/>
  <c r="AL106" i="1"/>
  <c r="AR18" i="11"/>
  <c r="AR24" i="11" s="1"/>
  <c r="AR30" i="11"/>
  <c r="AR36" i="11"/>
  <c r="AC15" i="1"/>
  <c r="Y15" i="1"/>
  <c r="Z16" i="1"/>
  <c r="Y25" i="1"/>
  <c r="Y99" i="1"/>
  <c r="Z15" i="1"/>
  <c r="Y35" i="1"/>
  <c r="M30" i="1"/>
  <c r="L84" i="1"/>
  <c r="R30" i="1"/>
  <c r="M50" i="1"/>
  <c r="DC32" i="1"/>
  <c r="BL86" i="1"/>
  <c r="AX15" i="20"/>
  <c r="BM32" i="1"/>
  <c r="BL34" i="1"/>
  <c r="BR32" i="1"/>
  <c r="BN32" i="1"/>
  <c r="BL36" i="1"/>
  <c r="J53" i="20"/>
  <c r="O53" i="20"/>
  <c r="J41" i="20"/>
  <c r="J14" i="20"/>
  <c r="AN53" i="20"/>
  <c r="AI44" i="20"/>
  <c r="AI14" i="20"/>
  <c r="AI41" i="20"/>
  <c r="AI43" i="20"/>
  <c r="AI53" i="20"/>
  <c r="AI45" i="20"/>
  <c r="AT14" i="20"/>
  <c r="AY53" i="20"/>
  <c r="AT41" i="20"/>
  <c r="AT53" i="20"/>
  <c r="AD90" i="9"/>
  <c r="AD97" i="9"/>
  <c r="AI318" i="38"/>
  <c r="AK314" i="38"/>
  <c r="J34" i="11"/>
  <c r="K28" i="11"/>
  <c r="O28" i="11"/>
  <c r="S14" i="15"/>
  <c r="T16" i="15" s="1"/>
  <c r="BZ34" i="1"/>
  <c r="AC35" i="1"/>
  <c r="AD35" i="1"/>
  <c r="BQ76" i="1"/>
  <c r="BP80" i="1"/>
  <c r="BV76" i="1"/>
  <c r="BP77" i="1"/>
  <c r="BC11" i="20"/>
  <c r="AE75" i="2"/>
  <c r="O12" i="15"/>
  <c r="O15" i="5"/>
  <c r="P16" i="5" s="1"/>
  <c r="O32" i="15"/>
  <c r="O8" i="15"/>
  <c r="O22" i="15"/>
  <c r="O18" i="15"/>
  <c r="O29" i="15"/>
  <c r="P8" i="15"/>
  <c r="T60" i="10"/>
  <c r="F64" i="10"/>
  <c r="E14" i="15"/>
  <c r="K77" i="2"/>
  <c r="K84" i="2" s="1"/>
  <c r="W44" i="38"/>
  <c r="AD126" i="9"/>
  <c r="AD119" i="9"/>
  <c r="K15" i="5"/>
  <c r="L7" i="5"/>
  <c r="D86" i="9"/>
  <c r="AI239" i="38"/>
  <c r="U239" i="38"/>
  <c r="AK70" i="9"/>
  <c r="AD70" i="9"/>
  <c r="AF70" i="9" s="1"/>
  <c r="AD252" i="38"/>
  <c r="AF252" i="38" s="1"/>
  <c r="AK252" i="38"/>
  <c r="AI142" i="9"/>
  <c r="AK141" i="9"/>
  <c r="AM141" i="9" s="1"/>
  <c r="CN210" i="1"/>
  <c r="X73" i="15" s="1"/>
  <c r="BC41" i="20"/>
  <c r="BH56" i="20"/>
  <c r="BC21" i="20"/>
  <c r="AZ37" i="11"/>
  <c r="AZ19" i="11"/>
  <c r="AZ31" i="11"/>
  <c r="AZ25" i="11"/>
  <c r="AO80" i="1"/>
  <c r="AO16" i="1"/>
  <c r="AO100" i="1"/>
  <c r="AO36" i="1"/>
  <c r="AO26" i="1"/>
  <c r="AL36" i="1"/>
  <c r="AG36" i="1"/>
  <c r="P14" i="20"/>
  <c r="P41" i="20"/>
  <c r="P53" i="20"/>
  <c r="U53" i="20"/>
  <c r="Z160" i="10"/>
  <c r="Z167" i="10"/>
  <c r="AF130" i="10"/>
  <c r="AF137" i="10"/>
  <c r="AL112" i="10"/>
  <c r="R112" i="10"/>
  <c r="AI112" i="10"/>
  <c r="L216" i="38"/>
  <c r="K216" i="38"/>
  <c r="K220" i="38"/>
  <c r="Z133" i="38"/>
  <c r="AB134" i="38" s="1"/>
  <c r="AB286" i="38"/>
  <c r="K303" i="38"/>
  <c r="L302" i="38"/>
  <c r="K302" i="38"/>
  <c r="AF308" i="38"/>
  <c r="AD322" i="38"/>
  <c r="AF322" i="38" s="1"/>
  <c r="DJ32" i="20"/>
  <c r="AW62" i="2"/>
  <c r="J60" i="3"/>
  <c r="J32" i="3"/>
  <c r="AD41" i="11"/>
  <c r="AH41" i="11"/>
  <c r="AE35" i="11"/>
  <c r="BN42" i="11"/>
  <c r="BO36" i="11"/>
  <c r="BS36" i="11"/>
  <c r="BR42" i="11"/>
  <c r="BW36" i="11"/>
  <c r="BV42" i="11"/>
  <c r="Z121" i="38"/>
  <c r="AB121" i="38" s="1"/>
  <c r="AB275" i="38"/>
  <c r="BU105" i="1"/>
  <c r="BT133" i="1"/>
  <c r="BU115" i="1"/>
  <c r="T26" i="15"/>
  <c r="BY52" i="1"/>
  <c r="R14" i="15"/>
  <c r="BQ34" i="1"/>
  <c r="G34" i="15"/>
  <c r="Y78" i="1"/>
  <c r="AD78" i="1"/>
  <c r="D64" i="1"/>
  <c r="D104" i="1"/>
  <c r="E84" i="1"/>
  <c r="BQ86" i="1"/>
  <c r="BP90" i="1"/>
  <c r="BP106" i="1"/>
  <c r="AD62" i="9"/>
  <c r="AF62" i="9" s="1"/>
  <c r="DC72" i="20"/>
  <c r="N177" i="38"/>
  <c r="U170" i="38"/>
  <c r="N170" i="38"/>
  <c r="P170" i="38" s="1"/>
  <c r="L192" i="38"/>
  <c r="N199" i="38" s="1"/>
  <c r="P199" i="38" s="1"/>
  <c r="L193" i="38"/>
  <c r="U193" i="38" s="1"/>
  <c r="K314" i="38"/>
  <c r="L314" i="38"/>
  <c r="A21" i="9"/>
  <c r="A35" i="9"/>
  <c r="A49" i="9"/>
  <c r="A70" i="9"/>
  <c r="A98" i="9"/>
  <c r="A140" i="9"/>
  <c r="A28" i="9"/>
  <c r="A105" i="9"/>
  <c r="A77" i="9"/>
  <c r="A147" i="9"/>
  <c r="A91" i="9"/>
  <c r="A42" i="9"/>
  <c r="A119" i="9"/>
  <c r="A126" i="9"/>
  <c r="A154" i="9"/>
  <c r="A168" i="9"/>
  <c r="A112" i="9"/>
  <c r="A161" i="9"/>
  <c r="A63" i="9"/>
  <c r="A84" i="9"/>
  <c r="U20" i="9"/>
  <c r="S23" i="9"/>
  <c r="D27" i="9"/>
  <c r="D20" i="9"/>
  <c r="U56" i="9"/>
  <c r="W56" i="9" s="1"/>
  <c r="S58" i="9"/>
  <c r="AI56" i="9"/>
  <c r="D63" i="9"/>
  <c r="AQ139" i="9"/>
  <c r="AP139" i="9" s="1"/>
  <c r="AR142" i="9"/>
  <c r="AI81" i="2"/>
  <c r="AI80" i="2"/>
  <c r="AI82" i="2"/>
  <c r="W220" i="38"/>
  <c r="AD323" i="38"/>
  <c r="AF323" i="38" s="1"/>
  <c r="AW215" i="38"/>
  <c r="BR25" i="1"/>
  <c r="BN25" i="1"/>
  <c r="AJ25" i="11"/>
  <c r="AJ19" i="11"/>
  <c r="AJ37" i="11"/>
  <c r="AJ31" i="11"/>
  <c r="T56" i="20"/>
  <c r="T41" i="20"/>
  <c r="Y56" i="20"/>
  <c r="D49" i="38"/>
  <c r="H49" i="38" s="1"/>
  <c r="AI42" i="38"/>
  <c r="D42" i="38"/>
  <c r="H42" i="38" s="1"/>
  <c r="AI65" i="38"/>
  <c r="D65" i="38"/>
  <c r="H65" i="38" s="1"/>
  <c r="D72" i="38"/>
  <c r="H72" i="38" s="1"/>
  <c r="S67" i="38"/>
  <c r="AI144" i="38"/>
  <c r="AK140" i="38"/>
  <c r="U154" i="38"/>
  <c r="N154" i="38"/>
  <c r="AB295" i="38"/>
  <c r="Z142" i="38"/>
  <c r="AD300" i="38"/>
  <c r="AF300" i="38" s="1"/>
  <c r="AK300" i="38"/>
  <c r="AB304" i="38"/>
  <c r="U308" i="38"/>
  <c r="N308" i="38"/>
  <c r="P308" i="38" s="1"/>
  <c r="AB311" i="38"/>
  <c r="AF310" i="38"/>
  <c r="BG23" i="20"/>
  <c r="BG24" i="20" s="1"/>
  <c r="BU95" i="1"/>
  <c r="O41" i="15"/>
  <c r="BH145" i="1"/>
  <c r="BI144" i="1"/>
  <c r="H176" i="1"/>
  <c r="H177" i="1"/>
  <c r="Z5" i="15"/>
  <c r="D3" i="68"/>
  <c r="R60" i="3"/>
  <c r="R32" i="3"/>
  <c r="AD105" i="9"/>
  <c r="AK131" i="9"/>
  <c r="AD138" i="9"/>
  <c r="AF138" i="9" s="1"/>
  <c r="BU70" i="1"/>
  <c r="BU147" i="1"/>
  <c r="BU26" i="1"/>
  <c r="BY16" i="1"/>
  <c r="AR89" i="1"/>
  <c r="AT84" i="1"/>
  <c r="AS84" i="1"/>
  <c r="AR90" i="1"/>
  <c r="AR104" i="1"/>
  <c r="AQ21" i="20"/>
  <c r="AQ40" i="20"/>
  <c r="R123" i="10"/>
  <c r="AI123" i="10"/>
  <c r="J127" i="10"/>
  <c r="AF82" i="10"/>
  <c r="AF89" i="10"/>
  <c r="AI42" i="20"/>
  <c r="BL41" i="20"/>
  <c r="BL56" i="20"/>
  <c r="T81" i="20"/>
  <c r="T79" i="20" s="1"/>
  <c r="S81" i="20"/>
  <c r="S79" i="20" s="1"/>
  <c r="R81" i="20"/>
  <c r="R79" i="20" s="1"/>
  <c r="CW79" i="20"/>
  <c r="U81" i="20"/>
  <c r="U79" i="20" s="1"/>
  <c r="A31" i="38"/>
  <c r="A45" i="38"/>
  <c r="A275" i="38"/>
  <c r="A223" i="38"/>
  <c r="A122" i="38"/>
  <c r="A143" i="38"/>
  <c r="A317" i="38"/>
  <c r="A303" i="38"/>
  <c r="A195" i="38"/>
  <c r="A87" i="38"/>
  <c r="A108" i="38"/>
  <c r="A324" i="38"/>
  <c r="A268" i="38"/>
  <c r="A171" i="38"/>
  <c r="A66" i="38"/>
  <c r="A73" i="38"/>
  <c r="A289" i="38"/>
  <c r="A296" i="38"/>
  <c r="A247" i="38"/>
  <c r="A52" i="38"/>
  <c r="A38" i="38"/>
  <c r="A24" i="38"/>
  <c r="A331" i="38"/>
  <c r="A282" i="38"/>
  <c r="A178" i="38"/>
  <c r="A101" i="38"/>
  <c r="A164" i="38"/>
  <c r="A240" i="38"/>
  <c r="A216" i="38"/>
  <c r="A157" i="38"/>
  <c r="A59" i="38"/>
  <c r="A115" i="38"/>
  <c r="P154" i="38"/>
  <c r="AV208" i="38"/>
  <c r="AW208" i="38" s="1"/>
  <c r="AK321" i="38"/>
  <c r="D82" i="9"/>
  <c r="AI82" i="9"/>
  <c r="E58" i="1"/>
  <c r="J58" i="1"/>
  <c r="D60" i="1"/>
  <c r="R59" i="1"/>
  <c r="Q59" i="1"/>
  <c r="V59" i="1"/>
  <c r="P60" i="1"/>
  <c r="AD79" i="1"/>
  <c r="Y79" i="1"/>
  <c r="BH11" i="20"/>
  <c r="BH12" i="20" s="1"/>
  <c r="BT77" i="1"/>
  <c r="BU76" i="1"/>
  <c r="BT80" i="1"/>
  <c r="AX79" i="1"/>
  <c r="AW79" i="1"/>
  <c r="Q48" i="5"/>
  <c r="DB70" i="20"/>
  <c r="AB28" i="10"/>
  <c r="D66" i="5"/>
  <c r="E66" i="5"/>
  <c r="W77" i="5"/>
  <c r="X83" i="5"/>
  <c r="D74" i="38"/>
  <c r="H74" i="38" s="1"/>
  <c r="AO117" i="1"/>
  <c r="AS121" i="1" s="1"/>
  <c r="AN135" i="1"/>
  <c r="AO107" i="1"/>
  <c r="AS111" i="1" s="1"/>
  <c r="BY117" i="1"/>
  <c r="BY107" i="1"/>
  <c r="BB80" i="1"/>
  <c r="BA80" i="1"/>
  <c r="V52" i="1"/>
  <c r="O14" i="15"/>
  <c r="BE34" i="1"/>
  <c r="T28" i="15"/>
  <c r="BY60" i="1"/>
  <c r="BN26" i="1"/>
  <c r="BJ26" i="1"/>
  <c r="CD34" i="1"/>
  <c r="U14" i="15"/>
  <c r="CY11" i="1"/>
  <c r="CR11" i="11"/>
  <c r="CR17" i="11"/>
  <c r="CR35" i="11"/>
  <c r="CR23" i="11"/>
  <c r="CR29" i="11"/>
  <c r="Y56" i="1"/>
  <c r="Y36" i="1"/>
  <c r="AD36" i="1"/>
  <c r="AM34" i="11"/>
  <c r="AL40" i="11"/>
  <c r="AH40" i="11"/>
  <c r="BR41" i="11"/>
  <c r="BS35" i="11"/>
  <c r="BN41" i="11"/>
  <c r="BL45" i="20"/>
  <c r="BL53" i="20"/>
  <c r="AV57" i="20"/>
  <c r="BA57" i="20"/>
  <c r="AV45" i="20"/>
  <c r="BK40" i="20"/>
  <c r="N58" i="38"/>
  <c r="P58" i="38" s="1"/>
  <c r="U58" i="38"/>
  <c r="L209" i="38"/>
  <c r="K209" i="38"/>
  <c r="K213" i="38"/>
  <c r="BY84" i="1"/>
  <c r="CD84" i="1"/>
  <c r="BX104" i="1"/>
  <c r="BX88" i="1"/>
  <c r="AA77" i="2"/>
  <c r="AA84" i="2" s="1"/>
  <c r="M16" i="15"/>
  <c r="M15" i="15"/>
  <c r="CF106" i="1"/>
  <c r="CG86" i="1"/>
  <c r="BE143" i="1"/>
  <c r="BD147" i="1"/>
  <c r="BE147" i="1" s="1"/>
  <c r="BD145" i="1"/>
  <c r="BE145" i="1" s="1"/>
  <c r="X34" i="20"/>
  <c r="AR191" i="1"/>
  <c r="J240" i="38"/>
  <c r="M45" i="5"/>
  <c r="CX68" i="20"/>
  <c r="T15" i="15"/>
  <c r="AO77" i="2"/>
  <c r="AO84" i="2" s="1"/>
  <c r="AC117" i="2"/>
  <c r="AE111" i="2"/>
  <c r="AC111" i="2"/>
  <c r="L50" i="23"/>
  <c r="L32" i="23"/>
  <c r="L56" i="23" s="1"/>
  <c r="AK154" i="9"/>
  <c r="AD161" i="9"/>
  <c r="AI79" i="9"/>
  <c r="CF80" i="1"/>
  <c r="CL76" i="1"/>
  <c r="CF77" i="1"/>
  <c r="CH76" i="1"/>
  <c r="CG76" i="1"/>
  <c r="BX80" i="1"/>
  <c r="CD76" i="1"/>
  <c r="BX78" i="1"/>
  <c r="BZ76" i="1"/>
  <c r="CH105" i="1"/>
  <c r="CL105" i="1"/>
  <c r="CG105" i="1"/>
  <c r="CF133" i="1"/>
  <c r="R41" i="15"/>
  <c r="AC86" i="1"/>
  <c r="AH86" i="1"/>
  <c r="AB42" i="1"/>
  <c r="AD86" i="1"/>
  <c r="AJ89" i="1"/>
  <c r="AJ90" i="1"/>
  <c r="AJ88" i="1"/>
  <c r="AK85" i="1"/>
  <c r="AJ105" i="1"/>
  <c r="AP85" i="1"/>
  <c r="S77" i="2"/>
  <c r="S84" i="2" s="1"/>
  <c r="I14" i="15"/>
  <c r="AL34" i="1"/>
  <c r="CD26" i="1"/>
  <c r="AR163" i="38" s="1"/>
  <c r="P105" i="1"/>
  <c r="Q85" i="1"/>
  <c r="P65" i="1"/>
  <c r="P41" i="1"/>
  <c r="AB135" i="38"/>
  <c r="H40" i="20"/>
  <c r="H21" i="20"/>
  <c r="T14" i="20"/>
  <c r="T53" i="20"/>
  <c r="Y53" i="20"/>
  <c r="AR53" i="20"/>
  <c r="AR14" i="20"/>
  <c r="AW53" i="20"/>
  <c r="AR45" i="20"/>
  <c r="AR41" i="20"/>
  <c r="CA57" i="20"/>
  <c r="CF57" i="20"/>
  <c r="AW142" i="38"/>
  <c r="W259" i="38"/>
  <c r="U28" i="9"/>
  <c r="N28" i="9"/>
  <c r="P28" i="9" s="1"/>
  <c r="N35" i="9"/>
  <c r="P35" i="9" s="1"/>
  <c r="BT17" i="11"/>
  <c r="BT23" i="11" s="1"/>
  <c r="BT29" i="11" s="1"/>
  <c r="BT35" i="11"/>
  <c r="L80" i="1"/>
  <c r="L76" i="1"/>
  <c r="L31" i="1"/>
  <c r="M75" i="1"/>
  <c r="L79" i="1"/>
  <c r="R75" i="1"/>
  <c r="N63" i="5"/>
  <c r="J61" i="10"/>
  <c r="AL61" i="10" s="1"/>
  <c r="AN60" i="10"/>
  <c r="N60" i="10"/>
  <c r="N67" i="10"/>
  <c r="J60" i="10"/>
  <c r="P60" i="10"/>
  <c r="AD60" i="10"/>
  <c r="P61" i="10"/>
  <c r="L63" i="10"/>
  <c r="D64" i="10"/>
  <c r="J69" i="10"/>
  <c r="N69" i="10"/>
  <c r="J70" i="10"/>
  <c r="P69" i="10"/>
  <c r="AD69" i="10"/>
  <c r="AF69" i="10" s="1"/>
  <c r="T69" i="10"/>
  <c r="AN69" i="10"/>
  <c r="N76" i="10"/>
  <c r="Z90" i="10"/>
  <c r="P19" i="9"/>
  <c r="X199" i="1"/>
  <c r="X203" i="1" s="1"/>
  <c r="G72" i="15" s="1"/>
  <c r="X190" i="1"/>
  <c r="X189" i="1" s="1"/>
  <c r="E31" i="15"/>
  <c r="E32" i="15" s="1"/>
  <c r="Q76" i="1"/>
  <c r="P78" i="1"/>
  <c r="BB85" i="1"/>
  <c r="BA85" i="1"/>
  <c r="BF85" i="1"/>
  <c r="AR199" i="38"/>
  <c r="AR177" i="38"/>
  <c r="AN90" i="1"/>
  <c r="AP86" i="1"/>
  <c r="AO86" i="1"/>
  <c r="AN106" i="1"/>
  <c r="AT86" i="1"/>
  <c r="AN88" i="1"/>
  <c r="CP84" i="1"/>
  <c r="CT84" i="1"/>
  <c r="CN89" i="1"/>
  <c r="CN90" i="1"/>
  <c r="T40" i="1"/>
  <c r="U84" i="1"/>
  <c r="T104" i="1"/>
  <c r="AJ107" i="1"/>
  <c r="AK87" i="1"/>
  <c r="AJ43" i="20"/>
  <c r="AJ41" i="20"/>
  <c r="AJ53" i="20"/>
  <c r="AJ44" i="20"/>
  <c r="AO53" i="20"/>
  <c r="AJ45" i="20"/>
  <c r="AG35" i="1"/>
  <c r="AL35" i="1"/>
  <c r="BZ51" i="1"/>
  <c r="BT52" i="1"/>
  <c r="BV51" i="1"/>
  <c r="DA51" i="1"/>
  <c r="DA52" i="1" s="1"/>
  <c r="DB53" i="1" s="1"/>
  <c r="AO21" i="20"/>
  <c r="AO56" i="20"/>
  <c r="AJ42" i="20"/>
  <c r="Z152" i="10"/>
  <c r="BF41" i="11"/>
  <c r="BJ41" i="11"/>
  <c r="BG35" i="11"/>
  <c r="BK35" i="11"/>
  <c r="BN21" i="20"/>
  <c r="BN40" i="20"/>
  <c r="BU40" i="20"/>
  <c r="BU21" i="20"/>
  <c r="CC53" i="20"/>
  <c r="CC45" i="20"/>
  <c r="CC41" i="20"/>
  <c r="CC72" i="20" s="1"/>
  <c r="CC14" i="20"/>
  <c r="BR40" i="20"/>
  <c r="BR21" i="20"/>
  <c r="D112" i="38"/>
  <c r="H112" i="38" s="1"/>
  <c r="AI112" i="38"/>
  <c r="AV223" i="38"/>
  <c r="AW223" i="38" s="1"/>
  <c r="L324" i="38"/>
  <c r="K324" i="38"/>
  <c r="K328" i="38"/>
  <c r="AX36" i="1"/>
  <c r="AW36" i="1"/>
  <c r="AA76" i="2"/>
  <c r="M37" i="15"/>
  <c r="J14" i="10"/>
  <c r="J13" i="10"/>
  <c r="N20" i="10"/>
  <c r="AA36" i="11"/>
  <c r="Z42" i="11"/>
  <c r="V42" i="11"/>
  <c r="AK273" i="38"/>
  <c r="AF11" i="3"/>
  <c r="AF80" i="3" s="1"/>
  <c r="AF78" i="3" s="1"/>
  <c r="AF81" i="3" s="1"/>
  <c r="Q34" i="15"/>
  <c r="BD31" i="11"/>
  <c r="BD19" i="11"/>
  <c r="AR28" i="11"/>
  <c r="AR34" i="11"/>
  <c r="AR16" i="11"/>
  <c r="AR22" i="11" s="1"/>
  <c r="AN31" i="11"/>
  <c r="AN25" i="11"/>
  <c r="AN19" i="11"/>
  <c r="AN37" i="11"/>
  <c r="AI96" i="10"/>
  <c r="AL96" i="10"/>
  <c r="Z153" i="10"/>
  <c r="BA14" i="20"/>
  <c r="BF53" i="20"/>
  <c r="CB53" i="20"/>
  <c r="H56" i="38"/>
  <c r="AB65" i="38"/>
  <c r="AV98" i="38"/>
  <c r="Z154" i="38"/>
  <c r="D172" i="38"/>
  <c r="H172" i="38" s="1"/>
  <c r="AT194" i="38"/>
  <c r="D165" i="38"/>
  <c r="H165" i="38" s="1"/>
  <c r="AB200" i="38"/>
  <c r="AV216" i="38"/>
  <c r="AW216" i="38" s="1"/>
  <c r="AB287" i="38"/>
  <c r="L303" i="38"/>
  <c r="D81" i="10"/>
  <c r="AS20" i="1"/>
  <c r="AR16" i="1"/>
  <c r="AW10" i="1"/>
  <c r="AV10" i="11" s="1"/>
  <c r="W8" i="20"/>
  <c r="N31" i="1"/>
  <c r="BD68" i="1"/>
  <c r="BE68" i="1" s="1"/>
  <c r="AL19" i="20"/>
  <c r="W49" i="15"/>
  <c r="DI28" i="20"/>
  <c r="K97" i="5"/>
  <c r="DE19" i="20"/>
  <c r="T31" i="15"/>
  <c r="AQ118" i="2"/>
  <c r="AQ112" i="2"/>
  <c r="AQ80" i="2"/>
  <c r="K111" i="2"/>
  <c r="K117" i="2"/>
  <c r="AQ111" i="2"/>
  <c r="AQ117" i="2"/>
  <c r="J145" i="10"/>
  <c r="J144" i="10"/>
  <c r="P144" i="10"/>
  <c r="X144" i="10"/>
  <c r="Z144" i="10" s="1"/>
  <c r="AD144" i="10"/>
  <c r="N144" i="10"/>
  <c r="AN144" i="10"/>
  <c r="P145" i="10"/>
  <c r="D169" i="10"/>
  <c r="L169" i="10" s="1"/>
  <c r="L167" i="10"/>
  <c r="N34" i="23"/>
  <c r="N58" i="23" s="1"/>
  <c r="N46" i="23"/>
  <c r="N52" i="23" s="1"/>
  <c r="R34" i="23"/>
  <c r="R58" i="23" s="1"/>
  <c r="R46" i="23"/>
  <c r="R52" i="23" s="1"/>
  <c r="S16" i="11"/>
  <c r="R34" i="11"/>
  <c r="W16" i="11"/>
  <c r="AC77" i="2"/>
  <c r="AC84" i="2" s="1"/>
  <c r="N15" i="15"/>
  <c r="AD59" i="23"/>
  <c r="AD53" i="23"/>
  <c r="Y14" i="20"/>
  <c r="AL44" i="20"/>
  <c r="AL14" i="20"/>
  <c r="AL53" i="20"/>
  <c r="DG72" i="20"/>
  <c r="B245" i="38"/>
  <c r="B85" i="38"/>
  <c r="AV122" i="38"/>
  <c r="AB119" i="38"/>
  <c r="N221" i="38"/>
  <c r="P221" i="38" s="1"/>
  <c r="N260" i="38"/>
  <c r="P260" i="38" s="1"/>
  <c r="Z143" i="38"/>
  <c r="AB296" i="38"/>
  <c r="L315" i="38"/>
  <c r="L316" i="38"/>
  <c r="K315" i="38"/>
  <c r="B131" i="9"/>
  <c r="B110" i="9"/>
  <c r="B75" i="9"/>
  <c r="B103" i="9"/>
  <c r="B61" i="9"/>
  <c r="B117" i="9"/>
  <c r="B33" i="9"/>
  <c r="B19" i="9"/>
  <c r="B47" i="9"/>
  <c r="AD63" i="9"/>
  <c r="AQ117" i="9"/>
  <c r="AR121" i="9"/>
  <c r="N49" i="1"/>
  <c r="I49" i="1"/>
  <c r="Q42" i="5"/>
  <c r="DB66" i="20"/>
  <c r="L9" i="15"/>
  <c r="CX54" i="20"/>
  <c r="AB78" i="5"/>
  <c r="AS40" i="2"/>
  <c r="AS45" i="2" s="1"/>
  <c r="AS54" i="2" s="1"/>
  <c r="CE66" i="20"/>
  <c r="N32" i="3"/>
  <c r="N60" i="3"/>
  <c r="L26" i="10"/>
  <c r="L19" i="10"/>
  <c r="T20" i="10"/>
  <c r="R21" i="10"/>
  <c r="L47" i="23"/>
  <c r="L53" i="23" s="1"/>
  <c r="H45" i="23"/>
  <c r="H51" i="23" s="1"/>
  <c r="H33" i="23"/>
  <c r="H57" i="23" s="1"/>
  <c r="AZ16" i="11"/>
  <c r="AZ22" i="11" s="1"/>
  <c r="AZ28" i="11"/>
  <c r="BD37" i="11"/>
  <c r="N34" i="11"/>
  <c r="O16" i="11"/>
  <c r="W36" i="11"/>
  <c r="CL34" i="11"/>
  <c r="CM16" i="11"/>
  <c r="G63" i="5"/>
  <c r="G87" i="5" s="1"/>
  <c r="S76" i="15"/>
  <c r="T76" i="15"/>
  <c r="U75" i="2"/>
  <c r="J7" i="15"/>
  <c r="AB106" i="38"/>
  <c r="BD14" i="20"/>
  <c r="AI23" i="38"/>
  <c r="D23" i="38"/>
  <c r="H23" i="38" s="1"/>
  <c r="AV87" i="38"/>
  <c r="D127" i="38"/>
  <c r="H127" i="38" s="1"/>
  <c r="D134" i="38"/>
  <c r="H134" i="38" s="1"/>
  <c r="AI127" i="38"/>
  <c r="AW154" i="38"/>
  <c r="U156" i="38"/>
  <c r="W156" i="38" s="1"/>
  <c r="N156" i="38"/>
  <c r="P156" i="38" s="1"/>
  <c r="AK168" i="38"/>
  <c r="AI172" i="38"/>
  <c r="L201" i="38"/>
  <c r="K201" i="38"/>
  <c r="AV202" i="38"/>
  <c r="AW202" i="38" s="1"/>
  <c r="AD214" i="38"/>
  <c r="AF214" i="38" s="1"/>
  <c r="Z84" i="38"/>
  <c r="AB237" i="38"/>
  <c r="Z129" i="38"/>
  <c r="AB129" i="38" s="1"/>
  <c r="AB282" i="38"/>
  <c r="L287" i="38"/>
  <c r="K287" i="38"/>
  <c r="J134" i="38"/>
  <c r="AK328" i="38"/>
  <c r="B62" i="9"/>
  <c r="B41" i="9"/>
  <c r="B27" i="9"/>
  <c r="B69" i="9"/>
  <c r="BL34" i="11"/>
  <c r="BL28" i="11"/>
  <c r="BL16" i="11"/>
  <c r="BL22" i="11" s="1"/>
  <c r="B41" i="15"/>
  <c r="W12" i="15"/>
  <c r="W8" i="15"/>
  <c r="AU75" i="2"/>
  <c r="W15" i="5"/>
  <c r="W22" i="15"/>
  <c r="X8" i="15"/>
  <c r="W37" i="15"/>
  <c r="R25" i="15"/>
  <c r="T79" i="1"/>
  <c r="T31" i="1"/>
  <c r="T76" i="1"/>
  <c r="U75" i="1"/>
  <c r="AO111" i="2"/>
  <c r="AO117" i="2"/>
  <c r="B71" i="10"/>
  <c r="B43" i="10"/>
  <c r="B169" i="10"/>
  <c r="B127" i="10"/>
  <c r="B36" i="10"/>
  <c r="B134" i="10"/>
  <c r="B99" i="10"/>
  <c r="B22" i="10"/>
  <c r="B162" i="10"/>
  <c r="B113" i="10"/>
  <c r="B29" i="10"/>
  <c r="B155" i="10"/>
  <c r="B120" i="10"/>
  <c r="B176" i="10"/>
  <c r="B50" i="10"/>
  <c r="B141" i="10"/>
  <c r="B57" i="10"/>
  <c r="B85" i="10"/>
  <c r="Z91" i="38"/>
  <c r="AB91" i="38" s="1"/>
  <c r="AB77" i="20"/>
  <c r="L91" i="10"/>
  <c r="BF40" i="11"/>
  <c r="BG34" i="11"/>
  <c r="BK34" i="11"/>
  <c r="I15" i="5"/>
  <c r="BQ98" i="1"/>
  <c r="S7" i="15"/>
  <c r="S25" i="15" s="1"/>
  <c r="BA44" i="1"/>
  <c r="AV37" i="11"/>
  <c r="AV19" i="11"/>
  <c r="AV25" i="11" s="1"/>
  <c r="AV31" i="11"/>
  <c r="J15" i="5"/>
  <c r="BX37" i="11"/>
  <c r="BX14" i="20"/>
  <c r="T45" i="20"/>
  <c r="CM57" i="20"/>
  <c r="L114" i="38"/>
  <c r="L141" i="38"/>
  <c r="K142" i="38"/>
  <c r="K141" i="38"/>
  <c r="L202" i="38"/>
  <c r="K202" i="38"/>
  <c r="AV214" i="38"/>
  <c r="AW214" i="38" s="1"/>
  <c r="N253" i="38"/>
  <c r="P253" i="38" s="1"/>
  <c r="AI13" i="9"/>
  <c r="U13" i="9"/>
  <c r="AQ146" i="9"/>
  <c r="AV146" i="9"/>
  <c r="AU146" i="9" s="1"/>
  <c r="AR163" i="9"/>
  <c r="AQ161" i="9"/>
  <c r="AQ163" i="9" s="1"/>
  <c r="AF166" i="9"/>
  <c r="X31" i="11"/>
  <c r="X19" i="11"/>
  <c r="X37" i="11"/>
  <c r="Q75" i="2"/>
  <c r="H7" i="5"/>
  <c r="I87" i="5" s="1"/>
  <c r="AC98" i="1"/>
  <c r="AO75" i="2"/>
  <c r="T15" i="5"/>
  <c r="T37" i="15"/>
  <c r="M76" i="2"/>
  <c r="F11" i="15"/>
  <c r="F12" i="15" s="1"/>
  <c r="N27" i="15"/>
  <c r="V11" i="3"/>
  <c r="V80" i="3" s="1"/>
  <c r="V78" i="3" s="1"/>
  <c r="V81" i="3" s="1"/>
  <c r="L34" i="15"/>
  <c r="AT78" i="1"/>
  <c r="BH118" i="1"/>
  <c r="AT26" i="20"/>
  <c r="O27" i="15"/>
  <c r="AS62" i="2"/>
  <c r="I80" i="2"/>
  <c r="R70" i="3"/>
  <c r="R71" i="3" s="1"/>
  <c r="P44" i="23"/>
  <c r="P50" i="23" s="1"/>
  <c r="P32" i="23"/>
  <c r="AN28" i="11"/>
  <c r="AN34" i="11"/>
  <c r="BX36" i="11"/>
  <c r="BX18" i="11"/>
  <c r="BX24" i="11" s="1"/>
  <c r="BX30" i="11" s="1"/>
  <c r="AR31" i="11"/>
  <c r="AR37" i="11"/>
  <c r="AR19" i="11"/>
  <c r="AR25" i="11" s="1"/>
  <c r="Z25" i="10"/>
  <c r="Z32" i="10"/>
  <c r="F14" i="20"/>
  <c r="CA12" i="20"/>
  <c r="AV193" i="38"/>
  <c r="AD199" i="38"/>
  <c r="AF199" i="38" s="1"/>
  <c r="K322" i="38"/>
  <c r="L322" i="38"/>
  <c r="Z113" i="38"/>
  <c r="AB113" i="38" s="1"/>
  <c r="AK113" i="38" s="1"/>
  <c r="AJ36" i="11"/>
  <c r="AJ18" i="11"/>
  <c r="AJ24" i="11"/>
  <c r="L13" i="10"/>
  <c r="D14" i="9"/>
  <c r="D16" i="38"/>
  <c r="H16" i="38" s="1"/>
  <c r="CJ24" i="11"/>
  <c r="CJ30" i="11"/>
  <c r="CJ36" i="11" s="1"/>
  <c r="CJ12" i="11"/>
  <c r="CJ18" i="11"/>
  <c r="CG16" i="1"/>
  <c r="CO26" i="1"/>
  <c r="CP26" i="1" s="1"/>
  <c r="CO16" i="1"/>
  <c r="U77" i="2"/>
  <c r="U84" i="2" s="1"/>
  <c r="J14" i="15"/>
  <c r="Z58" i="1"/>
  <c r="Y58" i="1"/>
  <c r="J75" i="1"/>
  <c r="D31" i="1"/>
  <c r="D76" i="1"/>
  <c r="E75" i="1"/>
  <c r="BE77" i="1"/>
  <c r="BF77" i="1"/>
  <c r="DC69" i="20"/>
  <c r="R46" i="5"/>
  <c r="AB70" i="10"/>
  <c r="J62" i="5"/>
  <c r="CV71" i="20"/>
  <c r="R62" i="5"/>
  <c r="Z120" i="9"/>
  <c r="R66" i="5"/>
  <c r="R77" i="15" s="1"/>
  <c r="P32" i="3"/>
  <c r="P60" i="3"/>
  <c r="D36" i="10"/>
  <c r="L39" i="10"/>
  <c r="L32" i="10"/>
  <c r="N39" i="10"/>
  <c r="X39" i="10"/>
  <c r="AN39" i="10"/>
  <c r="J40" i="10"/>
  <c r="P39" i="10"/>
  <c r="N46" i="10"/>
  <c r="P40" i="10"/>
  <c r="J39" i="10"/>
  <c r="X103" i="10"/>
  <c r="P104" i="10"/>
  <c r="N103" i="10"/>
  <c r="P103" i="10"/>
  <c r="J104" i="10"/>
  <c r="AD103" i="10"/>
  <c r="T103" i="10"/>
  <c r="AF56" i="23"/>
  <c r="D45" i="65"/>
  <c r="AK279" i="38"/>
  <c r="W62" i="2"/>
  <c r="K74" i="15"/>
  <c r="Y75" i="2"/>
  <c r="L22" i="15"/>
  <c r="L41" i="15"/>
  <c r="W118" i="2"/>
  <c r="L12" i="15"/>
  <c r="N15" i="5"/>
  <c r="N12" i="15"/>
  <c r="N22" i="15"/>
  <c r="AC75" i="2"/>
  <c r="N8" i="15"/>
  <c r="Y117" i="2"/>
  <c r="N37" i="15"/>
  <c r="B16" i="5"/>
  <c r="L15" i="10"/>
  <c r="BA60" i="1"/>
  <c r="AD169" i="9"/>
  <c r="AK162" i="9"/>
  <c r="N18" i="15"/>
  <c r="N16" i="15"/>
  <c r="AN16" i="11"/>
  <c r="AN22" i="11" s="1"/>
  <c r="O79" i="20"/>
  <c r="CV79" i="20"/>
  <c r="M81" i="20"/>
  <c r="M79" i="20" s="1"/>
  <c r="D93" i="38"/>
  <c r="H93" i="38" s="1"/>
  <c r="AV100" i="38"/>
  <c r="AI123" i="38"/>
  <c r="AV155" i="38"/>
  <c r="AW155" i="38" s="1"/>
  <c r="N163" i="38"/>
  <c r="P163" i="38" s="1"/>
  <c r="AV163" i="38"/>
  <c r="K169" i="38"/>
  <c r="L169" i="38"/>
  <c r="N176" i="38" s="1"/>
  <c r="P176" i="38" s="1"/>
  <c r="AV177" i="38"/>
  <c r="AB193" i="38"/>
  <c r="AB196" i="38" s="1"/>
  <c r="L206" i="38"/>
  <c r="N222" i="38"/>
  <c r="AB267" i="38"/>
  <c r="D318" i="38"/>
  <c r="H318" i="38" s="1"/>
  <c r="D325" i="38"/>
  <c r="H325" i="38" s="1"/>
  <c r="AU194" i="38"/>
  <c r="K323" i="38"/>
  <c r="A62" i="9"/>
  <c r="A76" i="9"/>
  <c r="A125" i="9"/>
  <c r="A69" i="9"/>
  <c r="A83" i="9"/>
  <c r="A90" i="9"/>
  <c r="A174" i="9"/>
  <c r="A20" i="9"/>
  <c r="A132" i="9"/>
  <c r="A48" i="9"/>
  <c r="A34" i="9"/>
  <c r="AR125" i="9"/>
  <c r="AR128" i="9" s="1"/>
  <c r="BT100" i="1"/>
  <c r="BU100" i="1" s="1"/>
  <c r="AB21" i="10"/>
  <c r="C66" i="5"/>
  <c r="AT11" i="3"/>
  <c r="X35" i="15"/>
  <c r="W111" i="2"/>
  <c r="Y111" i="2"/>
  <c r="AM117" i="2"/>
  <c r="AM111" i="2"/>
  <c r="I76" i="2"/>
  <c r="AQ82" i="2"/>
  <c r="Z151" i="10"/>
  <c r="F155" i="10"/>
  <c r="AI151" i="10"/>
  <c r="AL167" i="10"/>
  <c r="R167" i="10"/>
  <c r="V32" i="23"/>
  <c r="V56" i="23" s="1"/>
  <c r="V44" i="23"/>
  <c r="V50" i="23" s="1"/>
  <c r="AI16" i="11"/>
  <c r="AM16" i="11"/>
  <c r="AY29" i="11"/>
  <c r="AU29" i="11"/>
  <c r="AD14" i="20"/>
  <c r="DD72" i="20"/>
  <c r="B30" i="38"/>
  <c r="AI29" i="38"/>
  <c r="A105" i="38"/>
  <c r="Z157" i="38"/>
  <c r="AB157" i="38" s="1"/>
  <c r="A208" i="38"/>
  <c r="D301" i="38"/>
  <c r="H301" i="38" s="1"/>
  <c r="L321" i="38"/>
  <c r="B85" i="9"/>
  <c r="V138" i="10"/>
  <c r="X138" i="10" s="1"/>
  <c r="L140" i="9"/>
  <c r="D148" i="9"/>
  <c r="H148" i="9" s="1"/>
  <c r="AI148" i="9"/>
  <c r="AK148" i="9" s="1"/>
  <c r="AM148" i="9" s="1"/>
  <c r="AI160" i="9"/>
  <c r="D74" i="10"/>
  <c r="AN14" i="1"/>
  <c r="D132" i="10"/>
  <c r="D134" i="10" s="1"/>
  <c r="L134" i="10" s="1"/>
  <c r="AR35" i="11"/>
  <c r="AR17" i="11"/>
  <c r="AR23" i="11" s="1"/>
  <c r="H15" i="9"/>
  <c r="C7" i="15"/>
  <c r="C41" i="15" s="1"/>
  <c r="I14" i="1"/>
  <c r="G75" i="2"/>
  <c r="I24" i="1"/>
  <c r="CP23" i="1"/>
  <c r="CZ23" i="1" s="1"/>
  <c r="CT23" i="1"/>
  <c r="CP25" i="1"/>
  <c r="H35" i="1"/>
  <c r="BJ31" i="1"/>
  <c r="BI31" i="1"/>
  <c r="X15" i="15"/>
  <c r="N25" i="15"/>
  <c r="M35" i="15"/>
  <c r="X41" i="15"/>
  <c r="L63" i="5"/>
  <c r="P32" i="15"/>
  <c r="P12" i="15"/>
  <c r="AG75" i="2"/>
  <c r="AG80" i="2" s="1"/>
  <c r="N41" i="15"/>
  <c r="W76" i="2"/>
  <c r="AK112" i="2"/>
  <c r="AK118" i="2"/>
  <c r="AP16" i="3"/>
  <c r="AP34" i="3" s="1"/>
  <c r="AP51" i="3" s="1"/>
  <c r="AP54" i="3" s="1"/>
  <c r="H46" i="3"/>
  <c r="L18" i="10"/>
  <c r="D15" i="10"/>
  <c r="L22" i="10" s="1"/>
  <c r="AD88" i="10"/>
  <c r="T102" i="10"/>
  <c r="AN102" i="10"/>
  <c r="N102" i="10"/>
  <c r="X102" i="10"/>
  <c r="Z109" i="10" s="1"/>
  <c r="J102" i="10"/>
  <c r="BO18" i="11"/>
  <c r="BS18" i="11"/>
  <c r="AI97" i="10"/>
  <c r="BM14" i="20"/>
  <c r="D11" i="65"/>
  <c r="D27" i="65"/>
  <c r="A28" i="38"/>
  <c r="A44" i="38"/>
  <c r="B74" i="38"/>
  <c r="AI70" i="38"/>
  <c r="A100" i="38"/>
  <c r="A107" i="38"/>
  <c r="Z141" i="38"/>
  <c r="AB141" i="38" s="1"/>
  <c r="U157" i="38"/>
  <c r="L288" i="38"/>
  <c r="AB288" i="38"/>
  <c r="AV139" i="9"/>
  <c r="AU139" i="9" s="1"/>
  <c r="CJ31" i="11"/>
  <c r="CJ37" i="11" s="1"/>
  <c r="CJ25" i="11"/>
  <c r="CJ19" i="11"/>
  <c r="D7" i="5"/>
  <c r="M14" i="1"/>
  <c r="D7" i="15"/>
  <c r="S117" i="2"/>
  <c r="I16" i="1"/>
  <c r="E26" i="1"/>
  <c r="F16" i="1"/>
  <c r="AN15" i="1"/>
  <c r="DB20" i="1"/>
  <c r="BA25" i="1"/>
  <c r="N30" i="1"/>
  <c r="AF85" i="1"/>
  <c r="AH31" i="1"/>
  <c r="BN33" i="1"/>
  <c r="BZ31" i="1"/>
  <c r="L52" i="1"/>
  <c r="M48" i="1"/>
  <c r="Y49" i="1"/>
  <c r="BZ49" i="1"/>
  <c r="BY49" i="1"/>
  <c r="CB52" i="1"/>
  <c r="BI52" i="1"/>
  <c r="BJ52" i="1"/>
  <c r="BA75" i="1"/>
  <c r="BF75" i="1"/>
  <c r="CB79" i="1"/>
  <c r="AX86" i="1"/>
  <c r="AB177" i="1"/>
  <c r="AN176" i="1"/>
  <c r="AN177" i="1"/>
  <c r="R15" i="5"/>
  <c r="S63" i="5"/>
  <c r="K66" i="5"/>
  <c r="E12" i="15"/>
  <c r="H61" i="3"/>
  <c r="I37" i="15"/>
  <c r="AU62" i="2"/>
  <c r="AB46" i="3"/>
  <c r="L97" i="10"/>
  <c r="X118" i="10"/>
  <c r="Z118" i="10" s="1"/>
  <c r="AV29" i="11"/>
  <c r="BL19" i="11"/>
  <c r="BL25" i="11"/>
  <c r="AV35" i="11"/>
  <c r="D22" i="38"/>
  <c r="H22" i="38" s="1"/>
  <c r="L323" i="38"/>
  <c r="A57" i="9"/>
  <c r="A43" i="9"/>
  <c r="A99" i="9"/>
  <c r="N41" i="9"/>
  <c r="P41" i="9" s="1"/>
  <c r="H9" i="15"/>
  <c r="H75" i="5"/>
  <c r="CT55" i="20" s="1"/>
  <c r="AI61" i="9"/>
  <c r="D61" i="9"/>
  <c r="AV161" i="9"/>
  <c r="AU161" i="9" s="1"/>
  <c r="CN34" i="11"/>
  <c r="CN10" i="11"/>
  <c r="CN16" i="11"/>
  <c r="CN22" i="11"/>
  <c r="CN28" i="11"/>
  <c r="K81" i="2"/>
  <c r="K80" i="2"/>
  <c r="K82" i="2"/>
  <c r="M22" i="15"/>
  <c r="AA75" i="2"/>
  <c r="M8" i="15"/>
  <c r="B11" i="15"/>
  <c r="B12" i="15" s="1"/>
  <c r="F15" i="10"/>
  <c r="J30" i="1"/>
  <c r="BJ86" i="1"/>
  <c r="N48" i="1"/>
  <c r="N75" i="1"/>
  <c r="AN105" i="1"/>
  <c r="AT85" i="1"/>
  <c r="S62" i="2"/>
  <c r="I74" i="15"/>
  <c r="CF210" i="1"/>
  <c r="V73" i="15" s="1"/>
  <c r="V74" i="15" s="1"/>
  <c r="U63" i="5"/>
  <c r="F75" i="5"/>
  <c r="F9" i="15"/>
  <c r="F22" i="15"/>
  <c r="M117" i="2"/>
  <c r="U8" i="15"/>
  <c r="U12" i="15"/>
  <c r="U15" i="5"/>
  <c r="J61" i="3"/>
  <c r="A69" i="10"/>
  <c r="A104" i="10"/>
  <c r="A34" i="10"/>
  <c r="AN53" i="10"/>
  <c r="X53" i="10"/>
  <c r="Z53" i="10" s="1"/>
  <c r="T53" i="10"/>
  <c r="N53" i="10"/>
  <c r="L160" i="10"/>
  <c r="L36" i="11"/>
  <c r="L30" i="11"/>
  <c r="L18" i="11"/>
  <c r="AU18" i="11"/>
  <c r="BP12" i="20"/>
  <c r="B84" i="38"/>
  <c r="D294" i="38"/>
  <c r="H294" i="38" s="1"/>
  <c r="L301" i="38"/>
  <c r="L15" i="9"/>
  <c r="B92" i="9"/>
  <c r="B155" i="9"/>
  <c r="B99" i="9"/>
  <c r="B22" i="9"/>
  <c r="B36" i="9"/>
  <c r="N42" i="9"/>
  <c r="P42" i="9" s="1"/>
  <c r="N55" i="9"/>
  <c r="P55" i="9" s="1"/>
  <c r="AB118" i="9"/>
  <c r="F149" i="9"/>
  <c r="U74" i="5" s="1"/>
  <c r="AI145" i="9"/>
  <c r="D145" i="9"/>
  <c r="H145" i="9" s="1"/>
  <c r="D161" i="9"/>
  <c r="H161" i="9" s="1"/>
  <c r="U161" i="9"/>
  <c r="AQ167" i="9"/>
  <c r="AQ170" i="9" s="1"/>
  <c r="AI167" i="9"/>
  <c r="H36" i="11"/>
  <c r="H24" i="11"/>
  <c r="D53" i="20"/>
  <c r="CO14" i="1"/>
  <c r="AW16" i="1"/>
  <c r="BJ23" i="1"/>
  <c r="H84" i="1"/>
  <c r="AB34" i="1"/>
  <c r="AH34" i="1" s="1"/>
  <c r="BF32" i="1"/>
  <c r="BI33" i="1"/>
  <c r="L15" i="15"/>
  <c r="BQ52" i="1"/>
  <c r="Z75" i="1"/>
  <c r="AO85" i="1"/>
  <c r="C7" i="5"/>
  <c r="C40" i="5"/>
  <c r="V12" i="15"/>
  <c r="V15" i="5"/>
  <c r="AS75" i="2"/>
  <c r="O74" i="15"/>
  <c r="Q80" i="15"/>
  <c r="BA68" i="2"/>
  <c r="BA48" i="2"/>
  <c r="E76" i="2"/>
  <c r="AC112" i="2"/>
  <c r="BP12" i="3"/>
  <c r="D46" i="3"/>
  <c r="J20" i="10"/>
  <c r="N26" i="10"/>
  <c r="X26" i="10"/>
  <c r="N33" i="10"/>
  <c r="AB72" i="38"/>
  <c r="Z107" i="38"/>
  <c r="AH44" i="23"/>
  <c r="AH56" i="23" s="1"/>
  <c r="N37" i="11"/>
  <c r="AG42" i="20"/>
  <c r="L200" i="38"/>
  <c r="S142" i="9"/>
  <c r="H169" i="9"/>
  <c r="L11" i="10"/>
  <c r="D14" i="38"/>
  <c r="H14" i="38" s="1"/>
  <c r="X29" i="11"/>
  <c r="X35" i="11"/>
  <c r="AF17" i="11"/>
  <c r="AF23" i="11"/>
  <c r="AF29" i="11"/>
  <c r="BY70" i="1"/>
  <c r="BZ16" i="1"/>
  <c r="H11" i="15"/>
  <c r="CT10" i="20" s="1"/>
  <c r="CT12" i="20" s="1"/>
  <c r="Q76" i="2"/>
  <c r="BB33" i="1"/>
  <c r="BA33" i="1"/>
  <c r="AU77" i="2"/>
  <c r="AU84" i="2" s="1"/>
  <c r="W15" i="15"/>
  <c r="O25" i="15"/>
  <c r="O76" i="15"/>
  <c r="X15" i="5"/>
  <c r="X90" i="5" s="1"/>
  <c r="BA43" i="2"/>
  <c r="S118" i="2"/>
  <c r="BN39" i="3"/>
  <c r="F70" i="3"/>
  <c r="F71" i="3" s="1"/>
  <c r="F22" i="10"/>
  <c r="R70" i="10"/>
  <c r="AD112" i="10"/>
  <c r="AF112" i="10" s="1"/>
  <c r="N51" i="23"/>
  <c r="N45" i="23"/>
  <c r="N57" i="23" s="1"/>
  <c r="AP32" i="23"/>
  <c r="X33" i="23"/>
  <c r="X57" i="23" s="1"/>
  <c r="X45" i="23"/>
  <c r="X51" i="23" s="1"/>
  <c r="A9" i="23"/>
  <c r="A15" i="23" s="1"/>
  <c r="A21" i="23" s="1"/>
  <c r="A27" i="23" s="1"/>
  <c r="A33" i="23" s="1"/>
  <c r="A39" i="23" s="1"/>
  <c r="A45" i="23" s="1"/>
  <c r="A51" i="23" s="1"/>
  <c r="A57" i="23" s="1"/>
  <c r="A41" i="11"/>
  <c r="A23" i="11"/>
  <c r="AL42" i="11"/>
  <c r="AQ18" i="11"/>
  <c r="BL31" i="11"/>
  <c r="A49" i="38"/>
  <c r="B58" i="9"/>
  <c r="B170" i="9"/>
  <c r="B163" i="9"/>
  <c r="D126" i="9"/>
  <c r="H126" i="9" s="1"/>
  <c r="AV133" i="9"/>
  <c r="AU133" i="9" s="1"/>
  <c r="D155" i="9"/>
  <c r="H155" i="9" s="1"/>
  <c r="U155" i="9"/>
  <c r="W162" i="9" s="1"/>
  <c r="AP155" i="9"/>
  <c r="D162" i="9"/>
  <c r="H162" i="9" s="1"/>
  <c r="AF30" i="11"/>
  <c r="AF36" i="11"/>
  <c r="AF24" i="11"/>
  <c r="BH25" i="11"/>
  <c r="BH37" i="11"/>
  <c r="BH19" i="11"/>
  <c r="DA16" i="1"/>
  <c r="BB16" i="1"/>
  <c r="T35" i="1"/>
  <c r="BH34" i="1"/>
  <c r="DC31" i="1"/>
  <c r="AP34" i="1"/>
  <c r="W77" i="2"/>
  <c r="W84" i="2" s="1"/>
  <c r="K14" i="15"/>
  <c r="X60" i="1"/>
  <c r="AD60" i="1" s="1"/>
  <c r="CF58" i="1"/>
  <c r="CB42" i="1"/>
  <c r="BR60" i="1"/>
  <c r="CP85" i="1"/>
  <c r="CK85" i="1"/>
  <c r="BT98" i="1"/>
  <c r="U100" i="1"/>
  <c r="T56" i="1"/>
  <c r="H74" i="15"/>
  <c r="Q62" i="2"/>
  <c r="AB18" i="10"/>
  <c r="M12" i="15"/>
  <c r="AR11" i="3"/>
  <c r="W35" i="15"/>
  <c r="BP30" i="3"/>
  <c r="B56" i="10"/>
  <c r="B154" i="10"/>
  <c r="B84" i="10"/>
  <c r="B63" i="10"/>
  <c r="R19" i="10"/>
  <c r="R40" i="10"/>
  <c r="T39" i="10"/>
  <c r="D57" i="10"/>
  <c r="L57" i="10" s="1"/>
  <c r="L53" i="10"/>
  <c r="AN96" i="10"/>
  <c r="P96" i="10"/>
  <c r="AD96" i="10"/>
  <c r="AF96" i="10" s="1"/>
  <c r="J103" i="10"/>
  <c r="O13" i="11"/>
  <c r="X17" i="11"/>
  <c r="AM18" i="11"/>
  <c r="D9" i="68"/>
  <c r="U42" i="9"/>
  <c r="W42" i="9" s="1"/>
  <c r="U169" i="9"/>
  <c r="CJ17" i="11"/>
  <c r="CJ11" i="11"/>
  <c r="CJ23" i="11"/>
  <c r="AK33" i="1"/>
  <c r="BB31" i="1"/>
  <c r="BD36" i="1"/>
  <c r="BI32" i="1"/>
  <c r="BQ33" i="1"/>
  <c r="BM40" i="1"/>
  <c r="BL44" i="1"/>
  <c r="BZ50" i="1"/>
  <c r="BF56" i="1"/>
  <c r="BY58" i="1"/>
  <c r="BA56" i="1"/>
  <c r="BL70" i="1"/>
  <c r="BM70" i="1" s="1"/>
  <c r="H76" i="1"/>
  <c r="BN75" i="1"/>
  <c r="BE76" i="1"/>
  <c r="CK87" i="1"/>
  <c r="E118" i="1"/>
  <c r="T79" i="15"/>
  <c r="AM62" i="2"/>
  <c r="E75" i="2"/>
  <c r="A54" i="10"/>
  <c r="A40" i="10"/>
  <c r="A138" i="10"/>
  <c r="A68" i="10"/>
  <c r="L77" i="10"/>
  <c r="X123" i="10"/>
  <c r="Z123" i="10" s="1"/>
  <c r="T132" i="10"/>
  <c r="X132" i="10"/>
  <c r="Z132" i="10" s="1"/>
  <c r="AN132" i="10"/>
  <c r="AD132" i="10"/>
  <c r="L137" i="10"/>
  <c r="T158" i="10"/>
  <c r="AD158" i="10"/>
  <c r="N158" i="10"/>
  <c r="C43" i="65" s="1"/>
  <c r="AD168" i="10"/>
  <c r="AF168" i="10" s="1"/>
  <c r="N168" i="10"/>
  <c r="N44" i="23"/>
  <c r="N56" i="23" s="1"/>
  <c r="N50" i="23"/>
  <c r="AJ33" i="23"/>
  <c r="AJ57" i="23" s="1"/>
  <c r="AJ45" i="23"/>
  <c r="AJ51" i="23" s="1"/>
  <c r="Z34" i="23"/>
  <c r="Z58" i="23" s="1"/>
  <c r="A25" i="11"/>
  <c r="A19" i="11"/>
  <c r="A11" i="23"/>
  <c r="A17" i="23" s="1"/>
  <c r="A23" i="23" s="1"/>
  <c r="A29" i="23" s="1"/>
  <c r="A35" i="23" s="1"/>
  <c r="A41" i="23" s="1"/>
  <c r="A47" i="23" s="1"/>
  <c r="A53" i="23" s="1"/>
  <c r="A59" i="23" s="1"/>
  <c r="T25" i="11"/>
  <c r="AI68" i="9"/>
  <c r="L126" i="9"/>
  <c r="L132" i="9"/>
  <c r="AS149" i="9"/>
  <c r="AI168" i="9"/>
  <c r="BI8" i="20"/>
  <c r="CN35" i="11"/>
  <c r="CN11" i="11"/>
  <c r="CN29" i="11"/>
  <c r="CN23" i="11"/>
  <c r="Y26" i="1"/>
  <c r="CG26" i="1"/>
  <c r="BU20" i="1"/>
  <c r="BL87" i="1"/>
  <c r="V50" i="1"/>
  <c r="Y59" i="1"/>
  <c r="BH68" i="1"/>
  <c r="BI68" i="1" s="1"/>
  <c r="AW87" i="1"/>
  <c r="CF104" i="1"/>
  <c r="CF107" i="1"/>
  <c r="CR210" i="1"/>
  <c r="G75" i="5"/>
  <c r="P79" i="15"/>
  <c r="R80" i="15"/>
  <c r="S75" i="2"/>
  <c r="P18" i="10"/>
  <c r="L33" i="10"/>
  <c r="N40" i="10"/>
  <c r="X40" i="10"/>
  <c r="N47" i="10"/>
  <c r="J62" i="10"/>
  <c r="AQ74" i="10"/>
  <c r="AD74" i="10"/>
  <c r="AF74" i="10" s="1"/>
  <c r="P97" i="10"/>
  <c r="J119" i="10"/>
  <c r="V131" i="10"/>
  <c r="X131" i="10" s="1"/>
  <c r="Z131" i="10" s="1"/>
  <c r="P172" i="10"/>
  <c r="AP58" i="23"/>
  <c r="F44" i="23"/>
  <c r="F50" i="23" s="1"/>
  <c r="F32" i="23"/>
  <c r="F56" i="23" s="1"/>
  <c r="V33" i="23"/>
  <c r="V57" i="23" s="1"/>
  <c r="BC17" i="11"/>
  <c r="CH41" i="11"/>
  <c r="CJ29" i="11"/>
  <c r="CJ35" i="11" s="1"/>
  <c r="BZ41" i="11"/>
  <c r="CA35" i="11"/>
  <c r="AB145" i="9"/>
  <c r="D147" i="9"/>
  <c r="H147" i="9" s="1"/>
  <c r="U147" i="9"/>
  <c r="W154" i="9" s="1"/>
  <c r="L70" i="10"/>
  <c r="BY10" i="1"/>
  <c r="BX10" i="11" s="1"/>
  <c r="CN36" i="11"/>
  <c r="CN30" i="11"/>
  <c r="CN24" i="11"/>
  <c r="CN18" i="11"/>
  <c r="CN12" i="11"/>
  <c r="BT15" i="1"/>
  <c r="CD21" i="1"/>
  <c r="AW24" i="1"/>
  <c r="AB84" i="1"/>
  <c r="BE32" i="1"/>
  <c r="J49" i="1"/>
  <c r="Z50" i="1"/>
  <c r="BI64" i="1"/>
  <c r="BH69" i="1"/>
  <c r="BI69" i="1" s="1"/>
  <c r="AW84" i="1"/>
  <c r="E7" i="5"/>
  <c r="S77" i="5"/>
  <c r="G7" i="15"/>
  <c r="G41" i="15" s="1"/>
  <c r="R26" i="15"/>
  <c r="S80" i="15"/>
  <c r="M75" i="2"/>
  <c r="S76" i="2"/>
  <c r="U76" i="2"/>
  <c r="AC118" i="2"/>
  <c r="L56" i="10"/>
  <c r="AN70" i="10"/>
  <c r="T70" i="10"/>
  <c r="R57" i="23"/>
  <c r="V34" i="23"/>
  <c r="V58" i="23" s="1"/>
  <c r="AH34" i="23"/>
  <c r="D37" i="11"/>
  <c r="H17" i="11"/>
  <c r="W31" i="11"/>
  <c r="CR16" i="11"/>
  <c r="CR10" i="11"/>
  <c r="AZ29" i="11"/>
  <c r="AZ35" i="11"/>
  <c r="L25" i="11"/>
  <c r="L37" i="11"/>
  <c r="L19" i="11"/>
  <c r="T19" i="11"/>
  <c r="T37" i="11"/>
  <c r="AN17" i="11"/>
  <c r="AN23" i="11" s="1"/>
  <c r="AN35" i="11"/>
  <c r="BY11" i="1"/>
  <c r="BX11" i="11" s="1"/>
  <c r="CN37" i="11"/>
  <c r="CN19" i="11"/>
  <c r="CN31" i="11"/>
  <c r="CN25" i="11"/>
  <c r="BY69" i="1"/>
  <c r="Y24" i="1"/>
  <c r="H85" i="1"/>
  <c r="BM33" i="1"/>
  <c r="CK34" i="1"/>
  <c r="BI40" i="1"/>
  <c r="CC49" i="1"/>
  <c r="BL68" i="1"/>
  <c r="BM68" i="1" s="1"/>
  <c r="BD78" i="1"/>
  <c r="CG84" i="1"/>
  <c r="CF88" i="1"/>
  <c r="AV105" i="1"/>
  <c r="M62" i="5"/>
  <c r="M63" i="5" s="1"/>
  <c r="C11" i="15"/>
  <c r="BA14" i="2"/>
  <c r="F32" i="3"/>
  <c r="A60" i="10"/>
  <c r="A39" i="10"/>
  <c r="A95" i="10"/>
  <c r="A46" i="10"/>
  <c r="A47" i="10"/>
  <c r="AN55" i="10"/>
  <c r="L75" i="10"/>
  <c r="AD91" i="10"/>
  <c r="F106" i="10"/>
  <c r="T98" i="10"/>
  <c r="T130" i="10"/>
  <c r="AI131" i="10"/>
  <c r="AD138" i="10"/>
  <c r="AF138" i="10" s="1"/>
  <c r="AL147" i="10"/>
  <c r="P151" i="10"/>
  <c r="Z173" i="10"/>
  <c r="V35" i="23"/>
  <c r="V59" i="23" s="1"/>
  <c r="Z45" i="23"/>
  <c r="Z51" i="23" s="1"/>
  <c r="AH35" i="23"/>
  <c r="AH59" i="23" s="1"/>
  <c r="Z33" i="23"/>
  <c r="Z57" i="23" s="1"/>
  <c r="J44" i="23"/>
  <c r="J56" i="23" s="1"/>
  <c r="AD42" i="11"/>
  <c r="AX36" i="11"/>
  <c r="AQ30" i="11"/>
  <c r="AB24" i="11"/>
  <c r="AB18" i="11"/>
  <c r="AB30" i="11"/>
  <c r="CJ34" i="11"/>
  <c r="CJ16" i="11"/>
  <c r="CJ10" i="11"/>
  <c r="AC30" i="1"/>
  <c r="R54" i="10"/>
  <c r="L61" i="10"/>
  <c r="A67" i="10"/>
  <c r="AD97" i="10"/>
  <c r="Z114" i="38"/>
  <c r="AI132" i="10"/>
  <c r="F148" i="10"/>
  <c r="T144" i="10"/>
  <c r="J159" i="10"/>
  <c r="X168" i="10"/>
  <c r="J33" i="23"/>
  <c r="F33" i="23"/>
  <c r="F45" i="23"/>
  <c r="F51" i="23" s="1"/>
  <c r="Z52" i="23"/>
  <c r="AR34" i="23"/>
  <c r="AR58" i="23" s="1"/>
  <c r="J45" i="23"/>
  <c r="J51" i="23" s="1"/>
  <c r="G36" i="11"/>
  <c r="AN29" i="11"/>
  <c r="AT35" i="11"/>
  <c r="CJ22" i="11"/>
  <c r="X55" i="10"/>
  <c r="AN54" i="10"/>
  <c r="AN77" i="10"/>
  <c r="AD34" i="23"/>
  <c r="AD58" i="23" s="1"/>
  <c r="AH46" i="23"/>
  <c r="AT44" i="23"/>
  <c r="AT50" i="23" s="1"/>
  <c r="CL43" i="11"/>
  <c r="AD47" i="10"/>
  <c r="T48" i="10"/>
  <c r="X48" i="10"/>
  <c r="Z48" i="10" s="1"/>
  <c r="T63" i="10"/>
  <c r="N68" i="10"/>
  <c r="P84" i="10"/>
  <c r="N123" i="10"/>
  <c r="P123" i="10"/>
  <c r="AD124" i="10"/>
  <c r="AF124" i="10" s="1"/>
  <c r="N131" i="10"/>
  <c r="X130" i="10"/>
  <c r="AN145" i="10"/>
  <c r="T33" i="23"/>
  <c r="T57" i="23" s="1"/>
  <c r="R32" i="23"/>
  <c r="R56" i="23" s="1"/>
  <c r="AH52" i="23"/>
  <c r="V46" i="23"/>
  <c r="AF53" i="23"/>
  <c r="X53" i="23"/>
  <c r="G19" i="11"/>
  <c r="L35" i="10"/>
  <c r="AD76" i="10"/>
  <c r="T77" i="10"/>
  <c r="J77" i="10"/>
  <c r="T83" i="10"/>
  <c r="AD84" i="10"/>
  <c r="AF84" i="10" s="1"/>
  <c r="J84" i="10"/>
  <c r="N95" i="10"/>
  <c r="AD118" i="10"/>
  <c r="D141" i="10"/>
  <c r="AD167" i="10"/>
  <c r="V52" i="23"/>
  <c r="AD51" i="23"/>
  <c r="AP50" i="23"/>
  <c r="A42" i="11"/>
  <c r="S18" i="11"/>
  <c r="AH36" i="11"/>
  <c r="B23" i="11"/>
  <c r="CA36" i="11"/>
  <c r="AV57" i="23"/>
  <c r="X54" i="10"/>
  <c r="Z54" i="10" s="1"/>
  <c r="N98" i="10"/>
  <c r="AP44" i="23"/>
  <c r="AI25" i="11"/>
  <c r="CM37" i="11"/>
  <c r="F23" i="65"/>
  <c r="J23" i="65" s="1"/>
  <c r="F33" i="65"/>
  <c r="F30" i="65"/>
  <c r="F9" i="65"/>
  <c r="F38" i="65"/>
  <c r="F26" i="65"/>
  <c r="F18" i="65"/>
  <c r="F31" i="65"/>
  <c r="F15" i="65"/>
  <c r="J15" i="65" s="1"/>
  <c r="F36" i="65"/>
  <c r="F6" i="65"/>
  <c r="F28" i="65"/>
  <c r="D116" i="38" l="1"/>
  <c r="H116" i="38" s="1"/>
  <c r="W22" i="38"/>
  <c r="W19" i="9"/>
  <c r="P30" i="38"/>
  <c r="AI156" i="9"/>
  <c r="AM58" i="38"/>
  <c r="W21" i="38"/>
  <c r="W58" i="38"/>
  <c r="L23" i="15"/>
  <c r="CO156" i="1"/>
  <c r="AA40" i="15"/>
  <c r="Q54" i="67"/>
  <c r="DL23" i="20"/>
  <c r="CV177" i="1"/>
  <c r="CV200" i="1"/>
  <c r="CV201" i="1" s="1"/>
  <c r="CV202" i="1" s="1"/>
  <c r="CV203" i="1" s="1"/>
  <c r="CY33" i="1"/>
  <c r="CS13" i="1"/>
  <c r="CY13" i="1" s="1"/>
  <c r="CS51" i="1"/>
  <c r="CS67" i="1"/>
  <c r="CS97" i="1"/>
  <c r="D175" i="10"/>
  <c r="CR156" i="1"/>
  <c r="CS156" i="1" s="1"/>
  <c r="AA57" i="15"/>
  <c r="AB57" i="15" s="1"/>
  <c r="CV99" i="1"/>
  <c r="CR23" i="20"/>
  <c r="CQ23" i="20"/>
  <c r="CP23" i="20"/>
  <c r="CO23" i="20"/>
  <c r="P136" i="67"/>
  <c r="I54" i="74"/>
  <c r="I51" i="74" s="1"/>
  <c r="J52" i="74" s="1"/>
  <c r="I22" i="74"/>
  <c r="I32" i="74" s="1"/>
  <c r="I30" i="74" s="1"/>
  <c r="S156" i="74"/>
  <c r="T156" i="74" s="1"/>
  <c r="U159" i="74"/>
  <c r="V159" i="74" s="1"/>
  <c r="W159" i="74" s="1"/>
  <c r="V168" i="74"/>
  <c r="W168" i="74" s="1"/>
  <c r="V32" i="74"/>
  <c r="W59" i="74"/>
  <c r="W60" i="74" s="1"/>
  <c r="W55" i="74"/>
  <c r="W51" i="74"/>
  <c r="V59" i="74"/>
  <c r="V60" i="74" s="1"/>
  <c r="V55" i="74"/>
  <c r="V51" i="74"/>
  <c r="V52" i="74" s="1"/>
  <c r="T157" i="74"/>
  <c r="U157" i="74" s="1"/>
  <c r="V157" i="74" s="1"/>
  <c r="W157" i="74" s="1"/>
  <c r="W169" i="74"/>
  <c r="W32" i="74"/>
  <c r="V167" i="74"/>
  <c r="W167" i="74" s="1"/>
  <c r="V166" i="74"/>
  <c r="W166" i="74" s="1"/>
  <c r="U154" i="74"/>
  <c r="T160" i="74"/>
  <c r="DB40" i="20"/>
  <c r="S26" i="65" s="1"/>
  <c r="AA26" i="65" s="1"/>
  <c r="E90" i="67"/>
  <c r="E109" i="67" s="1"/>
  <c r="O69" i="67"/>
  <c r="O158" i="67" s="1"/>
  <c r="DF14" i="20"/>
  <c r="K63" i="67"/>
  <c r="K104" i="67" s="1"/>
  <c r="K145" i="67"/>
  <c r="CX14" i="20"/>
  <c r="CX40" i="20" s="1"/>
  <c r="CY53" i="20"/>
  <c r="DH21" i="20"/>
  <c r="E47" i="67"/>
  <c r="E129" i="67"/>
  <c r="E131" i="67" s="1"/>
  <c r="E88" i="67"/>
  <c r="N74" i="67"/>
  <c r="N88" i="67"/>
  <c r="N90" i="67" s="1"/>
  <c r="N109" i="67" s="1"/>
  <c r="N156" i="67" s="1"/>
  <c r="N10" i="67"/>
  <c r="O30" i="67"/>
  <c r="O159" i="67" s="1"/>
  <c r="O157" i="67" s="1"/>
  <c r="D49" i="67"/>
  <c r="D68" i="67" s="1"/>
  <c r="E10" i="67"/>
  <c r="DG53" i="20"/>
  <c r="AF14" i="15"/>
  <c r="F136" i="67"/>
  <c r="F95" i="67"/>
  <c r="F54" i="67"/>
  <c r="P147" i="67"/>
  <c r="P145" i="67" s="1"/>
  <c r="O37" i="67"/>
  <c r="R23" i="65"/>
  <c r="Z23" i="65" s="1"/>
  <c r="X44" i="15"/>
  <c r="X47" i="15"/>
  <c r="DJ79" i="20" s="1"/>
  <c r="X51" i="15"/>
  <c r="K129" i="67"/>
  <c r="K131" i="67" s="1"/>
  <c r="K88" i="67"/>
  <c r="K90" i="67" s="1"/>
  <c r="L127" i="67"/>
  <c r="L131" i="67" s="1"/>
  <c r="L153" i="67" s="1"/>
  <c r="L45" i="67"/>
  <c r="L10" i="67"/>
  <c r="L29" i="67" s="1"/>
  <c r="L86" i="67"/>
  <c r="L35" i="67"/>
  <c r="V54" i="15"/>
  <c r="V52" i="15"/>
  <c r="AS78" i="2"/>
  <c r="K157" i="67"/>
  <c r="AM132" i="9"/>
  <c r="BW21" i="20"/>
  <c r="CB72" i="20"/>
  <c r="CZ40" i="20"/>
  <c r="DI21" i="20"/>
  <c r="DI36" i="20" s="1"/>
  <c r="Z36" i="20"/>
  <c r="AL138" i="10"/>
  <c r="R138" i="10"/>
  <c r="AI138" i="10"/>
  <c r="J141" i="10"/>
  <c r="AI141" i="10" s="1"/>
  <c r="AK168" i="9"/>
  <c r="AM168" i="9" s="1"/>
  <c r="AK105" i="9"/>
  <c r="AD132" i="9"/>
  <c r="AF132" i="9" s="1"/>
  <c r="AF105" i="38"/>
  <c r="AD94" i="38"/>
  <c r="AF94" i="38" s="1"/>
  <c r="AL33" i="10"/>
  <c r="R33" i="10"/>
  <c r="R25" i="10"/>
  <c r="AI90" i="10"/>
  <c r="AL90" i="10"/>
  <c r="R90" i="10"/>
  <c r="AB163" i="9"/>
  <c r="AD170" i="9" s="1"/>
  <c r="AF170" i="9" s="1"/>
  <c r="AK84" i="9"/>
  <c r="AM91" i="9" s="1"/>
  <c r="AI110" i="10"/>
  <c r="R110" i="10"/>
  <c r="AL110" i="10"/>
  <c r="J113" i="10"/>
  <c r="AL139" i="10"/>
  <c r="R139" i="10"/>
  <c r="AI139" i="10"/>
  <c r="AD111" i="9"/>
  <c r="AK62" i="9"/>
  <c r="AL166" i="10"/>
  <c r="R166" i="10"/>
  <c r="AI166" i="10"/>
  <c r="AI46" i="10"/>
  <c r="J50" i="10"/>
  <c r="R46" i="10"/>
  <c r="AL46" i="10"/>
  <c r="R29" i="10"/>
  <c r="AL67" i="10"/>
  <c r="AI67" i="10"/>
  <c r="R67" i="10"/>
  <c r="AL42" i="10"/>
  <c r="R42" i="10"/>
  <c r="AI42" i="10"/>
  <c r="AI130" i="10"/>
  <c r="R130" i="10"/>
  <c r="AL130" i="10"/>
  <c r="AB54" i="9"/>
  <c r="L113" i="10"/>
  <c r="AB71" i="38"/>
  <c r="AI41" i="10"/>
  <c r="R41" i="10"/>
  <c r="AK139" i="9"/>
  <c r="AD139" i="9"/>
  <c r="AF139" i="9" s="1"/>
  <c r="AL124" i="10"/>
  <c r="R124" i="10"/>
  <c r="R97" i="10"/>
  <c r="AL97" i="10"/>
  <c r="AL91" i="10"/>
  <c r="AI91" i="10"/>
  <c r="R91" i="10"/>
  <c r="AD105" i="38"/>
  <c r="AK83" i="9"/>
  <c r="AM83" i="9" s="1"/>
  <c r="AB82" i="9"/>
  <c r="U77" i="20"/>
  <c r="AB78" i="9"/>
  <c r="R111" i="10"/>
  <c r="AL111" i="10"/>
  <c r="AI111" i="10"/>
  <c r="AD167" i="9"/>
  <c r="AF167" i="9" s="1"/>
  <c r="AF166" i="10"/>
  <c r="R152" i="10"/>
  <c r="AI152" i="10"/>
  <c r="J155" i="10"/>
  <c r="AI155" i="10" s="1"/>
  <c r="AB98" i="38"/>
  <c r="AK98" i="38" s="1"/>
  <c r="AD83" i="9"/>
  <c r="AD154" i="9"/>
  <c r="AF154" i="9" s="1"/>
  <c r="AK106" i="9"/>
  <c r="AD106" i="9"/>
  <c r="AD147" i="9"/>
  <c r="AK147" i="9"/>
  <c r="AM147" i="9" s="1"/>
  <c r="AK63" i="9"/>
  <c r="AM134" i="9"/>
  <c r="AD99" i="9"/>
  <c r="AB100" i="9"/>
  <c r="AB93" i="9"/>
  <c r="AD100" i="9" s="1"/>
  <c r="AB107" i="9"/>
  <c r="F53" i="23"/>
  <c r="K37" i="11"/>
  <c r="BC28" i="2"/>
  <c r="BA30" i="2"/>
  <c r="H60" i="3"/>
  <c r="H32" i="3"/>
  <c r="AI99" i="10"/>
  <c r="R99" i="10"/>
  <c r="AG64" i="20" s="1"/>
  <c r="H62" i="3"/>
  <c r="J15" i="10"/>
  <c r="AA37" i="11"/>
  <c r="AE37" i="11"/>
  <c r="Z43" i="11"/>
  <c r="R88" i="10"/>
  <c r="J92" i="10"/>
  <c r="AL88" i="10"/>
  <c r="AI88" i="10"/>
  <c r="AD43" i="11"/>
  <c r="AI56" i="10"/>
  <c r="R56" i="10"/>
  <c r="AL56" i="10"/>
  <c r="AL35" i="10"/>
  <c r="R35" i="10"/>
  <c r="J36" i="10"/>
  <c r="R36" i="10" s="1"/>
  <c r="J43" i="11"/>
  <c r="D60" i="3"/>
  <c r="D32" i="3"/>
  <c r="BA23" i="2"/>
  <c r="BC23" i="2" s="1"/>
  <c r="DA77" i="20"/>
  <c r="DA72" i="20"/>
  <c r="AB135" i="9"/>
  <c r="AB65" i="9"/>
  <c r="Q63" i="5"/>
  <c r="P71" i="5"/>
  <c r="DB74" i="20" s="1"/>
  <c r="P63" i="5"/>
  <c r="P87" i="5" s="1"/>
  <c r="AK57" i="9"/>
  <c r="AM64" i="9" s="1"/>
  <c r="AD64" i="9"/>
  <c r="AF64" i="9" s="1"/>
  <c r="Q87" i="5"/>
  <c r="AD34" i="15"/>
  <c r="Q71" i="5"/>
  <c r="CS152" i="1"/>
  <c r="CO152" i="1"/>
  <c r="CJ157" i="1"/>
  <c r="CS137" i="1"/>
  <c r="CN166" i="1"/>
  <c r="CS166" i="1" s="1"/>
  <c r="BQ137" i="1"/>
  <c r="BP166" i="1"/>
  <c r="BQ166" i="1" s="1"/>
  <c r="CJ165" i="1"/>
  <c r="CB165" i="1"/>
  <c r="CB155" i="1"/>
  <c r="CJ166" i="1"/>
  <c r="CO137" i="1"/>
  <c r="CO161" i="1"/>
  <c r="S12" i="67"/>
  <c r="DN11" i="20"/>
  <c r="AR59" i="38"/>
  <c r="AR58" i="38"/>
  <c r="AR56" i="38"/>
  <c r="AR57" i="38"/>
  <c r="AD100" i="38"/>
  <c r="AF100" i="38" s="1"/>
  <c r="AD309" i="38"/>
  <c r="AF309" i="38" s="1"/>
  <c r="AK309" i="38"/>
  <c r="AM309" i="38" s="1"/>
  <c r="AK244" i="38"/>
  <c r="AK248" i="38" s="1"/>
  <c r="AB248" i="38"/>
  <c r="AD213" i="38"/>
  <c r="AF213" i="38" s="1"/>
  <c r="AB217" i="38"/>
  <c r="AD217" i="38" s="1"/>
  <c r="AF217" i="38" s="1"/>
  <c r="AB325" i="38"/>
  <c r="AD325" i="38" s="1"/>
  <c r="AD307" i="38"/>
  <c r="AF307" i="38" s="1"/>
  <c r="W170" i="38"/>
  <c r="N107" i="38"/>
  <c r="P107" i="38" s="1"/>
  <c r="AB172" i="38"/>
  <c r="AD169" i="38"/>
  <c r="AF169" i="38" s="1"/>
  <c r="AS128" i="9"/>
  <c r="AD258" i="38"/>
  <c r="AF258" i="38" s="1"/>
  <c r="AK258" i="38"/>
  <c r="AM258" i="38" s="1"/>
  <c r="AB262" i="38"/>
  <c r="AD279" i="38"/>
  <c r="AF279" i="38" s="1"/>
  <c r="AM251" i="38"/>
  <c r="AD57" i="38"/>
  <c r="AF57" i="38" s="1"/>
  <c r="L311" i="38"/>
  <c r="U307" i="38"/>
  <c r="W307" i="38" s="1"/>
  <c r="N307" i="38"/>
  <c r="P307" i="38" s="1"/>
  <c r="AB163" i="38"/>
  <c r="AB164" i="38"/>
  <c r="AK213" i="38"/>
  <c r="L158" i="38"/>
  <c r="N158" i="38" s="1"/>
  <c r="P158" i="38" s="1"/>
  <c r="U155" i="38"/>
  <c r="N162" i="38"/>
  <c r="P162" i="38" s="1"/>
  <c r="N155" i="38"/>
  <c r="P155" i="38" s="1"/>
  <c r="AM329" i="38"/>
  <c r="AM202" i="38"/>
  <c r="AD314" i="38"/>
  <c r="AF314" i="38" s="1"/>
  <c r="AD87" i="38"/>
  <c r="AF87" i="38" s="1"/>
  <c r="AK254" i="38"/>
  <c r="AD261" i="38"/>
  <c r="AF261" i="38" s="1"/>
  <c r="AK266" i="38"/>
  <c r="AM266" i="38" s="1"/>
  <c r="AV124" i="9"/>
  <c r="AU124" i="9" s="1"/>
  <c r="AM57" i="38"/>
  <c r="U215" i="38"/>
  <c r="W215" i="38" s="1"/>
  <c r="N215" i="38"/>
  <c r="P215" i="38" s="1"/>
  <c r="N175" i="38"/>
  <c r="P175" i="38" s="1"/>
  <c r="U175" i="38"/>
  <c r="W175" i="38" s="1"/>
  <c r="AM214" i="38"/>
  <c r="AM221" i="38"/>
  <c r="U163" i="38"/>
  <c r="U165" i="38" s="1"/>
  <c r="L165" i="38"/>
  <c r="N165" i="38" s="1"/>
  <c r="AD328" i="38"/>
  <c r="AF328" i="38" s="1"/>
  <c r="AK220" i="38"/>
  <c r="AM220" i="38" s="1"/>
  <c r="AD220" i="38"/>
  <c r="AF220" i="38" s="1"/>
  <c r="U171" i="38"/>
  <c r="W171" i="38" s="1"/>
  <c r="N171" i="38"/>
  <c r="P171" i="38" s="1"/>
  <c r="AB255" i="38"/>
  <c r="AD255" i="38" s="1"/>
  <c r="AF255" i="38" s="1"/>
  <c r="AK253" i="38"/>
  <c r="AM253" i="38" s="1"/>
  <c r="W157" i="38"/>
  <c r="AD316" i="38"/>
  <c r="AF316" i="38" s="1"/>
  <c r="AK59" i="38"/>
  <c r="AM66" i="38" s="1"/>
  <c r="AK87" i="38"/>
  <c r="AM87" i="38" s="1"/>
  <c r="AD260" i="38"/>
  <c r="AF260" i="38" s="1"/>
  <c r="AK261" i="38"/>
  <c r="AM268" i="38" s="1"/>
  <c r="AD268" i="38"/>
  <c r="AF268" i="38" s="1"/>
  <c r="U150" i="38"/>
  <c r="W150" i="38" s="1"/>
  <c r="N150" i="38"/>
  <c r="P150" i="38" s="1"/>
  <c r="U151" i="38"/>
  <c r="AM316" i="38"/>
  <c r="U274" i="38"/>
  <c r="N274" i="38"/>
  <c r="P274" i="38" s="1"/>
  <c r="AI297" i="38"/>
  <c r="AQ114" i="9"/>
  <c r="AP161" i="9"/>
  <c r="AQ156" i="9"/>
  <c r="AQ135" i="9"/>
  <c r="AM101" i="38"/>
  <c r="N100" i="38"/>
  <c r="P100" i="38" s="1"/>
  <c r="AM265" i="38"/>
  <c r="AF76" i="10"/>
  <c r="Z168" i="10"/>
  <c r="AD69" i="9"/>
  <c r="AF69" i="9" s="1"/>
  <c r="R134" i="10"/>
  <c r="BW64" i="20" s="1"/>
  <c r="AM92" i="9"/>
  <c r="AK93" i="38"/>
  <c r="AD98" i="9"/>
  <c r="AF98" i="9" s="1"/>
  <c r="L120" i="10"/>
  <c r="AL81" i="10"/>
  <c r="AI81" i="10"/>
  <c r="AK69" i="9"/>
  <c r="AM69" i="9" s="1"/>
  <c r="AL55" i="10"/>
  <c r="R55" i="10"/>
  <c r="AI55" i="10"/>
  <c r="J57" i="10"/>
  <c r="AI68" i="10"/>
  <c r="R68" i="10"/>
  <c r="AL68" i="10"/>
  <c r="AD91" i="9"/>
  <c r="AM105" i="9"/>
  <c r="R81" i="10"/>
  <c r="R147" i="10"/>
  <c r="AI147" i="10"/>
  <c r="AD68" i="9"/>
  <c r="AF68" i="9" s="1"/>
  <c r="AD84" i="9"/>
  <c r="AF84" i="9" s="1"/>
  <c r="AK77" i="9"/>
  <c r="AM84" i="9" s="1"/>
  <c r="AV199" i="38"/>
  <c r="AW199" i="38" s="1"/>
  <c r="AI196" i="38"/>
  <c r="AK192" i="38"/>
  <c r="AM199" i="38" s="1"/>
  <c r="AM206" i="38"/>
  <c r="AQ107" i="9"/>
  <c r="H109" i="38"/>
  <c r="AD93" i="38"/>
  <c r="AF93" i="38" s="1"/>
  <c r="P36" i="38"/>
  <c r="D102" i="38"/>
  <c r="H102" i="38" s="1"/>
  <c r="W267" i="38"/>
  <c r="U121" i="38"/>
  <c r="W128" i="38" s="1"/>
  <c r="N128" i="38"/>
  <c r="P128" i="38" s="1"/>
  <c r="AM261" i="38"/>
  <c r="AM254" i="38"/>
  <c r="CB47" i="20"/>
  <c r="CB48" i="20"/>
  <c r="CB29" i="20"/>
  <c r="CE21" i="20"/>
  <c r="AW40" i="20"/>
  <c r="AW21" i="20"/>
  <c r="E21" i="20"/>
  <c r="E40" i="20"/>
  <c r="CB36" i="20"/>
  <c r="CB50" i="20" s="1"/>
  <c r="CB46" i="20"/>
  <c r="X58" i="20"/>
  <c r="S46" i="20"/>
  <c r="S36" i="20"/>
  <c r="S24" i="20"/>
  <c r="U21" i="20"/>
  <c r="U40" i="20"/>
  <c r="O40" i="20"/>
  <c r="O21" i="20"/>
  <c r="CG24" i="20"/>
  <c r="CG58" i="20"/>
  <c r="CG36" i="20"/>
  <c r="CG46" i="20"/>
  <c r="AE40" i="20"/>
  <c r="AE21" i="20"/>
  <c r="AJ40" i="20"/>
  <c r="AJ21" i="20"/>
  <c r="AH36" i="20"/>
  <c r="AH50" i="20" s="1"/>
  <c r="AH46" i="20"/>
  <c r="AH24" i="20"/>
  <c r="I49" i="20"/>
  <c r="I31" i="20"/>
  <c r="N60" i="20"/>
  <c r="S60" i="20"/>
  <c r="N50" i="20"/>
  <c r="R24" i="20"/>
  <c r="R46" i="20"/>
  <c r="R36" i="20"/>
  <c r="R50" i="20" s="1"/>
  <c r="C24" i="20"/>
  <c r="C46" i="20"/>
  <c r="C36" i="20"/>
  <c r="C50" i="20" s="1"/>
  <c r="D48" i="20"/>
  <c r="D47" i="20"/>
  <c r="D29" i="20"/>
  <c r="D13" i="65"/>
  <c r="F39" i="65" s="1"/>
  <c r="CF24" i="20"/>
  <c r="CF46" i="20"/>
  <c r="D30" i="65" s="1"/>
  <c r="CF58" i="20"/>
  <c r="D39" i="65" s="1"/>
  <c r="CF36" i="20"/>
  <c r="BZ71" i="20"/>
  <c r="BS40" i="20"/>
  <c r="BS21" i="20"/>
  <c r="BB21" i="20"/>
  <c r="BB40" i="20"/>
  <c r="AM40" i="20"/>
  <c r="AM21" i="20"/>
  <c r="BG50" i="20"/>
  <c r="BV47" i="20"/>
  <c r="BV29" i="20"/>
  <c r="AG40" i="20"/>
  <c r="AG21" i="20"/>
  <c r="AN29" i="20"/>
  <c r="AN47" i="20"/>
  <c r="AN48" i="20"/>
  <c r="H23" i="65"/>
  <c r="D92" i="38"/>
  <c r="H92" i="38" s="1"/>
  <c r="AI85" i="38"/>
  <c r="D85" i="38"/>
  <c r="H85" i="38" s="1"/>
  <c r="CS144" i="1"/>
  <c r="AK100" i="38"/>
  <c r="AB102" i="38"/>
  <c r="CS77" i="1"/>
  <c r="CR87" i="1"/>
  <c r="CS87" i="1" s="1"/>
  <c r="W57" i="38"/>
  <c r="W50" i="38"/>
  <c r="AD64" i="38"/>
  <c r="AF64" i="38" s="1"/>
  <c r="AK64" i="38"/>
  <c r="AD71" i="38"/>
  <c r="AF71" i="38" s="1"/>
  <c r="AK152" i="9"/>
  <c r="AM159" i="9" s="1"/>
  <c r="J9" i="15"/>
  <c r="CV54" i="20"/>
  <c r="H72" i="9"/>
  <c r="AQ142" i="9"/>
  <c r="AD159" i="9"/>
  <c r="AF159" i="9" s="1"/>
  <c r="AB156" i="9"/>
  <c r="AD156" i="38"/>
  <c r="AF156" i="38" s="1"/>
  <c r="AD163" i="38"/>
  <c r="AF163" i="38" s="1"/>
  <c r="AK156" i="38"/>
  <c r="N120" i="38"/>
  <c r="U113" i="38"/>
  <c r="N113" i="38"/>
  <c r="P113" i="38" s="1"/>
  <c r="AB142" i="9"/>
  <c r="AD142" i="9" s="1"/>
  <c r="AD141" i="9"/>
  <c r="AF141" i="9" s="1"/>
  <c r="H83" i="9"/>
  <c r="AF83" i="9" s="1"/>
  <c r="AD55" i="9"/>
  <c r="AF55" i="9" s="1"/>
  <c r="AK55" i="9"/>
  <c r="K52" i="67"/>
  <c r="K68" i="67"/>
  <c r="AF153" i="9"/>
  <c r="O110" i="67"/>
  <c r="O160" i="67" s="1"/>
  <c r="O117" i="67"/>
  <c r="W153" i="9"/>
  <c r="W160" i="9"/>
  <c r="F131" i="67"/>
  <c r="F153" i="67" s="1"/>
  <c r="F168" i="67"/>
  <c r="D131" i="67"/>
  <c r="D153" i="67" s="1"/>
  <c r="D168" i="67"/>
  <c r="R169" i="10"/>
  <c r="CG64" i="20" s="1"/>
  <c r="AI169" i="10"/>
  <c r="CY36" i="20"/>
  <c r="CY50" i="20" s="1"/>
  <c r="F115" i="67"/>
  <c r="DC74" i="20"/>
  <c r="AF146" i="9"/>
  <c r="D116" i="67"/>
  <c r="D75" i="67"/>
  <c r="E49" i="67"/>
  <c r="E74" i="67"/>
  <c r="E115" i="67"/>
  <c r="AC40" i="20"/>
  <c r="AC21" i="20"/>
  <c r="BQ36" i="20"/>
  <c r="BQ24" i="20"/>
  <c r="BV58" i="20"/>
  <c r="BQ58" i="20"/>
  <c r="BQ46" i="20"/>
  <c r="CE36" i="20"/>
  <c r="CE24" i="20"/>
  <c r="CE58" i="20"/>
  <c r="CE46" i="20"/>
  <c r="AV21" i="20"/>
  <c r="AV40" i="20"/>
  <c r="BP21" i="20"/>
  <c r="BP58" i="20" s="1"/>
  <c r="BP40" i="20"/>
  <c r="AB36" i="20"/>
  <c r="AB24" i="20"/>
  <c r="AB46" i="20"/>
  <c r="AG58" i="20"/>
  <c r="K21" i="20"/>
  <c r="K40" i="20"/>
  <c r="DJ40" i="20"/>
  <c r="DJ21" i="20"/>
  <c r="CH46" i="20"/>
  <c r="CH24" i="20"/>
  <c r="M24" i="20"/>
  <c r="M36" i="20"/>
  <c r="M46" i="20"/>
  <c r="R58" i="20"/>
  <c r="BZ24" i="20"/>
  <c r="BZ36" i="20"/>
  <c r="BZ50" i="20" s="1"/>
  <c r="BZ46" i="20"/>
  <c r="AS40" i="20"/>
  <c r="AS21" i="20"/>
  <c r="AM120" i="38"/>
  <c r="AF117" i="9"/>
  <c r="C153" i="67"/>
  <c r="C134" i="67"/>
  <c r="O34" i="15"/>
  <c r="BE78" i="1"/>
  <c r="BF78" i="1"/>
  <c r="Y82" i="2"/>
  <c r="Y80" i="2"/>
  <c r="Y81" i="2"/>
  <c r="L43" i="10"/>
  <c r="L36" i="10"/>
  <c r="AF67" i="10"/>
  <c r="AF60" i="10"/>
  <c r="T40" i="20"/>
  <c r="T21" i="20"/>
  <c r="AI31" i="38"/>
  <c r="D31" i="38"/>
  <c r="H31" i="38" s="1"/>
  <c r="S32" i="38"/>
  <c r="AI84" i="10"/>
  <c r="AL84" i="10"/>
  <c r="J85" i="10"/>
  <c r="Z130" i="10"/>
  <c r="Z137" i="10"/>
  <c r="BB42" i="11"/>
  <c r="AY36" i="11"/>
  <c r="AX42" i="11"/>
  <c r="BC36" i="11"/>
  <c r="J50" i="23"/>
  <c r="AH58" i="23"/>
  <c r="AB90" i="1"/>
  <c r="AC84" i="1"/>
  <c r="AH84" i="1"/>
  <c r="AB104" i="1"/>
  <c r="AB89" i="1"/>
  <c r="AB40" i="1"/>
  <c r="AD84" i="1"/>
  <c r="AB88" i="1"/>
  <c r="U132" i="9"/>
  <c r="N132" i="9"/>
  <c r="N139" i="9"/>
  <c r="P139" i="9" s="1"/>
  <c r="BJ36" i="1"/>
  <c r="BE36" i="1"/>
  <c r="BF36" i="1"/>
  <c r="W169" i="9"/>
  <c r="U170" i="9"/>
  <c r="AR80" i="3"/>
  <c r="AR78" i="3" s="1"/>
  <c r="AR81" i="3" s="1"/>
  <c r="AR16" i="3"/>
  <c r="AR34" i="3" s="1"/>
  <c r="AR51" i="3" s="1"/>
  <c r="AR54" i="3" s="1"/>
  <c r="P155" i="9"/>
  <c r="AF155" i="9"/>
  <c r="P161" i="9"/>
  <c r="AF161" i="9"/>
  <c r="U16" i="5"/>
  <c r="U71" i="5"/>
  <c r="AI74" i="38"/>
  <c r="AK70" i="38"/>
  <c r="I35" i="1"/>
  <c r="N35" i="1"/>
  <c r="AK160" i="9"/>
  <c r="AI163" i="9"/>
  <c r="AF301" i="38"/>
  <c r="AK267" i="38"/>
  <c r="AD267" i="38"/>
  <c r="AF267" i="38" s="1"/>
  <c r="AB269" i="38"/>
  <c r="AD269" i="38" s="1"/>
  <c r="AF269" i="38" s="1"/>
  <c r="AD274" i="38"/>
  <c r="AF274" i="38" s="1"/>
  <c r="AF103" i="10"/>
  <c r="AF110" i="10"/>
  <c r="J63" i="5"/>
  <c r="J87" i="5" s="1"/>
  <c r="CV75" i="20"/>
  <c r="E31" i="1"/>
  <c r="J31" i="1"/>
  <c r="D35" i="1"/>
  <c r="E95" i="1"/>
  <c r="D85" i="1"/>
  <c r="E51" i="1"/>
  <c r="AO82" i="2"/>
  <c r="AO81" i="2"/>
  <c r="AO80" i="2"/>
  <c r="AK237" i="38"/>
  <c r="AB241" i="38"/>
  <c r="AD244" i="38"/>
  <c r="R42" i="5"/>
  <c r="DC66" i="20"/>
  <c r="V40" i="11"/>
  <c r="R40" i="11"/>
  <c r="W34" i="11"/>
  <c r="AL144" i="10"/>
  <c r="J148" i="10"/>
  <c r="R148" i="10" s="1"/>
  <c r="BZ64" i="20" s="1"/>
  <c r="R144" i="10"/>
  <c r="AI144" i="10"/>
  <c r="AS26" i="1"/>
  <c r="AS36" i="1"/>
  <c r="AS16" i="1"/>
  <c r="AS80" i="1"/>
  <c r="AS100" i="1"/>
  <c r="AT16" i="1"/>
  <c r="AD65" i="38"/>
  <c r="AF65" i="38" s="1"/>
  <c r="AB67" i="38"/>
  <c r="CC40" i="20"/>
  <c r="CC21" i="20"/>
  <c r="AO24" i="20"/>
  <c r="AO46" i="20"/>
  <c r="AO36" i="20"/>
  <c r="AO50" i="20" s="1"/>
  <c r="T132" i="1"/>
  <c r="U104" i="1"/>
  <c r="Z104" i="1"/>
  <c r="U114" i="1"/>
  <c r="V104" i="1"/>
  <c r="AJ109" i="1"/>
  <c r="AK115" i="1"/>
  <c r="AJ108" i="1"/>
  <c r="AP105" i="1"/>
  <c r="AK105" i="1"/>
  <c r="AJ133" i="1"/>
  <c r="AJ110" i="1"/>
  <c r="AL11" i="3"/>
  <c r="AL80" i="3" s="1"/>
  <c r="AL78" i="3" s="1"/>
  <c r="AL81" i="3" s="1"/>
  <c r="T34" i="15"/>
  <c r="BY78" i="1"/>
  <c r="CD78" i="1"/>
  <c r="AR201" i="1"/>
  <c r="Y33" i="20" s="1"/>
  <c r="AR192" i="1"/>
  <c r="Y34" i="20"/>
  <c r="M23" i="15"/>
  <c r="BU80" i="1"/>
  <c r="BV80" i="1"/>
  <c r="AS89" i="1"/>
  <c r="AX89" i="1"/>
  <c r="AT89" i="1"/>
  <c r="BI145" i="1"/>
  <c r="BH165" i="1"/>
  <c r="AB142" i="38"/>
  <c r="H63" i="9"/>
  <c r="BV90" i="1"/>
  <c r="BQ90" i="1"/>
  <c r="AB133" i="38"/>
  <c r="P21" i="20"/>
  <c r="P40" i="20"/>
  <c r="L87" i="5"/>
  <c r="L15" i="5"/>
  <c r="L97" i="5"/>
  <c r="L99" i="5"/>
  <c r="CX75" i="20"/>
  <c r="O16" i="5"/>
  <c r="O87" i="5" s="1"/>
  <c r="O71" i="5"/>
  <c r="AM314" i="38"/>
  <c r="AK318" i="38"/>
  <c r="BJ78" i="1"/>
  <c r="H163" i="9"/>
  <c r="AF90" i="9"/>
  <c r="W30" i="38"/>
  <c r="W23" i="38"/>
  <c r="W98" i="9"/>
  <c r="W105" i="9"/>
  <c r="BU106" i="1"/>
  <c r="BZ106" i="1"/>
  <c r="BU116" i="1"/>
  <c r="BT134" i="1"/>
  <c r="BT108" i="1"/>
  <c r="BT110" i="1"/>
  <c r="AP119" i="9"/>
  <c r="AI119" i="9"/>
  <c r="AK119" i="9" s="1"/>
  <c r="U119" i="9"/>
  <c r="D117" i="67"/>
  <c r="D110" i="67"/>
  <c r="E69" i="67"/>
  <c r="E76" i="67"/>
  <c r="G74" i="67"/>
  <c r="G49" i="67"/>
  <c r="H74" i="67"/>
  <c r="BF29" i="20"/>
  <c r="BF47" i="20"/>
  <c r="BF48" i="20"/>
  <c r="M177" i="67"/>
  <c r="M80" i="67"/>
  <c r="M81" i="67" s="1"/>
  <c r="M179" i="67" s="1"/>
  <c r="M121" i="67"/>
  <c r="CY47" i="20"/>
  <c r="CY48" i="20"/>
  <c r="CY29" i="20"/>
  <c r="AF91" i="10"/>
  <c r="AF98" i="10"/>
  <c r="BB24" i="1"/>
  <c r="AX24" i="1"/>
  <c r="S81" i="2"/>
  <c r="S80" i="2"/>
  <c r="S82" i="2"/>
  <c r="AF95" i="10"/>
  <c r="AF88" i="10"/>
  <c r="L35" i="15"/>
  <c r="CX11" i="20"/>
  <c r="C12" i="67"/>
  <c r="BD40" i="20"/>
  <c r="BD21" i="20"/>
  <c r="U316" i="38"/>
  <c r="W316" i="38" s="1"/>
  <c r="N316" i="38"/>
  <c r="P316" i="38" s="1"/>
  <c r="DA20" i="1"/>
  <c r="AT20" i="1"/>
  <c r="AN134" i="1"/>
  <c r="AT106" i="1"/>
  <c r="AO106" i="1"/>
  <c r="AP106" i="1"/>
  <c r="AK56" i="9"/>
  <c r="AI58" i="9"/>
  <c r="J40" i="20"/>
  <c r="J21" i="20"/>
  <c r="P98" i="9"/>
  <c r="D76" i="67"/>
  <c r="D69" i="67"/>
  <c r="D52" i="67"/>
  <c r="BZ67" i="20"/>
  <c r="Z55" i="10"/>
  <c r="AX41" i="11"/>
  <c r="AY35" i="11"/>
  <c r="AT41" i="11"/>
  <c r="AU35" i="11"/>
  <c r="F57" i="23"/>
  <c r="BX16" i="11"/>
  <c r="BX22" i="11" s="1"/>
  <c r="BX28" i="11" s="1"/>
  <c r="BX34" i="11"/>
  <c r="AI62" i="10"/>
  <c r="AL62" i="10"/>
  <c r="R62" i="10"/>
  <c r="AI72" i="9"/>
  <c r="AK68" i="9"/>
  <c r="AF132" i="10"/>
  <c r="AF139" i="10"/>
  <c r="AB19" i="10"/>
  <c r="AD18" i="10"/>
  <c r="Z21" i="38"/>
  <c r="AB21" i="38" s="1"/>
  <c r="Z19" i="9"/>
  <c r="AB19" i="9" s="1"/>
  <c r="P14" i="15"/>
  <c r="BI34" i="1"/>
  <c r="BJ34" i="1"/>
  <c r="AF126" i="9"/>
  <c r="P126" i="9"/>
  <c r="C30" i="72"/>
  <c r="E9" i="68"/>
  <c r="BC43" i="2"/>
  <c r="AX39" i="3"/>
  <c r="N200" i="38"/>
  <c r="P200" i="38" s="1"/>
  <c r="U200" i="38"/>
  <c r="N207" i="38"/>
  <c r="P207" i="38" s="1"/>
  <c r="L203" i="38"/>
  <c r="AD72" i="38"/>
  <c r="AF72" i="38" s="1"/>
  <c r="AD79" i="38"/>
  <c r="AF79" i="38" s="1"/>
  <c r="V71" i="5"/>
  <c r="V16" i="5"/>
  <c r="AK145" i="9"/>
  <c r="AI149" i="9"/>
  <c r="AI65" i="9"/>
  <c r="AS61" i="9" s="1"/>
  <c r="AK61" i="9"/>
  <c r="P22" i="38"/>
  <c r="F61" i="3"/>
  <c r="F62" i="3" s="1"/>
  <c r="D12" i="15"/>
  <c r="D41" i="15"/>
  <c r="D8" i="15"/>
  <c r="D22" i="15"/>
  <c r="E8" i="15"/>
  <c r="AK288" i="38"/>
  <c r="AM288" i="38" s="1"/>
  <c r="AD288" i="38"/>
  <c r="AF288" i="38" s="1"/>
  <c r="AF148" i="9"/>
  <c r="P148" i="9"/>
  <c r="AK157" i="38"/>
  <c r="AD157" i="38"/>
  <c r="AF157" i="38" s="1"/>
  <c r="U206" i="38"/>
  <c r="L210" i="38"/>
  <c r="N213" i="38"/>
  <c r="P213" i="38" s="1"/>
  <c r="N206" i="38"/>
  <c r="P206" i="38" s="1"/>
  <c r="N71" i="5"/>
  <c r="DD69" i="20"/>
  <c r="S46" i="5"/>
  <c r="H15" i="5"/>
  <c r="H87" i="5"/>
  <c r="AK193" i="38"/>
  <c r="AM328" i="38"/>
  <c r="AD106" i="38"/>
  <c r="AF106" i="38" s="1"/>
  <c r="AK106" i="38"/>
  <c r="N315" i="38"/>
  <c r="P315" i="38" s="1"/>
  <c r="U315" i="38"/>
  <c r="W315" i="38" s="1"/>
  <c r="AF81" i="10"/>
  <c r="L81" i="10"/>
  <c r="D85" i="10"/>
  <c r="L88" i="10"/>
  <c r="P165" i="38"/>
  <c r="U324" i="38"/>
  <c r="W324" i="38" s="1"/>
  <c r="N324" i="38"/>
  <c r="P324" i="38" s="1"/>
  <c r="Z40" i="1"/>
  <c r="V40" i="1"/>
  <c r="U40" i="1"/>
  <c r="E34" i="15"/>
  <c r="E35" i="15" s="1"/>
  <c r="Q78" i="1"/>
  <c r="AI70" i="10"/>
  <c r="AL70" i="10"/>
  <c r="H46" i="20"/>
  <c r="H36" i="20"/>
  <c r="H24" i="20"/>
  <c r="M58" i="20"/>
  <c r="H58" i="20"/>
  <c r="AW163" i="38"/>
  <c r="AK88" i="1"/>
  <c r="AP88" i="1"/>
  <c r="BZ80" i="1"/>
  <c r="BY80" i="1"/>
  <c r="CD80" i="1"/>
  <c r="AM154" i="9"/>
  <c r="AM161" i="9"/>
  <c r="U209" i="38"/>
  <c r="N209" i="38"/>
  <c r="P209" i="38" s="1"/>
  <c r="T29" i="15"/>
  <c r="DF18" i="20"/>
  <c r="AD28" i="10"/>
  <c r="Z31" i="38"/>
  <c r="Z29" i="9"/>
  <c r="BU77" i="1"/>
  <c r="BZ77" i="1"/>
  <c r="BI11" i="20"/>
  <c r="BT78" i="1"/>
  <c r="BV77" i="1"/>
  <c r="E60" i="1"/>
  <c r="J60" i="1"/>
  <c r="AK65" i="38"/>
  <c r="AI67" i="38"/>
  <c r="D65" i="9"/>
  <c r="G35" i="15"/>
  <c r="AB161" i="38"/>
  <c r="E15" i="15"/>
  <c r="E23" i="15" s="1"/>
  <c r="AE82" i="2"/>
  <c r="AE80" i="2"/>
  <c r="AE81" i="2"/>
  <c r="Q14" i="15"/>
  <c r="BN34" i="1"/>
  <c r="BR34" i="1"/>
  <c r="BM34" i="1"/>
  <c r="L64" i="1"/>
  <c r="L104" i="1"/>
  <c r="L89" i="1"/>
  <c r="M84" i="1"/>
  <c r="L40" i="1"/>
  <c r="R84" i="1"/>
  <c r="G15" i="15"/>
  <c r="P35" i="15"/>
  <c r="DB11" i="20"/>
  <c r="G12" i="67"/>
  <c r="BD165" i="1"/>
  <c r="BI165" i="1" s="1"/>
  <c r="BI136" i="1"/>
  <c r="BD155" i="1"/>
  <c r="BI155" i="1" s="1"/>
  <c r="D29" i="9"/>
  <c r="S30" i="9"/>
  <c r="D30" i="9" s="1"/>
  <c r="AI29" i="9"/>
  <c r="AM97" i="9"/>
  <c r="BU117" i="1"/>
  <c r="BT135" i="1"/>
  <c r="BV107" i="1"/>
  <c r="BU107" i="1"/>
  <c r="BZ107" i="1"/>
  <c r="CB49" i="20"/>
  <c r="CB31" i="20"/>
  <c r="W125" i="9"/>
  <c r="D96" i="9"/>
  <c r="H96" i="9" s="1"/>
  <c r="AI96" i="9"/>
  <c r="S100" i="9"/>
  <c r="D100" i="9" s="1"/>
  <c r="H100" i="9" s="1"/>
  <c r="U35" i="15"/>
  <c r="AN11" i="3"/>
  <c r="AN80" i="3" s="1"/>
  <c r="AN78" i="3" s="1"/>
  <c r="AN81" i="3" s="1"/>
  <c r="DG11" i="20"/>
  <c r="L12" i="67"/>
  <c r="BM156" i="1"/>
  <c r="BQ156" i="1"/>
  <c r="K93" i="67"/>
  <c r="K109" i="67"/>
  <c r="C49" i="67"/>
  <c r="D74" i="67"/>
  <c r="D93" i="67"/>
  <c r="O180" i="67"/>
  <c r="O178" i="67" s="1"/>
  <c r="O168" i="67" s="1"/>
  <c r="O122" i="67"/>
  <c r="O181" i="67" s="1"/>
  <c r="R15" i="67"/>
  <c r="DM23" i="20"/>
  <c r="AB40" i="15"/>
  <c r="AC40" i="15" s="1"/>
  <c r="DO23" i="20" s="1"/>
  <c r="F13" i="72"/>
  <c r="BB11" i="3"/>
  <c r="BB80" i="3" s="1"/>
  <c r="BB78" i="3" s="1"/>
  <c r="BB81" i="3" s="1"/>
  <c r="U126" i="9"/>
  <c r="W126" i="9" s="1"/>
  <c r="N133" i="9"/>
  <c r="N126" i="9"/>
  <c r="AS81" i="2"/>
  <c r="AS80" i="2"/>
  <c r="AS82" i="2"/>
  <c r="U323" i="38"/>
  <c r="N323" i="38"/>
  <c r="P323" i="38" s="1"/>
  <c r="N330" i="38"/>
  <c r="AI104" i="10"/>
  <c r="AL104" i="10"/>
  <c r="R104" i="10"/>
  <c r="Z71" i="9"/>
  <c r="Z73" i="38"/>
  <c r="AL145" i="10"/>
  <c r="R145" i="10"/>
  <c r="AI145" i="10"/>
  <c r="AI110" i="9"/>
  <c r="D110" i="9"/>
  <c r="H110" i="9" s="1"/>
  <c r="AP110" i="9"/>
  <c r="AL77" i="10"/>
  <c r="R77" i="10"/>
  <c r="AI77" i="10"/>
  <c r="J78" i="10"/>
  <c r="J57" i="23"/>
  <c r="AB115" i="38"/>
  <c r="AB114" i="38"/>
  <c r="BC14" i="2"/>
  <c r="AZ12" i="3" s="1"/>
  <c r="AT56" i="23"/>
  <c r="BU15" i="1"/>
  <c r="BU25" i="1"/>
  <c r="BV15" i="1"/>
  <c r="BV16" i="1" s="1"/>
  <c r="BU69" i="1"/>
  <c r="BU146" i="1"/>
  <c r="BU79" i="1"/>
  <c r="BU35" i="1"/>
  <c r="BU89" i="1"/>
  <c r="BY15" i="1"/>
  <c r="BR16" i="20"/>
  <c r="CD42" i="1"/>
  <c r="AR201" i="38" s="1"/>
  <c r="AW201" i="38" s="1"/>
  <c r="CC42" i="1"/>
  <c r="CB44" i="1"/>
  <c r="Z35" i="1"/>
  <c r="U35" i="1"/>
  <c r="V35" i="1"/>
  <c r="AF54" i="10"/>
  <c r="U9" i="15"/>
  <c r="L36" i="67"/>
  <c r="DG54" i="20"/>
  <c r="R71" i="5"/>
  <c r="R16" i="5"/>
  <c r="N52" i="1"/>
  <c r="AO79" i="1"/>
  <c r="AP15" i="1"/>
  <c r="AO35" i="1"/>
  <c r="AO99" i="1"/>
  <c r="AO15" i="1"/>
  <c r="AP16" i="1"/>
  <c r="AS15" i="1"/>
  <c r="AO89" i="1"/>
  <c r="AO25" i="1"/>
  <c r="U288" i="38"/>
  <c r="N295" i="38"/>
  <c r="P295" i="38" s="1"/>
  <c r="N288" i="38"/>
  <c r="P288" i="38" s="1"/>
  <c r="AD70" i="10"/>
  <c r="D133" i="9"/>
  <c r="H133" i="9" s="1"/>
  <c r="U133" i="9"/>
  <c r="W133" i="9" s="1"/>
  <c r="AI133" i="9"/>
  <c r="S135" i="9"/>
  <c r="D142" i="9" s="1"/>
  <c r="D140" i="9"/>
  <c r="H140" i="9" s="1"/>
  <c r="AP133" i="9"/>
  <c r="F142" i="9"/>
  <c r="AT80" i="3"/>
  <c r="AT78" i="3" s="1"/>
  <c r="AT81" i="3" s="1"/>
  <c r="AT16" i="3"/>
  <c r="AT34" i="3" s="1"/>
  <c r="AT51" i="3" s="1"/>
  <c r="AT54" i="3" s="1"/>
  <c r="AI40" i="10"/>
  <c r="AL40" i="10"/>
  <c r="Q82" i="2"/>
  <c r="Q80" i="2"/>
  <c r="Q81" i="2"/>
  <c r="AP146" i="9"/>
  <c r="AQ149" i="9"/>
  <c r="BX40" i="20"/>
  <c r="BX21" i="20"/>
  <c r="L134" i="38"/>
  <c r="K135" i="38"/>
  <c r="K134" i="38"/>
  <c r="L135" i="38"/>
  <c r="AK127" i="38"/>
  <c r="AM127" i="38" s="1"/>
  <c r="AI130" i="38"/>
  <c r="Z139" i="10"/>
  <c r="AD296" i="38"/>
  <c r="AF296" i="38" s="1"/>
  <c r="AD303" i="38"/>
  <c r="AF303" i="38" s="1"/>
  <c r="AK296" i="38"/>
  <c r="AF83" i="10"/>
  <c r="D149" i="9"/>
  <c r="H149" i="9" s="1"/>
  <c r="AV194" i="38"/>
  <c r="AW194" i="38" s="1"/>
  <c r="Q35" i="15"/>
  <c r="DC11" i="20"/>
  <c r="H12" i="67"/>
  <c r="S26" i="15"/>
  <c r="BZ52" i="1"/>
  <c r="BV52" i="1"/>
  <c r="BU52" i="1"/>
  <c r="CO90" i="1"/>
  <c r="CP90" i="1"/>
  <c r="J64" i="10"/>
  <c r="AI64" i="10" s="1"/>
  <c r="R60" i="10"/>
  <c r="AL60" i="10"/>
  <c r="AI60" i="10"/>
  <c r="N79" i="1"/>
  <c r="R79" i="1"/>
  <c r="M79" i="1"/>
  <c r="AK90" i="1"/>
  <c r="AP90" i="1"/>
  <c r="CF152" i="1"/>
  <c r="CG133" i="1"/>
  <c r="CF162" i="1"/>
  <c r="CK133" i="1"/>
  <c r="W163" i="38"/>
  <c r="BY88" i="1"/>
  <c r="CD88" i="1"/>
  <c r="K63" i="5"/>
  <c r="K87" i="5" s="1"/>
  <c r="BH45" i="20"/>
  <c r="BM57" i="20"/>
  <c r="BH36" i="20"/>
  <c r="BH57" i="20"/>
  <c r="AQ36" i="20"/>
  <c r="AQ24" i="20"/>
  <c r="AQ46" i="20"/>
  <c r="AV58" i="20"/>
  <c r="BZ26" i="1"/>
  <c r="BV26" i="1"/>
  <c r="AM138" i="9"/>
  <c r="V90" i="5"/>
  <c r="AA5" i="15"/>
  <c r="BG29" i="20"/>
  <c r="BG47" i="20"/>
  <c r="BG48" i="20"/>
  <c r="W49" i="9"/>
  <c r="N302" i="38"/>
  <c r="P302" i="38" s="1"/>
  <c r="U302" i="38"/>
  <c r="N309" i="38"/>
  <c r="P309" i="38" s="1"/>
  <c r="U216" i="38"/>
  <c r="N216" i="38"/>
  <c r="P216" i="38" s="1"/>
  <c r="L217" i="38"/>
  <c r="AM252" i="38"/>
  <c r="AK255" i="38"/>
  <c r="AM259" i="38"/>
  <c r="R61" i="10"/>
  <c r="BC45" i="20"/>
  <c r="BC57" i="20"/>
  <c r="BD166" i="1"/>
  <c r="BI137" i="1"/>
  <c r="AM106" i="9"/>
  <c r="AM99" i="9"/>
  <c r="AF104" i="9"/>
  <c r="CO43" i="1"/>
  <c r="CH16" i="20"/>
  <c r="CP43" i="1"/>
  <c r="CL43" i="1"/>
  <c r="BX16" i="20"/>
  <c r="CG43" i="1"/>
  <c r="CH43" i="1"/>
  <c r="P125" i="9"/>
  <c r="BU88" i="1"/>
  <c r="BV88" i="1"/>
  <c r="BZ88" i="1"/>
  <c r="BE137" i="1"/>
  <c r="C110" i="67"/>
  <c r="C90" i="67"/>
  <c r="D115" i="67"/>
  <c r="E173" i="67"/>
  <c r="E157" i="67"/>
  <c r="W100" i="38"/>
  <c r="W107" i="38"/>
  <c r="DM57" i="20"/>
  <c r="E15" i="5"/>
  <c r="AB107" i="38"/>
  <c r="AB108" i="38"/>
  <c r="H61" i="9"/>
  <c r="U202" i="38"/>
  <c r="W202" i="38" s="1"/>
  <c r="N202" i="38"/>
  <c r="P202" i="38" s="1"/>
  <c r="Q105" i="1"/>
  <c r="P109" i="1"/>
  <c r="P133" i="1"/>
  <c r="P110" i="1"/>
  <c r="Q115" i="1"/>
  <c r="P108" i="1"/>
  <c r="BI138" i="1"/>
  <c r="BD167" i="1"/>
  <c r="BE138" i="1"/>
  <c r="AF97" i="9"/>
  <c r="E117" i="67"/>
  <c r="E110" i="67"/>
  <c r="BF50" i="20"/>
  <c r="AD181" i="10"/>
  <c r="AF167" i="10"/>
  <c r="AF97" i="10"/>
  <c r="AF104" i="10"/>
  <c r="R84" i="10"/>
  <c r="M80" i="2"/>
  <c r="M82" i="2"/>
  <c r="M81" i="2"/>
  <c r="U149" i="9"/>
  <c r="AL119" i="10"/>
  <c r="AI119" i="10"/>
  <c r="R119" i="10"/>
  <c r="J120" i="10"/>
  <c r="Z47" i="10"/>
  <c r="Z40" i="10"/>
  <c r="BL107" i="1"/>
  <c r="BM87" i="1"/>
  <c r="BR87" i="1"/>
  <c r="Q24" i="15"/>
  <c r="BN44" i="1"/>
  <c r="BR44" i="1"/>
  <c r="BM44" i="1"/>
  <c r="BW18" i="20"/>
  <c r="CG58" i="1"/>
  <c r="CJ58" i="1"/>
  <c r="CH58" i="1"/>
  <c r="CF60" i="1"/>
  <c r="AX20" i="1"/>
  <c r="X16" i="5"/>
  <c r="X7" i="5"/>
  <c r="X71" i="5"/>
  <c r="BC48" i="2"/>
  <c r="J24" i="38"/>
  <c r="C51" i="5"/>
  <c r="C52" i="5" s="1"/>
  <c r="D18" i="5"/>
  <c r="D40" i="5" s="1"/>
  <c r="J22" i="9"/>
  <c r="C68" i="5"/>
  <c r="C69" i="5" s="1"/>
  <c r="AC34" i="1"/>
  <c r="H14" i="15"/>
  <c r="Q77" i="2"/>
  <c r="Q84" i="2" s="1"/>
  <c r="AD34" i="1"/>
  <c r="AK167" i="9"/>
  <c r="AI170" i="9"/>
  <c r="AD118" i="9"/>
  <c r="AF118" i="9" s="1"/>
  <c r="AD125" i="9"/>
  <c r="AF125" i="9" s="1"/>
  <c r="AO115" i="1"/>
  <c r="AO105" i="1"/>
  <c r="AN133" i="1"/>
  <c r="AT105" i="1"/>
  <c r="AN108" i="1"/>
  <c r="AN110" i="1"/>
  <c r="AN109" i="1"/>
  <c r="AA81" i="2"/>
  <c r="AA82" i="2"/>
  <c r="AA80" i="2"/>
  <c r="D15" i="5"/>
  <c r="AI102" i="10"/>
  <c r="AL102" i="10"/>
  <c r="J106" i="10"/>
  <c r="R106" i="10" s="1"/>
  <c r="AH64" i="20" s="1"/>
  <c r="R102" i="10"/>
  <c r="L132" i="10"/>
  <c r="L139" i="10"/>
  <c r="N147" i="9"/>
  <c r="N140" i="9"/>
  <c r="U140" i="9"/>
  <c r="W140" i="9" s="1"/>
  <c r="AI32" i="38"/>
  <c r="N38" i="15"/>
  <c r="N43" i="15"/>
  <c r="N89" i="5"/>
  <c r="N90" i="5" s="1"/>
  <c r="AM279" i="38"/>
  <c r="J15" i="15"/>
  <c r="CV15" i="20"/>
  <c r="AD113" i="38"/>
  <c r="AF113" i="38" s="1"/>
  <c r="AD120" i="38"/>
  <c r="AF120" i="38" s="1"/>
  <c r="F21" i="20"/>
  <c r="F40" i="20"/>
  <c r="AM75" i="2"/>
  <c r="S8" i="15"/>
  <c r="S18" i="15"/>
  <c r="S15" i="5"/>
  <c r="AF15" i="5" s="1"/>
  <c r="T8" i="15"/>
  <c r="S37" i="15"/>
  <c r="AF37" i="15" s="1"/>
  <c r="S22" i="15"/>
  <c r="S12" i="15"/>
  <c r="J6" i="67"/>
  <c r="DE8" i="20"/>
  <c r="T32" i="1"/>
  <c r="U76" i="1"/>
  <c r="F31" i="15"/>
  <c r="F32" i="15" s="1"/>
  <c r="Z76" i="1"/>
  <c r="V76" i="1"/>
  <c r="T77" i="1"/>
  <c r="T78" i="1" s="1"/>
  <c r="T80" i="1"/>
  <c r="W71" i="5"/>
  <c r="W16" i="5"/>
  <c r="AF131" i="10"/>
  <c r="AC78" i="5"/>
  <c r="AB143" i="38"/>
  <c r="AB147" i="38"/>
  <c r="S29" i="15"/>
  <c r="T32" i="15"/>
  <c r="U31" i="15"/>
  <c r="DF19" i="20"/>
  <c r="BA40" i="20"/>
  <c r="BA21" i="20"/>
  <c r="M89" i="5"/>
  <c r="M43" i="15"/>
  <c r="M38" i="15"/>
  <c r="AK112" i="38"/>
  <c r="AI116" i="38"/>
  <c r="BU24" i="20"/>
  <c r="BZ58" i="20"/>
  <c r="BU46" i="20"/>
  <c r="BZ73" i="20" s="1"/>
  <c r="BU36" i="20"/>
  <c r="CO89" i="1"/>
  <c r="CP89" i="1"/>
  <c r="CT89" i="1"/>
  <c r="AT90" i="1"/>
  <c r="AO90" i="1"/>
  <c r="W35" i="9"/>
  <c r="W28" i="9"/>
  <c r="AD135" i="38"/>
  <c r="AF135" i="38" s="1"/>
  <c r="AK135" i="38"/>
  <c r="AM135" i="38" s="1"/>
  <c r="AP89" i="1"/>
  <c r="AK89" i="1"/>
  <c r="BX110" i="1"/>
  <c r="BY114" i="1"/>
  <c r="BX109" i="1"/>
  <c r="BX132" i="1"/>
  <c r="BX108" i="1"/>
  <c r="CD104" i="1"/>
  <c r="BY104" i="1"/>
  <c r="BZ104" i="1"/>
  <c r="O15" i="15"/>
  <c r="O23" i="15" s="1"/>
  <c r="O16" i="15"/>
  <c r="AE77" i="2"/>
  <c r="AE84" i="2" s="1"/>
  <c r="F11" i="67"/>
  <c r="DA15" i="20"/>
  <c r="AN154" i="1"/>
  <c r="AS154" i="1" s="1"/>
  <c r="AS135" i="1"/>
  <c r="AS114" i="1"/>
  <c r="AR109" i="1"/>
  <c r="AS104" i="1"/>
  <c r="AX104" i="1"/>
  <c r="AR110" i="1"/>
  <c r="AR132" i="1"/>
  <c r="AR108" i="1"/>
  <c r="AT104" i="1"/>
  <c r="U158" i="38"/>
  <c r="W154" i="38"/>
  <c r="W161" i="38"/>
  <c r="H20" i="9"/>
  <c r="L318" i="38"/>
  <c r="N318" i="38" s="1"/>
  <c r="P318" i="38" s="1"/>
  <c r="N314" i="38"/>
  <c r="P314" i="38" s="1"/>
  <c r="U314" i="38"/>
  <c r="D132" i="1"/>
  <c r="E114" i="1"/>
  <c r="E104" i="1"/>
  <c r="R16" i="15"/>
  <c r="R15" i="15"/>
  <c r="AK77" i="2"/>
  <c r="AK84" i="2" s="1"/>
  <c r="R37" i="15"/>
  <c r="DD15" i="20"/>
  <c r="I11" i="67"/>
  <c r="AK72" i="38"/>
  <c r="J62" i="3"/>
  <c r="BW36" i="20"/>
  <c r="BW46" i="20"/>
  <c r="CB73" i="20" s="1"/>
  <c r="BW24" i="20"/>
  <c r="CB58" i="20"/>
  <c r="BW58" i="20"/>
  <c r="BC36" i="20"/>
  <c r="BC24" i="20"/>
  <c r="BH58" i="20"/>
  <c r="BC46" i="20"/>
  <c r="BQ77" i="1"/>
  <c r="BR77" i="1"/>
  <c r="BD11" i="20"/>
  <c r="AM77" i="2"/>
  <c r="AM84" i="2" s="1"/>
  <c r="S16" i="15"/>
  <c r="S15" i="15"/>
  <c r="J11" i="67"/>
  <c r="DE15" i="20"/>
  <c r="AX41" i="20"/>
  <c r="AX56" i="20"/>
  <c r="BC56" i="20"/>
  <c r="AX21" i="20"/>
  <c r="BC58" i="20" s="1"/>
  <c r="Z50" i="20"/>
  <c r="AF92" i="9"/>
  <c r="AF99" i="9"/>
  <c r="AY48" i="20"/>
  <c r="AY47" i="20"/>
  <c r="AY29" i="20"/>
  <c r="S53" i="38"/>
  <c r="AI52" i="38"/>
  <c r="D52" i="38"/>
  <c r="H52" i="38" s="1"/>
  <c r="D59" i="38"/>
  <c r="H59" i="38" s="1"/>
  <c r="AM104" i="9"/>
  <c r="BL47" i="20"/>
  <c r="BL29" i="20"/>
  <c r="BL48" i="20"/>
  <c r="AI38" i="38"/>
  <c r="D38" i="38"/>
  <c r="H38" i="38" s="1"/>
  <c r="S39" i="38"/>
  <c r="R44" i="5"/>
  <c r="DC67" i="20"/>
  <c r="BU109" i="1"/>
  <c r="AK118" i="9"/>
  <c r="BU90" i="1"/>
  <c r="BZ90" i="1"/>
  <c r="F121" i="67"/>
  <c r="F122" i="67" s="1"/>
  <c r="F177" i="67"/>
  <c r="F178" i="67" s="1"/>
  <c r="F80" i="67"/>
  <c r="F81" i="67" s="1"/>
  <c r="AP7" i="11"/>
  <c r="AT7" i="11" s="1"/>
  <c r="AX7" i="11" s="1"/>
  <c r="BB7" i="11" s="1"/>
  <c r="BF7" i="11" s="1"/>
  <c r="BJ7" i="11" s="1"/>
  <c r="BN7" i="11" s="1"/>
  <c r="BR7" i="11" s="1"/>
  <c r="BV7" i="11" s="1"/>
  <c r="BZ7" i="11" s="1"/>
  <c r="T5" i="23"/>
  <c r="G109" i="67"/>
  <c r="Q99" i="5"/>
  <c r="DC75" i="20"/>
  <c r="Q97" i="5"/>
  <c r="D157" i="67"/>
  <c r="D173" i="67"/>
  <c r="D134" i="67"/>
  <c r="D150" i="67" s="1"/>
  <c r="D177" i="67"/>
  <c r="D178" i="67" s="1"/>
  <c r="D80" i="67"/>
  <c r="D81" i="67" s="1"/>
  <c r="D121" i="67"/>
  <c r="D122" i="67" s="1"/>
  <c r="CO120" i="1"/>
  <c r="CP110" i="1"/>
  <c r="CO110" i="1"/>
  <c r="O52" i="67"/>
  <c r="O68" i="67"/>
  <c r="O154" i="67" s="1"/>
  <c r="CD79" i="1"/>
  <c r="CC79" i="1"/>
  <c r="CH79" i="1"/>
  <c r="W38" i="15"/>
  <c r="W89" i="5"/>
  <c r="W43" i="15"/>
  <c r="N40" i="11"/>
  <c r="S34" i="11"/>
  <c r="AK325" i="38"/>
  <c r="AM321" i="38"/>
  <c r="AD302" i="38"/>
  <c r="AF302" i="38" s="1"/>
  <c r="AD295" i="38"/>
  <c r="AF295" i="38" s="1"/>
  <c r="AK295" i="38"/>
  <c r="BT152" i="1"/>
  <c r="BU133" i="1"/>
  <c r="BY133" i="1"/>
  <c r="BT162" i="1"/>
  <c r="BT137" i="1"/>
  <c r="AI121" i="9"/>
  <c r="AK117" i="9"/>
  <c r="M13" i="67"/>
  <c r="M29" i="67"/>
  <c r="M155" i="67" s="1"/>
  <c r="M153" i="67" s="1"/>
  <c r="G121" i="67"/>
  <c r="G122" i="67" s="1"/>
  <c r="G177" i="67"/>
  <c r="G178" i="67" s="1"/>
  <c r="G80" i="67"/>
  <c r="G81" i="67" s="1"/>
  <c r="M49" i="67"/>
  <c r="M74" i="67"/>
  <c r="L148" i="10"/>
  <c r="L141" i="10"/>
  <c r="P147" i="9"/>
  <c r="AF147" i="9"/>
  <c r="BZ20" i="1"/>
  <c r="BV20" i="1"/>
  <c r="BI41" i="20"/>
  <c r="BI14" i="20"/>
  <c r="BN53" i="20"/>
  <c r="BI53" i="20"/>
  <c r="V56" i="1"/>
  <c r="Z56" i="1"/>
  <c r="T60" i="1"/>
  <c r="Z60" i="1"/>
  <c r="Y60" i="1"/>
  <c r="AF162" i="9"/>
  <c r="P162" i="9"/>
  <c r="S37" i="11"/>
  <c r="N43" i="11"/>
  <c r="R43" i="11"/>
  <c r="O37" i="11"/>
  <c r="Z33" i="10"/>
  <c r="Z26" i="10"/>
  <c r="C15" i="5"/>
  <c r="H40" i="1"/>
  <c r="I84" i="1"/>
  <c r="H104" i="1"/>
  <c r="H89" i="1"/>
  <c r="N84" i="1"/>
  <c r="H64" i="1"/>
  <c r="J84" i="1"/>
  <c r="N301" i="38"/>
  <c r="P301" i="38" s="1"/>
  <c r="U301" i="38"/>
  <c r="W308" i="38" s="1"/>
  <c r="L304" i="38"/>
  <c r="I38" i="15"/>
  <c r="I89" i="5"/>
  <c r="I90" i="5" s="1"/>
  <c r="I43" i="15"/>
  <c r="AK141" i="38"/>
  <c r="AD141" i="38"/>
  <c r="AF141" i="38" s="1"/>
  <c r="AD148" i="38"/>
  <c r="AF148" i="38" s="1"/>
  <c r="AG81" i="2"/>
  <c r="AG82" i="2"/>
  <c r="G80" i="2"/>
  <c r="G81" i="2"/>
  <c r="G82" i="2"/>
  <c r="K7" i="15"/>
  <c r="AO34" i="1"/>
  <c r="AO78" i="1"/>
  <c r="AO98" i="1"/>
  <c r="W75" i="2"/>
  <c r="AO24" i="1"/>
  <c r="AO14" i="1"/>
  <c r="AS14" i="1"/>
  <c r="Z138" i="10"/>
  <c r="AD21" i="10"/>
  <c r="AF21" i="10" s="1"/>
  <c r="Z22" i="9"/>
  <c r="Z24" i="38"/>
  <c r="AF325" i="38"/>
  <c r="N169" i="38"/>
  <c r="P169" i="38" s="1"/>
  <c r="U169" i="38"/>
  <c r="L172" i="38"/>
  <c r="N172" i="38" s="1"/>
  <c r="P172" i="38" s="1"/>
  <c r="Z110" i="10"/>
  <c r="Z103" i="10"/>
  <c r="Z46" i="10"/>
  <c r="Z39" i="10"/>
  <c r="Z122" i="38"/>
  <c r="AB119" i="10"/>
  <c r="AD119" i="10" s="1"/>
  <c r="AY77" i="20"/>
  <c r="AB120" i="9"/>
  <c r="AB121" i="9" s="1"/>
  <c r="AD121" i="9" s="1"/>
  <c r="AB124" i="9"/>
  <c r="N322" i="38"/>
  <c r="P322" i="38" s="1"/>
  <c r="U322" i="38"/>
  <c r="N329" i="38"/>
  <c r="P329" i="38" s="1"/>
  <c r="AK13" i="9"/>
  <c r="U141" i="38"/>
  <c r="N141" i="38"/>
  <c r="P141" i="38" s="1"/>
  <c r="N148" i="38"/>
  <c r="P148" i="38" s="1"/>
  <c r="T85" i="1"/>
  <c r="Z31" i="1"/>
  <c r="D56" i="20" s="1"/>
  <c r="V31" i="1"/>
  <c r="U31" i="1"/>
  <c r="U51" i="1"/>
  <c r="AU80" i="2"/>
  <c r="AU82" i="2"/>
  <c r="AU81" i="2"/>
  <c r="U287" i="38"/>
  <c r="N287" i="38"/>
  <c r="P287" i="38" s="1"/>
  <c r="N294" i="38"/>
  <c r="P294" i="38" s="1"/>
  <c r="N201" i="38"/>
  <c r="P201" i="38" s="1"/>
  <c r="N208" i="38"/>
  <c r="P208" i="38" s="1"/>
  <c r="U201" i="38"/>
  <c r="AF127" i="38"/>
  <c r="P127" i="38"/>
  <c r="AP117" i="9"/>
  <c r="AQ121" i="9"/>
  <c r="AL40" i="20"/>
  <c r="AL21" i="20"/>
  <c r="AQ58" i="20" s="1"/>
  <c r="N23" i="15"/>
  <c r="AF144" i="10"/>
  <c r="AF151" i="10"/>
  <c r="S32" i="15"/>
  <c r="AI84" i="38"/>
  <c r="D84" i="38"/>
  <c r="H84" i="38" s="1"/>
  <c r="S88" i="38"/>
  <c r="D91" i="38"/>
  <c r="H91" i="38" s="1"/>
  <c r="AB155" i="38"/>
  <c r="AB154" i="38"/>
  <c r="AB92" i="38"/>
  <c r="AB95" i="38" s="1"/>
  <c r="AM280" i="38"/>
  <c r="AF112" i="38"/>
  <c r="Z145" i="10"/>
  <c r="AW177" i="38"/>
  <c r="AL69" i="10"/>
  <c r="R69" i="10"/>
  <c r="AI69" i="10"/>
  <c r="J71" i="10"/>
  <c r="M31" i="1"/>
  <c r="L85" i="1"/>
  <c r="R31" i="1"/>
  <c r="M51" i="1"/>
  <c r="L35" i="1"/>
  <c r="AR21" i="20"/>
  <c r="AR40" i="20"/>
  <c r="AK134" i="38"/>
  <c r="AD134" i="38"/>
  <c r="AF134" i="38" s="1"/>
  <c r="I15" i="15"/>
  <c r="I23" i="15" s="1"/>
  <c r="CU15" i="20"/>
  <c r="CL77" i="1"/>
  <c r="CH77" i="1"/>
  <c r="CG77" i="1"/>
  <c r="BX11" i="20"/>
  <c r="BK46" i="20"/>
  <c r="BK36" i="20"/>
  <c r="BK24" i="20"/>
  <c r="BK58" i="20"/>
  <c r="AQ77" i="2"/>
  <c r="AQ84" i="2" s="1"/>
  <c r="U16" i="15"/>
  <c r="U37" i="15"/>
  <c r="U15" i="15"/>
  <c r="V16" i="15"/>
  <c r="DG15" i="20"/>
  <c r="L11" i="67"/>
  <c r="Y83" i="5"/>
  <c r="X77" i="5"/>
  <c r="R48" i="5"/>
  <c r="DC70" i="20"/>
  <c r="AI86" i="9"/>
  <c r="AK82" i="9"/>
  <c r="AS90" i="1"/>
  <c r="AX90" i="1"/>
  <c r="AD311" i="38"/>
  <c r="AF311" i="38" s="1"/>
  <c r="AD318" i="38"/>
  <c r="H27" i="9"/>
  <c r="AD275" i="38"/>
  <c r="AF275" i="38" s="1"/>
  <c r="AB276" i="38"/>
  <c r="AD276" i="38" s="1"/>
  <c r="AF276" i="38" s="1"/>
  <c r="AK275" i="38"/>
  <c r="AM275" i="38" s="1"/>
  <c r="AI86" i="38"/>
  <c r="AK86" i="38" s="1"/>
  <c r="AM86" i="38" s="1"/>
  <c r="D86" i="38"/>
  <c r="H86" i="38" s="1"/>
  <c r="BL106" i="1"/>
  <c r="BM86" i="1"/>
  <c r="BR86" i="1"/>
  <c r="BL90" i="1"/>
  <c r="BL88" i="1"/>
  <c r="AF106" i="9"/>
  <c r="CH50" i="20"/>
  <c r="D50" i="9"/>
  <c r="AI50" i="9"/>
  <c r="S51" i="9"/>
  <c r="D57" i="9"/>
  <c r="AI93" i="9"/>
  <c r="AK89" i="9"/>
  <c r="CT59" i="1"/>
  <c r="CS59" i="1"/>
  <c r="AI36" i="9"/>
  <c r="D36" i="9"/>
  <c r="S37" i="9"/>
  <c r="D37" i="9" s="1"/>
  <c r="BI157" i="1"/>
  <c r="AF91" i="9"/>
  <c r="BU16" i="20"/>
  <c r="CL40" i="1"/>
  <c r="CH40" i="1"/>
  <c r="CF44" i="1"/>
  <c r="CG40" i="1"/>
  <c r="K31" i="67"/>
  <c r="K16" i="67"/>
  <c r="AB60" i="38"/>
  <c r="AD56" i="38"/>
  <c r="AF56" i="38" s="1"/>
  <c r="AK56" i="38"/>
  <c r="C29" i="67"/>
  <c r="S11" i="5"/>
  <c r="R100" i="5"/>
  <c r="R12" i="5"/>
  <c r="DI58" i="20"/>
  <c r="CN163" i="1"/>
  <c r="CN153" i="1"/>
  <c r="CN136" i="1"/>
  <c r="CN138" i="1"/>
  <c r="CO134" i="1"/>
  <c r="M69" i="67"/>
  <c r="M158" i="67" s="1"/>
  <c r="O93" i="67"/>
  <c r="O109" i="67"/>
  <c r="O156" i="67" s="1"/>
  <c r="R51" i="67"/>
  <c r="R92" i="67"/>
  <c r="R133" i="67"/>
  <c r="AI36" i="11"/>
  <c r="AH42" i="11"/>
  <c r="AM36" i="11"/>
  <c r="AF125" i="10"/>
  <c r="AF118" i="10"/>
  <c r="AL159" i="10"/>
  <c r="R159" i="10"/>
  <c r="AI159" i="10"/>
  <c r="J162" i="10"/>
  <c r="AW115" i="1"/>
  <c r="AV108" i="1"/>
  <c r="AV133" i="1"/>
  <c r="AW105" i="1"/>
  <c r="AV110" i="1"/>
  <c r="AX105" i="1"/>
  <c r="AV109" i="1"/>
  <c r="BB105" i="1"/>
  <c r="R27" i="15"/>
  <c r="DD17" i="20"/>
  <c r="AD152" i="9"/>
  <c r="AF152" i="9" s="1"/>
  <c r="AD145" i="9"/>
  <c r="AF145" i="9" s="1"/>
  <c r="AB149" i="9"/>
  <c r="CG117" i="1"/>
  <c r="CL107" i="1"/>
  <c r="CF135" i="1"/>
  <c r="CG107" i="1"/>
  <c r="CH107" i="1"/>
  <c r="CH26" i="1"/>
  <c r="CL26" i="1"/>
  <c r="H77" i="1"/>
  <c r="C31" i="15"/>
  <c r="C32" i="15" s="1"/>
  <c r="I76" i="1"/>
  <c r="N76" i="1"/>
  <c r="H80" i="1"/>
  <c r="H32" i="1"/>
  <c r="AX12" i="3"/>
  <c r="CW15" i="20"/>
  <c r="CC52" i="1"/>
  <c r="CD52" i="1"/>
  <c r="D78" i="10"/>
  <c r="L78" i="10" s="1"/>
  <c r="L74" i="10"/>
  <c r="AF318" i="38"/>
  <c r="AM169" i="9"/>
  <c r="AM162" i="9"/>
  <c r="AL39" i="10"/>
  <c r="J43" i="10"/>
  <c r="R39" i="10"/>
  <c r="AI39" i="10"/>
  <c r="R63" i="5"/>
  <c r="T43" i="15"/>
  <c r="T89" i="5"/>
  <c r="T90" i="5" s="1"/>
  <c r="T38" i="15"/>
  <c r="N114" i="38"/>
  <c r="P114" i="38" s="1"/>
  <c r="U114" i="38"/>
  <c r="N121" i="38"/>
  <c r="P121" i="38" s="1"/>
  <c r="J16" i="5"/>
  <c r="AK91" i="38"/>
  <c r="AD98" i="38"/>
  <c r="AF98" i="38" s="1"/>
  <c r="V79" i="1"/>
  <c r="U79" i="1"/>
  <c r="Z79" i="1"/>
  <c r="AD289" i="38"/>
  <c r="AF289" i="38" s="1"/>
  <c r="AK282" i="38"/>
  <c r="AK283" i="38" s="1"/>
  <c r="AB283" i="38"/>
  <c r="AD282" i="38"/>
  <c r="AF282" i="38" s="1"/>
  <c r="R61" i="3"/>
  <c r="R62" i="3" s="1"/>
  <c r="U118" i="2"/>
  <c r="J37" i="15"/>
  <c r="J18" i="15"/>
  <c r="J22" i="15"/>
  <c r="J12" i="15"/>
  <c r="J35" i="15"/>
  <c r="J41" i="15"/>
  <c r="U117" i="2"/>
  <c r="J8" i="15"/>
  <c r="CV8" i="20"/>
  <c r="CP40" i="11"/>
  <c r="CL40" i="11"/>
  <c r="CQ34" i="11"/>
  <c r="CM34" i="11"/>
  <c r="W14" i="20"/>
  <c r="AB53" i="20"/>
  <c r="W45" i="20"/>
  <c r="W53" i="20"/>
  <c r="W41" i="20"/>
  <c r="N303" i="38"/>
  <c r="P303" i="38" s="1"/>
  <c r="U303" i="38"/>
  <c r="N310" i="38"/>
  <c r="P310" i="38" s="1"/>
  <c r="BR46" i="20"/>
  <c r="BR24" i="20"/>
  <c r="BR36" i="20"/>
  <c r="AJ135" i="1"/>
  <c r="AK107" i="1"/>
  <c r="AL107" i="1"/>
  <c r="AP107" i="1"/>
  <c r="AK117" i="1"/>
  <c r="L64" i="10"/>
  <c r="L71" i="10"/>
  <c r="D31" i="15"/>
  <c r="D32" i="15" s="1"/>
  <c r="M76" i="1"/>
  <c r="L32" i="1"/>
  <c r="L77" i="1"/>
  <c r="L78" i="1"/>
  <c r="R78" i="1" s="1"/>
  <c r="R76" i="1"/>
  <c r="Q41" i="1"/>
  <c r="P44" i="1"/>
  <c r="AD42" i="1"/>
  <c r="AC42" i="1"/>
  <c r="Z125" i="10"/>
  <c r="J247" i="38"/>
  <c r="N45" i="5"/>
  <c r="CY68" i="20"/>
  <c r="AR171" i="38"/>
  <c r="AW171" i="38" s="1"/>
  <c r="AR193" i="38"/>
  <c r="AW193" i="38" s="1"/>
  <c r="R52" i="1"/>
  <c r="AM155" i="9"/>
  <c r="Q60" i="1"/>
  <c r="R60" i="1"/>
  <c r="H82" i="9"/>
  <c r="AK304" i="38"/>
  <c r="AM300" i="38"/>
  <c r="J64" i="1"/>
  <c r="E64" i="1"/>
  <c r="T27" i="15"/>
  <c r="DF17" i="20"/>
  <c r="AK121" i="38"/>
  <c r="AD128" i="38"/>
  <c r="AF128" i="38" s="1"/>
  <c r="AD121" i="38"/>
  <c r="AF121" i="38" s="1"/>
  <c r="AB297" i="38"/>
  <c r="AD304" i="38" s="1"/>
  <c r="AF304" i="38" s="1"/>
  <c r="AK239" i="38"/>
  <c r="AI241" i="38"/>
  <c r="AI61" i="10"/>
  <c r="O37" i="15"/>
  <c r="BP78" i="1"/>
  <c r="AI40" i="20"/>
  <c r="AI21" i="20"/>
  <c r="W164" i="38"/>
  <c r="AI111" i="9"/>
  <c r="AK111" i="9" s="1"/>
  <c r="AM111" i="9" s="1"/>
  <c r="D111" i="9"/>
  <c r="H111" i="9" s="1"/>
  <c r="U111" i="9"/>
  <c r="W111" i="9" s="1"/>
  <c r="AP111" i="9"/>
  <c r="N18" i="67"/>
  <c r="DI26" i="20"/>
  <c r="D22" i="9"/>
  <c r="AI22" i="9"/>
  <c r="AF103" i="9"/>
  <c r="AM98" i="9"/>
  <c r="CH41" i="1"/>
  <c r="CG41" i="1"/>
  <c r="BV16" i="20"/>
  <c r="CL41" i="1"/>
  <c r="AI15" i="9"/>
  <c r="AK15" i="9" s="1"/>
  <c r="U15" i="9"/>
  <c r="S16" i="9"/>
  <c r="D23" i="9" s="1"/>
  <c r="BH31" i="20"/>
  <c r="BH49" i="20"/>
  <c r="D128" i="9"/>
  <c r="H128" i="9" s="1"/>
  <c r="AB53" i="38"/>
  <c r="AI45" i="38"/>
  <c r="AI46" i="38" s="1"/>
  <c r="D45" i="38"/>
  <c r="H45" i="38" s="1"/>
  <c r="G168" i="67"/>
  <c r="G131" i="67"/>
  <c r="H168" i="67"/>
  <c r="CO108" i="1"/>
  <c r="CO118" i="1"/>
  <c r="CP108" i="1"/>
  <c r="N80" i="67"/>
  <c r="N81" i="67" s="1"/>
  <c r="N179" i="67" s="1"/>
  <c r="N177" i="67"/>
  <c r="N121" i="67"/>
  <c r="O29" i="67"/>
  <c r="O155" i="67" s="1"/>
  <c r="O153" i="67" s="1"/>
  <c r="O13" i="67"/>
  <c r="R97" i="5"/>
  <c r="R99" i="5"/>
  <c r="DD75" i="20"/>
  <c r="R87" i="5"/>
  <c r="AM98" i="38"/>
  <c r="AM105" i="38"/>
  <c r="AD59" i="38"/>
  <c r="AD174" i="9"/>
  <c r="AF174" i="9" s="1"/>
  <c r="AK174" i="9"/>
  <c r="AB84" i="38"/>
  <c r="AB85" i="38"/>
  <c r="AK200" i="38"/>
  <c r="AD200" i="38"/>
  <c r="AF200" i="38" s="1"/>
  <c r="AD207" i="38"/>
  <c r="AF207" i="38" s="1"/>
  <c r="AB203" i="38"/>
  <c r="K71" i="5"/>
  <c r="K16" i="5"/>
  <c r="AT40" i="20"/>
  <c r="AT21" i="20"/>
  <c r="BW16" i="20"/>
  <c r="CH42" i="1"/>
  <c r="CG42" i="1"/>
  <c r="CG88" i="1"/>
  <c r="CL88" i="1"/>
  <c r="CH88" i="1"/>
  <c r="H41" i="1"/>
  <c r="N85" i="1"/>
  <c r="I85" i="1"/>
  <c r="H105" i="1"/>
  <c r="H65" i="1"/>
  <c r="BX35" i="11"/>
  <c r="BX17" i="11"/>
  <c r="BX23" i="11" s="1"/>
  <c r="BX29" i="11" s="1"/>
  <c r="G37" i="11"/>
  <c r="F43" i="11"/>
  <c r="G8" i="15"/>
  <c r="G22" i="15"/>
  <c r="G12" i="15"/>
  <c r="O117" i="2"/>
  <c r="L61" i="3"/>
  <c r="L62" i="3" s="1"/>
  <c r="G37" i="15"/>
  <c r="G18" i="15"/>
  <c r="O118" i="2"/>
  <c r="CG104" i="1"/>
  <c r="CL104" i="1"/>
  <c r="CF110" i="1"/>
  <c r="CF132" i="1"/>
  <c r="CG114" i="1"/>
  <c r="CF108" i="1"/>
  <c r="CF109" i="1"/>
  <c r="CH104" i="1"/>
  <c r="AF158" i="10"/>
  <c r="AF165" i="10"/>
  <c r="E80" i="2"/>
  <c r="E82" i="2"/>
  <c r="E81" i="2"/>
  <c r="AI103" i="10"/>
  <c r="AL103" i="10"/>
  <c r="R103" i="10"/>
  <c r="S40" i="15"/>
  <c r="AF40" i="15" s="1"/>
  <c r="BU98" i="1"/>
  <c r="U156" i="9"/>
  <c r="W156" i="9" s="1"/>
  <c r="W155" i="9"/>
  <c r="AP56" i="23"/>
  <c r="AF169" i="9"/>
  <c r="P169" i="9"/>
  <c r="AH50" i="23"/>
  <c r="J22" i="10"/>
  <c r="R22" i="10" s="1"/>
  <c r="R20" i="10"/>
  <c r="W161" i="9"/>
  <c r="W168" i="9"/>
  <c r="U163" i="9"/>
  <c r="AF145" i="10"/>
  <c r="AF89" i="1"/>
  <c r="AG85" i="1"/>
  <c r="AF88" i="1"/>
  <c r="AL85" i="1"/>
  <c r="AF90" i="1"/>
  <c r="AH85" i="1"/>
  <c r="AF105" i="1"/>
  <c r="Q8" i="65"/>
  <c r="Y8" i="65" s="1"/>
  <c r="BM40" i="20"/>
  <c r="Q26" i="65" s="1"/>
  <c r="Y26" i="65" s="1"/>
  <c r="BM21" i="20"/>
  <c r="D61" i="3"/>
  <c r="C12" i="15"/>
  <c r="C8" i="15"/>
  <c r="AP167" i="9"/>
  <c r="U321" i="38"/>
  <c r="N328" i="38"/>
  <c r="P328" i="38" s="1"/>
  <c r="N321" i="38"/>
  <c r="P321" i="38" s="1"/>
  <c r="L325" i="38"/>
  <c r="AD40" i="20"/>
  <c r="AD21" i="20"/>
  <c r="AQ125" i="9"/>
  <c r="AV125" i="9"/>
  <c r="AU125" i="9" s="1"/>
  <c r="AC81" i="2"/>
  <c r="AC80" i="2"/>
  <c r="AC82" i="2"/>
  <c r="L37" i="15"/>
  <c r="CV77" i="20"/>
  <c r="CV72" i="20"/>
  <c r="CW72" i="20"/>
  <c r="D32" i="1"/>
  <c r="B31" i="15"/>
  <c r="B32" i="15" s="1"/>
  <c r="D77" i="1"/>
  <c r="J76" i="1"/>
  <c r="E76" i="1"/>
  <c r="D78" i="1"/>
  <c r="D80" i="1"/>
  <c r="H14" i="9"/>
  <c r="P56" i="23"/>
  <c r="P46" i="15"/>
  <c r="BI118" i="1"/>
  <c r="T71" i="5"/>
  <c r="AK129" i="38"/>
  <c r="AD136" i="38"/>
  <c r="AF136" i="38" s="1"/>
  <c r="AK172" i="38"/>
  <c r="P23" i="38"/>
  <c r="U81" i="2"/>
  <c r="U80" i="2"/>
  <c r="U82" i="2"/>
  <c r="AK119" i="38"/>
  <c r="AD119" i="38"/>
  <c r="AF119" i="38" s="1"/>
  <c r="Y21" i="20"/>
  <c r="Y40" i="20"/>
  <c r="AV34" i="11"/>
  <c r="AV28" i="11"/>
  <c r="AV16" i="11"/>
  <c r="AV22" i="11" s="1"/>
  <c r="AK287" i="38"/>
  <c r="AD294" i="38"/>
  <c r="AF294" i="38" s="1"/>
  <c r="AD287" i="38"/>
  <c r="AF287" i="38" s="1"/>
  <c r="BN46" i="20"/>
  <c r="BN36" i="20"/>
  <c r="BN24" i="20"/>
  <c r="BS58" i="20"/>
  <c r="AT88" i="1"/>
  <c r="AO88" i="1"/>
  <c r="M80" i="1"/>
  <c r="R80" i="1"/>
  <c r="P69" i="1"/>
  <c r="P68" i="1"/>
  <c r="Q65" i="1"/>
  <c r="P70" i="1"/>
  <c r="CG80" i="1"/>
  <c r="CH80" i="1"/>
  <c r="L244" i="38"/>
  <c r="L240" i="38"/>
  <c r="CG106" i="1"/>
  <c r="CF134" i="1"/>
  <c r="CH106" i="1"/>
  <c r="CG116" i="1"/>
  <c r="CL106" i="1"/>
  <c r="AI127" i="10"/>
  <c r="R127" i="10"/>
  <c r="BV64" i="20" s="1"/>
  <c r="AM307" i="38"/>
  <c r="AK311" i="38"/>
  <c r="AM311" i="38" s="1"/>
  <c r="D67" i="38"/>
  <c r="F67" i="38"/>
  <c r="AM175" i="38"/>
  <c r="W27" i="9"/>
  <c r="W20" i="9"/>
  <c r="U192" i="38"/>
  <c r="L196" i="38"/>
  <c r="BP134" i="1"/>
  <c r="BP108" i="1"/>
  <c r="BQ116" i="1"/>
  <c r="BQ106" i="1"/>
  <c r="BV106" i="1"/>
  <c r="BP110" i="1"/>
  <c r="BU99" i="1"/>
  <c r="AK286" i="38"/>
  <c r="AD286" i="38"/>
  <c r="AF286" i="38" s="1"/>
  <c r="AB290" i="38"/>
  <c r="AD293" i="38"/>
  <c r="AF293" i="38" s="1"/>
  <c r="X74" i="15"/>
  <c r="AM70" i="9"/>
  <c r="AM77" i="9"/>
  <c r="H86" i="9"/>
  <c r="BR80" i="1"/>
  <c r="BQ80" i="1"/>
  <c r="K34" i="11"/>
  <c r="J40" i="11"/>
  <c r="O34" i="11"/>
  <c r="BM36" i="1"/>
  <c r="BR36" i="1"/>
  <c r="BN36" i="1"/>
  <c r="Z47" i="20"/>
  <c r="Z48" i="20"/>
  <c r="Z29" i="20"/>
  <c r="P170" i="9"/>
  <c r="AI24" i="38"/>
  <c r="AI25" i="38" s="1"/>
  <c r="D24" i="38"/>
  <c r="H24" i="38" s="1"/>
  <c r="S25" i="38"/>
  <c r="AK103" i="9"/>
  <c r="AI107" i="9"/>
  <c r="AF105" i="9"/>
  <c r="P105" i="9"/>
  <c r="BE161" i="1"/>
  <c r="AI17" i="38"/>
  <c r="U17" i="38"/>
  <c r="S18" i="38"/>
  <c r="CG52" i="1"/>
  <c r="CL52" i="1"/>
  <c r="CH52" i="1"/>
  <c r="N41" i="5"/>
  <c r="CY65" i="20"/>
  <c r="BE155" i="1"/>
  <c r="I109" i="67"/>
  <c r="D31" i="67"/>
  <c r="D16" i="67"/>
  <c r="D26" i="67"/>
  <c r="CZ58" i="20"/>
  <c r="CZ46" i="20"/>
  <c r="CZ36" i="20"/>
  <c r="CZ24" i="20"/>
  <c r="D43" i="9"/>
  <c r="AI43" i="9"/>
  <c r="S44" i="9"/>
  <c r="H80" i="67"/>
  <c r="H81" i="67" s="1"/>
  <c r="H121" i="67"/>
  <c r="H122" i="67" s="1"/>
  <c r="H177" i="67"/>
  <c r="H178" i="67" s="1"/>
  <c r="N115" i="67"/>
  <c r="M90" i="67"/>
  <c r="M115" i="67"/>
  <c r="M110" i="67"/>
  <c r="M160" i="67" s="1"/>
  <c r="N52" i="67"/>
  <c r="N68" i="67"/>
  <c r="N154" i="67" s="1"/>
  <c r="N13" i="67"/>
  <c r="N29" i="67"/>
  <c r="N155" i="67" s="1"/>
  <c r="N153" i="67" s="1"/>
  <c r="L175" i="10"/>
  <c r="AB176" i="38"/>
  <c r="F32" i="65"/>
  <c r="F27" i="65"/>
  <c r="F11" i="65"/>
  <c r="F29" i="65"/>
  <c r="W163" i="9" l="1"/>
  <c r="Z57" i="15"/>
  <c r="BA62" i="2" s="1"/>
  <c r="CO32" i="20" a="1"/>
  <c r="CQ32" i="20" s="1"/>
  <c r="CR43" i="1"/>
  <c r="CT33" i="1"/>
  <c r="CT87" i="1"/>
  <c r="F175" i="10"/>
  <c r="CR107" i="1"/>
  <c r="CS107" i="1" s="1"/>
  <c r="U156" i="74"/>
  <c r="V156" i="74" s="1"/>
  <c r="J55" i="74"/>
  <c r="I155" i="74"/>
  <c r="I171" i="74" s="1"/>
  <c r="I23" i="74" s="1"/>
  <c r="W52" i="74"/>
  <c r="V154" i="74"/>
  <c r="I15" i="74"/>
  <c r="I38" i="74" s="1"/>
  <c r="I33" i="74"/>
  <c r="J29" i="74" s="1"/>
  <c r="U160" i="74"/>
  <c r="V160" i="74" s="1"/>
  <c r="W160" i="74" s="1"/>
  <c r="E134" i="67"/>
  <c r="E153" i="67"/>
  <c r="K153" i="67"/>
  <c r="K134" i="67"/>
  <c r="N93" i="67"/>
  <c r="AH34" i="15"/>
  <c r="BF11" i="3"/>
  <c r="BF80" i="3" s="1"/>
  <c r="BF78" i="3" s="1"/>
  <c r="BF81" i="3" s="1"/>
  <c r="L74" i="67"/>
  <c r="L49" i="67"/>
  <c r="L68" i="67" s="1"/>
  <c r="P148" i="67"/>
  <c r="P146" i="67"/>
  <c r="DH36" i="20"/>
  <c r="DH50" i="20" s="1"/>
  <c r="DH46" i="20"/>
  <c r="DH24" i="20"/>
  <c r="E29" i="67"/>
  <c r="E13" i="67"/>
  <c r="L90" i="67"/>
  <c r="L109" i="67" s="1"/>
  <c r="L115" i="67"/>
  <c r="E93" i="67"/>
  <c r="E118" i="67"/>
  <c r="X52" i="15"/>
  <c r="X54" i="15"/>
  <c r="L168" i="67"/>
  <c r="DF40" i="20"/>
  <c r="DF21" i="20"/>
  <c r="T16" i="5"/>
  <c r="DI46" i="20"/>
  <c r="DI24" i="20"/>
  <c r="DI48" i="20" s="1"/>
  <c r="DJ58" i="20"/>
  <c r="D106" i="67"/>
  <c r="Q72" i="5"/>
  <c r="DN57" i="20"/>
  <c r="DO57" i="20"/>
  <c r="BU58" i="20"/>
  <c r="AD107" i="9"/>
  <c r="AD61" i="9"/>
  <c r="AB58" i="9"/>
  <c r="AD58" i="9" s="1"/>
  <c r="AD54" i="9"/>
  <c r="AF54" i="9" s="1"/>
  <c r="AK54" i="9"/>
  <c r="AM54" i="9" s="1"/>
  <c r="R141" i="10"/>
  <c r="BX64" i="20" s="1"/>
  <c r="AD65" i="9"/>
  <c r="AK78" i="9"/>
  <c r="AM85" i="9" s="1"/>
  <c r="AD85" i="9"/>
  <c r="AF85" i="9" s="1"/>
  <c r="R155" i="10"/>
  <c r="CE64" i="20" s="1"/>
  <c r="AB116" i="38"/>
  <c r="AK156" i="9"/>
  <c r="AD78" i="38"/>
  <c r="AF78" i="38" s="1"/>
  <c r="AK71" i="38"/>
  <c r="AM78" i="38" s="1"/>
  <c r="AI50" i="10"/>
  <c r="R50" i="10"/>
  <c r="T64" i="20" s="1"/>
  <c r="AM90" i="9"/>
  <c r="AD163" i="9"/>
  <c r="AD89" i="9"/>
  <c r="AF89" i="9" s="1"/>
  <c r="AB86" i="9"/>
  <c r="AD93" i="9" s="1"/>
  <c r="AF93" i="9" s="1"/>
  <c r="AK142" i="9"/>
  <c r="AM139" i="9"/>
  <c r="AM146" i="9"/>
  <c r="AI113" i="10"/>
  <c r="R113" i="10"/>
  <c r="AI64" i="20" s="1"/>
  <c r="AK262" i="38"/>
  <c r="AD114" i="9"/>
  <c r="D62" i="3"/>
  <c r="BE28" i="2"/>
  <c r="BC30" i="2"/>
  <c r="BC68" i="2"/>
  <c r="AI106" i="10"/>
  <c r="AI92" i="10"/>
  <c r="R92" i="10"/>
  <c r="AE64" i="20" s="1"/>
  <c r="AD40" i="15"/>
  <c r="AH40" i="15" s="1"/>
  <c r="CO166" i="1"/>
  <c r="S15" i="67"/>
  <c r="DN23" i="20"/>
  <c r="BE23" i="2"/>
  <c r="S92" i="67"/>
  <c r="S51" i="67"/>
  <c r="S133" i="67"/>
  <c r="AM273" i="38"/>
  <c r="AT230" i="38"/>
  <c r="AU230" i="38"/>
  <c r="S229" i="38"/>
  <c r="W274" i="38"/>
  <c r="W281" i="38"/>
  <c r="AM260" i="38"/>
  <c r="AM213" i="38"/>
  <c r="AK217" i="38"/>
  <c r="AM217" i="38" s="1"/>
  <c r="AK164" i="38"/>
  <c r="AM171" i="38" s="1"/>
  <c r="AD171" i="38"/>
  <c r="AF171" i="38" s="1"/>
  <c r="AD164" i="38"/>
  <c r="AF164" i="38" s="1"/>
  <c r="AM94" i="38"/>
  <c r="W155" i="38"/>
  <c r="W162" i="38"/>
  <c r="AK163" i="38"/>
  <c r="AM170" i="38" s="1"/>
  <c r="AD170" i="38"/>
  <c r="AF170" i="38" s="1"/>
  <c r="AD262" i="38"/>
  <c r="AF262" i="38" s="1"/>
  <c r="S184" i="38"/>
  <c r="U311" i="38"/>
  <c r="W311" i="38" s="1"/>
  <c r="N210" i="38"/>
  <c r="P210" i="38" s="1"/>
  <c r="AM100" i="38"/>
  <c r="R64" i="10"/>
  <c r="V64" i="20" s="1"/>
  <c r="AI57" i="10"/>
  <c r="R57" i="10"/>
  <c r="U64" i="20" s="1"/>
  <c r="AK120" i="9"/>
  <c r="AM76" i="9"/>
  <c r="AI148" i="10"/>
  <c r="AK196" i="38"/>
  <c r="AK102" i="38"/>
  <c r="D39" i="38"/>
  <c r="H39" i="38" s="1"/>
  <c r="AD290" i="38"/>
  <c r="AF290" i="38" s="1"/>
  <c r="AK276" i="38"/>
  <c r="CG29" i="20"/>
  <c r="CG48" i="20"/>
  <c r="CG47" i="20"/>
  <c r="Z58" i="20"/>
  <c r="U46" i="20"/>
  <c r="U24" i="20"/>
  <c r="U36" i="20"/>
  <c r="E36" i="20"/>
  <c r="E50" i="20" s="1"/>
  <c r="E46" i="20"/>
  <c r="E24" i="20"/>
  <c r="O46" i="20"/>
  <c r="O36" i="20"/>
  <c r="O50" i="20" s="1"/>
  <c r="O24" i="20"/>
  <c r="S29" i="20"/>
  <c r="S48" i="20"/>
  <c r="S47" i="20"/>
  <c r="AW36" i="20"/>
  <c r="AW50" i="20" s="1"/>
  <c r="AW46" i="20"/>
  <c r="AW24" i="20"/>
  <c r="CG50" i="20"/>
  <c r="CG60" i="20"/>
  <c r="S50" i="20"/>
  <c r="X60" i="20"/>
  <c r="AJ36" i="20"/>
  <c r="AJ46" i="20"/>
  <c r="AJ58" i="20"/>
  <c r="AJ24" i="20"/>
  <c r="AE24" i="20"/>
  <c r="AE46" i="20"/>
  <c r="AE36" i="20"/>
  <c r="AE58" i="20"/>
  <c r="AG46" i="20"/>
  <c r="AG24" i="20"/>
  <c r="AG36" i="20"/>
  <c r="AG50" i="20" s="1"/>
  <c r="BB46" i="20"/>
  <c r="BB58" i="20"/>
  <c r="BB24" i="20"/>
  <c r="BB36" i="20"/>
  <c r="BG58" i="20"/>
  <c r="AM58" i="20"/>
  <c r="AM36" i="20"/>
  <c r="AM24" i="20"/>
  <c r="AM46" i="20"/>
  <c r="BS46" i="20"/>
  <c r="BS36" i="20"/>
  <c r="BS50" i="20" s="1"/>
  <c r="BS24" i="20"/>
  <c r="CF47" i="20"/>
  <c r="D31" i="65" s="1"/>
  <c r="CF48" i="20"/>
  <c r="D32" i="65" s="1"/>
  <c r="CF29" i="20"/>
  <c r="D16" i="65"/>
  <c r="BV49" i="20"/>
  <c r="BV31" i="20"/>
  <c r="CA59" i="20" s="1"/>
  <c r="CF50" i="20"/>
  <c r="CF60" i="20"/>
  <c r="D31" i="20"/>
  <c r="I59" i="20" s="1"/>
  <c r="D49" i="20"/>
  <c r="R47" i="20"/>
  <c r="R29" i="20"/>
  <c r="R48" i="20"/>
  <c r="N59" i="20"/>
  <c r="AN31" i="20"/>
  <c r="AN49" i="20"/>
  <c r="C48" i="20"/>
  <c r="C47" i="20"/>
  <c r="C29" i="20"/>
  <c r="AH29" i="20"/>
  <c r="AH48" i="20"/>
  <c r="AH47" i="20"/>
  <c r="D25" i="38"/>
  <c r="H25" i="38" s="1"/>
  <c r="AK241" i="38"/>
  <c r="AM64" i="38"/>
  <c r="AM71" i="38"/>
  <c r="AM156" i="38"/>
  <c r="W120" i="38"/>
  <c r="W113" i="38"/>
  <c r="AM55" i="9"/>
  <c r="AM62" i="9"/>
  <c r="CS66" i="1"/>
  <c r="CS76" i="1"/>
  <c r="D174" i="10"/>
  <c r="CS12" i="1"/>
  <c r="CS96" i="1"/>
  <c r="CR16" i="1"/>
  <c r="CS50" i="1"/>
  <c r="CS143" i="1"/>
  <c r="CR14" i="1"/>
  <c r="CJ8" i="20" a="1"/>
  <c r="AM93" i="38"/>
  <c r="G23" i="15"/>
  <c r="E68" i="67"/>
  <c r="E52" i="67"/>
  <c r="K70" i="67"/>
  <c r="K55" i="67"/>
  <c r="CH29" i="20"/>
  <c r="CH47" i="20"/>
  <c r="CH48" i="20"/>
  <c r="AB48" i="20"/>
  <c r="AB47" i="20"/>
  <c r="AB29" i="20"/>
  <c r="AH58" i="20"/>
  <c r="AC36" i="20"/>
  <c r="AC58" i="20"/>
  <c r="AC46" i="20"/>
  <c r="AC24" i="20"/>
  <c r="K36" i="20"/>
  <c r="K50" i="20" s="1"/>
  <c r="K46" i="20"/>
  <c r="K24" i="20"/>
  <c r="AB50" i="20"/>
  <c r="AG60" i="20"/>
  <c r="AV24" i="20"/>
  <c r="AV46" i="20"/>
  <c r="AV36" i="20"/>
  <c r="AV50" i="20" s="1"/>
  <c r="CE29" i="20"/>
  <c r="CE47" i="20"/>
  <c r="CE48" i="20"/>
  <c r="M50" i="20"/>
  <c r="R60" i="20"/>
  <c r="DJ24" i="20"/>
  <c r="DJ46" i="20"/>
  <c r="DJ36" i="20"/>
  <c r="CE60" i="20"/>
  <c r="CE50" i="20"/>
  <c r="BQ48" i="20"/>
  <c r="BQ47" i="20"/>
  <c r="BQ29" i="20"/>
  <c r="AS36" i="20"/>
  <c r="AS46" i="20"/>
  <c r="AS24" i="20"/>
  <c r="BZ47" i="20"/>
  <c r="BZ48" i="20"/>
  <c r="BZ29" i="20"/>
  <c r="M47" i="20"/>
  <c r="M29" i="20"/>
  <c r="M48" i="20"/>
  <c r="BP24" i="20"/>
  <c r="BP46" i="20"/>
  <c r="BP36" i="20"/>
  <c r="BP50" i="20" s="1"/>
  <c r="BV60" i="20"/>
  <c r="BQ50" i="20"/>
  <c r="BQ60" i="20"/>
  <c r="F34" i="15"/>
  <c r="F35" i="15" s="1"/>
  <c r="U78" i="1"/>
  <c r="V78" i="1"/>
  <c r="Z78" i="1"/>
  <c r="D34" i="1"/>
  <c r="H23" i="9"/>
  <c r="AM119" i="38"/>
  <c r="AF133" i="1"/>
  <c r="AG105" i="1"/>
  <c r="AG115" i="1"/>
  <c r="AL105" i="1"/>
  <c r="AH105" i="1"/>
  <c r="AF108" i="1"/>
  <c r="AF110" i="1"/>
  <c r="AF109" i="1"/>
  <c r="H33" i="1"/>
  <c r="I77" i="1"/>
  <c r="N77" i="1"/>
  <c r="D88" i="38"/>
  <c r="H88" i="38" s="1"/>
  <c r="D95" i="38"/>
  <c r="H95" i="38" s="1"/>
  <c r="BY109" i="1"/>
  <c r="CD109" i="1"/>
  <c r="BY119" i="1"/>
  <c r="BZ109" i="1"/>
  <c r="W72" i="5"/>
  <c r="DI74" i="20"/>
  <c r="U32" i="1"/>
  <c r="Z32" i="1"/>
  <c r="E56" i="20" s="1"/>
  <c r="U52" i="1"/>
  <c r="T86" i="1"/>
  <c r="V32" i="1"/>
  <c r="BI167" i="1"/>
  <c r="BE167" i="1"/>
  <c r="AQ48" i="20"/>
  <c r="AQ47" i="20"/>
  <c r="AQ29" i="20"/>
  <c r="DC57" i="20"/>
  <c r="DC12" i="20"/>
  <c r="DC45" i="20"/>
  <c r="P133" i="9"/>
  <c r="AF133" i="9"/>
  <c r="BV25" i="1"/>
  <c r="BZ25" i="1"/>
  <c r="AI78" i="10"/>
  <c r="R78" i="10"/>
  <c r="AC64" i="20" s="1"/>
  <c r="AI100" i="9"/>
  <c r="AK96" i="9"/>
  <c r="AK186" i="9" s="1"/>
  <c r="M60" i="1"/>
  <c r="R40" i="1"/>
  <c r="M40" i="1"/>
  <c r="AI77" i="2"/>
  <c r="AI84" i="2" s="1"/>
  <c r="Q15" i="15"/>
  <c r="Q37" i="15"/>
  <c r="Q16" i="15"/>
  <c r="H11" i="67"/>
  <c r="DC15" i="20"/>
  <c r="AM157" i="38"/>
  <c r="V7" i="5"/>
  <c r="V103" i="5"/>
  <c r="AX46" i="3"/>
  <c r="AX14" i="3"/>
  <c r="AG77" i="2"/>
  <c r="AG84" i="2" s="1"/>
  <c r="P15" i="15"/>
  <c r="P23" i="15" s="1"/>
  <c r="P37" i="15"/>
  <c r="P16" i="15"/>
  <c r="DB15" i="20"/>
  <c r="G11" i="67"/>
  <c r="AS57" i="9"/>
  <c r="AS55" i="9"/>
  <c r="AS54" i="9"/>
  <c r="AN153" i="1"/>
  <c r="AS134" i="1"/>
  <c r="AO134" i="1"/>
  <c r="C133" i="67"/>
  <c r="C150" i="67" s="1"/>
  <c r="D176" i="67" s="1"/>
  <c r="C92" i="67"/>
  <c r="C51" i="67"/>
  <c r="BT153" i="1"/>
  <c r="BY153" i="1" s="1"/>
  <c r="BY134" i="1"/>
  <c r="BT163" i="1"/>
  <c r="BY163" i="1" s="1"/>
  <c r="AB137" i="38"/>
  <c r="AK133" i="38"/>
  <c r="AD140" i="38"/>
  <c r="AF140" i="38" s="1"/>
  <c r="AD142" i="38"/>
  <c r="AF142" i="38" s="1"/>
  <c r="AK142" i="38"/>
  <c r="AD149" i="38"/>
  <c r="AF149" i="38" s="1"/>
  <c r="N96" i="67"/>
  <c r="N111" i="67"/>
  <c r="N106" i="67"/>
  <c r="N16" i="67"/>
  <c r="N21" i="67" s="1"/>
  <c r="N23" i="67" s="1"/>
  <c r="N38" i="67"/>
  <c r="N26" i="67"/>
  <c r="N31" i="67"/>
  <c r="N70" i="67"/>
  <c r="N55" i="67"/>
  <c r="N65" i="67"/>
  <c r="D21" i="67"/>
  <c r="D23" i="67" s="1"/>
  <c r="D32" i="67"/>
  <c r="AI18" i="38"/>
  <c r="AK17" i="38"/>
  <c r="DF74" i="20"/>
  <c r="L43" i="15"/>
  <c r="L38" i="15"/>
  <c r="L89" i="5"/>
  <c r="L90" i="5" s="1"/>
  <c r="N325" i="38"/>
  <c r="P325" i="38" s="1"/>
  <c r="CF161" i="1"/>
  <c r="CK132" i="1"/>
  <c r="CF136" i="1"/>
  <c r="CF137" i="1"/>
  <c r="CG132" i="1"/>
  <c r="CF151" i="1"/>
  <c r="CF138" i="1"/>
  <c r="N41" i="1"/>
  <c r="I41" i="1"/>
  <c r="AM174" i="9"/>
  <c r="T101" i="5"/>
  <c r="T14" i="5"/>
  <c r="S7" i="5"/>
  <c r="AI46" i="20"/>
  <c r="AI58" i="20"/>
  <c r="AN58" i="20"/>
  <c r="AI24" i="20"/>
  <c r="AI36" i="20"/>
  <c r="M77" i="1"/>
  <c r="R77" i="1"/>
  <c r="L33" i="1"/>
  <c r="W303" i="38"/>
  <c r="W310" i="38"/>
  <c r="CO153" i="1"/>
  <c r="CN157" i="1"/>
  <c r="S12" i="5"/>
  <c r="S103" i="5"/>
  <c r="S100" i="5"/>
  <c r="T11" i="5"/>
  <c r="H36" i="9"/>
  <c r="BM116" i="1"/>
  <c r="BL134" i="1"/>
  <c r="BM106" i="1"/>
  <c r="BN106" i="1"/>
  <c r="BL110" i="1"/>
  <c r="BR106" i="1"/>
  <c r="BL108" i="1"/>
  <c r="AI16" i="9"/>
  <c r="AF119" i="10"/>
  <c r="AF126" i="10"/>
  <c r="AB144" i="38"/>
  <c r="N311" i="38"/>
  <c r="P311" i="38" s="1"/>
  <c r="I89" i="1"/>
  <c r="N89" i="1"/>
  <c r="M31" i="67"/>
  <c r="M26" i="67"/>
  <c r="M16" i="67"/>
  <c r="BT138" i="1"/>
  <c r="AM325" i="38"/>
  <c r="D137" i="67"/>
  <c r="D174" i="67"/>
  <c r="D161" i="67"/>
  <c r="BW60" i="20"/>
  <c r="BW50" i="20"/>
  <c r="CB74" i="20" s="1"/>
  <c r="CB60" i="20"/>
  <c r="I132" i="1"/>
  <c r="D151" i="1"/>
  <c r="BU50" i="20"/>
  <c r="BZ74" i="20" s="1"/>
  <c r="BZ60" i="20"/>
  <c r="DE14" i="20"/>
  <c r="DE53" i="20"/>
  <c r="DF53" i="20"/>
  <c r="N44" i="15"/>
  <c r="N51" i="15"/>
  <c r="N47" i="15"/>
  <c r="N59" i="15"/>
  <c r="CT15" i="20"/>
  <c r="BE48" i="2"/>
  <c r="CG60" i="1"/>
  <c r="CH60" i="1"/>
  <c r="Q76" i="15"/>
  <c r="Q25" i="15"/>
  <c r="DC16" i="20"/>
  <c r="R76" i="15"/>
  <c r="AK108" i="38"/>
  <c r="AM108" i="38" s="1"/>
  <c r="AD108" i="38"/>
  <c r="AF108" i="38" s="1"/>
  <c r="C93" i="67"/>
  <c r="D118" i="67" s="1"/>
  <c r="C109" i="67"/>
  <c r="N217" i="38"/>
  <c r="P217" i="38" s="1"/>
  <c r="AF70" i="10"/>
  <c r="AF77" i="10"/>
  <c r="W323" i="38"/>
  <c r="AF96" i="9"/>
  <c r="CB59" i="20"/>
  <c r="G51" i="67"/>
  <c r="G92" i="67"/>
  <c r="G133" i="67"/>
  <c r="U177" i="38"/>
  <c r="AI177" i="38"/>
  <c r="AR175" i="9"/>
  <c r="CZ74" i="20"/>
  <c r="AM61" i="9"/>
  <c r="AK65" i="9"/>
  <c r="V72" i="5"/>
  <c r="DH74" i="20"/>
  <c r="BE43" i="2"/>
  <c r="AZ39" i="3"/>
  <c r="AD19" i="9"/>
  <c r="AF19" i="9" s="1"/>
  <c r="AK19" i="9"/>
  <c r="BE165" i="1"/>
  <c r="AS56" i="9"/>
  <c r="CX45" i="20"/>
  <c r="CX12" i="20"/>
  <c r="CX57" i="20"/>
  <c r="CY57" i="20"/>
  <c r="CX21" i="20"/>
  <c r="G68" i="67"/>
  <c r="T35" i="15"/>
  <c r="DF11" i="20"/>
  <c r="DG57" i="20" s="1"/>
  <c r="K12" i="67"/>
  <c r="AK119" i="1"/>
  <c r="AP109" i="1"/>
  <c r="AK109" i="1"/>
  <c r="T151" i="1"/>
  <c r="U132" i="1"/>
  <c r="Y132" i="1"/>
  <c r="AC40" i="1"/>
  <c r="AD40" i="1"/>
  <c r="AB44" i="1"/>
  <c r="AC60" i="1"/>
  <c r="AI222" i="38"/>
  <c r="U222" i="38"/>
  <c r="W287" i="38"/>
  <c r="W294" i="38"/>
  <c r="Q118" i="1"/>
  <c r="Q108" i="1"/>
  <c r="AD107" i="38"/>
  <c r="AF107" i="38" s="1"/>
  <c r="AK107" i="38"/>
  <c r="AM107" i="38" s="1"/>
  <c r="M15" i="5"/>
  <c r="CY75" i="20"/>
  <c r="M97" i="5"/>
  <c r="M99" i="5"/>
  <c r="BE166" i="1"/>
  <c r="BI166" i="1"/>
  <c r="AQ50" i="20"/>
  <c r="AV60" i="20"/>
  <c r="BZ14" i="1"/>
  <c r="T74" i="5"/>
  <c r="R72" i="5"/>
  <c r="DD74" i="20"/>
  <c r="AB77" i="38"/>
  <c r="AD84" i="38" s="1"/>
  <c r="AF84" i="38" s="1"/>
  <c r="AB73" i="38"/>
  <c r="BD11" i="3"/>
  <c r="BD80" i="3" s="1"/>
  <c r="BD78" i="3" s="1"/>
  <c r="BD81" i="3" s="1"/>
  <c r="G13" i="72"/>
  <c r="C52" i="67"/>
  <c r="C68" i="67"/>
  <c r="L51" i="67"/>
  <c r="L92" i="67"/>
  <c r="L133" i="67"/>
  <c r="DB12" i="20"/>
  <c r="DB45" i="20"/>
  <c r="M89" i="1"/>
  <c r="R89" i="1"/>
  <c r="H65" i="9"/>
  <c r="AF28" i="10"/>
  <c r="AF35" i="10"/>
  <c r="AM106" i="38"/>
  <c r="H7" i="15"/>
  <c r="H15" i="15" s="1"/>
  <c r="H16" i="5"/>
  <c r="G9" i="68"/>
  <c r="AD21" i="38"/>
  <c r="AF21" i="38" s="1"/>
  <c r="AK21" i="38"/>
  <c r="AM56" i="9"/>
  <c r="AM63" i="9"/>
  <c r="M180" i="67"/>
  <c r="M178" i="67" s="1"/>
  <c r="M168" i="67" s="1"/>
  <c r="M127" i="67" s="1"/>
  <c r="M122" i="67"/>
  <c r="M181" i="67" s="1"/>
  <c r="K161" i="67"/>
  <c r="K137" i="67"/>
  <c r="AF163" i="9"/>
  <c r="P163" i="9"/>
  <c r="AM70" i="38"/>
  <c r="AD89" i="1"/>
  <c r="AH89" i="1"/>
  <c r="AC89" i="1"/>
  <c r="AK58" i="9"/>
  <c r="H142" i="9"/>
  <c r="C161" i="67"/>
  <c r="C137" i="67"/>
  <c r="O41" i="5"/>
  <c r="CZ65" i="20"/>
  <c r="BP153" i="1"/>
  <c r="BP163" i="1"/>
  <c r="BU163" i="1" s="1"/>
  <c r="BP138" i="1"/>
  <c r="BU134" i="1"/>
  <c r="BP136" i="1"/>
  <c r="H67" i="38"/>
  <c r="BN29" i="20"/>
  <c r="BN48" i="20"/>
  <c r="BN47" i="20"/>
  <c r="G18" i="67"/>
  <c r="DB26" i="20"/>
  <c r="D33" i="1"/>
  <c r="J77" i="1"/>
  <c r="E77" i="1"/>
  <c r="G43" i="15"/>
  <c r="G38" i="15"/>
  <c r="AD85" i="38"/>
  <c r="AF85" i="38" s="1"/>
  <c r="AK85" i="38"/>
  <c r="AM85" i="38" s="1"/>
  <c r="H22" i="9"/>
  <c r="P111" i="9"/>
  <c r="AF111" i="9"/>
  <c r="R34" i="15"/>
  <c r="AH11" i="3"/>
  <c r="AH80" i="3" s="1"/>
  <c r="AH78" i="3" s="1"/>
  <c r="AH81" i="3" s="1"/>
  <c r="BQ78" i="1"/>
  <c r="BR78" i="1"/>
  <c r="AJ154" i="1"/>
  <c r="AK135" i="1"/>
  <c r="AO135" i="1"/>
  <c r="W114" i="38"/>
  <c r="W121" i="38"/>
  <c r="N80" i="1"/>
  <c r="I80" i="1"/>
  <c r="AW108" i="1"/>
  <c r="AW118" i="1"/>
  <c r="BB108" i="1"/>
  <c r="DI50" i="20"/>
  <c r="DI60" i="20"/>
  <c r="D51" i="9"/>
  <c r="L37" i="67"/>
  <c r="L132" i="67"/>
  <c r="L50" i="67"/>
  <c r="L91" i="67"/>
  <c r="L30" i="67"/>
  <c r="L13" i="67"/>
  <c r="M37" i="67"/>
  <c r="BK29" i="20"/>
  <c r="BK47" i="20"/>
  <c r="BK48" i="20"/>
  <c r="CU56" i="20"/>
  <c r="CU21" i="20"/>
  <c r="CU41" i="20"/>
  <c r="R35" i="1"/>
  <c r="M35" i="1"/>
  <c r="AK92" i="38"/>
  <c r="AK95" i="38" s="1"/>
  <c r="AD92" i="38"/>
  <c r="AF92" i="38" s="1"/>
  <c r="AD99" i="38"/>
  <c r="AF99" i="38" s="1"/>
  <c r="BT136" i="1"/>
  <c r="O70" i="67"/>
  <c r="O55" i="67"/>
  <c r="O77" i="67"/>
  <c r="O65" i="67"/>
  <c r="BD57" i="20"/>
  <c r="BD45" i="20"/>
  <c r="BC29" i="20"/>
  <c r="BC47" i="20"/>
  <c r="BC48" i="20"/>
  <c r="W158" i="38"/>
  <c r="W165" i="38"/>
  <c r="M51" i="15"/>
  <c r="M47" i="15"/>
  <c r="M44" i="15"/>
  <c r="U77" i="1"/>
  <c r="Z77" i="1"/>
  <c r="V77" i="1"/>
  <c r="T33" i="1"/>
  <c r="J23" i="15"/>
  <c r="AO119" i="1"/>
  <c r="AO109" i="1"/>
  <c r="AT109" i="1"/>
  <c r="X72" i="5"/>
  <c r="DJ74" i="20"/>
  <c r="CB18" i="20"/>
  <c r="CL58" i="1"/>
  <c r="CN58" i="1"/>
  <c r="CK58" i="1"/>
  <c r="CJ42" i="1"/>
  <c r="CJ60" i="1"/>
  <c r="W147" i="9"/>
  <c r="W216" i="38"/>
  <c r="U217" i="38"/>
  <c r="N142" i="38"/>
  <c r="P142" i="38" s="1"/>
  <c r="U135" i="38"/>
  <c r="N135" i="38"/>
  <c r="P135" i="38" s="1"/>
  <c r="AF110" i="9"/>
  <c r="P77" i="20"/>
  <c r="AB75" i="9"/>
  <c r="AB71" i="9"/>
  <c r="DH57" i="20"/>
  <c r="DG45" i="20"/>
  <c r="DG12" i="20"/>
  <c r="AI30" i="9"/>
  <c r="L132" i="1"/>
  <c r="M114" i="1"/>
  <c r="M104" i="1"/>
  <c r="R104" i="1"/>
  <c r="D58" i="9"/>
  <c r="H48" i="20"/>
  <c r="H29" i="20"/>
  <c r="H47" i="20"/>
  <c r="T46" i="5"/>
  <c r="DE69" i="20"/>
  <c r="AS64" i="9"/>
  <c r="AS63" i="9"/>
  <c r="AS62" i="9"/>
  <c r="C44" i="72"/>
  <c r="D107" i="9"/>
  <c r="H107" i="9" s="1"/>
  <c r="AK110" i="1"/>
  <c r="AK120" i="1"/>
  <c r="AP110" i="1"/>
  <c r="D41" i="1"/>
  <c r="D105" i="1"/>
  <c r="E85" i="1"/>
  <c r="J85" i="1"/>
  <c r="D65" i="1"/>
  <c r="D89" i="1"/>
  <c r="AM267" i="38"/>
  <c r="AM274" i="38"/>
  <c r="AK269" i="38"/>
  <c r="AM269" i="38" s="1"/>
  <c r="AB108" i="1"/>
  <c r="AB132" i="1"/>
  <c r="AC114" i="1"/>
  <c r="AC104" i="1"/>
  <c r="AB109" i="1"/>
  <c r="AD104" i="1"/>
  <c r="AB110" i="1"/>
  <c r="AH104" i="1"/>
  <c r="R85" i="10"/>
  <c r="AD64" i="20" s="1"/>
  <c r="AI85" i="10"/>
  <c r="CZ47" i="20"/>
  <c r="CZ29" i="20"/>
  <c r="CZ48" i="20"/>
  <c r="D34" i="15"/>
  <c r="D35" i="15" s="1"/>
  <c r="M78" i="1"/>
  <c r="CN165" i="1"/>
  <c r="CN155" i="1"/>
  <c r="CO136" i="1"/>
  <c r="W148" i="38"/>
  <c r="Q68" i="1"/>
  <c r="AT46" i="20"/>
  <c r="AT36" i="20"/>
  <c r="AT50" i="20" s="1"/>
  <c r="AT24" i="20"/>
  <c r="N180" i="67"/>
  <c r="N178" i="67" s="1"/>
  <c r="N168" i="67" s="1"/>
  <c r="N122" i="67"/>
  <c r="N181" i="67" s="1"/>
  <c r="AI23" i="9"/>
  <c r="M32" i="1"/>
  <c r="L86" i="1"/>
  <c r="R32" i="1"/>
  <c r="L36" i="1"/>
  <c r="CV14" i="20"/>
  <c r="CV53" i="20"/>
  <c r="CV45" i="20"/>
  <c r="I52" i="1"/>
  <c r="H86" i="1"/>
  <c r="N32" i="1"/>
  <c r="H34" i="1"/>
  <c r="I32" i="1"/>
  <c r="H36" i="1"/>
  <c r="AV152" i="1"/>
  <c r="AV136" i="1"/>
  <c r="AW133" i="1"/>
  <c r="AV137" i="1"/>
  <c r="BA137" i="1" s="1"/>
  <c r="BA133" i="1"/>
  <c r="AV138" i="1"/>
  <c r="BA138" i="1" s="1"/>
  <c r="CO163" i="1"/>
  <c r="H57" i="9"/>
  <c r="AB126" i="38"/>
  <c r="AB122" i="38"/>
  <c r="K41" i="15"/>
  <c r="K12" i="15"/>
  <c r="K22" i="15"/>
  <c r="K18" i="15"/>
  <c r="K37" i="15"/>
  <c r="K8" i="15"/>
  <c r="K35" i="15"/>
  <c r="CW8" i="20"/>
  <c r="CW41" i="20" s="1"/>
  <c r="L8" i="15"/>
  <c r="V60" i="1"/>
  <c r="U60" i="1"/>
  <c r="AI39" i="38"/>
  <c r="AX46" i="20"/>
  <c r="AX36" i="20"/>
  <c r="AX50" i="20" s="1"/>
  <c r="AX24" i="20"/>
  <c r="K35" i="67"/>
  <c r="J35" i="67"/>
  <c r="J10" i="67"/>
  <c r="J127" i="67"/>
  <c r="J45" i="67"/>
  <c r="J86" i="67"/>
  <c r="M109" i="67"/>
  <c r="M156" i="67" s="1"/>
  <c r="M93" i="67"/>
  <c r="Q69" i="1"/>
  <c r="O38" i="15"/>
  <c r="O43" i="15"/>
  <c r="O89" i="5"/>
  <c r="O90" i="5" s="1"/>
  <c r="Q44" i="1"/>
  <c r="CW56" i="20"/>
  <c r="CX56" i="20"/>
  <c r="BK60" i="20"/>
  <c r="BK50" i="20"/>
  <c r="M68" i="67"/>
  <c r="M154" i="67" s="1"/>
  <c r="M52" i="67"/>
  <c r="N77" i="67" s="1"/>
  <c r="AM72" i="38"/>
  <c r="AM79" i="38"/>
  <c r="Q110" i="1"/>
  <c r="Q120" i="1"/>
  <c r="BH50" i="20"/>
  <c r="BH60" i="20"/>
  <c r="AF140" i="9"/>
  <c r="P140" i="9"/>
  <c r="L169" i="67"/>
  <c r="L75" i="67"/>
  <c r="L116" i="67"/>
  <c r="L177" i="67"/>
  <c r="L178" i="67" s="1"/>
  <c r="L121" i="67"/>
  <c r="L122" i="67" s="1"/>
  <c r="L80" i="67"/>
  <c r="L81" i="67" s="1"/>
  <c r="BE14" i="2"/>
  <c r="BB12" i="3"/>
  <c r="AR64" i="38"/>
  <c r="AR66" i="38"/>
  <c r="AR63" i="38"/>
  <c r="L85" i="10"/>
  <c r="L92" i="10"/>
  <c r="AB20" i="10"/>
  <c r="AD19" i="10"/>
  <c r="Z20" i="9"/>
  <c r="AB20" i="9" s="1"/>
  <c r="Z22" i="38"/>
  <c r="AB22" i="38" s="1"/>
  <c r="AM318" i="38"/>
  <c r="AJ136" i="1"/>
  <c r="AO133" i="1"/>
  <c r="AJ138" i="1"/>
  <c r="AJ152" i="1"/>
  <c r="AJ137" i="1"/>
  <c r="AO48" i="20"/>
  <c r="AO47" i="20"/>
  <c r="AO29" i="20"/>
  <c r="D44" i="9"/>
  <c r="Z49" i="20"/>
  <c r="Z31" i="20"/>
  <c r="U196" i="38"/>
  <c r="W199" i="38"/>
  <c r="U244" i="38"/>
  <c r="N244" i="38"/>
  <c r="P244" i="38" s="1"/>
  <c r="Y46" i="20"/>
  <c r="Y24" i="20"/>
  <c r="Y58" i="20"/>
  <c r="Y36" i="20"/>
  <c r="D86" i="1"/>
  <c r="D90" i="1" s="1"/>
  <c r="J32" i="1"/>
  <c r="E32" i="1"/>
  <c r="E96" i="1"/>
  <c r="E52" i="1"/>
  <c r="Q13" i="65"/>
  <c r="Y13" i="65" s="1"/>
  <c r="BM36" i="20"/>
  <c r="BM24" i="20"/>
  <c r="BM46" i="20"/>
  <c r="Q30" i="65" s="1"/>
  <c r="Y30" i="65" s="1"/>
  <c r="BM58" i="20"/>
  <c r="Q39" i="65" s="1"/>
  <c r="Y39" i="65" s="1"/>
  <c r="I65" i="1"/>
  <c r="G153" i="67"/>
  <c r="N98" i="67"/>
  <c r="N57" i="67"/>
  <c r="N32" i="67"/>
  <c r="N164" i="67" s="1"/>
  <c r="N162" i="67" s="1"/>
  <c r="AM128" i="38"/>
  <c r="BR47" i="20"/>
  <c r="BR48" i="20"/>
  <c r="BR29" i="20"/>
  <c r="R43" i="10"/>
  <c r="AI43" i="10"/>
  <c r="H78" i="1"/>
  <c r="CF154" i="1"/>
  <c r="CG135" i="1"/>
  <c r="CF164" i="1"/>
  <c r="CK135" i="1"/>
  <c r="AI162" i="10"/>
  <c r="R162" i="10"/>
  <c r="CF64" i="20" s="1"/>
  <c r="AK93" i="9"/>
  <c r="AM89" i="9"/>
  <c r="H50" i="9"/>
  <c r="BR88" i="1"/>
  <c r="BM88" i="1"/>
  <c r="AF86" i="38"/>
  <c r="D46" i="38"/>
  <c r="H46" i="38" s="1"/>
  <c r="AK86" i="9"/>
  <c r="AK155" i="38"/>
  <c r="AD162" i="38"/>
  <c r="AF162" i="38" s="1"/>
  <c r="AD155" i="38"/>
  <c r="AF155" i="38" s="1"/>
  <c r="W201" i="38"/>
  <c r="W208" i="38"/>
  <c r="T36" i="1"/>
  <c r="AP24" i="1"/>
  <c r="AT24" i="1"/>
  <c r="AM295" i="38"/>
  <c r="AK297" i="38"/>
  <c r="AM304" i="38" s="1"/>
  <c r="AM302" i="38"/>
  <c r="AK187" i="9"/>
  <c r="AM125" i="9"/>
  <c r="AM118" i="9"/>
  <c r="D60" i="38"/>
  <c r="H60" i="38" s="1"/>
  <c r="D53" i="38"/>
  <c r="H53" i="38" s="1"/>
  <c r="I50" i="67"/>
  <c r="I132" i="67"/>
  <c r="I91" i="67"/>
  <c r="I30" i="67"/>
  <c r="I37" i="67"/>
  <c r="I13" i="67"/>
  <c r="AX108" i="1"/>
  <c r="AS108" i="1"/>
  <c r="AS118" i="1"/>
  <c r="BU29" i="20"/>
  <c r="BU48" i="20"/>
  <c r="BU47" i="20"/>
  <c r="BA36" i="20"/>
  <c r="BA58" i="20"/>
  <c r="BA46" i="20"/>
  <c r="BA24" i="20"/>
  <c r="BF58" i="20"/>
  <c r="AD147" i="38"/>
  <c r="AF147" i="38" s="1"/>
  <c r="AK147" i="38"/>
  <c r="AB151" i="38"/>
  <c r="S43" i="15"/>
  <c r="AF43" i="15" s="1"/>
  <c r="S38" i="15"/>
  <c r="S89" i="5"/>
  <c r="F36" i="20"/>
  <c r="F24" i="20"/>
  <c r="F46" i="20"/>
  <c r="K58" i="20"/>
  <c r="AT108" i="1"/>
  <c r="AO108" i="1"/>
  <c r="AO118" i="1"/>
  <c r="D51" i="5"/>
  <c r="D52" i="5" s="1"/>
  <c r="E18" i="5"/>
  <c r="E40" i="5" s="1"/>
  <c r="J29" i="9"/>
  <c r="J31" i="38"/>
  <c r="D68" i="5"/>
  <c r="D69" i="5" s="1"/>
  <c r="X103" i="5"/>
  <c r="X100" i="5"/>
  <c r="P137" i="1"/>
  <c r="P152" i="1"/>
  <c r="P138" i="1"/>
  <c r="P136" i="1"/>
  <c r="E62" i="5"/>
  <c r="E16" i="5"/>
  <c r="F16" i="5"/>
  <c r="E90" i="5"/>
  <c r="W309" i="38"/>
  <c r="W302" i="38"/>
  <c r="AM296" i="38"/>
  <c r="AM303" i="38"/>
  <c r="D135" i="9"/>
  <c r="F135" i="9"/>
  <c r="AD114" i="38"/>
  <c r="AF114" i="38" s="1"/>
  <c r="AK114" i="38"/>
  <c r="R95" i="67"/>
  <c r="R136" i="67"/>
  <c r="R54" i="67"/>
  <c r="K111" i="67"/>
  <c r="K96" i="67"/>
  <c r="W118" i="9"/>
  <c r="H29" i="9"/>
  <c r="AR65" i="38"/>
  <c r="BI45" i="20"/>
  <c r="BN57" i="20"/>
  <c r="BI57" i="20"/>
  <c r="BI12" i="20"/>
  <c r="U210" i="38"/>
  <c r="W213" i="38"/>
  <c r="W206" i="38"/>
  <c r="AM145" i="9"/>
  <c r="AM152" i="9"/>
  <c r="AK149" i="9"/>
  <c r="AM149" i="9" s="1"/>
  <c r="BD58" i="20"/>
  <c r="BD46" i="20"/>
  <c r="BD36" i="20"/>
  <c r="BD24" i="20"/>
  <c r="AF63" i="9"/>
  <c r="CC24" i="20"/>
  <c r="CC58" i="20"/>
  <c r="CH58" i="20"/>
  <c r="CC46" i="20"/>
  <c r="CC36" i="20"/>
  <c r="E99" i="1"/>
  <c r="E35" i="1"/>
  <c r="J35" i="1"/>
  <c r="U72" i="5"/>
  <c r="DG74" i="20"/>
  <c r="P132" i="9"/>
  <c r="AB11" i="3"/>
  <c r="AB80" i="3" s="1"/>
  <c r="AB78" i="3" s="1"/>
  <c r="AB81" i="3" s="1"/>
  <c r="O35" i="15"/>
  <c r="F12" i="67"/>
  <c r="DA11" i="20"/>
  <c r="Q70" i="1"/>
  <c r="AM294" i="38"/>
  <c r="AM287" i="38"/>
  <c r="B34" i="15"/>
  <c r="B35" i="15" s="1"/>
  <c r="E78" i="1"/>
  <c r="J78" i="1"/>
  <c r="AW120" i="1"/>
  <c r="AW110" i="1"/>
  <c r="BB110" i="1"/>
  <c r="H37" i="9"/>
  <c r="AR46" i="20"/>
  <c r="AR36" i="20"/>
  <c r="AR24" i="20"/>
  <c r="AW58" i="20"/>
  <c r="AR58" i="20"/>
  <c r="CZ60" i="20"/>
  <c r="CZ50" i="20"/>
  <c r="BQ108" i="1"/>
  <c r="BQ118" i="1"/>
  <c r="BV108" i="1"/>
  <c r="AL90" i="1"/>
  <c r="AG90" i="1"/>
  <c r="AM200" i="38"/>
  <c r="AM207" i="38"/>
  <c r="AK203" i="38"/>
  <c r="AK84" i="38"/>
  <c r="AM91" i="38" s="1"/>
  <c r="AI88" i="38"/>
  <c r="W301" i="38"/>
  <c r="U304" i="38"/>
  <c r="AF59" i="38"/>
  <c r="W314" i="38"/>
  <c r="U318" i="38"/>
  <c r="AX109" i="1"/>
  <c r="AS119" i="1"/>
  <c r="AS109" i="1"/>
  <c r="V31" i="15"/>
  <c r="DG19" i="20"/>
  <c r="U32" i="15"/>
  <c r="AM80" i="2"/>
  <c r="AM82" i="2"/>
  <c r="AM81" i="2"/>
  <c r="CV41" i="20"/>
  <c r="CV56" i="20"/>
  <c r="AK290" i="38"/>
  <c r="AM290" i="38" s="1"/>
  <c r="AM293" i="38"/>
  <c r="AM286" i="38"/>
  <c r="U240" i="38"/>
  <c r="U241" i="38" s="1"/>
  <c r="L241" i="38"/>
  <c r="AL88" i="1"/>
  <c r="AG88" i="1"/>
  <c r="S41" i="15"/>
  <c r="J15" i="67"/>
  <c r="DE23" i="20"/>
  <c r="AB88" i="38"/>
  <c r="AD95" i="38" s="1"/>
  <c r="BR50" i="20"/>
  <c r="AM56" i="38"/>
  <c r="AK60" i="38"/>
  <c r="AM63" i="38"/>
  <c r="P27" i="9"/>
  <c r="DH56" i="20"/>
  <c r="DG41" i="20"/>
  <c r="DG56" i="20"/>
  <c r="DG21" i="20"/>
  <c r="AK154" i="38"/>
  <c r="AB158" i="38"/>
  <c r="AD154" i="38"/>
  <c r="AF154" i="38" s="1"/>
  <c r="W51" i="15"/>
  <c r="W44" i="15"/>
  <c r="AM283" i="38"/>
  <c r="AO120" i="1"/>
  <c r="AO110" i="1"/>
  <c r="AT110" i="1"/>
  <c r="X97" i="5"/>
  <c r="DJ75" i="20"/>
  <c r="W295" i="38"/>
  <c r="W288" i="38"/>
  <c r="CD44" i="1"/>
  <c r="CC44" i="1"/>
  <c r="H30" i="9"/>
  <c r="R64" i="1"/>
  <c r="M64" i="1"/>
  <c r="AJ11" i="3"/>
  <c r="AJ80" i="3" s="1"/>
  <c r="AJ78" i="3" s="1"/>
  <c r="AJ81" i="3" s="1"/>
  <c r="S34" i="15"/>
  <c r="AF34" i="15" s="1"/>
  <c r="BU78" i="1"/>
  <c r="BV78" i="1"/>
  <c r="M60" i="20"/>
  <c r="H50" i="20"/>
  <c r="H60" i="20"/>
  <c r="L71" i="15"/>
  <c r="CX34" i="20" s="1"/>
  <c r="Z34" i="20"/>
  <c r="AR202" i="1"/>
  <c r="Z33" i="20" s="1"/>
  <c r="AV189" i="1"/>
  <c r="AI44" i="9"/>
  <c r="AK107" i="9"/>
  <c r="BQ110" i="1"/>
  <c r="BV110" i="1"/>
  <c r="BQ120" i="1"/>
  <c r="I16" i="5"/>
  <c r="AQ128" i="9"/>
  <c r="AP125" i="9"/>
  <c r="AG89" i="1"/>
  <c r="AL89" i="1"/>
  <c r="CL109" i="1"/>
  <c r="CG119" i="1"/>
  <c r="CG109" i="1"/>
  <c r="CH109" i="1"/>
  <c r="I105" i="1"/>
  <c r="I115" i="1"/>
  <c r="H133" i="1"/>
  <c r="CZ75" i="20"/>
  <c r="N97" i="5"/>
  <c r="N99" i="5"/>
  <c r="O99" i="5"/>
  <c r="K73" i="5"/>
  <c r="K72" i="5"/>
  <c r="CW74" i="20"/>
  <c r="AK189" i="9"/>
  <c r="AM127" i="9"/>
  <c r="W47" i="15"/>
  <c r="DI79" i="20" s="1"/>
  <c r="BR58" i="20"/>
  <c r="AD283" i="38"/>
  <c r="AF283" i="38" s="1"/>
  <c r="AD102" i="38"/>
  <c r="AF102" i="38" s="1"/>
  <c r="K15" i="15"/>
  <c r="AW119" i="1"/>
  <c r="BB109" i="1"/>
  <c r="AW109" i="1"/>
  <c r="DI29" i="20"/>
  <c r="DI47" i="20"/>
  <c r="AD60" i="38"/>
  <c r="BR90" i="1"/>
  <c r="BM90" i="1"/>
  <c r="BN90" i="1"/>
  <c r="BX45" i="20"/>
  <c r="BX57" i="20"/>
  <c r="CC57" i="20"/>
  <c r="BX12" i="20"/>
  <c r="AM134" i="38"/>
  <c r="L65" i="1"/>
  <c r="L41" i="1"/>
  <c r="M85" i="1"/>
  <c r="L105" i="1"/>
  <c r="N105" i="1" s="1"/>
  <c r="R85" i="1"/>
  <c r="AB128" i="9"/>
  <c r="AK124" i="9"/>
  <c r="AD124" i="9"/>
  <c r="AF124" i="9" s="1"/>
  <c r="AD131" i="9"/>
  <c r="AF131" i="9" s="1"/>
  <c r="W82" i="2"/>
  <c r="W81" i="2"/>
  <c r="W80" i="2"/>
  <c r="I51" i="15"/>
  <c r="I44" i="15"/>
  <c r="I47" i="15"/>
  <c r="I31" i="15" s="1"/>
  <c r="I32" i="15" s="1"/>
  <c r="C16" i="5"/>
  <c r="C59" i="5"/>
  <c r="C60" i="5" s="1"/>
  <c r="C62" i="5"/>
  <c r="C63" i="5" s="1"/>
  <c r="C87" i="5" s="1"/>
  <c r="BT166" i="1"/>
  <c r="BU137" i="1"/>
  <c r="W90" i="5"/>
  <c r="S44" i="5"/>
  <c r="DD67" i="20"/>
  <c r="BL31" i="20"/>
  <c r="BL49" i="20"/>
  <c r="AY49" i="20"/>
  <c r="AY31" i="20"/>
  <c r="DE56" i="20"/>
  <c r="DE41" i="20"/>
  <c r="DF56" i="20"/>
  <c r="DD56" i="20"/>
  <c r="DD41" i="20"/>
  <c r="DD21" i="20"/>
  <c r="P20" i="9"/>
  <c r="AR151" i="1"/>
  <c r="AR137" i="1"/>
  <c r="AW137" i="1" s="1"/>
  <c r="AR138" i="1"/>
  <c r="AW138" i="1" s="1"/>
  <c r="AW132" i="1"/>
  <c r="AR136" i="1"/>
  <c r="AS132" i="1"/>
  <c r="R11" i="65"/>
  <c r="Z11" i="65" s="1"/>
  <c r="DA56" i="20"/>
  <c r="R38" i="65" s="1"/>
  <c r="Z38" i="65" s="1"/>
  <c r="DA41" i="20"/>
  <c r="R29" i="65" s="1"/>
  <c r="Z29" i="65" s="1"/>
  <c r="DA21" i="20"/>
  <c r="CD108" i="1"/>
  <c r="BY108" i="1"/>
  <c r="BY118" i="1"/>
  <c r="AK143" i="38"/>
  <c r="AD150" i="38"/>
  <c r="AF150" i="38" s="1"/>
  <c r="AD143" i="38"/>
  <c r="AF143" i="38" s="1"/>
  <c r="W103" i="5"/>
  <c r="AF11" i="5"/>
  <c r="W100" i="5"/>
  <c r="W7" i="5"/>
  <c r="X99" i="5" s="1"/>
  <c r="W12" i="5"/>
  <c r="AK170" i="9"/>
  <c r="AM167" i="9"/>
  <c r="AF61" i="9"/>
  <c r="AB5" i="15"/>
  <c r="AC5" i="15" s="1"/>
  <c r="AD5" i="15" s="1"/>
  <c r="CG152" i="1"/>
  <c r="CK152" i="1"/>
  <c r="S27" i="15"/>
  <c r="DE17" i="20"/>
  <c r="U134" i="38"/>
  <c r="W134" i="38" s="1"/>
  <c r="N134" i="38"/>
  <c r="P134" i="38" s="1"/>
  <c r="AI135" i="9"/>
  <c r="AK133" i="9"/>
  <c r="AK115" i="38"/>
  <c r="AD115" i="38"/>
  <c r="AF115" i="38" s="1"/>
  <c r="E174" i="67"/>
  <c r="E150" i="67"/>
  <c r="E176" i="67" s="1"/>
  <c r="E161" i="67"/>
  <c r="E137" i="67"/>
  <c r="BY135" i="1"/>
  <c r="BT164" i="1"/>
  <c r="BT154" i="1"/>
  <c r="BU135" i="1"/>
  <c r="AD168" i="38"/>
  <c r="AF168" i="38" s="1"/>
  <c r="AD161" i="38"/>
  <c r="AF161" i="38" s="1"/>
  <c r="AB165" i="38"/>
  <c r="AK161" i="38"/>
  <c r="AM65" i="38"/>
  <c r="AK67" i="38"/>
  <c r="W200" i="38"/>
  <c r="W207" i="38"/>
  <c r="U203" i="38"/>
  <c r="D70" i="67"/>
  <c r="D55" i="67"/>
  <c r="D65" i="67"/>
  <c r="D77" i="67"/>
  <c r="D169" i="67" s="1"/>
  <c r="J58" i="20"/>
  <c r="J36" i="20"/>
  <c r="J24" i="20"/>
  <c r="O58" i="20"/>
  <c r="J46" i="20"/>
  <c r="CY49" i="20"/>
  <c r="CY31" i="20"/>
  <c r="AM126" i="9"/>
  <c r="AK188" i="9"/>
  <c r="BU120" i="1"/>
  <c r="BZ110" i="1"/>
  <c r="BU110" i="1"/>
  <c r="CC71" i="20"/>
  <c r="D36" i="1"/>
  <c r="W139" i="9"/>
  <c r="W132" i="9"/>
  <c r="AC90" i="1"/>
  <c r="AH90" i="1"/>
  <c r="AD90" i="1"/>
  <c r="AM113" i="38"/>
  <c r="O31" i="67"/>
  <c r="O26" i="67"/>
  <c r="O40" i="67" s="1"/>
  <c r="O16" i="67"/>
  <c r="O38" i="67"/>
  <c r="L251" i="38"/>
  <c r="L247" i="38"/>
  <c r="AD149" i="9"/>
  <c r="AF149" i="9" s="1"/>
  <c r="AD156" i="9"/>
  <c r="AF156" i="9" s="1"/>
  <c r="S48" i="5"/>
  <c r="DD70" i="20"/>
  <c r="AI71" i="10"/>
  <c r="R71" i="10"/>
  <c r="AB64" i="20" s="1"/>
  <c r="CF163" i="1"/>
  <c r="CF153" i="1"/>
  <c r="CG134" i="1"/>
  <c r="CK134" i="1"/>
  <c r="CL110" i="1"/>
  <c r="CH110" i="1"/>
  <c r="CG110" i="1"/>
  <c r="CG120" i="1"/>
  <c r="AD297" i="38"/>
  <c r="AF297" i="38" s="1"/>
  <c r="J38" i="15"/>
  <c r="J43" i="15"/>
  <c r="J89" i="5"/>
  <c r="J90" i="5" s="1"/>
  <c r="O111" i="67"/>
  <c r="O106" i="67"/>
  <c r="O96" i="67"/>
  <c r="O118" i="67"/>
  <c r="AI37" i="9"/>
  <c r="Z83" i="5"/>
  <c r="Y65" i="5"/>
  <c r="Y77" i="5"/>
  <c r="U172" i="38"/>
  <c r="W172" i="38" s="1"/>
  <c r="W169" i="38"/>
  <c r="W176" i="38"/>
  <c r="H132" i="1"/>
  <c r="I114" i="1"/>
  <c r="H109" i="1"/>
  <c r="I104" i="1"/>
  <c r="N104" i="1"/>
  <c r="AK121" i="9"/>
  <c r="CD110" i="1"/>
  <c r="BY120" i="1"/>
  <c r="BY110" i="1"/>
  <c r="Z80" i="1"/>
  <c r="U80" i="1"/>
  <c r="V80" i="1"/>
  <c r="AD176" i="38"/>
  <c r="AF176" i="38" s="1"/>
  <c r="AK176" i="38"/>
  <c r="BN50" i="20"/>
  <c r="BS60" i="20"/>
  <c r="AM136" i="38"/>
  <c r="U325" i="38"/>
  <c r="W321" i="38"/>
  <c r="W328" i="38"/>
  <c r="K21" i="67"/>
  <c r="K23" i="67" s="1"/>
  <c r="K32" i="67"/>
  <c r="AI51" i="9"/>
  <c r="AK50" i="9"/>
  <c r="T105" i="1"/>
  <c r="U85" i="1"/>
  <c r="T41" i="1"/>
  <c r="V85" i="1"/>
  <c r="Z85" i="1"/>
  <c r="D58" i="20" s="1"/>
  <c r="T89" i="1"/>
  <c r="W322" i="38"/>
  <c r="W329" i="38"/>
  <c r="AM148" i="38"/>
  <c r="AM141" i="38"/>
  <c r="I40" i="1"/>
  <c r="I60" i="1"/>
  <c r="N40" i="1"/>
  <c r="J40" i="1"/>
  <c r="BT156" i="1"/>
  <c r="BY152" i="1"/>
  <c r="BU152" i="1"/>
  <c r="AI53" i="38"/>
  <c r="AK52" i="38"/>
  <c r="BC50" i="20"/>
  <c r="J104" i="1"/>
  <c r="V21" i="10"/>
  <c r="AU22" i="9"/>
  <c r="L26" i="9"/>
  <c r="L22" i="9"/>
  <c r="BM117" i="1"/>
  <c r="BM107" i="1"/>
  <c r="BL135" i="1"/>
  <c r="BR107" i="1"/>
  <c r="BG49" i="20"/>
  <c r="BG31" i="20"/>
  <c r="CG162" i="1"/>
  <c r="CK162" i="1"/>
  <c r="AK110" i="9"/>
  <c r="E37" i="15"/>
  <c r="AB109" i="38"/>
  <c r="AD109" i="38" s="1"/>
  <c r="AF109" i="38" s="1"/>
  <c r="N203" i="38"/>
  <c r="P203" i="38" s="1"/>
  <c r="AN16" i="3"/>
  <c r="AN34" i="3" s="1"/>
  <c r="AN51" i="3" s="1"/>
  <c r="AN54" i="3" s="1"/>
  <c r="L71" i="5"/>
  <c r="L16" i="5"/>
  <c r="D32" i="38"/>
  <c r="H32" i="38" s="1"/>
  <c r="H43" i="9"/>
  <c r="AY132" i="2"/>
  <c r="Y74" i="15"/>
  <c r="E80" i="1"/>
  <c r="J80" i="1"/>
  <c r="AD58" i="20"/>
  <c r="AD36" i="20"/>
  <c r="AD46" i="20"/>
  <c r="AD24" i="20"/>
  <c r="CG108" i="1"/>
  <c r="CG118" i="1"/>
  <c r="CL108" i="1"/>
  <c r="CH108" i="1"/>
  <c r="AD203" i="38"/>
  <c r="AF203" i="38" s="1"/>
  <c r="AD210" i="38"/>
  <c r="AF210" i="38" s="1"/>
  <c r="O45" i="5"/>
  <c r="CZ68" i="20"/>
  <c r="J254" i="38"/>
  <c r="W21" i="20"/>
  <c r="W40" i="20"/>
  <c r="AM289" i="38"/>
  <c r="AM282" i="38"/>
  <c r="AD91" i="38"/>
  <c r="AF91" i="38" s="1"/>
  <c r="T51" i="15"/>
  <c r="T44" i="15"/>
  <c r="CN167" i="1"/>
  <c r="CO138" i="1"/>
  <c r="C13" i="67"/>
  <c r="CG44" i="1"/>
  <c r="CH44" i="1"/>
  <c r="U38" i="15"/>
  <c r="U43" i="15"/>
  <c r="U89" i="5"/>
  <c r="U90" i="5" s="1"/>
  <c r="AL46" i="20"/>
  <c r="AL24" i="20"/>
  <c r="AL58" i="20"/>
  <c r="AL36" i="20"/>
  <c r="AQ60" i="20" s="1"/>
  <c r="AD127" i="9"/>
  <c r="AF127" i="9" s="1"/>
  <c r="AD120" i="9"/>
  <c r="N64" i="1"/>
  <c r="I64" i="1"/>
  <c r="H69" i="1"/>
  <c r="BI40" i="20"/>
  <c r="BI21" i="20"/>
  <c r="BY162" i="1"/>
  <c r="BU162" i="1"/>
  <c r="J30" i="67"/>
  <c r="J132" i="67"/>
  <c r="J91" i="67"/>
  <c r="K37" i="67"/>
  <c r="J37" i="67"/>
  <c r="J50" i="67"/>
  <c r="BW47" i="20"/>
  <c r="BW29" i="20"/>
  <c r="BW49" i="20" s="1"/>
  <c r="BW48" i="20"/>
  <c r="R38" i="15"/>
  <c r="R89" i="5"/>
  <c r="R90" i="5" s="1"/>
  <c r="R43" i="15"/>
  <c r="AS110" i="1"/>
  <c r="AS120" i="1"/>
  <c r="AX110" i="1"/>
  <c r="F50" i="67"/>
  <c r="F132" i="67"/>
  <c r="F37" i="67"/>
  <c r="F30" i="67"/>
  <c r="F91" i="67"/>
  <c r="F13" i="67"/>
  <c r="BX151" i="1"/>
  <c r="BY132" i="1"/>
  <c r="BX161" i="1"/>
  <c r="BX136" i="1"/>
  <c r="BX137" i="1"/>
  <c r="BY137" i="1" s="1"/>
  <c r="CC132" i="1"/>
  <c r="BX138" i="1"/>
  <c r="AM112" i="38"/>
  <c r="S16" i="5"/>
  <c r="S71" i="5"/>
  <c r="AF71" i="5" s="1"/>
  <c r="D62" i="5"/>
  <c r="D63" i="5" s="1"/>
  <c r="D87" i="5" s="1"/>
  <c r="D16" i="5"/>
  <c r="D59" i="5"/>
  <c r="AN152" i="1"/>
  <c r="AS133" i="1"/>
  <c r="AN137" i="1"/>
  <c r="AS137" i="1" s="1"/>
  <c r="AN136" i="1"/>
  <c r="AN138" i="1"/>
  <c r="AS138" i="1" s="1"/>
  <c r="AT24" i="38"/>
  <c r="L28" i="38"/>
  <c r="L24" i="38"/>
  <c r="R120" i="10"/>
  <c r="AI120" i="10"/>
  <c r="Q109" i="1"/>
  <c r="Q119" i="1"/>
  <c r="AM255" i="38"/>
  <c r="AM262" i="38"/>
  <c r="H51" i="67"/>
  <c r="H133" i="67"/>
  <c r="H92" i="67"/>
  <c r="BX46" i="20"/>
  <c r="BX24" i="20"/>
  <c r="BX36" i="20"/>
  <c r="BX58" i="20"/>
  <c r="M52" i="1"/>
  <c r="D96" i="67"/>
  <c r="D111" i="67"/>
  <c r="AF100" i="9"/>
  <c r="W209" i="38"/>
  <c r="AM68" i="9"/>
  <c r="BF49" i="20"/>
  <c r="BF31" i="20"/>
  <c r="BZ108" i="1"/>
  <c r="BU108" i="1"/>
  <c r="BU118" i="1"/>
  <c r="O72" i="5"/>
  <c r="P72" i="5"/>
  <c r="DA74" i="20"/>
  <c r="P58" i="20"/>
  <c r="P46" i="20"/>
  <c r="P24" i="20"/>
  <c r="P36" i="20"/>
  <c r="U58" i="20"/>
  <c r="BZ78" i="1"/>
  <c r="AK118" i="1"/>
  <c r="AP108" i="1"/>
  <c r="AK108" i="1"/>
  <c r="AD67" i="38"/>
  <c r="S42" i="5"/>
  <c r="DD66" i="20"/>
  <c r="AK163" i="9"/>
  <c r="AM163" i="9" s="1"/>
  <c r="AM160" i="9"/>
  <c r="W170" i="9"/>
  <c r="AH88" i="1"/>
  <c r="AC88" i="1"/>
  <c r="AD88" i="1"/>
  <c r="T36" i="20"/>
  <c r="T24" i="20"/>
  <c r="T58" i="20"/>
  <c r="T46" i="20"/>
  <c r="CP32" i="20" l="1"/>
  <c r="CO32" i="20"/>
  <c r="CR32" i="20"/>
  <c r="C36" i="72"/>
  <c r="C38" i="72" s="1"/>
  <c r="H39" i="72" s="1"/>
  <c r="H24" i="72" s="1"/>
  <c r="E13" i="68"/>
  <c r="G13" i="68" s="1"/>
  <c r="H13" i="68" s="1"/>
  <c r="DL32" i="20"/>
  <c r="Q24" i="67"/>
  <c r="CT43" i="1"/>
  <c r="CS43" i="1"/>
  <c r="CR135" i="1"/>
  <c r="CR164" i="1" s="1"/>
  <c r="CT107" i="1"/>
  <c r="W156" i="74"/>
  <c r="AV230" i="38"/>
  <c r="AW230" i="38" s="1"/>
  <c r="J155" i="74"/>
  <c r="J171" i="74" s="1"/>
  <c r="J23" i="74" s="1"/>
  <c r="J12" i="74" s="1"/>
  <c r="J13" i="74" s="1"/>
  <c r="J30" i="74"/>
  <c r="J15" i="74" s="1"/>
  <c r="J38" i="74" s="1"/>
  <c r="W154" i="74"/>
  <c r="I12" i="74"/>
  <c r="I13" i="74" s="1"/>
  <c r="I16" i="74" s="1"/>
  <c r="I24" i="74"/>
  <c r="D60" i="5"/>
  <c r="K23" i="15"/>
  <c r="DF24" i="20"/>
  <c r="DF46" i="20"/>
  <c r="E26" i="67"/>
  <c r="E40" i="67" s="1"/>
  <c r="E31" i="67"/>
  <c r="E16" i="67"/>
  <c r="E38" i="67"/>
  <c r="DH48" i="20"/>
  <c r="DH29" i="20"/>
  <c r="DH47" i="20"/>
  <c r="N112" i="67"/>
  <c r="N165" i="67" s="1"/>
  <c r="E96" i="67"/>
  <c r="E111" i="67"/>
  <c r="E106" i="67"/>
  <c r="E120" i="67" s="1"/>
  <c r="O120" i="67"/>
  <c r="S90" i="5"/>
  <c r="AF89" i="5"/>
  <c r="BP60" i="20"/>
  <c r="BU60" i="20"/>
  <c r="AK144" i="38"/>
  <c r="AM67" i="38"/>
  <c r="AM163" i="38"/>
  <c r="BE30" i="2"/>
  <c r="BE68" i="2"/>
  <c r="BG28" i="2"/>
  <c r="BI28" i="2" s="1"/>
  <c r="BT157" i="1"/>
  <c r="S136" i="67"/>
  <c r="S54" i="67"/>
  <c r="S95" i="67"/>
  <c r="AM164" i="38"/>
  <c r="AD158" i="38"/>
  <c r="AF158" i="38" s="1"/>
  <c r="W217" i="38"/>
  <c r="AM102" i="38"/>
  <c r="AM115" i="38"/>
  <c r="W318" i="38"/>
  <c r="AM114" i="38"/>
  <c r="AR182" i="9"/>
  <c r="U184" i="38"/>
  <c r="W184" i="38" s="1"/>
  <c r="AI184" i="38"/>
  <c r="AU184" i="38"/>
  <c r="S337" i="38"/>
  <c r="AT184" i="38"/>
  <c r="U229" i="38"/>
  <c r="W229" i="38" s="1"/>
  <c r="AI229" i="38"/>
  <c r="CR86" i="1"/>
  <c r="CR90" i="1" s="1"/>
  <c r="AM103" i="9"/>
  <c r="AD151" i="38"/>
  <c r="AF151" i="38" s="1"/>
  <c r="AK109" i="38"/>
  <c r="AM109" i="38" s="1"/>
  <c r="AW47" i="20"/>
  <c r="AW48" i="20"/>
  <c r="AW29" i="20"/>
  <c r="U50" i="20"/>
  <c r="Z60" i="20"/>
  <c r="S31" i="20"/>
  <c r="S49" i="20"/>
  <c r="E48" i="20"/>
  <c r="E47" i="20"/>
  <c r="E29" i="20"/>
  <c r="U47" i="20"/>
  <c r="U48" i="20"/>
  <c r="U29" i="20"/>
  <c r="O47" i="20"/>
  <c r="O48" i="20"/>
  <c r="O29" i="20"/>
  <c r="CG49" i="20"/>
  <c r="CG31" i="20"/>
  <c r="CG59" i="20" s="1"/>
  <c r="AJ29" i="20"/>
  <c r="AJ47" i="20"/>
  <c r="AJ48" i="20"/>
  <c r="AE50" i="20"/>
  <c r="AE60" i="20"/>
  <c r="AE48" i="20"/>
  <c r="AE29" i="20"/>
  <c r="AE47" i="20"/>
  <c r="AJ60" i="20"/>
  <c r="AJ50" i="20"/>
  <c r="R31" i="20"/>
  <c r="R49" i="20"/>
  <c r="BS29" i="20"/>
  <c r="BS48" i="20"/>
  <c r="BS47" i="20"/>
  <c r="AM29" i="20"/>
  <c r="AM47" i="20"/>
  <c r="AM48" i="20"/>
  <c r="BB50" i="20"/>
  <c r="BB60" i="20"/>
  <c r="BG60" i="20"/>
  <c r="AH31" i="20"/>
  <c r="AH49" i="20"/>
  <c r="D20" i="65"/>
  <c r="CF31" i="20"/>
  <c r="CF49" i="20"/>
  <c r="D33" i="65" s="1"/>
  <c r="AM50" i="20"/>
  <c r="AM60" i="20"/>
  <c r="BB29" i="20"/>
  <c r="BB47" i="20"/>
  <c r="BB48" i="20"/>
  <c r="AG29" i="20"/>
  <c r="AG48" i="20"/>
  <c r="AG47" i="20"/>
  <c r="C49" i="20"/>
  <c r="C31" i="20"/>
  <c r="CL8" i="20"/>
  <c r="CJ8" i="20"/>
  <c r="CK8" i="20"/>
  <c r="CM8" i="20"/>
  <c r="F174" i="10"/>
  <c r="CR26" i="1"/>
  <c r="CS26" i="1" s="1"/>
  <c r="CT26" i="1" s="1"/>
  <c r="CR24" i="1"/>
  <c r="Y11" i="15" s="1"/>
  <c r="CJ10" i="20" a="1"/>
  <c r="AM93" i="9"/>
  <c r="CY12" i="1"/>
  <c r="CS52" i="1"/>
  <c r="CS68" i="1"/>
  <c r="CS98" i="1"/>
  <c r="CS14" i="1"/>
  <c r="CS145" i="1"/>
  <c r="Y7" i="15"/>
  <c r="Y15" i="5"/>
  <c r="CS78" i="1"/>
  <c r="CS16" i="1"/>
  <c r="CS70" i="1"/>
  <c r="CS147" i="1"/>
  <c r="CS100" i="1"/>
  <c r="L174" i="10"/>
  <c r="D176" i="10"/>
  <c r="CT32" i="1"/>
  <c r="CJ15" i="20" a="1"/>
  <c r="CY32" i="1"/>
  <c r="CR34" i="1"/>
  <c r="CR36" i="1"/>
  <c r="E65" i="67"/>
  <c r="E79" i="67" s="1"/>
  <c r="E55" i="67"/>
  <c r="E77" i="67"/>
  <c r="E70" i="67"/>
  <c r="AM170" i="9"/>
  <c r="K71" i="67"/>
  <c r="K60" i="67"/>
  <c r="K62" i="67" s="1"/>
  <c r="N60" i="67"/>
  <c r="N62" i="67" s="1"/>
  <c r="M49" i="20"/>
  <c r="M31" i="20"/>
  <c r="R59" i="20" s="1"/>
  <c r="BQ31" i="20"/>
  <c r="BV59" i="20" s="1"/>
  <c r="BQ49" i="20"/>
  <c r="CE31" i="20"/>
  <c r="CE49" i="20"/>
  <c r="AC50" i="20"/>
  <c r="AC60" i="20"/>
  <c r="AH60" i="20"/>
  <c r="AS29" i="20"/>
  <c r="AS48" i="20"/>
  <c r="AS47" i="20"/>
  <c r="DJ60" i="20"/>
  <c r="DJ50" i="20"/>
  <c r="AC47" i="20"/>
  <c r="AC29" i="20"/>
  <c r="AC48" i="20"/>
  <c r="BP47" i="20"/>
  <c r="BP29" i="20"/>
  <c r="BP48" i="20"/>
  <c r="BZ31" i="20"/>
  <c r="BZ49" i="20"/>
  <c r="K47" i="20"/>
  <c r="K48" i="20"/>
  <c r="K29" i="20"/>
  <c r="AB49" i="20"/>
  <c r="AB31" i="20"/>
  <c r="CC73" i="20"/>
  <c r="AS60" i="20"/>
  <c r="AS50" i="20"/>
  <c r="DJ47" i="20"/>
  <c r="DJ48" i="20"/>
  <c r="DJ29" i="20"/>
  <c r="AV48" i="20"/>
  <c r="AV47" i="20"/>
  <c r="AV29" i="20"/>
  <c r="CH49" i="20"/>
  <c r="CH31" i="20"/>
  <c r="E90" i="1"/>
  <c r="CC136" i="1"/>
  <c r="BX165" i="1"/>
  <c r="CC165" i="1" s="1"/>
  <c r="BX155" i="1"/>
  <c r="CC155" i="1" s="1"/>
  <c r="J173" i="67"/>
  <c r="J157" i="67"/>
  <c r="K173" i="67"/>
  <c r="I52" i="15"/>
  <c r="I54" i="15"/>
  <c r="S35" i="15"/>
  <c r="DE11" i="20"/>
  <c r="DF57" i="20" s="1"/>
  <c r="J12" i="67"/>
  <c r="BM50" i="20"/>
  <c r="BM60" i="20"/>
  <c r="AK122" i="38"/>
  <c r="AD122" i="38"/>
  <c r="AF122" i="38" s="1"/>
  <c r="AD129" i="38"/>
  <c r="AF129" i="38" s="1"/>
  <c r="AB123" i="38"/>
  <c r="AD123" i="38" s="1"/>
  <c r="AF123" i="38" s="1"/>
  <c r="AB151" i="1"/>
  <c r="AG132" i="1"/>
  <c r="AB138" i="1"/>
  <c r="AB137" i="1"/>
  <c r="AB136" i="1"/>
  <c r="AC132" i="1"/>
  <c r="L38" i="67"/>
  <c r="L16" i="67"/>
  <c r="L26" i="67"/>
  <c r="L31" i="67"/>
  <c r="BB39" i="3"/>
  <c r="BG43" i="2"/>
  <c r="F69" i="67"/>
  <c r="F76" i="67"/>
  <c r="F52" i="67"/>
  <c r="AD50" i="20"/>
  <c r="AD60" i="20"/>
  <c r="J29" i="20"/>
  <c r="J48" i="20"/>
  <c r="J47" i="20"/>
  <c r="BA60" i="20"/>
  <c r="BA50" i="20"/>
  <c r="BF60" i="20"/>
  <c r="AX29" i="20"/>
  <c r="AX48" i="20"/>
  <c r="AX47" i="20"/>
  <c r="AV156" i="1"/>
  <c r="BA156" i="1" s="1"/>
  <c r="BA152" i="1"/>
  <c r="AV157" i="1"/>
  <c r="BA157" i="1" s="1"/>
  <c r="AW152" i="1"/>
  <c r="AC118" i="1"/>
  <c r="AC108" i="1"/>
  <c r="AH108" i="1"/>
  <c r="AD108" i="1"/>
  <c r="M38" i="67"/>
  <c r="CK161" i="1"/>
  <c r="CG161" i="1"/>
  <c r="U28" i="38"/>
  <c r="N28" i="38"/>
  <c r="P28" i="38" s="1"/>
  <c r="AM210" i="38"/>
  <c r="AM203" i="38"/>
  <c r="AO31" i="20"/>
  <c r="AO49" i="20"/>
  <c r="M96" i="67"/>
  <c r="M106" i="67"/>
  <c r="M111" i="67"/>
  <c r="H9" i="68"/>
  <c r="D142" i="67"/>
  <c r="D144" i="67" s="1"/>
  <c r="D162" i="67"/>
  <c r="B14" i="15"/>
  <c r="E77" i="2"/>
  <c r="E84" i="2" s="1"/>
  <c r="E34" i="1"/>
  <c r="J34" i="1"/>
  <c r="E98" i="1"/>
  <c r="BY151" i="1"/>
  <c r="BX156" i="1"/>
  <c r="CC156" i="1" s="1"/>
  <c r="BX157" i="1"/>
  <c r="CC157" i="1" s="1"/>
  <c r="CC151" i="1"/>
  <c r="S114" i="9"/>
  <c r="U115" i="1"/>
  <c r="T133" i="1"/>
  <c r="U105" i="1"/>
  <c r="Z105" i="1"/>
  <c r="T109" i="1"/>
  <c r="V105" i="1"/>
  <c r="AM276" i="38"/>
  <c r="CG153" i="1"/>
  <c r="CK153" i="1"/>
  <c r="N247" i="38"/>
  <c r="P247" i="38" s="1"/>
  <c r="U247" i="38"/>
  <c r="U248" i="38" s="1"/>
  <c r="AK165" i="38"/>
  <c r="AM161" i="38"/>
  <c r="AM168" i="38"/>
  <c r="AD116" i="38"/>
  <c r="AF116" i="38" s="1"/>
  <c r="AM150" i="38"/>
  <c r="AM143" i="38"/>
  <c r="DD46" i="20"/>
  <c r="DD24" i="20"/>
  <c r="M41" i="1"/>
  <c r="R41" i="1"/>
  <c r="DG46" i="20"/>
  <c r="DG36" i="20"/>
  <c r="DG24" i="20"/>
  <c r="DG58" i="20"/>
  <c r="DH58" i="20"/>
  <c r="J136" i="67"/>
  <c r="J54" i="67"/>
  <c r="J95" i="67"/>
  <c r="CC29" i="20"/>
  <c r="CC47" i="20"/>
  <c r="CC48" i="20"/>
  <c r="BD60" i="20"/>
  <c r="BD50" i="20"/>
  <c r="AM147" i="38"/>
  <c r="AK151" i="38"/>
  <c r="AM151" i="38" s="1"/>
  <c r="I110" i="67"/>
  <c r="I93" i="67"/>
  <c r="BG14" i="2"/>
  <c r="J90" i="67"/>
  <c r="J115" i="67"/>
  <c r="K115" i="67"/>
  <c r="K89" i="5"/>
  <c r="K90" i="5" s="1"/>
  <c r="K43" i="15"/>
  <c r="K38" i="15"/>
  <c r="AF57" i="9"/>
  <c r="I36" i="1"/>
  <c r="N36" i="1"/>
  <c r="I56" i="1"/>
  <c r="CO165" i="1"/>
  <c r="AD110" i="1"/>
  <c r="AH110" i="1"/>
  <c r="AC120" i="1"/>
  <c r="AC110" i="1"/>
  <c r="E115" i="1"/>
  <c r="D133" i="1"/>
  <c r="E105" i="1"/>
  <c r="J105" i="1"/>
  <c r="D109" i="1"/>
  <c r="L76" i="67"/>
  <c r="L69" i="67"/>
  <c r="M76" i="67"/>
  <c r="L52" i="67"/>
  <c r="L65" i="67" s="1"/>
  <c r="BN31" i="20"/>
  <c r="BN49" i="20"/>
  <c r="P41" i="5"/>
  <c r="DA65" i="20"/>
  <c r="AF142" i="9"/>
  <c r="AF65" i="9"/>
  <c r="H13" i="72"/>
  <c r="DF12" i="20"/>
  <c r="DF45" i="20"/>
  <c r="DF36" i="20"/>
  <c r="CX24" i="20"/>
  <c r="CX36" i="20"/>
  <c r="CX46" i="20"/>
  <c r="CY58" i="20"/>
  <c r="AM19" i="9"/>
  <c r="AM65" i="9"/>
  <c r="AC78" i="2"/>
  <c r="Z10" i="3" s="1"/>
  <c r="N54" i="15"/>
  <c r="N52" i="15"/>
  <c r="BG23" i="2"/>
  <c r="BI23" i="2" s="1"/>
  <c r="CO157" i="1"/>
  <c r="CK138" i="1"/>
  <c r="CG138" i="1"/>
  <c r="CF167" i="1"/>
  <c r="AS153" i="1"/>
  <c r="AO153" i="1"/>
  <c r="I33" i="1"/>
  <c r="H87" i="1"/>
  <c r="N33" i="1"/>
  <c r="AF152" i="1"/>
  <c r="AK133" i="1"/>
  <c r="AF138" i="1"/>
  <c r="AK138" i="1" s="1"/>
  <c r="AF137" i="1"/>
  <c r="AK137" i="1" s="1"/>
  <c r="AG133" i="1"/>
  <c r="AF136" i="1"/>
  <c r="T48" i="5"/>
  <c r="DE70" i="20"/>
  <c r="AS151" i="1"/>
  <c r="AR157" i="1"/>
  <c r="AR156" i="1"/>
  <c r="AW151" i="1"/>
  <c r="Y60" i="20"/>
  <c r="Y50" i="20"/>
  <c r="AF107" i="9"/>
  <c r="L151" i="1"/>
  <c r="Q132" i="1"/>
  <c r="N127" i="67"/>
  <c r="M131" i="67"/>
  <c r="M132" i="67"/>
  <c r="M173" i="67" s="1"/>
  <c r="DE21" i="20"/>
  <c r="DE40" i="20"/>
  <c r="V97" i="5"/>
  <c r="DH75" i="20"/>
  <c r="CC161" i="1"/>
  <c r="BY161" i="1"/>
  <c r="X21" i="10"/>
  <c r="Z21" i="10" s="1"/>
  <c r="AB25" i="10"/>
  <c r="AB130" i="38"/>
  <c r="AD137" i="38" s="1"/>
  <c r="AF137" i="38" s="1"/>
  <c r="AD126" i="38"/>
  <c r="AF126" i="38" s="1"/>
  <c r="AK126" i="38"/>
  <c r="AM133" i="38" s="1"/>
  <c r="H51" i="9"/>
  <c r="G51" i="15"/>
  <c r="G44" i="15"/>
  <c r="G47" i="15"/>
  <c r="AD133" i="38"/>
  <c r="AF133" i="38" s="1"/>
  <c r="U86" i="1"/>
  <c r="T106" i="1"/>
  <c r="Z86" i="1"/>
  <c r="E58" i="20" s="1"/>
  <c r="V86" i="1"/>
  <c r="T42" i="1"/>
  <c r="U112" i="9"/>
  <c r="D112" i="9"/>
  <c r="H112" i="9" s="1"/>
  <c r="AI112" i="9"/>
  <c r="AP112" i="9"/>
  <c r="D119" i="9"/>
  <c r="H119" i="9" s="1"/>
  <c r="AK116" i="38"/>
  <c r="F31" i="67"/>
  <c r="F26" i="67"/>
  <c r="F40" i="67" s="1"/>
  <c r="F16" i="67"/>
  <c r="F38" i="67"/>
  <c r="J76" i="67"/>
  <c r="K76" i="67"/>
  <c r="J69" i="67"/>
  <c r="C16" i="67"/>
  <c r="C26" i="67"/>
  <c r="D40" i="67" s="1"/>
  <c r="C31" i="67"/>
  <c r="D38" i="67"/>
  <c r="BC60" i="20"/>
  <c r="V89" i="1"/>
  <c r="U89" i="1"/>
  <c r="Z89" i="1"/>
  <c r="AM57" i="9"/>
  <c r="AK51" i="9"/>
  <c r="AM176" i="38"/>
  <c r="O101" i="67"/>
  <c r="O103" i="67" s="1"/>
  <c r="O112" i="67"/>
  <c r="O165" i="67" s="1"/>
  <c r="CG163" i="1"/>
  <c r="CK163" i="1"/>
  <c r="N251" i="38"/>
  <c r="P251" i="38" s="1"/>
  <c r="U251" i="38"/>
  <c r="E36" i="1"/>
  <c r="E56" i="1"/>
  <c r="E100" i="1"/>
  <c r="J36" i="1"/>
  <c r="AD165" i="38"/>
  <c r="AF165" i="38" s="1"/>
  <c r="AD172" i="38"/>
  <c r="AF172" i="38" s="1"/>
  <c r="E142" i="67"/>
  <c r="E144" i="67" s="1"/>
  <c r="E162" i="67"/>
  <c r="AW136" i="1"/>
  <c r="AR155" i="1"/>
  <c r="AW155" i="1" s="1"/>
  <c r="BQ59" i="20"/>
  <c r="BL59" i="20"/>
  <c r="M65" i="1"/>
  <c r="R65" i="1"/>
  <c r="AK88" i="38"/>
  <c r="AM95" i="38" s="1"/>
  <c r="P156" i="1"/>
  <c r="P157" i="1"/>
  <c r="L35" i="38"/>
  <c r="L31" i="38"/>
  <c r="L32" i="38" s="1"/>
  <c r="AT31" i="38"/>
  <c r="BU31" i="20"/>
  <c r="BU49" i="20"/>
  <c r="I134" i="67"/>
  <c r="I157" i="67"/>
  <c r="AM155" i="38"/>
  <c r="AM162" i="38"/>
  <c r="CK164" i="1"/>
  <c r="CG164" i="1"/>
  <c r="BR31" i="20"/>
  <c r="BR49" i="20"/>
  <c r="N71" i="67"/>
  <c r="N163" i="67" s="1"/>
  <c r="N65" i="1"/>
  <c r="Z23" i="38"/>
  <c r="Z21" i="9"/>
  <c r="AD20" i="10"/>
  <c r="J74" i="67"/>
  <c r="K74" i="67"/>
  <c r="J49" i="67"/>
  <c r="CV21" i="20"/>
  <c r="CV40" i="20"/>
  <c r="J41" i="1"/>
  <c r="E41" i="1"/>
  <c r="L109" i="1"/>
  <c r="W142" i="38"/>
  <c r="W135" i="38"/>
  <c r="O60" i="67"/>
  <c r="O62" i="67" s="1"/>
  <c r="O78" i="67" s="1"/>
  <c r="O71" i="67"/>
  <c r="O163" i="67" s="1"/>
  <c r="L173" i="67"/>
  <c r="L157" i="67"/>
  <c r="L134" i="67"/>
  <c r="L150" i="67" s="1"/>
  <c r="AO154" i="1"/>
  <c r="AK154" i="1"/>
  <c r="E33" i="1"/>
  <c r="E97" i="1"/>
  <c r="D87" i="1"/>
  <c r="J33" i="1"/>
  <c r="AF67" i="38"/>
  <c r="C162" i="67"/>
  <c r="C142" i="67"/>
  <c r="C144" i="67" s="1"/>
  <c r="K162" i="67"/>
  <c r="K142" i="67"/>
  <c r="K144" i="67" s="1"/>
  <c r="W177" i="38"/>
  <c r="AD144" i="38"/>
  <c r="AF144" i="38" s="1"/>
  <c r="BL153" i="1"/>
  <c r="BL163" i="1"/>
  <c r="BM134" i="1"/>
  <c r="BL138" i="1"/>
  <c r="BQ134" i="1"/>
  <c r="BL136" i="1"/>
  <c r="AN60" i="20"/>
  <c r="AI60" i="20"/>
  <c r="AI50" i="20"/>
  <c r="CF157" i="1"/>
  <c r="CG151" i="1"/>
  <c r="CK151" i="1"/>
  <c r="CF156" i="1"/>
  <c r="DC21" i="20"/>
  <c r="DC41" i="20"/>
  <c r="DC56" i="20"/>
  <c r="AG119" i="1"/>
  <c r="AG109" i="1"/>
  <c r="AL109" i="1"/>
  <c r="AS152" i="1"/>
  <c r="AN156" i="1"/>
  <c r="AS156" i="1" s="1"/>
  <c r="AN157" i="1"/>
  <c r="AS157" i="1" s="1"/>
  <c r="CG18" i="20"/>
  <c r="CN42" i="1"/>
  <c r="CP58" i="1"/>
  <c r="CR58" i="1"/>
  <c r="CO58" i="1"/>
  <c r="CN60" i="1"/>
  <c r="M21" i="67"/>
  <c r="M23" i="67" s="1"/>
  <c r="M32" i="67"/>
  <c r="M164" i="67" s="1"/>
  <c r="M162" i="67" s="1"/>
  <c r="L87" i="1"/>
  <c r="M33" i="1"/>
  <c r="R33" i="1"/>
  <c r="AK137" i="38"/>
  <c r="AM144" i="38" s="1"/>
  <c r="AM140" i="38"/>
  <c r="P43" i="15"/>
  <c r="P38" i="15"/>
  <c r="P89" i="5"/>
  <c r="P90" i="5" s="1"/>
  <c r="N24" i="38"/>
  <c r="P24" i="38" s="1"/>
  <c r="L25" i="38"/>
  <c r="N25" i="38" s="1"/>
  <c r="P25" i="38" s="1"/>
  <c r="U24" i="38"/>
  <c r="T54" i="15"/>
  <c r="AO78" i="2"/>
  <c r="AL10" i="3" s="1"/>
  <c r="T52" i="15"/>
  <c r="BY154" i="1"/>
  <c r="BU154" i="1"/>
  <c r="DI49" i="20"/>
  <c r="DI31" i="20"/>
  <c r="H10" i="3"/>
  <c r="H16" i="3" s="1"/>
  <c r="H34" i="3" s="1"/>
  <c r="H51" i="3" s="1"/>
  <c r="H54" i="3" s="1"/>
  <c r="K78" i="2"/>
  <c r="P155" i="1"/>
  <c r="R86" i="1"/>
  <c r="L66" i="1"/>
  <c r="L106" i="1"/>
  <c r="M86" i="1"/>
  <c r="L42" i="1"/>
  <c r="H58" i="9"/>
  <c r="CU46" i="20"/>
  <c r="CU36" i="20"/>
  <c r="CU24" i="20"/>
  <c r="M16" i="5"/>
  <c r="M87" i="5" s="1"/>
  <c r="M71" i="5"/>
  <c r="N16" i="5"/>
  <c r="N87" i="5" s="1"/>
  <c r="S8" i="5"/>
  <c r="S87" i="5"/>
  <c r="S99" i="5"/>
  <c r="S97" i="5"/>
  <c r="DE75" i="20"/>
  <c r="BX29" i="20"/>
  <c r="BX48" i="20"/>
  <c r="BX47" i="20"/>
  <c r="O60" i="20"/>
  <c r="J50" i="20"/>
  <c r="J60" i="20"/>
  <c r="L110" i="67"/>
  <c r="M117" i="67"/>
  <c r="L117" i="67"/>
  <c r="L93" i="67"/>
  <c r="M118" i="67" s="1"/>
  <c r="O47" i="15"/>
  <c r="O59" i="15" s="1"/>
  <c r="O60" i="15" s="1"/>
  <c r="D101" i="67"/>
  <c r="D103" i="67" s="1"/>
  <c r="D112" i="67"/>
  <c r="W78" i="2"/>
  <c r="T10" i="3"/>
  <c r="T16" i="3" s="1"/>
  <c r="T34" i="3" s="1"/>
  <c r="AN155" i="1"/>
  <c r="AS136" i="1"/>
  <c r="CC138" i="1"/>
  <c r="BX167" i="1"/>
  <c r="CC167" i="1" s="1"/>
  <c r="F110" i="67"/>
  <c r="F117" i="67"/>
  <c r="F93" i="67"/>
  <c r="R51" i="15"/>
  <c r="R47" i="15"/>
  <c r="DD79" i="20" s="1"/>
  <c r="R44" i="15"/>
  <c r="BI24" i="20"/>
  <c r="BI36" i="20"/>
  <c r="BI58" i="20"/>
  <c r="BI46" i="20"/>
  <c r="BN58" i="20"/>
  <c r="U44" i="15"/>
  <c r="U51" i="15"/>
  <c r="T47" i="15"/>
  <c r="T59" i="15" s="1"/>
  <c r="U47" i="15"/>
  <c r="DG79" i="20" s="1"/>
  <c r="AK53" i="38"/>
  <c r="AM59" i="38"/>
  <c r="W325" i="38"/>
  <c r="I119" i="1"/>
  <c r="I109" i="1"/>
  <c r="N109" i="1"/>
  <c r="Z176" i="9"/>
  <c r="Z178" i="38" s="1"/>
  <c r="DK71" i="20"/>
  <c r="DK77" i="20" s="1"/>
  <c r="Z65" i="5"/>
  <c r="Z183" i="9" s="1"/>
  <c r="AB182" i="10" s="1"/>
  <c r="Y66" i="5"/>
  <c r="Y62" i="5"/>
  <c r="AM133" i="9"/>
  <c r="AM140" i="9"/>
  <c r="AK135" i="9"/>
  <c r="W99" i="5"/>
  <c r="W97" i="5"/>
  <c r="W87" i="5"/>
  <c r="DI75" i="20"/>
  <c r="BU166" i="1"/>
  <c r="AB34" i="20"/>
  <c r="AV190" i="1"/>
  <c r="L69" i="1"/>
  <c r="M90" i="5"/>
  <c r="BR60" i="20"/>
  <c r="V32" i="15"/>
  <c r="V59" i="15"/>
  <c r="DH19" i="20"/>
  <c r="W31" i="15"/>
  <c r="L34" i="1"/>
  <c r="DA45" i="20"/>
  <c r="DA57" i="20"/>
  <c r="DA12" i="20"/>
  <c r="H135" i="9"/>
  <c r="V28" i="10"/>
  <c r="L29" i="9"/>
  <c r="L30" i="9" s="1"/>
  <c r="AU29" i="9"/>
  <c r="L33" i="9"/>
  <c r="F48" i="20"/>
  <c r="F47" i="20"/>
  <c r="F29" i="20"/>
  <c r="I52" i="67"/>
  <c r="I69" i="67"/>
  <c r="H44" i="9"/>
  <c r="AO137" i="1"/>
  <c r="M70" i="67"/>
  <c r="M55" i="67"/>
  <c r="M65" i="67"/>
  <c r="O51" i="15"/>
  <c r="O44" i="15"/>
  <c r="J131" i="67"/>
  <c r="J168" i="67"/>
  <c r="K168" i="67"/>
  <c r="CX53" i="20"/>
  <c r="CW53" i="20"/>
  <c r="CW45" i="20"/>
  <c r="CW14" i="20"/>
  <c r="G77" i="2"/>
  <c r="G84" i="2" s="1"/>
  <c r="C14" i="15"/>
  <c r="N34" i="1"/>
  <c r="I34" i="1"/>
  <c r="AD109" i="1"/>
  <c r="AC109" i="1"/>
  <c r="AC119" i="1"/>
  <c r="AH109" i="1"/>
  <c r="U46" i="5"/>
  <c r="DF69" i="20"/>
  <c r="CL60" i="1"/>
  <c r="CK60" i="1"/>
  <c r="BC49" i="20"/>
  <c r="BC31" i="20"/>
  <c r="AM99" i="38"/>
  <c r="AM92" i="38"/>
  <c r="S18" i="65"/>
  <c r="AA18" i="65" s="1"/>
  <c r="AH10" i="3"/>
  <c r="BU136" i="1"/>
  <c r="BP155" i="1"/>
  <c r="BP165" i="1"/>
  <c r="N61" i="3"/>
  <c r="N62" i="3" s="1"/>
  <c r="Q118" i="2"/>
  <c r="Q117" i="2"/>
  <c r="H22" i="15"/>
  <c r="H23" i="15" s="1"/>
  <c r="H12" i="15"/>
  <c r="I8" i="15"/>
  <c r="H37" i="15"/>
  <c r="H8" i="15"/>
  <c r="H18" i="15"/>
  <c r="CT8" i="20"/>
  <c r="H41" i="15"/>
  <c r="H35" i="15"/>
  <c r="P61" i="3"/>
  <c r="P62" i="3" s="1"/>
  <c r="C70" i="67"/>
  <c r="C55" i="67"/>
  <c r="AD80" i="38"/>
  <c r="AF80" i="38" s="1"/>
  <c r="AD73" i="38"/>
  <c r="AF73" i="38" s="1"/>
  <c r="AK73" i="38"/>
  <c r="AB74" i="38"/>
  <c r="AD74" i="38" s="1"/>
  <c r="AF74" i="38" s="1"/>
  <c r="W222" i="38"/>
  <c r="AI47" i="20"/>
  <c r="AI29" i="20"/>
  <c r="AI48" i="20"/>
  <c r="N40" i="67"/>
  <c r="AM142" i="38"/>
  <c r="AM149" i="38"/>
  <c r="G50" i="67"/>
  <c r="G91" i="67"/>
  <c r="G37" i="67"/>
  <c r="G132" i="67"/>
  <c r="G30" i="67"/>
  <c r="G13" i="67"/>
  <c r="H132" i="67"/>
  <c r="H30" i="67"/>
  <c r="H37" i="67"/>
  <c r="H91" i="67"/>
  <c r="H50" i="67"/>
  <c r="I76" i="67" s="1"/>
  <c r="H13" i="67"/>
  <c r="I38" i="67" s="1"/>
  <c r="AG120" i="1"/>
  <c r="AG110" i="1"/>
  <c r="AL110" i="1"/>
  <c r="F134" i="67"/>
  <c r="F157" i="67"/>
  <c r="F173" i="67"/>
  <c r="E63" i="5"/>
  <c r="E87" i="5" s="1"/>
  <c r="F63" i="5"/>
  <c r="F87" i="5" s="1"/>
  <c r="I31" i="67"/>
  <c r="I16" i="67"/>
  <c r="J65" i="1"/>
  <c r="E65" i="1"/>
  <c r="D69" i="1"/>
  <c r="D70" i="1"/>
  <c r="BT155" i="1"/>
  <c r="BT165" i="1"/>
  <c r="BY136" i="1"/>
  <c r="AJ10" i="3"/>
  <c r="R35" i="15"/>
  <c r="I12" i="67"/>
  <c r="I26" i="67" s="1"/>
  <c r="DD11" i="20"/>
  <c r="DD36" i="20" s="1"/>
  <c r="AS175" i="9"/>
  <c r="U330" i="38"/>
  <c r="AI330" i="38"/>
  <c r="BX50" i="20"/>
  <c r="BX60" i="20"/>
  <c r="S72" i="5"/>
  <c r="DE74" i="20"/>
  <c r="I69" i="1"/>
  <c r="N69" i="1"/>
  <c r="P45" i="5"/>
  <c r="DA68" i="20"/>
  <c r="J261" i="38"/>
  <c r="V41" i="1"/>
  <c r="U41" i="1"/>
  <c r="Z41" i="1"/>
  <c r="L133" i="1"/>
  <c r="M115" i="1"/>
  <c r="M105" i="1"/>
  <c r="R105" i="1"/>
  <c r="S51" i="15"/>
  <c r="AF51" i="15" s="1"/>
  <c r="S44" i="15"/>
  <c r="S47" i="15"/>
  <c r="DE79" i="20" s="1"/>
  <c r="AD22" i="38"/>
  <c r="AF22" i="38" s="1"/>
  <c r="AK22" i="38"/>
  <c r="AM22" i="38" s="1"/>
  <c r="BR110" i="1"/>
  <c r="BN110" i="1"/>
  <c r="BM120" i="1"/>
  <c r="BM110" i="1"/>
  <c r="BY164" i="1"/>
  <c r="BU164" i="1"/>
  <c r="H152" i="1"/>
  <c r="AM154" i="38"/>
  <c r="AK158" i="38"/>
  <c r="AM158" i="38" s="1"/>
  <c r="Y47" i="20"/>
  <c r="Y29" i="20"/>
  <c r="Y48" i="20"/>
  <c r="AK20" i="9"/>
  <c r="AM20" i="9" s="1"/>
  <c r="AD20" i="9"/>
  <c r="AF20" i="9" s="1"/>
  <c r="O79" i="67"/>
  <c r="K133" i="67"/>
  <c r="K150" i="67" s="1"/>
  <c r="K92" i="67"/>
  <c r="K106" i="67" s="1"/>
  <c r="K51" i="67"/>
  <c r="K65" i="67" s="1"/>
  <c r="K26" i="67"/>
  <c r="P50" i="20"/>
  <c r="P60" i="20"/>
  <c r="U60" i="20"/>
  <c r="R84" i="15"/>
  <c r="CO167" i="1"/>
  <c r="W24" i="20"/>
  <c r="W36" i="20"/>
  <c r="W46" i="20"/>
  <c r="W58" i="20"/>
  <c r="AB58" i="20"/>
  <c r="L23" i="9"/>
  <c r="N23" i="9" s="1"/>
  <c r="P23" i="9" s="1"/>
  <c r="N22" i="9"/>
  <c r="P22" i="9" s="1"/>
  <c r="U22" i="9"/>
  <c r="AA83" i="5"/>
  <c r="Z77" i="5"/>
  <c r="O21" i="67"/>
  <c r="O23" i="67" s="1"/>
  <c r="O39" i="67" s="1"/>
  <c r="O32" i="67"/>
  <c r="O164" i="67" s="1"/>
  <c r="O162" i="67" s="1"/>
  <c r="D60" i="67"/>
  <c r="D62" i="67" s="1"/>
  <c r="D71" i="67"/>
  <c r="W203" i="38"/>
  <c r="H2" i="72"/>
  <c r="I2" i="72" s="1"/>
  <c r="J2" i="72" s="1"/>
  <c r="DE67" i="20"/>
  <c r="T44" i="5"/>
  <c r="X87" i="5"/>
  <c r="AR48" i="20"/>
  <c r="AR47" i="20"/>
  <c r="AR29" i="20"/>
  <c r="F133" i="67"/>
  <c r="F150" i="67" s="1"/>
  <c r="F176" i="67" s="1"/>
  <c r="F92" i="67"/>
  <c r="F51" i="67"/>
  <c r="W210" i="38"/>
  <c r="J38" i="38"/>
  <c r="E68" i="5"/>
  <c r="E69" i="5" s="1"/>
  <c r="J36" i="9"/>
  <c r="F18" i="5"/>
  <c r="F40" i="5" s="1"/>
  <c r="E51" i="5"/>
  <c r="F50" i="20"/>
  <c r="K60" i="20"/>
  <c r="BA47" i="20"/>
  <c r="BA29" i="20"/>
  <c r="BA48" i="20"/>
  <c r="AM297" i="38"/>
  <c r="CK154" i="1"/>
  <c r="CG154" i="1"/>
  <c r="L248" i="38"/>
  <c r="AJ156" i="1"/>
  <c r="AO152" i="1"/>
  <c r="AJ157" i="1"/>
  <c r="J29" i="67"/>
  <c r="J13" i="67"/>
  <c r="M56" i="1"/>
  <c r="R36" i="1"/>
  <c r="M36" i="1"/>
  <c r="W141" i="38"/>
  <c r="CZ49" i="20"/>
  <c r="CZ31" i="20"/>
  <c r="CZ59" i="20" s="1"/>
  <c r="J89" i="1"/>
  <c r="E89" i="1"/>
  <c r="AD71" i="9"/>
  <c r="AF71" i="9" s="1"/>
  <c r="AD78" i="9"/>
  <c r="AF78" i="9" s="1"/>
  <c r="AK71" i="9"/>
  <c r="AB72" i="9"/>
  <c r="AD72" i="9" s="1"/>
  <c r="AF72" i="9" s="1"/>
  <c r="CB16" i="20"/>
  <c r="CL42" i="1"/>
  <c r="CJ44" i="1"/>
  <c r="CK42" i="1"/>
  <c r="M31" i="15"/>
  <c r="BK49" i="20"/>
  <c r="BK31" i="20"/>
  <c r="DB57" i="20"/>
  <c r="AD77" i="38"/>
  <c r="AF77" i="38" s="1"/>
  <c r="AB81" i="38"/>
  <c r="AK77" i="38"/>
  <c r="AK222" i="38"/>
  <c r="AC44" i="1"/>
  <c r="AD44" i="1"/>
  <c r="U151" i="1"/>
  <c r="Y151" i="1"/>
  <c r="C59" i="20" s="1"/>
  <c r="BG48" i="2"/>
  <c r="BI48" i="2" s="1"/>
  <c r="T103" i="5"/>
  <c r="T100" i="5"/>
  <c r="U11" i="5"/>
  <c r="T12" i="5"/>
  <c r="T7" i="5"/>
  <c r="CK137" i="1"/>
  <c r="CG137" i="1"/>
  <c r="CF166" i="1"/>
  <c r="N118" i="67"/>
  <c r="C65" i="67"/>
  <c r="D79" i="67" s="1"/>
  <c r="S11" i="65"/>
  <c r="AA11" i="65" s="1"/>
  <c r="DB56" i="20"/>
  <c r="S38" i="65" s="1"/>
  <c r="AA38" i="65" s="1"/>
  <c r="DB41" i="20"/>
  <c r="S29" i="65" s="1"/>
  <c r="AA29" i="65" s="1"/>
  <c r="DB21" i="20"/>
  <c r="AK100" i="9"/>
  <c r="AM100" i="9" s="1"/>
  <c r="AM96" i="9"/>
  <c r="AQ31" i="20"/>
  <c r="AQ49" i="20"/>
  <c r="AF95" i="38"/>
  <c r="AG108" i="1"/>
  <c r="AG118" i="1"/>
  <c r="AL108" i="1"/>
  <c r="T50" i="20"/>
  <c r="T60" i="20"/>
  <c r="AL50" i="20"/>
  <c r="AL60" i="20"/>
  <c r="AD135" i="9"/>
  <c r="AD128" i="9"/>
  <c r="AF128" i="9" s="1"/>
  <c r="AV155" i="1"/>
  <c r="BA155" i="1" s="1"/>
  <c r="BA136" i="1"/>
  <c r="U78" i="2"/>
  <c r="R10" i="3"/>
  <c r="R16" i="3" s="1"/>
  <c r="R34" i="3" s="1"/>
  <c r="AJ155" i="1"/>
  <c r="AO155" i="1" s="1"/>
  <c r="AO136" i="1"/>
  <c r="Z33" i="1"/>
  <c r="F56" i="20" s="1"/>
  <c r="U33" i="1"/>
  <c r="V33" i="1"/>
  <c r="T87" i="1"/>
  <c r="BU153" i="1"/>
  <c r="BP157" i="1"/>
  <c r="BU157" i="1" s="1"/>
  <c r="T72" i="5"/>
  <c r="AL47" i="20"/>
  <c r="AL48" i="20"/>
  <c r="AL29" i="20"/>
  <c r="AM110" i="9"/>
  <c r="BL164" i="1"/>
  <c r="BQ164" i="1" s="1"/>
  <c r="BL154" i="1"/>
  <c r="BQ154" i="1" s="1"/>
  <c r="BQ135" i="1"/>
  <c r="AM117" i="9"/>
  <c r="J47" i="15"/>
  <c r="J31" i="15" s="1"/>
  <c r="J32" i="15" s="1"/>
  <c r="J51" i="15"/>
  <c r="J44" i="15"/>
  <c r="BD29" i="20"/>
  <c r="BD48" i="20"/>
  <c r="BD47" i="20"/>
  <c r="K101" i="67"/>
  <c r="K103" i="67" s="1"/>
  <c r="K112" i="67"/>
  <c r="CO155" i="1"/>
  <c r="M40" i="67"/>
  <c r="T47" i="20"/>
  <c r="T29" i="20"/>
  <c r="T48" i="20"/>
  <c r="T42" i="5"/>
  <c r="DE66" i="20"/>
  <c r="P29" i="20"/>
  <c r="P48" i="20"/>
  <c r="P47" i="20"/>
  <c r="CC137" i="1"/>
  <c r="BX166" i="1"/>
  <c r="CC166" i="1" s="1"/>
  <c r="J110" i="67"/>
  <c r="K117" i="67"/>
  <c r="J117" i="67"/>
  <c r="T34" i="1"/>
  <c r="K258" i="38"/>
  <c r="L258" i="38"/>
  <c r="L254" i="38"/>
  <c r="AD47" i="20"/>
  <c r="AD29" i="20"/>
  <c r="AD48" i="20"/>
  <c r="AX48" i="3"/>
  <c r="BA132" i="2" s="1"/>
  <c r="AA73" i="15"/>
  <c r="Z74" i="15"/>
  <c r="L72" i="5"/>
  <c r="CX74" i="20"/>
  <c r="E38" i="15"/>
  <c r="E43" i="15"/>
  <c r="U26" i="9"/>
  <c r="N26" i="9"/>
  <c r="P26" i="9" s="1"/>
  <c r="BU156" i="1"/>
  <c r="T90" i="1"/>
  <c r="H151" i="1"/>
  <c r="I151" i="1" s="1"/>
  <c r="H137" i="1"/>
  <c r="M132" i="1"/>
  <c r="R13" i="65"/>
  <c r="Z13" i="65" s="1"/>
  <c r="DA58" i="20"/>
  <c r="R39" i="65" s="1"/>
  <c r="Z39" i="65" s="1"/>
  <c r="DA24" i="20"/>
  <c r="DA46" i="20"/>
  <c r="R30" i="65" s="1"/>
  <c r="Z30" i="65" s="1"/>
  <c r="DA36" i="20"/>
  <c r="AK128" i="9"/>
  <c r="AM128" i="9" s="1"/>
  <c r="AM124" i="9"/>
  <c r="AM131" i="9"/>
  <c r="W52" i="15"/>
  <c r="W54" i="15"/>
  <c r="AU78" i="2"/>
  <c r="AR50" i="20"/>
  <c r="AR60" i="20"/>
  <c r="AW60" i="20"/>
  <c r="CC50" i="20"/>
  <c r="CC60" i="20"/>
  <c r="CH60" i="20"/>
  <c r="AF60" i="38"/>
  <c r="U36" i="1"/>
  <c r="V36" i="1"/>
  <c r="Z36" i="1"/>
  <c r="U56" i="1"/>
  <c r="C34" i="15"/>
  <c r="C35" i="15" s="1"/>
  <c r="I78" i="1"/>
  <c r="N78" i="1"/>
  <c r="AM121" i="38"/>
  <c r="Q16" i="65"/>
  <c r="Y16" i="65" s="1"/>
  <c r="BM29" i="20"/>
  <c r="BM47" i="20"/>
  <c r="Q31" i="65" s="1"/>
  <c r="Y31" i="65" s="1"/>
  <c r="BM48" i="20"/>
  <c r="Q32" i="65" s="1"/>
  <c r="Y32" i="65" s="1"/>
  <c r="E86" i="1"/>
  <c r="D66" i="1"/>
  <c r="D42" i="1"/>
  <c r="D106" i="1"/>
  <c r="J86" i="1"/>
  <c r="AO138" i="1"/>
  <c r="J80" i="67"/>
  <c r="J81" i="67" s="1"/>
  <c r="J121" i="67"/>
  <c r="J122" i="67" s="1"/>
  <c r="J177" i="67"/>
  <c r="J178" i="67" s="1"/>
  <c r="H106" i="1"/>
  <c r="I86" i="1"/>
  <c r="N86" i="1"/>
  <c r="H42" i="1"/>
  <c r="H66" i="1"/>
  <c r="H90" i="1"/>
  <c r="H88" i="1"/>
  <c r="AT29" i="20"/>
  <c r="AT47" i="20"/>
  <c r="AT48" i="20"/>
  <c r="D88" i="1"/>
  <c r="D24" i="72"/>
  <c r="H49" i="20"/>
  <c r="H31" i="20"/>
  <c r="AD82" i="9"/>
  <c r="AF82" i="9" s="1"/>
  <c r="AD75" i="9"/>
  <c r="AF75" i="9" s="1"/>
  <c r="AK75" i="9"/>
  <c r="AB79" i="9"/>
  <c r="AA78" i="2"/>
  <c r="X10" i="3" s="1"/>
  <c r="M52" i="15"/>
  <c r="M54" i="15"/>
  <c r="G139" i="67"/>
  <c r="G57" i="67"/>
  <c r="G98" i="67"/>
  <c r="BP167" i="1"/>
  <c r="BU138" i="1"/>
  <c r="AM21" i="38"/>
  <c r="T9" i="15"/>
  <c r="K36" i="67"/>
  <c r="K80" i="67" s="1"/>
  <c r="K81" i="67" s="1"/>
  <c r="DF54" i="20"/>
  <c r="AZ46" i="3"/>
  <c r="AZ14" i="3"/>
  <c r="AM156" i="9"/>
  <c r="C111" i="67"/>
  <c r="C96" i="67"/>
  <c r="CT56" i="20"/>
  <c r="BY138" i="1"/>
  <c r="BT167" i="1"/>
  <c r="BM108" i="1"/>
  <c r="BM118" i="1"/>
  <c r="BR108" i="1"/>
  <c r="CF155" i="1"/>
  <c r="CF165" i="1"/>
  <c r="CK136" i="1"/>
  <c r="CG136" i="1"/>
  <c r="L51" i="15"/>
  <c r="L44" i="15"/>
  <c r="L47" i="15"/>
  <c r="L31" i="15" s="1"/>
  <c r="N39" i="67"/>
  <c r="N101" i="67"/>
  <c r="N103" i="67" s="1"/>
  <c r="C106" i="67"/>
  <c r="D120" i="67" s="1"/>
  <c r="Q43" i="15"/>
  <c r="Q38" i="15"/>
  <c r="Q89" i="5"/>
  <c r="Q90" i="5" s="1"/>
  <c r="Q84" i="15"/>
  <c r="Q86" i="15" s="1"/>
  <c r="Q88" i="15" s="1"/>
  <c r="L90" i="1"/>
  <c r="BD39" i="3" l="1"/>
  <c r="BI43" i="2"/>
  <c r="BF39" i="3" s="1"/>
  <c r="BI68" i="2"/>
  <c r="BI30" i="2"/>
  <c r="BD12" i="3"/>
  <c r="BI14" i="2"/>
  <c r="BF12" i="3"/>
  <c r="CS135" i="1"/>
  <c r="CR154" i="1"/>
  <c r="CS154" i="1" s="1"/>
  <c r="J24" i="72"/>
  <c r="E24" i="72"/>
  <c r="I24" i="72"/>
  <c r="C24" i="72"/>
  <c r="F24" i="72"/>
  <c r="G24" i="72"/>
  <c r="Q147" i="67"/>
  <c r="Q145" i="67" s="1"/>
  <c r="Q63" i="67"/>
  <c r="BY167" i="1"/>
  <c r="BY156" i="1"/>
  <c r="CS24" i="1"/>
  <c r="CT24" i="1" s="1"/>
  <c r="CT86" i="1"/>
  <c r="Y16" i="5"/>
  <c r="Y11" i="5"/>
  <c r="Y103" i="5" s="1"/>
  <c r="CR106" i="1"/>
  <c r="CR88" i="1"/>
  <c r="CS88" i="1" s="1"/>
  <c r="K155" i="74"/>
  <c r="K171" i="74" s="1"/>
  <c r="K23" i="74" s="1"/>
  <c r="K12" i="74" s="1"/>
  <c r="K13" i="74" s="1"/>
  <c r="J16" i="74"/>
  <c r="J33" i="74"/>
  <c r="K29" i="74" s="1"/>
  <c r="K30" i="74" s="1"/>
  <c r="K15" i="74" s="1"/>
  <c r="J21" i="74"/>
  <c r="J24" i="74" s="1"/>
  <c r="I37" i="74"/>
  <c r="I39" i="74" s="1"/>
  <c r="I35" i="74"/>
  <c r="E21" i="67"/>
  <c r="E23" i="67" s="1"/>
  <c r="E39" i="67" s="1"/>
  <c r="E32" i="67"/>
  <c r="E101" i="67"/>
  <c r="E103" i="67" s="1"/>
  <c r="E112" i="67"/>
  <c r="DH31" i="20"/>
  <c r="DH49" i="20"/>
  <c r="DF29" i="20"/>
  <c r="DF47" i="20"/>
  <c r="DF48" i="20"/>
  <c r="AM116" i="38"/>
  <c r="L176" i="10"/>
  <c r="BG68" i="2"/>
  <c r="BG30" i="2"/>
  <c r="L106" i="67"/>
  <c r="M120" i="67" s="1"/>
  <c r="M77" i="67"/>
  <c r="F65" i="67"/>
  <c r="F79" i="67" s="1"/>
  <c r="BY165" i="1"/>
  <c r="BY157" i="1"/>
  <c r="AD81" i="38"/>
  <c r="AF81" i="38" s="1"/>
  <c r="CS86" i="1"/>
  <c r="AS182" i="9"/>
  <c r="AV182" i="9" s="1"/>
  <c r="AU182" i="9" s="1"/>
  <c r="U337" i="38"/>
  <c r="W337" i="38" s="1"/>
  <c r="AI337" i="38"/>
  <c r="AV184" i="38"/>
  <c r="AW184" i="38" s="1"/>
  <c r="O31" i="20"/>
  <c r="O49" i="20"/>
  <c r="AW31" i="20"/>
  <c r="AW49" i="20"/>
  <c r="E49" i="20"/>
  <c r="E31" i="20"/>
  <c r="X59" i="20"/>
  <c r="S59" i="20"/>
  <c r="U49" i="20"/>
  <c r="U31" i="20"/>
  <c r="Z59" i="20" s="1"/>
  <c r="AE49" i="20"/>
  <c r="AE31" i="20"/>
  <c r="AE59" i="20" s="1"/>
  <c r="AJ31" i="20"/>
  <c r="AJ59" i="20" s="1"/>
  <c r="AJ49" i="20"/>
  <c r="BB49" i="20"/>
  <c r="BB31" i="20"/>
  <c r="D22" i="65"/>
  <c r="F40" i="65" s="1"/>
  <c r="CF59" i="20"/>
  <c r="D40" i="65" s="1"/>
  <c r="BS31" i="20"/>
  <c r="BS59" i="20" s="1"/>
  <c r="BS49" i="20"/>
  <c r="AG49" i="20"/>
  <c r="AG31" i="20"/>
  <c r="AG59" i="20" s="1"/>
  <c r="AM49" i="20"/>
  <c r="AM31" i="20"/>
  <c r="AM59" i="20" s="1"/>
  <c r="CC74" i="20"/>
  <c r="N32" i="38"/>
  <c r="P32" i="38" s="1"/>
  <c r="CY36" i="1"/>
  <c r="CT36" i="1"/>
  <c r="CS36" i="1"/>
  <c r="CS90" i="1"/>
  <c r="CT90" i="1"/>
  <c r="AW76" i="2"/>
  <c r="P8" i="67"/>
  <c r="DK10" i="20"/>
  <c r="DK12" i="20" s="1"/>
  <c r="AY76" i="2"/>
  <c r="CK45" i="20"/>
  <c r="C28" i="65" s="1"/>
  <c r="C4" i="65"/>
  <c r="CK53" i="20"/>
  <c r="C36" i="65" s="1"/>
  <c r="C44" i="65" s="1"/>
  <c r="C45" i="65" s="1"/>
  <c r="N30" i="9"/>
  <c r="P30" i="9" s="1"/>
  <c r="Y14" i="15"/>
  <c r="Y15" i="15" s="1"/>
  <c r="CS34" i="1"/>
  <c r="CY34" i="1"/>
  <c r="CT34" i="1"/>
  <c r="Y22" i="15"/>
  <c r="AW75" i="2"/>
  <c r="Y12" i="15"/>
  <c r="C14" i="72"/>
  <c r="Y41" i="15"/>
  <c r="X18" i="15"/>
  <c r="Y8" i="15"/>
  <c r="DK8" i="20"/>
  <c r="Y35" i="15"/>
  <c r="P6" i="67"/>
  <c r="AY75" i="2"/>
  <c r="CR110" i="1"/>
  <c r="CR108" i="1"/>
  <c r="CS106" i="1"/>
  <c r="CT106" i="1"/>
  <c r="CJ45" i="20"/>
  <c r="CJ53" i="20"/>
  <c r="AN173" i="10"/>
  <c r="T173" i="10"/>
  <c r="F176" i="10"/>
  <c r="CL45" i="20"/>
  <c r="CL53" i="20"/>
  <c r="CK15" i="20"/>
  <c r="CM15" i="20"/>
  <c r="CL15" i="20"/>
  <c r="CJ15" i="20"/>
  <c r="CM10" i="20"/>
  <c r="CK10" i="20"/>
  <c r="CL10" i="20"/>
  <c r="CJ10" i="20"/>
  <c r="CJ12" i="20" s="1"/>
  <c r="CM45" i="20"/>
  <c r="CM53" i="20"/>
  <c r="S59" i="15"/>
  <c r="AH59" i="15" s="1"/>
  <c r="U59" i="15"/>
  <c r="U60" i="15" s="1"/>
  <c r="R59" i="15"/>
  <c r="E60" i="67"/>
  <c r="E62" i="67" s="1"/>
  <c r="E78" i="67" s="1"/>
  <c r="E71" i="67"/>
  <c r="M79" i="67"/>
  <c r="K121" i="67"/>
  <c r="K122" i="67" s="1"/>
  <c r="CS164" i="1"/>
  <c r="BP49" i="20"/>
  <c r="BP31" i="20"/>
  <c r="AS31" i="20"/>
  <c r="AS59" i="20" s="1"/>
  <c r="AS49" i="20"/>
  <c r="DJ49" i="20"/>
  <c r="DJ31" i="20"/>
  <c r="DJ59" i="20" s="1"/>
  <c r="K49" i="20"/>
  <c r="K31" i="20"/>
  <c r="CE59" i="20"/>
  <c r="AV49" i="20"/>
  <c r="AV31" i="20"/>
  <c r="AC49" i="20"/>
  <c r="AC31" i="20"/>
  <c r="D114" i="9"/>
  <c r="H114" i="9" s="1"/>
  <c r="D121" i="9"/>
  <c r="H121" i="9" s="1"/>
  <c r="Y78" i="2"/>
  <c r="V10" i="3" s="1"/>
  <c r="L52" i="15"/>
  <c r="L54" i="15"/>
  <c r="BM31" i="20"/>
  <c r="BR59" i="20" s="1"/>
  <c r="Q20" i="65"/>
  <c r="Y20" i="65" s="1"/>
  <c r="BM49" i="20"/>
  <c r="Q33" i="65" s="1"/>
  <c r="Y33" i="65" s="1"/>
  <c r="E47" i="15"/>
  <c r="E44" i="15"/>
  <c r="E51" i="15"/>
  <c r="P31" i="20"/>
  <c r="P49" i="20"/>
  <c r="H173" i="67"/>
  <c r="H157" i="67"/>
  <c r="H134" i="67"/>
  <c r="C71" i="67"/>
  <c r="C60" i="67"/>
  <c r="C62" i="67" s="1"/>
  <c r="AE78" i="2"/>
  <c r="AB10" i="3" s="1"/>
  <c r="O54" i="15"/>
  <c r="O52" i="15"/>
  <c r="DK72" i="20"/>
  <c r="U106" i="1"/>
  <c r="U116" i="1"/>
  <c r="Z106" i="1"/>
  <c r="T134" i="1"/>
  <c r="V106" i="1"/>
  <c r="Q151" i="1"/>
  <c r="T87" i="5"/>
  <c r="T99" i="5"/>
  <c r="T8" i="5"/>
  <c r="T9" i="5" s="1"/>
  <c r="T10" i="5" s="1"/>
  <c r="T97" i="5"/>
  <c r="DF75" i="20"/>
  <c r="I32" i="67"/>
  <c r="I21" i="67"/>
  <c r="I23" i="67" s="1"/>
  <c r="X28" i="10"/>
  <c r="Z28" i="10" s="1"/>
  <c r="AB32" i="10"/>
  <c r="M116" i="1"/>
  <c r="M106" i="1"/>
  <c r="R106" i="1"/>
  <c r="L134" i="1"/>
  <c r="DC36" i="20"/>
  <c r="DD60" i="20" s="1"/>
  <c r="DC24" i="20"/>
  <c r="DC46" i="20"/>
  <c r="D134" i="1"/>
  <c r="J106" i="1"/>
  <c r="E106" i="1"/>
  <c r="E116" i="1"/>
  <c r="Y49" i="20"/>
  <c r="Y31" i="20"/>
  <c r="BY155" i="1"/>
  <c r="V46" i="5"/>
  <c r="DG69" i="20"/>
  <c r="F31" i="20"/>
  <c r="F49" i="20"/>
  <c r="M66" i="1"/>
  <c r="R66" i="1"/>
  <c r="L43" i="1"/>
  <c r="M87" i="1"/>
  <c r="R87" i="1"/>
  <c r="L107" i="1"/>
  <c r="L67" i="1"/>
  <c r="CK165" i="1"/>
  <c r="CG165" i="1"/>
  <c r="R51" i="3"/>
  <c r="R54" i="3" s="1"/>
  <c r="AO156" i="1"/>
  <c r="H16" i="67"/>
  <c r="H38" i="67"/>
  <c r="H31" i="67"/>
  <c r="H26" i="67"/>
  <c r="BI47" i="20"/>
  <c r="BI48" i="20"/>
  <c r="BI29" i="20"/>
  <c r="CP42" i="1"/>
  <c r="CG16" i="20"/>
  <c r="CO42" i="1"/>
  <c r="CN44" i="1"/>
  <c r="AB23" i="38"/>
  <c r="AB24" i="38"/>
  <c r="CK155" i="1"/>
  <c r="CG155" i="1"/>
  <c r="C101" i="67"/>
  <c r="C103" i="67" s="1"/>
  <c r="D119" i="67" s="1"/>
  <c r="C112" i="67"/>
  <c r="K75" i="67"/>
  <c r="K169" i="67"/>
  <c r="K116" i="67"/>
  <c r="L110" i="1"/>
  <c r="J66" i="1"/>
  <c r="E66" i="1"/>
  <c r="W55" i="15"/>
  <c r="X55" i="15"/>
  <c r="T49" i="20"/>
  <c r="T31" i="20"/>
  <c r="T59" i="20" s="1"/>
  <c r="BD49" i="20"/>
  <c r="BD31" i="20"/>
  <c r="BD59" i="20" s="1"/>
  <c r="AV59" i="20"/>
  <c r="U103" i="5"/>
  <c r="U100" i="5"/>
  <c r="U12" i="5"/>
  <c r="U7" i="5"/>
  <c r="V12" i="5"/>
  <c r="V100" i="5"/>
  <c r="F51" i="5"/>
  <c r="G18" i="5"/>
  <c r="G40" i="5" s="1"/>
  <c r="J43" i="9"/>
  <c r="F68" i="5"/>
  <c r="F69" i="5" s="1"/>
  <c r="J45" i="38"/>
  <c r="AB60" i="20"/>
  <c r="W50" i="20"/>
  <c r="W60" i="20"/>
  <c r="L120" i="67"/>
  <c r="S52" i="15"/>
  <c r="S54" i="15"/>
  <c r="AF54" i="15" s="1"/>
  <c r="AM78" i="2"/>
  <c r="I51" i="67"/>
  <c r="I65" i="67" s="1"/>
  <c r="I92" i="67"/>
  <c r="I106" i="67" s="1"/>
  <c r="I133" i="67"/>
  <c r="I150" i="67" s="1"/>
  <c r="E69" i="1"/>
  <c r="J69" i="1"/>
  <c r="H69" i="67"/>
  <c r="H52" i="67"/>
  <c r="H76" i="67"/>
  <c r="H43" i="15"/>
  <c r="H38" i="15"/>
  <c r="H89" i="5"/>
  <c r="H90" i="5" s="1"/>
  <c r="BU155" i="1"/>
  <c r="DF79" i="20"/>
  <c r="E119" i="67"/>
  <c r="M72" i="5"/>
  <c r="CY74" i="20"/>
  <c r="N72" i="5"/>
  <c r="K177" i="67"/>
  <c r="K178" i="67" s="1"/>
  <c r="N120" i="67"/>
  <c r="CK157" i="1"/>
  <c r="CG157" i="1"/>
  <c r="BL165" i="1"/>
  <c r="BL155" i="1"/>
  <c r="BQ136" i="1"/>
  <c r="O119" i="67"/>
  <c r="AK112" i="9"/>
  <c r="P10" i="3"/>
  <c r="S78" i="2"/>
  <c r="S50" i="2" s="1"/>
  <c r="AF155" i="1"/>
  <c r="AK155" i="1" s="1"/>
  <c r="AK136" i="1"/>
  <c r="N87" i="1"/>
  <c r="H67" i="1"/>
  <c r="H43" i="1"/>
  <c r="H107" i="1"/>
  <c r="I87" i="1"/>
  <c r="DF50" i="20"/>
  <c r="I13" i="72"/>
  <c r="M112" i="67"/>
  <c r="M165" i="67" s="1"/>
  <c r="M101" i="67"/>
  <c r="M103" i="67" s="1"/>
  <c r="AM107" i="9"/>
  <c r="BD46" i="3"/>
  <c r="BD14" i="3"/>
  <c r="AG137" i="1"/>
  <c r="AC137" i="1"/>
  <c r="U90" i="1"/>
  <c r="Z90" i="1"/>
  <c r="V90" i="1"/>
  <c r="AL49" i="20"/>
  <c r="AL31" i="20"/>
  <c r="AL59" i="20" s="1"/>
  <c r="R86" i="15"/>
  <c r="R88" i="15" s="1"/>
  <c r="S84" i="15"/>
  <c r="N29" i="9"/>
  <c r="P29" i="9" s="1"/>
  <c r="U29" i="9"/>
  <c r="W29" i="9" s="1"/>
  <c r="BQ163" i="1"/>
  <c r="BM163" i="1"/>
  <c r="F21" i="67"/>
  <c r="F23" i="67" s="1"/>
  <c r="F39" i="67" s="1"/>
  <c r="F32" i="67"/>
  <c r="CC49" i="20"/>
  <c r="CC31" i="20"/>
  <c r="B15" i="15"/>
  <c r="B37" i="15"/>
  <c r="J49" i="20"/>
  <c r="J31" i="20"/>
  <c r="L32" i="67"/>
  <c r="L21" i="67"/>
  <c r="L23" i="67" s="1"/>
  <c r="L39" i="67" s="1"/>
  <c r="CK44" i="1"/>
  <c r="CL44" i="1"/>
  <c r="AV175" i="9"/>
  <c r="AU175" i="9" s="1"/>
  <c r="G26" i="67"/>
  <c r="G40" i="67" s="1"/>
  <c r="G31" i="67"/>
  <c r="G16" i="67"/>
  <c r="G38" i="67"/>
  <c r="CU53" i="20"/>
  <c r="CT53" i="20"/>
  <c r="CT14" i="20"/>
  <c r="I70" i="67"/>
  <c r="I55" i="67"/>
  <c r="I77" i="67"/>
  <c r="BQ153" i="1"/>
  <c r="BM153" i="1"/>
  <c r="BL157" i="1"/>
  <c r="M134" i="67"/>
  <c r="AM77" i="38"/>
  <c r="AK81" i="38"/>
  <c r="AM88" i="38" s="1"/>
  <c r="AM135" i="9"/>
  <c r="AM142" i="9"/>
  <c r="AB21" i="9"/>
  <c r="AB22" i="9"/>
  <c r="T43" i="1"/>
  <c r="Z87" i="1"/>
  <c r="F58" i="20" s="1"/>
  <c r="T107" i="1"/>
  <c r="U87" i="1"/>
  <c r="E52" i="5"/>
  <c r="E59" i="5"/>
  <c r="E60" i="5" s="1"/>
  <c r="E70" i="1"/>
  <c r="G157" i="67"/>
  <c r="G173" i="67"/>
  <c r="G134" i="67"/>
  <c r="BU165" i="1"/>
  <c r="C15" i="15"/>
  <c r="C37" i="15"/>
  <c r="DI19" i="20"/>
  <c r="X31" i="15"/>
  <c r="W32" i="15"/>
  <c r="W59" i="15"/>
  <c r="W60" i="15" s="1"/>
  <c r="BU59" i="20"/>
  <c r="BZ59" i="20"/>
  <c r="N132" i="67"/>
  <c r="N173" i="67" s="1"/>
  <c r="N131" i="67"/>
  <c r="O127" i="67"/>
  <c r="CX29" i="20"/>
  <c r="CX48" i="20"/>
  <c r="CX47" i="20"/>
  <c r="I96" i="67"/>
  <c r="I111" i="67"/>
  <c r="AM165" i="38"/>
  <c r="AM172" i="38"/>
  <c r="X16" i="3"/>
  <c r="X34" i="3" s="1"/>
  <c r="AE67" i="20"/>
  <c r="H59" i="20"/>
  <c r="M59" i="20"/>
  <c r="N106" i="1"/>
  <c r="I116" i="1"/>
  <c r="I106" i="1"/>
  <c r="H134" i="1"/>
  <c r="H110" i="1"/>
  <c r="H108" i="1"/>
  <c r="M137" i="1"/>
  <c r="AB73" i="15"/>
  <c r="AC73" i="15" s="1"/>
  <c r="N254" i="38"/>
  <c r="P254" i="38" s="1"/>
  <c r="U254" i="38"/>
  <c r="W254" i="38" s="1"/>
  <c r="AM71" i="9"/>
  <c r="AM78" i="9"/>
  <c r="AK72" i="9"/>
  <c r="AM72" i="9" s="1"/>
  <c r="J16" i="67"/>
  <c r="J31" i="67"/>
  <c r="J26" i="67"/>
  <c r="J40" i="67" s="1"/>
  <c r="J38" i="67"/>
  <c r="K38" i="67"/>
  <c r="V35" i="10"/>
  <c r="AU36" i="9"/>
  <c r="L40" i="9"/>
  <c r="L36" i="9"/>
  <c r="D78" i="67"/>
  <c r="W47" i="20"/>
  <c r="W29" i="20"/>
  <c r="W48" i="20"/>
  <c r="K265" i="38"/>
  <c r="L261" i="38"/>
  <c r="L265" i="38"/>
  <c r="K261" i="38"/>
  <c r="F137" i="67"/>
  <c r="F161" i="67"/>
  <c r="F174" i="67"/>
  <c r="H117" i="67"/>
  <c r="H110" i="67"/>
  <c r="H93" i="67"/>
  <c r="G110" i="67"/>
  <c r="G117" i="67"/>
  <c r="G93" i="67"/>
  <c r="AM73" i="38"/>
  <c r="AM80" i="38"/>
  <c r="AK74" i="38"/>
  <c r="AM74" i="38" s="1"/>
  <c r="BH59" i="20"/>
  <c r="BY166" i="1"/>
  <c r="Y63" i="5"/>
  <c r="Y71" i="5"/>
  <c r="U52" i="15"/>
  <c r="U54" i="15"/>
  <c r="BD79" i="20"/>
  <c r="BC79" i="20"/>
  <c r="BA79" i="20"/>
  <c r="BB79" i="20"/>
  <c r="M119" i="1"/>
  <c r="R109" i="1"/>
  <c r="M109" i="1"/>
  <c r="N31" i="38"/>
  <c r="P31" i="38" s="1"/>
  <c r="U31" i="38"/>
  <c r="W31" i="38" s="1"/>
  <c r="AF112" i="9"/>
  <c r="P112" i="9"/>
  <c r="U42" i="1"/>
  <c r="Z42" i="1"/>
  <c r="V42" i="1"/>
  <c r="AD130" i="38"/>
  <c r="AF130" i="38" s="1"/>
  <c r="N55" i="15"/>
  <c r="L79" i="67"/>
  <c r="D108" i="1"/>
  <c r="I117" i="67"/>
  <c r="U109" i="1"/>
  <c r="U119" i="1"/>
  <c r="Z109" i="1"/>
  <c r="V109" i="1"/>
  <c r="AX49" i="20"/>
  <c r="AX31" i="20"/>
  <c r="BB46" i="3"/>
  <c r="BB14" i="3"/>
  <c r="AG138" i="1"/>
  <c r="AC138" i="1"/>
  <c r="N90" i="1"/>
  <c r="I90" i="1"/>
  <c r="AD31" i="20"/>
  <c r="AD49" i="20"/>
  <c r="Q133" i="1"/>
  <c r="L152" i="1"/>
  <c r="Q152" i="1" s="1"/>
  <c r="W330" i="38"/>
  <c r="CW21" i="20"/>
  <c r="CW40" i="20"/>
  <c r="T51" i="3"/>
  <c r="T54" i="3" s="1"/>
  <c r="DD50" i="20"/>
  <c r="BU167" i="1"/>
  <c r="I66" i="1"/>
  <c r="N66" i="1"/>
  <c r="H70" i="1"/>
  <c r="M77" i="2"/>
  <c r="M84" i="2" s="1"/>
  <c r="F14" i="15"/>
  <c r="U34" i="1"/>
  <c r="V34" i="1"/>
  <c r="Z34" i="1"/>
  <c r="AM222" i="38"/>
  <c r="AO157" i="1"/>
  <c r="M69" i="1"/>
  <c r="R69" i="1"/>
  <c r="T60" i="15"/>
  <c r="CK156" i="1"/>
  <c r="CG156" i="1"/>
  <c r="I173" i="67"/>
  <c r="AF156" i="1"/>
  <c r="AK156" i="1" s="1"/>
  <c r="AK152" i="1"/>
  <c r="AF157" i="1"/>
  <c r="AK157" i="1" s="1"/>
  <c r="AG152" i="1"/>
  <c r="I59" i="15"/>
  <c r="CT41" i="20"/>
  <c r="N42" i="1"/>
  <c r="I42" i="1"/>
  <c r="W22" i="9"/>
  <c r="U23" i="9"/>
  <c r="W23" i="9" s="1"/>
  <c r="AC34" i="20"/>
  <c r="AV200" i="1"/>
  <c r="AC33" i="20" s="1"/>
  <c r="AV191" i="1"/>
  <c r="BI50" i="20"/>
  <c r="BI60" i="20"/>
  <c r="BN60" i="20"/>
  <c r="CU29" i="20"/>
  <c r="CU48" i="20"/>
  <c r="CU47" i="20"/>
  <c r="P44" i="15"/>
  <c r="P51" i="15"/>
  <c r="P47" i="15"/>
  <c r="P59" i="15" s="1"/>
  <c r="P60" i="15" s="1"/>
  <c r="M129" i="67"/>
  <c r="K51" i="15"/>
  <c r="K44" i="15"/>
  <c r="K47" i="15"/>
  <c r="K31" i="15" s="1"/>
  <c r="K32" i="15" s="1"/>
  <c r="M55" i="15"/>
  <c r="M59" i="15"/>
  <c r="J42" i="1"/>
  <c r="E42" i="1"/>
  <c r="DD45" i="20"/>
  <c r="DD57" i="20"/>
  <c r="DD12" i="20"/>
  <c r="AI49" i="20"/>
  <c r="AI31" i="20"/>
  <c r="AM126" i="38"/>
  <c r="AK130" i="38"/>
  <c r="AM137" i="38" s="1"/>
  <c r="L32" i="15"/>
  <c r="AR65" i="1"/>
  <c r="AS65" i="1" s="1"/>
  <c r="AR64" i="1"/>
  <c r="AR66" i="1"/>
  <c r="AS66" i="1" s="1"/>
  <c r="AR67" i="1"/>
  <c r="AS67" i="1" s="1"/>
  <c r="AD79" i="9"/>
  <c r="AF79" i="9" s="1"/>
  <c r="AD86" i="9"/>
  <c r="AF86" i="9" s="1"/>
  <c r="H156" i="1"/>
  <c r="M151" i="1"/>
  <c r="W26" i="9"/>
  <c r="U30" i="9"/>
  <c r="W30" i="9" s="1"/>
  <c r="L262" i="38"/>
  <c r="N258" i="38"/>
  <c r="P258" i="38" s="1"/>
  <c r="U258" i="38"/>
  <c r="J54" i="15"/>
  <c r="J52" i="15"/>
  <c r="CG166" i="1"/>
  <c r="CK166" i="1"/>
  <c r="L70" i="1"/>
  <c r="DF67" i="20"/>
  <c r="U44" i="5"/>
  <c r="M133" i="1"/>
  <c r="L176" i="67"/>
  <c r="AK330" i="38"/>
  <c r="G69" i="67"/>
  <c r="G76" i="67"/>
  <c r="G52" i="67"/>
  <c r="BV67" i="20"/>
  <c r="AH16" i="3"/>
  <c r="AH34" i="3" s="1"/>
  <c r="AH51" i="3" s="1"/>
  <c r="AH54" i="3" s="1"/>
  <c r="J153" i="67"/>
  <c r="J134" i="67"/>
  <c r="N33" i="9"/>
  <c r="P33" i="9" s="1"/>
  <c r="L37" i="9"/>
  <c r="N37" i="9" s="1"/>
  <c r="P37" i="9" s="1"/>
  <c r="U33" i="9"/>
  <c r="T88" i="1"/>
  <c r="BX49" i="20"/>
  <c r="BX31" i="20"/>
  <c r="AF58" i="9"/>
  <c r="BX67" i="20"/>
  <c r="AL16" i="3"/>
  <c r="AL34" i="3" s="1"/>
  <c r="AL51" i="3" s="1"/>
  <c r="AL54" i="3" s="1"/>
  <c r="N79" i="67"/>
  <c r="BM138" i="1"/>
  <c r="BL167" i="1"/>
  <c r="BQ138" i="1"/>
  <c r="L174" i="67"/>
  <c r="L161" i="67"/>
  <c r="L137" i="67"/>
  <c r="J68" i="67"/>
  <c r="J52" i="67"/>
  <c r="U35" i="38"/>
  <c r="N35" i="38"/>
  <c r="P35" i="38" s="1"/>
  <c r="AM84" i="38"/>
  <c r="E175" i="67"/>
  <c r="L255" i="38"/>
  <c r="N255" i="38" s="1"/>
  <c r="P255" i="38" s="1"/>
  <c r="W112" i="9"/>
  <c r="W119" i="9"/>
  <c r="AB26" i="10"/>
  <c r="AD25" i="10"/>
  <c r="AF25" i="10" s="1"/>
  <c r="Z26" i="9"/>
  <c r="AB26" i="9" s="1"/>
  <c r="Z28" i="38"/>
  <c r="AB28" i="38" s="1"/>
  <c r="L138" i="1"/>
  <c r="Q138" i="1" s="1"/>
  <c r="AW156" i="1"/>
  <c r="Z16" i="3"/>
  <c r="Z34" i="3" s="1"/>
  <c r="AG67" i="20"/>
  <c r="L77" i="67"/>
  <c r="L55" i="67"/>
  <c r="L70" i="67"/>
  <c r="D110" i="1"/>
  <c r="J93" i="67"/>
  <c r="J109" i="67"/>
  <c r="DG29" i="20"/>
  <c r="DG48" i="20"/>
  <c r="DG47" i="20"/>
  <c r="J51" i="67"/>
  <c r="J92" i="67"/>
  <c r="J133" i="67"/>
  <c r="BK59" i="20"/>
  <c r="BP59" i="20"/>
  <c r="F118" i="67"/>
  <c r="F111" i="67"/>
  <c r="F96" i="67"/>
  <c r="W24" i="38"/>
  <c r="U25" i="38"/>
  <c r="W25" i="38" s="1"/>
  <c r="I137" i="67"/>
  <c r="I161" i="67"/>
  <c r="AM60" i="38"/>
  <c r="Y133" i="1"/>
  <c r="T152" i="1"/>
  <c r="T138" i="1"/>
  <c r="U133" i="1"/>
  <c r="T137" i="1"/>
  <c r="Q51" i="15"/>
  <c r="Q47" i="15"/>
  <c r="Q59" i="15" s="1"/>
  <c r="Q44" i="15"/>
  <c r="AB83" i="5"/>
  <c r="AA77" i="5"/>
  <c r="DI59" i="20"/>
  <c r="CT58" i="1"/>
  <c r="CR60" i="1"/>
  <c r="CS58" i="1"/>
  <c r="CR42" i="1"/>
  <c r="AF119" i="9"/>
  <c r="P119" i="9"/>
  <c r="CX50" i="20"/>
  <c r="CY60" i="20"/>
  <c r="D113" i="9"/>
  <c r="H113" i="9" s="1"/>
  <c r="AI113" i="9"/>
  <c r="AK113" i="9" s="1"/>
  <c r="AP113" i="9"/>
  <c r="D120" i="9"/>
  <c r="H120" i="9" s="1"/>
  <c r="F77" i="67"/>
  <c r="F70" i="67"/>
  <c r="F55" i="67"/>
  <c r="J90" i="1"/>
  <c r="AT49" i="20"/>
  <c r="AT31" i="20"/>
  <c r="R16" i="65"/>
  <c r="Z16" i="65" s="1"/>
  <c r="DA29" i="20"/>
  <c r="DA47" i="20"/>
  <c r="R31" i="65" s="1"/>
  <c r="Z31" i="65" s="1"/>
  <c r="DA48" i="20"/>
  <c r="R32" i="65" s="1"/>
  <c r="Z32" i="65" s="1"/>
  <c r="U42" i="5"/>
  <c r="DF66" i="20"/>
  <c r="F106" i="67"/>
  <c r="F120" i="67" s="1"/>
  <c r="BI79" i="20"/>
  <c r="BG79" i="20"/>
  <c r="BH79" i="20"/>
  <c r="BF79" i="20"/>
  <c r="I77" i="2"/>
  <c r="I84" i="2" s="1"/>
  <c r="D14" i="15"/>
  <c r="M34" i="1"/>
  <c r="R34" i="1"/>
  <c r="CV46" i="20"/>
  <c r="CV36" i="20"/>
  <c r="CV24" i="20"/>
  <c r="CV58" i="20"/>
  <c r="C32" i="67"/>
  <c r="C21" i="67"/>
  <c r="C23" i="67" s="1"/>
  <c r="D39" i="67" s="1"/>
  <c r="U48" i="5"/>
  <c r="DF70" i="20"/>
  <c r="CK167" i="1"/>
  <c r="CG167" i="1"/>
  <c r="D152" i="1"/>
  <c r="I133" i="1"/>
  <c r="D138" i="1"/>
  <c r="D137" i="1"/>
  <c r="I137" i="1" s="1"/>
  <c r="DD29" i="20"/>
  <c r="DD47" i="20"/>
  <c r="DD48" i="20"/>
  <c r="T110" i="1"/>
  <c r="D175" i="67"/>
  <c r="W28" i="38"/>
  <c r="U32" i="38"/>
  <c r="W32" i="38" s="1"/>
  <c r="I40" i="67"/>
  <c r="M71" i="67"/>
  <c r="M163" i="67" s="1"/>
  <c r="M60" i="67"/>
  <c r="M62" i="67" s="1"/>
  <c r="AF135" i="9"/>
  <c r="CU50" i="20"/>
  <c r="Q41" i="5"/>
  <c r="DB65" i="20"/>
  <c r="T108" i="1"/>
  <c r="N10" i="3"/>
  <c r="Q78" i="2"/>
  <c r="AG136" i="1"/>
  <c r="AC136" i="1"/>
  <c r="AB155" i="1"/>
  <c r="AM122" i="38"/>
  <c r="AM129" i="38"/>
  <c r="AK123" i="38"/>
  <c r="AM123" i="38" s="1"/>
  <c r="M90" i="1"/>
  <c r="R90" i="1"/>
  <c r="AK79" i="9"/>
  <c r="AM75" i="9"/>
  <c r="AM82" i="9"/>
  <c r="B89" i="5"/>
  <c r="B90" i="5" s="1"/>
  <c r="E88" i="1"/>
  <c r="J88" i="1"/>
  <c r="C89" i="5"/>
  <c r="C90" i="5" s="1"/>
  <c r="I88" i="1"/>
  <c r="N88" i="1"/>
  <c r="DA50" i="20"/>
  <c r="DA60" i="20"/>
  <c r="L88" i="1"/>
  <c r="AQ175" i="9"/>
  <c r="S13" i="65"/>
  <c r="AA13" i="65" s="1"/>
  <c r="DB24" i="20"/>
  <c r="DB46" i="20"/>
  <c r="S30" i="65" s="1"/>
  <c r="AA30" i="65" s="1"/>
  <c r="DB36" i="20"/>
  <c r="AM58" i="9"/>
  <c r="M32" i="15"/>
  <c r="AV66" i="1"/>
  <c r="AV65" i="1"/>
  <c r="AV67" i="1"/>
  <c r="AV64" i="1"/>
  <c r="BA49" i="20"/>
  <c r="BA31" i="20"/>
  <c r="L38" i="38"/>
  <c r="L39" i="38" s="1"/>
  <c r="N39" i="38" s="1"/>
  <c r="P39" i="38" s="1"/>
  <c r="L42" i="38"/>
  <c r="AT38" i="38"/>
  <c r="AR31" i="20"/>
  <c r="AR49" i="20"/>
  <c r="M152" i="1"/>
  <c r="Q45" i="5"/>
  <c r="DB68" i="20"/>
  <c r="J268" i="38"/>
  <c r="BW67" i="20"/>
  <c r="AJ16" i="3"/>
  <c r="AJ34" i="3" s="1"/>
  <c r="AJ51" i="3" s="1"/>
  <c r="AJ54" i="3" s="1"/>
  <c r="AA65" i="5"/>
  <c r="DM71" i="20" s="1"/>
  <c r="Z62" i="5"/>
  <c r="Z63" i="5" s="1"/>
  <c r="DL71" i="20"/>
  <c r="DL77" i="20" s="1"/>
  <c r="Z66" i="5"/>
  <c r="AK78" i="2"/>
  <c r="R52" i="15"/>
  <c r="R54" i="15"/>
  <c r="AS155" i="1"/>
  <c r="L118" i="67"/>
  <c r="L96" i="67"/>
  <c r="L111" i="67"/>
  <c r="X174" i="10"/>
  <c r="Z174" i="10" s="1"/>
  <c r="N174" i="10"/>
  <c r="P174" i="10"/>
  <c r="J174" i="10"/>
  <c r="AN174" i="10"/>
  <c r="T174" i="10"/>
  <c r="M42" i="1"/>
  <c r="R42" i="1"/>
  <c r="T55" i="15"/>
  <c r="CP60" i="1"/>
  <c r="CO60" i="1"/>
  <c r="J87" i="1"/>
  <c r="D43" i="1"/>
  <c r="D107" i="1"/>
  <c r="E87" i="1"/>
  <c r="D67" i="1"/>
  <c r="D68" i="1" s="1"/>
  <c r="BW59" i="20"/>
  <c r="AD88" i="38"/>
  <c r="AF88" i="38" s="1"/>
  <c r="W251" i="38"/>
  <c r="G52" i="15"/>
  <c r="G54" i="15"/>
  <c r="DE36" i="20"/>
  <c r="DE46" i="20"/>
  <c r="DE58" i="20"/>
  <c r="DE24" i="20"/>
  <c r="DF58" i="20"/>
  <c r="L137" i="1"/>
  <c r="Q137" i="1" s="1"/>
  <c r="AW157" i="1"/>
  <c r="J109" i="1"/>
  <c r="E109" i="1"/>
  <c r="DG60" i="20"/>
  <c r="DG50" i="20"/>
  <c r="DH60" i="20"/>
  <c r="DD58" i="20"/>
  <c r="L40" i="67"/>
  <c r="AG151" i="1"/>
  <c r="AB156" i="1"/>
  <c r="AB157" i="1"/>
  <c r="AC151" i="1"/>
  <c r="DE57" i="20"/>
  <c r="DE45" i="20"/>
  <c r="DE12" i="20"/>
  <c r="L68" i="1"/>
  <c r="S60" i="15" l="1"/>
  <c r="V60" i="15"/>
  <c r="DM77" i="20"/>
  <c r="DM72" i="20"/>
  <c r="BF46" i="3"/>
  <c r="BF14" i="3"/>
  <c r="Q104" i="67"/>
  <c r="Q148" i="67" s="1"/>
  <c r="Q146" i="67"/>
  <c r="Y37" i="15"/>
  <c r="Y89" i="5" s="1"/>
  <c r="Y90" i="5" s="1"/>
  <c r="CT88" i="1"/>
  <c r="Z11" i="5"/>
  <c r="Y100" i="5"/>
  <c r="Y12" i="5"/>
  <c r="Y10" i="5"/>
  <c r="Y7" i="5"/>
  <c r="L155" i="74"/>
  <c r="L171" i="74" s="1"/>
  <c r="L23" i="74" s="1"/>
  <c r="L12" i="74" s="1"/>
  <c r="L13" i="74" s="1"/>
  <c r="K33" i="74"/>
  <c r="L29" i="74" s="1"/>
  <c r="L30" i="74" s="1"/>
  <c r="L15" i="74" s="1"/>
  <c r="K21" i="74"/>
  <c r="K24" i="74" s="1"/>
  <c r="J37" i="74"/>
  <c r="J39" i="74" s="1"/>
  <c r="J35" i="74"/>
  <c r="K38" i="74"/>
  <c r="K16" i="74"/>
  <c r="AQ182" i="9"/>
  <c r="DF49" i="20"/>
  <c r="DF31" i="20"/>
  <c r="N134" i="67"/>
  <c r="BX59" i="20"/>
  <c r="AD73" i="15"/>
  <c r="M39" i="67"/>
  <c r="N262" i="38"/>
  <c r="P262" i="38" s="1"/>
  <c r="BB59" i="20"/>
  <c r="BG59" i="20"/>
  <c r="AX59" i="20"/>
  <c r="K59" i="20"/>
  <c r="Y59" i="20"/>
  <c r="CJ56" i="20"/>
  <c r="CJ41" i="20"/>
  <c r="CJ14" i="20"/>
  <c r="CT108" i="1"/>
  <c r="CS108" i="1"/>
  <c r="DK15" i="20"/>
  <c r="P11" i="67"/>
  <c r="Y16" i="15"/>
  <c r="AY77" i="2"/>
  <c r="AW77" i="2"/>
  <c r="AW84" i="2" s="1"/>
  <c r="AY84" i="2" s="1"/>
  <c r="BA84" i="2" s="1"/>
  <c r="BC84" i="2" s="1"/>
  <c r="BE84" i="2" s="1"/>
  <c r="BG84" i="2" s="1"/>
  <c r="BI84" i="2" s="1"/>
  <c r="H28" i="65"/>
  <c r="I28" i="65"/>
  <c r="CL12" i="20"/>
  <c r="CL14" i="20"/>
  <c r="CL56" i="20"/>
  <c r="CL41" i="20"/>
  <c r="CJ26" i="20" a="1"/>
  <c r="CR118" i="1"/>
  <c r="CR120" i="1"/>
  <c r="CS120" i="1" s="1"/>
  <c r="CT110" i="1"/>
  <c r="CS110" i="1"/>
  <c r="DK53" i="20"/>
  <c r="DK14" i="20"/>
  <c r="DK45" i="20"/>
  <c r="AI114" i="9"/>
  <c r="CK14" i="20"/>
  <c r="CK12" i="20"/>
  <c r="C6" i="65"/>
  <c r="CM56" i="20"/>
  <c r="CM41" i="20"/>
  <c r="P10" i="67"/>
  <c r="P35" i="67"/>
  <c r="CM12" i="20"/>
  <c r="CM14" i="20"/>
  <c r="CK41" i="20"/>
  <c r="C29" i="65" s="1"/>
  <c r="CK56" i="20"/>
  <c r="C38" i="65" s="1"/>
  <c r="C9" i="65"/>
  <c r="AW82" i="2"/>
  <c r="AY82" i="2" s="1"/>
  <c r="AW80" i="2"/>
  <c r="AY80" i="2" s="1"/>
  <c r="AW81" i="2"/>
  <c r="L4" i="65"/>
  <c r="H4" i="65"/>
  <c r="J4" i="65"/>
  <c r="I4" i="65"/>
  <c r="S55" i="15"/>
  <c r="K40" i="67"/>
  <c r="AQ59" i="20"/>
  <c r="AH59" i="20"/>
  <c r="AC59" i="20"/>
  <c r="E68" i="1"/>
  <c r="E43" i="1"/>
  <c r="J43" i="1"/>
  <c r="AW67" i="1"/>
  <c r="AX67" i="1"/>
  <c r="S16" i="65"/>
  <c r="AA16" i="65" s="1"/>
  <c r="DB29" i="20"/>
  <c r="DB47" i="20"/>
  <c r="S31" i="65" s="1"/>
  <c r="AA31" i="65" s="1"/>
  <c r="DB48" i="20"/>
  <c r="S32" i="65" s="1"/>
  <c r="AA32" i="65" s="1"/>
  <c r="V48" i="5"/>
  <c r="DG70" i="20"/>
  <c r="F60" i="67"/>
  <c r="F62" i="67" s="1"/>
  <c r="F78" i="67" s="1"/>
  <c r="F71" i="67"/>
  <c r="Y137" i="1"/>
  <c r="U137" i="1"/>
  <c r="F101" i="67"/>
  <c r="F103" i="67" s="1"/>
  <c r="F119" i="67" s="1"/>
  <c r="F112" i="67"/>
  <c r="DG31" i="20"/>
  <c r="DG49" i="20"/>
  <c r="Z51" i="3"/>
  <c r="Z54" i="3" s="1"/>
  <c r="AK26" i="9"/>
  <c r="AD26" i="9"/>
  <c r="AF26" i="9" s="1"/>
  <c r="F89" i="5"/>
  <c r="F90" i="5" s="1"/>
  <c r="Z88" i="1"/>
  <c r="V88" i="1"/>
  <c r="U88" i="1"/>
  <c r="W258" i="38"/>
  <c r="AV192" i="1"/>
  <c r="AV201" i="1"/>
  <c r="AD33" i="20" s="1"/>
  <c r="AD34" i="20"/>
  <c r="J108" i="1"/>
  <c r="E108" i="1"/>
  <c r="G118" i="67"/>
  <c r="G96" i="67"/>
  <c r="G111" i="67"/>
  <c r="G106" i="67"/>
  <c r="G120" i="67" s="1"/>
  <c r="F142" i="67"/>
  <c r="F144" i="67" s="1"/>
  <c r="F175" i="67" s="1"/>
  <c r="F162" i="67"/>
  <c r="AD21" i="9"/>
  <c r="AF21" i="9" s="1"/>
  <c r="AK21" i="9"/>
  <c r="AB23" i="9"/>
  <c r="AD23" i="9" s="1"/>
  <c r="AF23" i="9" s="1"/>
  <c r="M150" i="67"/>
  <c r="M176" i="67" s="1"/>
  <c r="M161" i="67"/>
  <c r="M137" i="67"/>
  <c r="M174" i="67"/>
  <c r="S52" i="2"/>
  <c r="U50" i="2"/>
  <c r="M120" i="1"/>
  <c r="M110" i="1"/>
  <c r="R110" i="1"/>
  <c r="BI31" i="20"/>
  <c r="BI49" i="20"/>
  <c r="M117" i="1"/>
  <c r="R107" i="1"/>
  <c r="M107" i="1"/>
  <c r="L135" i="1"/>
  <c r="DE60" i="20"/>
  <c r="DE50" i="20"/>
  <c r="N42" i="38"/>
  <c r="P42" i="38" s="1"/>
  <c r="U42" i="38"/>
  <c r="AX65" i="1"/>
  <c r="AW65" i="1"/>
  <c r="AM79" i="9"/>
  <c r="AM86" i="9"/>
  <c r="N16" i="3"/>
  <c r="N34" i="3" s="1"/>
  <c r="N51" i="3" s="1"/>
  <c r="N54" i="3" s="1"/>
  <c r="U67" i="20"/>
  <c r="N78" i="67"/>
  <c r="I138" i="1"/>
  <c r="AC83" i="5"/>
  <c r="AC77" i="5" s="1"/>
  <c r="AB77" i="5"/>
  <c r="BQ167" i="1"/>
  <c r="BM167" i="1"/>
  <c r="N60" i="15"/>
  <c r="AF59" i="15"/>
  <c r="I108" i="1"/>
  <c r="I118" i="1"/>
  <c r="N108" i="1"/>
  <c r="CX49" i="20"/>
  <c r="CX31" i="20"/>
  <c r="BQ157" i="1"/>
  <c r="BM157" i="1"/>
  <c r="CT40" i="20"/>
  <c r="CT21" i="20"/>
  <c r="CH59" i="20"/>
  <c r="CC59" i="20"/>
  <c r="H135" i="1"/>
  <c r="I117" i="1"/>
  <c r="I107" i="1"/>
  <c r="N107" i="1"/>
  <c r="P16" i="3"/>
  <c r="P34" i="3" s="1"/>
  <c r="P51" i="3" s="1"/>
  <c r="P54" i="3" s="1"/>
  <c r="V67" i="20"/>
  <c r="H55" i="67"/>
  <c r="H77" i="67"/>
  <c r="H70" i="67"/>
  <c r="H65" i="67"/>
  <c r="W46" i="5"/>
  <c r="DH69" i="20"/>
  <c r="Q22" i="65"/>
  <c r="Y22" i="65" s="1"/>
  <c r="BM59" i="20"/>
  <c r="Q40" i="65" s="1"/>
  <c r="Y40" i="65" s="1"/>
  <c r="G59" i="15"/>
  <c r="AW66" i="1"/>
  <c r="AX66" i="1"/>
  <c r="D15" i="15"/>
  <c r="D23" i="15" s="1"/>
  <c r="D37" i="15"/>
  <c r="CS42" i="1"/>
  <c r="CT42" i="1"/>
  <c r="CR44" i="1"/>
  <c r="Y138" i="1"/>
  <c r="U138" i="1"/>
  <c r="J118" i="67"/>
  <c r="J96" i="67"/>
  <c r="J111" i="67"/>
  <c r="K118" i="67"/>
  <c r="W35" i="38"/>
  <c r="W33" i="9"/>
  <c r="V44" i="5"/>
  <c r="DG67" i="20"/>
  <c r="N43" i="1"/>
  <c r="I43" i="1"/>
  <c r="AD24" i="38"/>
  <c r="AF24" i="38" s="1"/>
  <c r="AK24" i="38"/>
  <c r="AM24" i="38" s="1"/>
  <c r="H161" i="67"/>
  <c r="H137" i="67"/>
  <c r="H174" i="67"/>
  <c r="H150" i="67"/>
  <c r="BA59" i="20"/>
  <c r="BF59" i="20"/>
  <c r="Q60" i="15"/>
  <c r="N265" i="38"/>
  <c r="P265" i="38" s="1"/>
  <c r="U265" i="38"/>
  <c r="N137" i="67"/>
  <c r="N161" i="67"/>
  <c r="N174" i="67"/>
  <c r="N150" i="67"/>
  <c r="N176" i="67" s="1"/>
  <c r="J59" i="20"/>
  <c r="O59" i="20"/>
  <c r="BQ165" i="1"/>
  <c r="BM165" i="1"/>
  <c r="AT45" i="38"/>
  <c r="L49" i="38"/>
  <c r="L45" i="38"/>
  <c r="H40" i="67"/>
  <c r="R43" i="1"/>
  <c r="M43" i="1"/>
  <c r="L44" i="1"/>
  <c r="DC48" i="20"/>
  <c r="DC29" i="20"/>
  <c r="DC47" i="20"/>
  <c r="AC57" i="15"/>
  <c r="AD57" i="15" s="1"/>
  <c r="BE62" i="2"/>
  <c r="DM32" i="20"/>
  <c r="R24" i="67"/>
  <c r="BC62" i="2"/>
  <c r="AG157" i="1"/>
  <c r="AC157" i="1"/>
  <c r="L108" i="1"/>
  <c r="D44" i="1"/>
  <c r="Z108" i="1"/>
  <c r="U118" i="1"/>
  <c r="U108" i="1"/>
  <c r="V108" i="1"/>
  <c r="I152" i="1"/>
  <c r="D156" i="1"/>
  <c r="I156" i="1" s="1"/>
  <c r="CT60" i="1"/>
  <c r="CS60" i="1"/>
  <c r="Y152" i="1"/>
  <c r="D59" i="20" s="1"/>
  <c r="U152" i="1"/>
  <c r="T156" i="1"/>
  <c r="I174" i="67"/>
  <c r="J150" i="67"/>
  <c r="M70" i="1"/>
  <c r="R70" i="1"/>
  <c r="J59" i="15"/>
  <c r="J60" i="15" s="1"/>
  <c r="J55" i="15"/>
  <c r="K52" i="15"/>
  <c r="K54" i="15"/>
  <c r="CU31" i="20"/>
  <c r="CU49" i="20"/>
  <c r="V55" i="15"/>
  <c r="U55" i="15"/>
  <c r="BC59" i="20"/>
  <c r="N261" i="38"/>
  <c r="P261" i="38" s="1"/>
  <c r="U261" i="38"/>
  <c r="W261" i="38" s="1"/>
  <c r="U40" i="9"/>
  <c r="N40" i="9"/>
  <c r="P40" i="9" s="1"/>
  <c r="I101" i="67"/>
  <c r="I103" i="67" s="1"/>
  <c r="I112" i="67"/>
  <c r="N129" i="67"/>
  <c r="Z107" i="1"/>
  <c r="U107" i="1"/>
  <c r="T135" i="1"/>
  <c r="U117" i="1"/>
  <c r="J13" i="72"/>
  <c r="CO44" i="1"/>
  <c r="CP44" i="1"/>
  <c r="E52" i="15"/>
  <c r="E54" i="15"/>
  <c r="L101" i="67"/>
  <c r="L103" i="67" s="1"/>
  <c r="L119" i="67" s="1"/>
  <c r="L112" i="67"/>
  <c r="R20" i="65"/>
  <c r="Z20" i="65" s="1"/>
  <c r="DA49" i="20"/>
  <c r="R33" i="65" s="1"/>
  <c r="Z33" i="65" s="1"/>
  <c r="DA31" i="20"/>
  <c r="E110" i="1"/>
  <c r="J110" i="1"/>
  <c r="J55" i="67"/>
  <c r="K77" i="67"/>
  <c r="J70" i="67"/>
  <c r="J77" i="67"/>
  <c r="G77" i="67"/>
  <c r="G70" i="67"/>
  <c r="G55" i="67"/>
  <c r="G65" i="67"/>
  <c r="G79" i="67" s="1"/>
  <c r="H44" i="1"/>
  <c r="H111" i="67"/>
  <c r="H96" i="67"/>
  <c r="H118" i="67"/>
  <c r="H106" i="67"/>
  <c r="H120" i="67" s="1"/>
  <c r="N36" i="9"/>
  <c r="P36" i="9" s="1"/>
  <c r="U36" i="9"/>
  <c r="W36" i="9" s="1"/>
  <c r="H153" i="1"/>
  <c r="M134" i="1"/>
  <c r="H136" i="1"/>
  <c r="H138" i="1"/>
  <c r="M138" i="1" s="1"/>
  <c r="I67" i="1"/>
  <c r="N67" i="1"/>
  <c r="P59" i="20"/>
  <c r="U59" i="20"/>
  <c r="DE29" i="20"/>
  <c r="DE47" i="20"/>
  <c r="DE48" i="20"/>
  <c r="J67" i="1"/>
  <c r="E67" i="1"/>
  <c r="AA62" i="5"/>
  <c r="AA63" i="5" s="1"/>
  <c r="AB65" i="5"/>
  <c r="DN71" i="20" s="1"/>
  <c r="AA66" i="5"/>
  <c r="L268" i="38"/>
  <c r="J272" i="38"/>
  <c r="K268" i="38"/>
  <c r="DB50" i="20"/>
  <c r="DB60" i="20"/>
  <c r="AC155" i="1"/>
  <c r="AG155" i="1"/>
  <c r="CV48" i="20"/>
  <c r="CV47" i="20"/>
  <c r="CV29" i="20"/>
  <c r="AI78" i="2"/>
  <c r="AF10" i="3" s="1"/>
  <c r="Q54" i="15"/>
  <c r="Q52" i="15"/>
  <c r="I142" i="67"/>
  <c r="I144" i="67" s="1"/>
  <c r="I162" i="67"/>
  <c r="J106" i="67"/>
  <c r="L60" i="67"/>
  <c r="L62" i="67" s="1"/>
  <c r="L78" i="67" s="1"/>
  <c r="L71" i="67"/>
  <c r="L142" i="67"/>
  <c r="L144" i="67" s="1"/>
  <c r="L175" i="67" s="1"/>
  <c r="L162" i="67"/>
  <c r="J161" i="67"/>
  <c r="J174" i="67"/>
  <c r="J137" i="67"/>
  <c r="K174" i="67"/>
  <c r="I70" i="1"/>
  <c r="N70" i="1"/>
  <c r="CW58" i="20"/>
  <c r="CW46" i="20"/>
  <c r="CW36" i="20"/>
  <c r="CW24" i="20"/>
  <c r="CX58" i="20"/>
  <c r="AZ48" i="3"/>
  <c r="BC132" i="2" s="1"/>
  <c r="I118" i="67"/>
  <c r="AM81" i="38"/>
  <c r="B43" i="15"/>
  <c r="B38" i="15"/>
  <c r="M119" i="67"/>
  <c r="V42" i="10"/>
  <c r="X42" i="10" s="1"/>
  <c r="AU43" i="9"/>
  <c r="L47" i="9"/>
  <c r="L43" i="9"/>
  <c r="L44" i="9" s="1"/>
  <c r="N44" i="9" s="1"/>
  <c r="P44" i="9" s="1"/>
  <c r="DC60" i="20"/>
  <c r="DC50" i="20"/>
  <c r="AB33" i="10"/>
  <c r="Z35" i="38"/>
  <c r="AB35" i="38" s="1"/>
  <c r="Z33" i="9"/>
  <c r="AB33" i="9" s="1"/>
  <c r="AD32" i="10"/>
  <c r="AF32" i="10" s="1"/>
  <c r="L55" i="15"/>
  <c r="L59" i="15"/>
  <c r="AF121" i="9"/>
  <c r="U255" i="38"/>
  <c r="W255" i="38" s="1"/>
  <c r="AL174" i="10"/>
  <c r="R174" i="10"/>
  <c r="AI174" i="10"/>
  <c r="R55" i="15"/>
  <c r="D89" i="5"/>
  <c r="D90" i="5" s="1"/>
  <c r="M88" i="1"/>
  <c r="R88" i="1"/>
  <c r="CV60" i="20"/>
  <c r="CV50" i="20"/>
  <c r="AM113" i="9"/>
  <c r="AM120" i="9"/>
  <c r="J65" i="67"/>
  <c r="AM130" i="38"/>
  <c r="AG78" i="2"/>
  <c r="AD10" i="3" s="1"/>
  <c r="P54" i="15"/>
  <c r="P52" i="15"/>
  <c r="H68" i="1"/>
  <c r="Y72" i="5"/>
  <c r="DK74" i="20"/>
  <c r="X35" i="10"/>
  <c r="Z35" i="10" s="1"/>
  <c r="AB39" i="10"/>
  <c r="AA74" i="15"/>
  <c r="J70" i="1"/>
  <c r="Z43" i="1"/>
  <c r="U43" i="1"/>
  <c r="V43" i="1"/>
  <c r="T44" i="1"/>
  <c r="G21" i="67"/>
  <c r="G23" i="67" s="1"/>
  <c r="G39" i="67" s="1"/>
  <c r="G32" i="67"/>
  <c r="DF60" i="20"/>
  <c r="I176" i="67"/>
  <c r="H18" i="5"/>
  <c r="H40" i="5" s="1"/>
  <c r="J50" i="9"/>
  <c r="G68" i="5"/>
  <c r="G69" i="5" s="1"/>
  <c r="G51" i="5"/>
  <c r="J52" i="38"/>
  <c r="U87" i="5"/>
  <c r="U99" i="5"/>
  <c r="U97" i="5"/>
  <c r="U8" i="5"/>
  <c r="U9" i="5" s="1"/>
  <c r="U10" i="5" s="1"/>
  <c r="DG75" i="20"/>
  <c r="V87" i="5"/>
  <c r="V99" i="5"/>
  <c r="H32" i="67"/>
  <c r="H21" i="67"/>
  <c r="H23" i="67" s="1"/>
  <c r="I39" i="67" s="1"/>
  <c r="D153" i="1"/>
  <c r="I153" i="1" s="1"/>
  <c r="I134" i="1"/>
  <c r="Q134" i="1"/>
  <c r="L153" i="1"/>
  <c r="Q153" i="1" s="1"/>
  <c r="L156" i="1"/>
  <c r="Q156" i="1" s="1"/>
  <c r="O55" i="15"/>
  <c r="AF114" i="9"/>
  <c r="N38" i="38"/>
  <c r="P38" i="38" s="1"/>
  <c r="U38" i="38"/>
  <c r="W38" i="38" s="1"/>
  <c r="AD26" i="10"/>
  <c r="AF26" i="10" s="1"/>
  <c r="AB27" i="10"/>
  <c r="Z27" i="9"/>
  <c r="AB27" i="9" s="1"/>
  <c r="Z29" i="38"/>
  <c r="AB29" i="38" s="1"/>
  <c r="AI59" i="20"/>
  <c r="AN59" i="20"/>
  <c r="I120" i="1"/>
  <c r="N110" i="1"/>
  <c r="I110" i="1"/>
  <c r="X51" i="3"/>
  <c r="X54" i="3" s="1"/>
  <c r="O131" i="67"/>
  <c r="O132" i="67"/>
  <c r="O173" i="67" s="1"/>
  <c r="Y31" i="15"/>
  <c r="X32" i="15"/>
  <c r="DJ19" i="20"/>
  <c r="G174" i="67"/>
  <c r="G161" i="67"/>
  <c r="G137" i="67"/>
  <c r="G150" i="67"/>
  <c r="G176" i="67" s="1"/>
  <c r="BQ155" i="1"/>
  <c r="T153" i="1"/>
  <c r="U134" i="1"/>
  <c r="Y134" i="1"/>
  <c r="DL72" i="20"/>
  <c r="Z110" i="1"/>
  <c r="U110" i="1"/>
  <c r="U120" i="1"/>
  <c r="V110" i="1"/>
  <c r="AF120" i="9"/>
  <c r="T136" i="1"/>
  <c r="J21" i="67"/>
  <c r="J23" i="67" s="1"/>
  <c r="J32" i="67"/>
  <c r="AM112" i="9"/>
  <c r="AM119" i="9"/>
  <c r="AK114" i="9"/>
  <c r="AD23" i="38"/>
  <c r="AF23" i="38" s="1"/>
  <c r="AK23" i="38"/>
  <c r="AB25" i="38"/>
  <c r="AD25" i="38" s="1"/>
  <c r="AF25" i="38" s="1"/>
  <c r="AG156" i="1"/>
  <c r="AC156" i="1"/>
  <c r="M68" i="1"/>
  <c r="R68" i="1"/>
  <c r="E117" i="1"/>
  <c r="E107" i="1"/>
  <c r="D135" i="1"/>
  <c r="J107" i="1"/>
  <c r="R45" i="5"/>
  <c r="DC68" i="20"/>
  <c r="J275" i="38"/>
  <c r="AR59" i="20"/>
  <c r="AW59" i="20"/>
  <c r="AX64" i="1"/>
  <c r="AV68" i="1"/>
  <c r="AV70" i="1"/>
  <c r="AV69" i="1"/>
  <c r="AW64" i="1"/>
  <c r="DC65" i="20"/>
  <c r="R41" i="5"/>
  <c r="DD49" i="20"/>
  <c r="DD31" i="20"/>
  <c r="V42" i="5"/>
  <c r="DG66" i="20"/>
  <c r="AF113" i="9"/>
  <c r="AD28" i="38"/>
  <c r="AF28" i="38" s="1"/>
  <c r="AK28" i="38"/>
  <c r="R60" i="15"/>
  <c r="AM330" i="38"/>
  <c r="M156" i="1"/>
  <c r="AR70" i="1"/>
  <c r="AS70" i="1" s="1"/>
  <c r="AR69" i="1"/>
  <c r="AS69" i="1" s="1"/>
  <c r="AS64" i="1"/>
  <c r="AR68" i="1"/>
  <c r="AS68" i="1" s="1"/>
  <c r="F15" i="15"/>
  <c r="F23" i="15" s="1"/>
  <c r="F37" i="15"/>
  <c r="AD59" i="20"/>
  <c r="W49" i="20"/>
  <c r="W31" i="20"/>
  <c r="C43" i="15"/>
  <c r="C38" i="15"/>
  <c r="N119" i="67"/>
  <c r="AD22" i="9"/>
  <c r="AF22" i="9" s="1"/>
  <c r="AK22" i="9"/>
  <c r="AM22" i="9" s="1"/>
  <c r="I60" i="67"/>
  <c r="I62" i="67" s="1"/>
  <c r="I71" i="67"/>
  <c r="BN79" i="20"/>
  <c r="BL79" i="20"/>
  <c r="BM79" i="20"/>
  <c r="BK79" i="20"/>
  <c r="H51" i="15"/>
  <c r="H47" i="15"/>
  <c r="H44" i="15"/>
  <c r="F59" i="5"/>
  <c r="F60" i="5" s="1"/>
  <c r="F52" i="5"/>
  <c r="M67" i="1"/>
  <c r="R67" i="1"/>
  <c r="AB16" i="3"/>
  <c r="AB34" i="3" s="1"/>
  <c r="AB51" i="3" s="1"/>
  <c r="AB54" i="3" s="1"/>
  <c r="AH67" i="20"/>
  <c r="V16" i="3"/>
  <c r="V34" i="3" s="1"/>
  <c r="DN77" i="20" l="1"/>
  <c r="DN72" i="20"/>
  <c r="Y43" i="15"/>
  <c r="Y44" i="15" s="1"/>
  <c r="Y38" i="15"/>
  <c r="Y99" i="5"/>
  <c r="DK75" i="20"/>
  <c r="Y97" i="5"/>
  <c r="AE11" i="5"/>
  <c r="Z12" i="5"/>
  <c r="AA11" i="5"/>
  <c r="Z100" i="5"/>
  <c r="M155" i="74"/>
  <c r="M171" i="74" s="1"/>
  <c r="M23" i="74" s="1"/>
  <c r="M12" i="74" s="1"/>
  <c r="M13" i="74" s="1"/>
  <c r="L33" i="74"/>
  <c r="M29" i="74" s="1"/>
  <c r="M30" i="74" s="1"/>
  <c r="M15" i="74" s="1"/>
  <c r="M38" i="74" s="1"/>
  <c r="L21" i="74"/>
  <c r="L24" i="74" s="1"/>
  <c r="K37" i="74"/>
  <c r="K39" i="74" s="1"/>
  <c r="K35" i="74"/>
  <c r="L38" i="74"/>
  <c r="L16" i="74"/>
  <c r="I120" i="67"/>
  <c r="AH57" i="15"/>
  <c r="DO32" i="20"/>
  <c r="J175" i="10"/>
  <c r="P175" i="10"/>
  <c r="AD175" i="10"/>
  <c r="N175" i="10"/>
  <c r="AB74" i="15"/>
  <c r="O134" i="67"/>
  <c r="O161" i="67" s="1"/>
  <c r="BB48" i="3"/>
  <c r="S24" i="67"/>
  <c r="DN32" i="20"/>
  <c r="C8" i="65"/>
  <c r="CK21" i="20"/>
  <c r="CK40" i="20"/>
  <c r="C26" i="65" s="1"/>
  <c r="Y46" i="15"/>
  <c r="CS118" i="1"/>
  <c r="CL21" i="20"/>
  <c r="CL40" i="20"/>
  <c r="P30" i="67"/>
  <c r="P37" i="67"/>
  <c r="CJ40" i="20"/>
  <c r="CJ21" i="20"/>
  <c r="BA80" i="2"/>
  <c r="BC80" i="2" s="1"/>
  <c r="BE80" i="2" s="1"/>
  <c r="BG80" i="2" s="1"/>
  <c r="BI80" i="2" s="1"/>
  <c r="J29" i="65"/>
  <c r="I29" i="65"/>
  <c r="H29" i="65"/>
  <c r="CM26" i="20"/>
  <c r="CK26" i="20"/>
  <c r="CL26" i="20"/>
  <c r="CJ26" i="20"/>
  <c r="DK56" i="20"/>
  <c r="DK41" i="20"/>
  <c r="BA82" i="2"/>
  <c r="BC82" i="2" s="1"/>
  <c r="BE82" i="2" s="1"/>
  <c r="BG82" i="2" s="1"/>
  <c r="BI82" i="2" s="1"/>
  <c r="P13" i="67"/>
  <c r="P29" i="67"/>
  <c r="I6" i="65"/>
  <c r="H6" i="65"/>
  <c r="J6" i="65"/>
  <c r="DK21" i="20"/>
  <c r="DK40" i="20"/>
  <c r="CR136" i="1"/>
  <c r="CR138" i="1"/>
  <c r="CR153" i="1"/>
  <c r="CS134" i="1"/>
  <c r="CR163" i="1"/>
  <c r="C27" i="65"/>
  <c r="C11" i="65"/>
  <c r="CM21" i="20"/>
  <c r="CM40" i="20"/>
  <c r="AD33" i="9"/>
  <c r="AF33" i="9" s="1"/>
  <c r="AK33" i="9"/>
  <c r="CV49" i="20"/>
  <c r="CV31" i="20"/>
  <c r="CV59" i="20" s="1"/>
  <c r="N45" i="38"/>
  <c r="P45" i="38" s="1"/>
  <c r="U45" i="38"/>
  <c r="W45" i="38" s="1"/>
  <c r="H142" i="67"/>
  <c r="H144" i="67" s="1"/>
  <c r="H162" i="67"/>
  <c r="CS44" i="1"/>
  <c r="CT44" i="1"/>
  <c r="H71" i="67"/>
  <c r="H60" i="67"/>
  <c r="H62" i="67" s="1"/>
  <c r="L154" i="1"/>
  <c r="Q154" i="1" s="1"/>
  <c r="Q135" i="1"/>
  <c r="L136" i="1"/>
  <c r="L56" i="38"/>
  <c r="L52" i="38"/>
  <c r="AT52" i="38"/>
  <c r="AB40" i="10"/>
  <c r="Z42" i="38"/>
  <c r="AB42" i="38" s="1"/>
  <c r="Z40" i="9"/>
  <c r="AB40" i="9" s="1"/>
  <c r="AD39" i="10"/>
  <c r="J79" i="67"/>
  <c r="K79" i="67"/>
  <c r="AD35" i="38"/>
  <c r="AF35" i="38" s="1"/>
  <c r="AK35" i="38"/>
  <c r="CW50" i="20"/>
  <c r="CW60" i="20"/>
  <c r="CX60" i="20"/>
  <c r="J120" i="67"/>
  <c r="K120" i="67"/>
  <c r="AB62" i="5"/>
  <c r="AB63" i="5" s="1"/>
  <c r="AB66" i="5"/>
  <c r="AC65" i="5"/>
  <c r="DE31" i="20"/>
  <c r="DE49" i="20"/>
  <c r="DC49" i="20"/>
  <c r="DC31" i="20"/>
  <c r="U49" i="38"/>
  <c r="N49" i="38"/>
  <c r="P49" i="38" s="1"/>
  <c r="L53" i="38"/>
  <c r="CT58" i="20"/>
  <c r="CT24" i="20"/>
  <c r="CT46" i="20"/>
  <c r="CT36" i="20"/>
  <c r="CU58" i="20"/>
  <c r="CY59" i="20"/>
  <c r="DG59" i="20"/>
  <c r="DH59" i="20"/>
  <c r="S20" i="65"/>
  <c r="AA20" i="65" s="1"/>
  <c r="DB31" i="20"/>
  <c r="S22" i="65" s="1"/>
  <c r="AA22" i="65" s="1"/>
  <c r="DB49" i="20"/>
  <c r="S33" i="65" s="1"/>
  <c r="AA33" i="65" s="1"/>
  <c r="H54" i="15"/>
  <c r="H52" i="15"/>
  <c r="CW47" i="20"/>
  <c r="CW48" i="20"/>
  <c r="CW29" i="20"/>
  <c r="M139" i="67"/>
  <c r="M142" i="67" s="1"/>
  <c r="M144" i="67" s="1"/>
  <c r="M175" i="67" s="1"/>
  <c r="AM28" i="38"/>
  <c r="AW69" i="1"/>
  <c r="AX69" i="1"/>
  <c r="S45" i="5"/>
  <c r="DD68" i="20"/>
  <c r="J282" i="38"/>
  <c r="G52" i="5"/>
  <c r="G59" i="5"/>
  <c r="G60" i="5" s="1"/>
  <c r="V44" i="1"/>
  <c r="U44" i="1"/>
  <c r="Z44" i="1"/>
  <c r="AB34" i="10"/>
  <c r="AD33" i="10"/>
  <c r="AF33" i="10" s="1"/>
  <c r="Z34" i="9"/>
  <c r="AB34" i="9" s="1"/>
  <c r="Z36" i="38"/>
  <c r="AB36" i="38" s="1"/>
  <c r="J60" i="67"/>
  <c r="J62" i="67" s="1"/>
  <c r="J71" i="67"/>
  <c r="D157" i="1"/>
  <c r="R63" i="67"/>
  <c r="R147" i="67"/>
  <c r="R145" i="67" s="1"/>
  <c r="L279" i="38"/>
  <c r="K279" i="38"/>
  <c r="K275" i="38"/>
  <c r="L275" i="38"/>
  <c r="AD16" i="3"/>
  <c r="AD34" i="3" s="1"/>
  <c r="AD51" i="3" s="1"/>
  <c r="AD54" i="3" s="1"/>
  <c r="AI67" i="20"/>
  <c r="B44" i="15"/>
  <c r="B51" i="15"/>
  <c r="B47" i="15"/>
  <c r="D10" i="3"/>
  <c r="D16" i="3" s="1"/>
  <c r="D34" i="3" s="1"/>
  <c r="D51" i="3" s="1"/>
  <c r="G78" i="2"/>
  <c r="H155" i="1"/>
  <c r="M136" i="1"/>
  <c r="W44" i="5"/>
  <c r="DH67" i="20"/>
  <c r="C51" i="15"/>
  <c r="C44" i="15"/>
  <c r="C47" i="15"/>
  <c r="AB59" i="20"/>
  <c r="W59" i="20"/>
  <c r="AW68" i="1"/>
  <c r="AX68" i="1"/>
  <c r="I135" i="1"/>
  <c r="D154" i="1"/>
  <c r="I154" i="1" s="1"/>
  <c r="D136" i="1"/>
  <c r="AM23" i="38"/>
  <c r="AK25" i="38"/>
  <c r="AM25" i="38" s="1"/>
  <c r="J39" i="67"/>
  <c r="K39" i="67"/>
  <c r="J10" i="3"/>
  <c r="J16" i="3" s="1"/>
  <c r="J34" i="3" s="1"/>
  <c r="J51" i="3" s="1"/>
  <c r="J54" i="3" s="1"/>
  <c r="M78" i="2"/>
  <c r="T155" i="1"/>
  <c r="Y136" i="1"/>
  <c r="U136" i="1"/>
  <c r="O129" i="67"/>
  <c r="V49" i="10"/>
  <c r="X49" i="10" s="1"/>
  <c r="Z49" i="10" s="1"/>
  <c r="AU50" i="9"/>
  <c r="L50" i="9"/>
  <c r="L54" i="9"/>
  <c r="N43" i="9"/>
  <c r="P43" i="9" s="1"/>
  <c r="U43" i="9"/>
  <c r="W43" i="9" s="1"/>
  <c r="L272" i="38"/>
  <c r="K273" i="38"/>
  <c r="L273" i="38"/>
  <c r="K272" i="38"/>
  <c r="G60" i="67"/>
  <c r="G62" i="67" s="1"/>
  <c r="G78" i="67" s="1"/>
  <c r="G71" i="67"/>
  <c r="Y156" i="1"/>
  <c r="U156" i="1"/>
  <c r="M44" i="1"/>
  <c r="R44" i="1"/>
  <c r="J101" i="67"/>
  <c r="J103" i="67" s="1"/>
  <c r="J112" i="67"/>
  <c r="X46" i="5"/>
  <c r="DI69" i="20"/>
  <c r="M60" i="15"/>
  <c r="L46" i="38"/>
  <c r="N46" i="38" s="1"/>
  <c r="P46" i="38" s="1"/>
  <c r="G101" i="67"/>
  <c r="G103" i="67" s="1"/>
  <c r="G119" i="67" s="1"/>
  <c r="G112" i="67"/>
  <c r="U262" i="38"/>
  <c r="W262" i="38" s="1"/>
  <c r="AM26" i="9"/>
  <c r="W48" i="5"/>
  <c r="DH70" i="20"/>
  <c r="F43" i="15"/>
  <c r="F38" i="15"/>
  <c r="G142" i="67"/>
  <c r="G144" i="67" s="1"/>
  <c r="G175" i="67" s="1"/>
  <c r="G162" i="67"/>
  <c r="H101" i="67"/>
  <c r="H103" i="67" s="1"/>
  <c r="I119" i="67" s="1"/>
  <c r="H112" i="67"/>
  <c r="D43" i="15"/>
  <c r="D38" i="15"/>
  <c r="S41" i="5"/>
  <c r="DD65" i="20"/>
  <c r="Y153" i="1"/>
  <c r="E59" i="20" s="1"/>
  <c r="U153" i="1"/>
  <c r="AD29" i="38"/>
  <c r="AF29" i="38" s="1"/>
  <c r="AK29" i="38"/>
  <c r="AM29" i="38" s="1"/>
  <c r="H51" i="5"/>
  <c r="I18" i="5"/>
  <c r="I40" i="5" s="1"/>
  <c r="J59" i="38"/>
  <c r="J57" i="9"/>
  <c r="H68" i="5"/>
  <c r="CT64" i="20"/>
  <c r="CT78" i="20" s="1"/>
  <c r="N47" i="9"/>
  <c r="P47" i="9" s="1"/>
  <c r="U47" i="9"/>
  <c r="L51" i="9"/>
  <c r="N51" i="9" s="1"/>
  <c r="N268" i="38"/>
  <c r="P268" i="38" s="1"/>
  <c r="U268" i="38"/>
  <c r="W268" i="38" s="1"/>
  <c r="M153" i="1"/>
  <c r="H157" i="1"/>
  <c r="M157" i="1" s="1"/>
  <c r="N44" i="1"/>
  <c r="I44" i="1"/>
  <c r="N139" i="67"/>
  <c r="N142" i="67" s="1"/>
  <c r="N144" i="67" s="1"/>
  <c r="U37" i="9"/>
  <c r="W37" i="9" s="1"/>
  <c r="H79" i="67"/>
  <c r="M78" i="67"/>
  <c r="W42" i="38"/>
  <c r="BI59" i="20"/>
  <c r="BN59" i="20"/>
  <c r="I79" i="67"/>
  <c r="AM21" i="9"/>
  <c r="AK23" i="9"/>
  <c r="AM23" i="9" s="1"/>
  <c r="M71" i="15"/>
  <c r="CY34" i="20" s="1"/>
  <c r="AZ189" i="1"/>
  <c r="AV202" i="1"/>
  <c r="AE33" i="20" s="1"/>
  <c r="AE34" i="20"/>
  <c r="Z31" i="15"/>
  <c r="DK19" i="20"/>
  <c r="Y32" i="15"/>
  <c r="AW70" i="1"/>
  <c r="AX70" i="1"/>
  <c r="I175" i="67"/>
  <c r="W40" i="9"/>
  <c r="V51" i="3"/>
  <c r="V54" i="3" s="1"/>
  <c r="I78" i="67"/>
  <c r="W42" i="5"/>
  <c r="DH66" i="20"/>
  <c r="AM114" i="9"/>
  <c r="AM121" i="9"/>
  <c r="AK27" i="9"/>
  <c r="AM27" i="9" s="1"/>
  <c r="AD27" i="9"/>
  <c r="AF27" i="9" s="1"/>
  <c r="H39" i="67"/>
  <c r="AF16" i="3"/>
  <c r="AF34" i="3" s="1"/>
  <c r="AF51" i="3" s="1"/>
  <c r="AF54" i="3" s="1"/>
  <c r="BD67" i="20"/>
  <c r="K59" i="15"/>
  <c r="K60" i="15" s="1"/>
  <c r="K55" i="15"/>
  <c r="J176" i="67"/>
  <c r="K176" i="67"/>
  <c r="T157" i="1"/>
  <c r="E44" i="1"/>
  <c r="J44" i="1"/>
  <c r="L269" i="38"/>
  <c r="N269" i="38" s="1"/>
  <c r="P269" i="38" s="1"/>
  <c r="H176" i="67"/>
  <c r="U39" i="38"/>
  <c r="W39" i="38" s="1"/>
  <c r="M135" i="1"/>
  <c r="H154" i="1"/>
  <c r="M154" i="1" s="1"/>
  <c r="U52" i="2"/>
  <c r="W50" i="2"/>
  <c r="W52" i="2" s="1"/>
  <c r="O174" i="67"/>
  <c r="DD59" i="20"/>
  <c r="AD27" i="10"/>
  <c r="AF27" i="10" s="1"/>
  <c r="Z30" i="38"/>
  <c r="Z28" i="9"/>
  <c r="N68" i="1"/>
  <c r="I68" i="1"/>
  <c r="Z42" i="10"/>
  <c r="J142" i="67"/>
  <c r="J144" i="67" s="1"/>
  <c r="J162" i="67"/>
  <c r="R22" i="65"/>
  <c r="Z22" i="65" s="1"/>
  <c r="DA59" i="20"/>
  <c r="R40" i="65" s="1"/>
  <c r="Z40" i="65" s="1"/>
  <c r="Y135" i="1"/>
  <c r="T154" i="1"/>
  <c r="Y154" i="1" s="1"/>
  <c r="F59" i="20" s="1"/>
  <c r="R108" i="1"/>
  <c r="M118" i="1"/>
  <c r="M108" i="1"/>
  <c r="W265" i="38"/>
  <c r="L157" i="1"/>
  <c r="Q157" i="1" s="1"/>
  <c r="P41" i="23"/>
  <c r="S54" i="2"/>
  <c r="J68" i="1"/>
  <c r="DO71" i="20" l="1"/>
  <c r="AD65" i="5"/>
  <c r="Y51" i="15"/>
  <c r="AA12" i="5"/>
  <c r="AA100" i="5"/>
  <c r="AB11" i="5"/>
  <c r="N155" i="74"/>
  <c r="N171" i="74" s="1"/>
  <c r="N23" i="74" s="1"/>
  <c r="N12" i="74" s="1"/>
  <c r="N13" i="74" s="1"/>
  <c r="M33" i="74"/>
  <c r="N29" i="74" s="1"/>
  <c r="M16" i="74"/>
  <c r="L37" i="74"/>
  <c r="L39" i="74" s="1"/>
  <c r="M21" i="74"/>
  <c r="M24" i="74" s="1"/>
  <c r="L35" i="74"/>
  <c r="O137" i="67"/>
  <c r="O150" i="67"/>
  <c r="O176" i="67" s="1"/>
  <c r="AF175" i="10"/>
  <c r="AI175" i="10"/>
  <c r="AL175" i="10"/>
  <c r="R175" i="10"/>
  <c r="J176" i="10"/>
  <c r="U44" i="9"/>
  <c r="AD74" i="15"/>
  <c r="AC74" i="15"/>
  <c r="BD48" i="3"/>
  <c r="BE132" i="2" s="1"/>
  <c r="BG62" i="2"/>
  <c r="S147" i="67"/>
  <c r="S145" i="67" s="1"/>
  <c r="S63" i="67"/>
  <c r="U269" i="38"/>
  <c r="W269" i="38" s="1"/>
  <c r="N53" i="38"/>
  <c r="P53" i="38" s="1"/>
  <c r="AV30" i="3"/>
  <c r="AV32" i="3" s="1"/>
  <c r="AY40" i="2"/>
  <c r="AY45" i="2" s="1"/>
  <c r="CM58" i="20"/>
  <c r="CM46" i="20"/>
  <c r="CM24" i="20"/>
  <c r="CM48" i="20" s="1"/>
  <c r="CM36" i="20"/>
  <c r="CS136" i="1"/>
  <c r="CS155" i="1"/>
  <c r="CR165" i="1"/>
  <c r="CS165" i="1" s="1"/>
  <c r="P160" i="67"/>
  <c r="P158" i="67"/>
  <c r="P159" i="67"/>
  <c r="P157" i="67" s="1"/>
  <c r="I26" i="65"/>
  <c r="H26" i="65"/>
  <c r="J26" i="65"/>
  <c r="W44" i="9"/>
  <c r="Y52" i="15"/>
  <c r="AY78" i="2"/>
  <c r="AW78" i="2"/>
  <c r="Y54" i="15"/>
  <c r="Y55" i="15" s="1"/>
  <c r="J11" i="65"/>
  <c r="H11" i="65"/>
  <c r="I11" i="65"/>
  <c r="CR157" i="1"/>
  <c r="CS153" i="1"/>
  <c r="CJ58" i="20"/>
  <c r="CJ46" i="20"/>
  <c r="CJ24" i="20"/>
  <c r="CJ48" i="20" s="1"/>
  <c r="CJ36" i="20"/>
  <c r="CK36" i="20"/>
  <c r="CK46" i="20"/>
  <c r="C30" i="65" s="1"/>
  <c r="CK58" i="20"/>
  <c r="C39" i="65" s="1"/>
  <c r="C13" i="65"/>
  <c r="CK24" i="20"/>
  <c r="CK48" i="20" s="1"/>
  <c r="C32" i="65" s="1"/>
  <c r="H27" i="65"/>
  <c r="I27" i="65"/>
  <c r="DK36" i="20"/>
  <c r="DK58" i="20"/>
  <c r="DK46" i="20"/>
  <c r="DK24" i="20"/>
  <c r="P156" i="67"/>
  <c r="P154" i="67"/>
  <c r="P155" i="67"/>
  <c r="P153" i="67" s="1"/>
  <c r="CL24" i="20"/>
  <c r="CL48" i="20" s="1"/>
  <c r="CL58" i="20"/>
  <c r="CL36" i="20"/>
  <c r="CL46" i="20"/>
  <c r="L8" i="65"/>
  <c r="L11" i="65" s="1"/>
  <c r="H8" i="65"/>
  <c r="J8" i="65"/>
  <c r="I8" i="65"/>
  <c r="CS163" i="1"/>
  <c r="CR167" i="1"/>
  <c r="CS138" i="1"/>
  <c r="P26" i="67"/>
  <c r="P40" i="67" s="1"/>
  <c r="P16" i="67"/>
  <c r="P31" i="67"/>
  <c r="P38" i="67"/>
  <c r="C18" i="65"/>
  <c r="P18" i="67"/>
  <c r="DK26" i="20"/>
  <c r="Y47" i="15"/>
  <c r="D44" i="15"/>
  <c r="D51" i="15"/>
  <c r="D47" i="15"/>
  <c r="T41" i="23"/>
  <c r="W54" i="2"/>
  <c r="AC66" i="20"/>
  <c r="AD67" i="20"/>
  <c r="P51" i="9"/>
  <c r="H119" i="67"/>
  <c r="DI70" i="20"/>
  <c r="X48" i="5"/>
  <c r="N56" i="38"/>
  <c r="P56" i="38" s="1"/>
  <c r="U56" i="38"/>
  <c r="N175" i="67"/>
  <c r="AC66" i="5"/>
  <c r="AC62" i="5"/>
  <c r="J119" i="67"/>
  <c r="K119" i="67"/>
  <c r="J175" i="67"/>
  <c r="K175" i="67"/>
  <c r="U54" i="9"/>
  <c r="N54" i="9"/>
  <c r="P54" i="9" s="1"/>
  <c r="D52" i="3"/>
  <c r="G9" i="2" s="1"/>
  <c r="D54" i="3"/>
  <c r="AK36" i="38"/>
  <c r="AM36" i="38" s="1"/>
  <c r="AD36" i="38"/>
  <c r="AF36" i="38" s="1"/>
  <c r="AF39" i="10"/>
  <c r="AF46" i="10"/>
  <c r="AM33" i="9"/>
  <c r="U46" i="38"/>
  <c r="W46" i="38" s="1"/>
  <c r="H55" i="15"/>
  <c r="H59" i="15"/>
  <c r="I55" i="15"/>
  <c r="AB28" i="9"/>
  <c r="AB29" i="9"/>
  <c r="Y157" i="1"/>
  <c r="U157" i="1"/>
  <c r="W47" i="9"/>
  <c r="U273" i="38"/>
  <c r="N273" i="38"/>
  <c r="N280" i="38"/>
  <c r="P280" i="38" s="1"/>
  <c r="N50" i="9"/>
  <c r="P50" i="9" s="1"/>
  <c r="U50" i="9"/>
  <c r="W50" i="9" s="1"/>
  <c r="Y155" i="1"/>
  <c r="U155" i="1"/>
  <c r="N279" i="38"/>
  <c r="P279" i="38" s="1"/>
  <c r="U279" i="38"/>
  <c r="AD34" i="9"/>
  <c r="AF34" i="9" s="1"/>
  <c r="AK34" i="9"/>
  <c r="AM34" i="9" s="1"/>
  <c r="K286" i="38"/>
  <c r="L286" i="38"/>
  <c r="L282" i="38"/>
  <c r="L283" i="38" s="1"/>
  <c r="K282" i="38"/>
  <c r="L60" i="15"/>
  <c r="DE59" i="20"/>
  <c r="DF59" i="20"/>
  <c r="AD40" i="9"/>
  <c r="AF40" i="9" s="1"/>
  <c r="AK40" i="9"/>
  <c r="AD47" i="9"/>
  <c r="AF47" i="9" s="1"/>
  <c r="H175" i="67"/>
  <c r="L59" i="38"/>
  <c r="L60" i="38" s="1"/>
  <c r="N60" i="38" s="1"/>
  <c r="P60" i="38" s="1"/>
  <c r="AT59" i="38"/>
  <c r="J63" i="38"/>
  <c r="CU64" i="20"/>
  <c r="I68" i="5"/>
  <c r="J18" i="5"/>
  <c r="J40" i="5" s="1"/>
  <c r="I51" i="5"/>
  <c r="J64" i="9"/>
  <c r="J66" i="38"/>
  <c r="AB30" i="38"/>
  <c r="AB31" i="38"/>
  <c r="H69" i="5"/>
  <c r="CT73" i="20"/>
  <c r="DE65" i="20"/>
  <c r="T41" i="5"/>
  <c r="E78" i="2"/>
  <c r="D155" i="1"/>
  <c r="I155" i="1" s="1"/>
  <c r="I136" i="1"/>
  <c r="DI67" i="20"/>
  <c r="X44" i="5"/>
  <c r="B54" i="15"/>
  <c r="B52" i="15"/>
  <c r="R146" i="67"/>
  <c r="R104" i="67"/>
  <c r="R148" i="67" s="1"/>
  <c r="AD49" i="38"/>
  <c r="AF49" i="38" s="1"/>
  <c r="AD42" i="38"/>
  <c r="AF42" i="38" s="1"/>
  <c r="AK42" i="38"/>
  <c r="O139" i="67"/>
  <c r="O142" i="67" s="1"/>
  <c r="O144" i="67" s="1"/>
  <c r="O175" i="67" s="1"/>
  <c r="DL19" i="20"/>
  <c r="AA31" i="15"/>
  <c r="P47" i="23"/>
  <c r="AB67" i="20"/>
  <c r="V56" i="10"/>
  <c r="X56" i="10" s="1"/>
  <c r="Z56" i="10" s="1"/>
  <c r="AU57" i="9"/>
  <c r="F78" i="20"/>
  <c r="L57" i="9"/>
  <c r="L58" i="9" s="1"/>
  <c r="N58" i="9" s="1"/>
  <c r="P58" i="9" s="1"/>
  <c r="J61" i="9"/>
  <c r="Y46" i="5"/>
  <c r="DJ69" i="20"/>
  <c r="L276" i="38"/>
  <c r="N276" i="38" s="1"/>
  <c r="P276" i="38" s="1"/>
  <c r="N272" i="38"/>
  <c r="P272" i="38" s="1"/>
  <c r="U272" i="38"/>
  <c r="C52" i="15"/>
  <c r="C54" i="15"/>
  <c r="I157" i="1"/>
  <c r="J78" i="67"/>
  <c r="K78" i="67"/>
  <c r="AD34" i="10"/>
  <c r="AF34" i="10" s="1"/>
  <c r="Z35" i="9"/>
  <c r="Z37" i="38"/>
  <c r="T45" i="5"/>
  <c r="DE68" i="20"/>
  <c r="J289" i="38"/>
  <c r="CW49" i="20"/>
  <c r="CW31" i="20"/>
  <c r="CT60" i="20"/>
  <c r="CT50" i="20"/>
  <c r="CU60" i="20"/>
  <c r="AM35" i="38"/>
  <c r="AB41" i="10"/>
  <c r="AD40" i="10"/>
  <c r="Z41" i="9"/>
  <c r="AB41" i="9" s="1"/>
  <c r="Z43" i="38"/>
  <c r="AB43" i="38" s="1"/>
  <c r="I78" i="2"/>
  <c r="F10" i="3"/>
  <c r="F16" i="3" s="1"/>
  <c r="F34" i="3" s="1"/>
  <c r="F51" i="3" s="1"/>
  <c r="L155" i="1"/>
  <c r="Q155" i="1" s="1"/>
  <c r="Q136" i="1"/>
  <c r="AG34" i="20"/>
  <c r="AZ190" i="1"/>
  <c r="F44" i="15"/>
  <c r="F51" i="15"/>
  <c r="F47" i="15"/>
  <c r="R41" i="23"/>
  <c r="U54" i="2"/>
  <c r="AC67" i="20"/>
  <c r="X42" i="5"/>
  <c r="DI66" i="20"/>
  <c r="H52" i="5"/>
  <c r="H59" i="5"/>
  <c r="H60" i="5" s="1"/>
  <c r="M155" i="1"/>
  <c r="U275" i="38"/>
  <c r="W275" i="38" s="1"/>
  <c r="N275" i="38"/>
  <c r="P275" i="38" s="1"/>
  <c r="CT48" i="20"/>
  <c r="CT47" i="20"/>
  <c r="CT29" i="20"/>
  <c r="W49" i="38"/>
  <c r="N52" i="38"/>
  <c r="P52" i="38" s="1"/>
  <c r="U52" i="38"/>
  <c r="W52" i="38" s="1"/>
  <c r="H78" i="67"/>
  <c r="AI65" i="5" l="1"/>
  <c r="AD66" i="5"/>
  <c r="AD62" i="5"/>
  <c r="DO77" i="20"/>
  <c r="DO72" i="20"/>
  <c r="AB12" i="5"/>
  <c r="AB100" i="5"/>
  <c r="AC11" i="5"/>
  <c r="O155" i="74"/>
  <c r="M37" i="74"/>
  <c r="M39" i="74" s="1"/>
  <c r="N21" i="74"/>
  <c r="N24" i="74" s="1"/>
  <c r="M35" i="74"/>
  <c r="N30" i="74"/>
  <c r="N15" i="74" s="1"/>
  <c r="R176" i="10"/>
  <c r="CH64" i="20" s="1"/>
  <c r="AI176" i="10"/>
  <c r="U51" i="9"/>
  <c r="W51" i="9" s="1"/>
  <c r="P21" i="67"/>
  <c r="P23" i="67" s="1"/>
  <c r="P39" i="67" s="1"/>
  <c r="S146" i="67"/>
  <c r="S104" i="67"/>
  <c r="S148" i="67" s="1"/>
  <c r="N283" i="38"/>
  <c r="P283" i="38" s="1"/>
  <c r="DK48" i="20"/>
  <c r="I18" i="65"/>
  <c r="H18" i="65"/>
  <c r="J18" i="65"/>
  <c r="L9" i="65"/>
  <c r="L10" i="65" s="1"/>
  <c r="CL29" i="20"/>
  <c r="CL47" i="20"/>
  <c r="CK47" i="20"/>
  <c r="C31" i="65" s="1"/>
  <c r="CK29" i="20"/>
  <c r="C16" i="65"/>
  <c r="CK50" i="20"/>
  <c r="CK60" i="20"/>
  <c r="CM47" i="20"/>
  <c r="CM29" i="20"/>
  <c r="P32" i="67"/>
  <c r="I32" i="65"/>
  <c r="H32" i="65"/>
  <c r="DK50" i="20"/>
  <c r="D4" i="68"/>
  <c r="D6" i="68" s="1"/>
  <c r="DK60" i="20"/>
  <c r="I13" i="65"/>
  <c r="L13" i="65"/>
  <c r="H13" i="65"/>
  <c r="J13" i="65"/>
  <c r="CL60" i="20"/>
  <c r="CL50" i="20"/>
  <c r="DK47" i="20"/>
  <c r="DK29" i="20"/>
  <c r="CJ60" i="20"/>
  <c r="CJ50" i="20"/>
  <c r="DK79" i="20"/>
  <c r="CS167" i="1"/>
  <c r="J30" i="65"/>
  <c r="H30" i="65"/>
  <c r="I30" i="65"/>
  <c r="CJ47" i="20"/>
  <c r="CJ29" i="20"/>
  <c r="CS157" i="1"/>
  <c r="CM60" i="20"/>
  <c r="CM50" i="20"/>
  <c r="C55" i="15"/>
  <c r="DK69" i="20"/>
  <c r="Z46" i="5"/>
  <c r="U53" i="38"/>
  <c r="W53" i="38" s="1"/>
  <c r="F52" i="15"/>
  <c r="F54" i="15"/>
  <c r="AB37" i="38"/>
  <c r="AB38" i="38"/>
  <c r="Y44" i="5"/>
  <c r="DJ67" i="20"/>
  <c r="AM40" i="9"/>
  <c r="AM47" i="9"/>
  <c r="U286" i="38"/>
  <c r="N286" i="38"/>
  <c r="P286" i="38" s="1"/>
  <c r="W279" i="38"/>
  <c r="Y48" i="5"/>
  <c r="DJ70" i="20"/>
  <c r="CT49" i="20"/>
  <c r="CT31" i="20"/>
  <c r="Y42" i="5"/>
  <c r="DJ66" i="20"/>
  <c r="AB36" i="9"/>
  <c r="AB35" i="9"/>
  <c r="DM19" i="20"/>
  <c r="AB31" i="15"/>
  <c r="AT66" i="38"/>
  <c r="J70" i="38"/>
  <c r="AM42" i="38"/>
  <c r="AM49" i="38"/>
  <c r="V63" i="10"/>
  <c r="X63" i="10" s="1"/>
  <c r="Z63" i="10" s="1"/>
  <c r="K78" i="20"/>
  <c r="AU64" i="9"/>
  <c r="J68" i="9"/>
  <c r="W54" i="9"/>
  <c r="AC63" i="5"/>
  <c r="W56" i="38"/>
  <c r="AD43" i="38"/>
  <c r="AF43" i="38" s="1"/>
  <c r="AD50" i="38"/>
  <c r="AF50" i="38" s="1"/>
  <c r="AK43" i="38"/>
  <c r="U45" i="5"/>
  <c r="DF68" i="20"/>
  <c r="P59" i="23"/>
  <c r="P53" i="23"/>
  <c r="V66" i="20" s="1"/>
  <c r="I52" i="5"/>
  <c r="I59" i="5"/>
  <c r="I60" i="5" s="1"/>
  <c r="W280" i="38"/>
  <c r="W273" i="38"/>
  <c r="T47" i="23"/>
  <c r="K289" i="38"/>
  <c r="K293" i="38"/>
  <c r="L289" i="38"/>
  <c r="L290" i="38" s="1"/>
  <c r="N290" i="38" s="1"/>
  <c r="P290" i="38" s="1"/>
  <c r="L293" i="38"/>
  <c r="J71" i="9"/>
  <c r="K18" i="5"/>
  <c r="K40" i="5" s="1"/>
  <c r="CV64" i="20"/>
  <c r="J51" i="5"/>
  <c r="J68" i="5"/>
  <c r="J73" i="38"/>
  <c r="AT63" i="38"/>
  <c r="J64" i="38"/>
  <c r="L63" i="38"/>
  <c r="AD29" i="9"/>
  <c r="AF29" i="9" s="1"/>
  <c r="AK29" i="9"/>
  <c r="AM29" i="9" s="1"/>
  <c r="H60" i="15"/>
  <c r="I60" i="15"/>
  <c r="AD48" i="9"/>
  <c r="AF48" i="9" s="1"/>
  <c r="AD41" i="9"/>
  <c r="AF41" i="9" s="1"/>
  <c r="AK41" i="9"/>
  <c r="R47" i="23"/>
  <c r="F52" i="3"/>
  <c r="F54" i="3"/>
  <c r="AF40" i="10"/>
  <c r="AF47" i="10"/>
  <c r="CW59" i="20"/>
  <c r="CX59" i="20"/>
  <c r="U276" i="38"/>
  <c r="W276" i="38" s="1"/>
  <c r="W272" i="38"/>
  <c r="V60" i="10"/>
  <c r="X60" i="10" s="1"/>
  <c r="Z60" i="10" s="1"/>
  <c r="J62" i="9"/>
  <c r="AU61" i="9"/>
  <c r="H78" i="20"/>
  <c r="L61" i="9"/>
  <c r="DF65" i="20"/>
  <c r="U41" i="5"/>
  <c r="AD31" i="38"/>
  <c r="AF31" i="38" s="1"/>
  <c r="AK31" i="38"/>
  <c r="AM31" i="38" s="1"/>
  <c r="I69" i="5"/>
  <c r="CU73" i="20"/>
  <c r="AK28" i="9"/>
  <c r="AD28" i="9"/>
  <c r="AF28" i="9" s="1"/>
  <c r="AB30" i="9"/>
  <c r="AD30" i="9" s="1"/>
  <c r="AF30" i="9" s="1"/>
  <c r="D52" i="15"/>
  <c r="D54" i="15"/>
  <c r="AH34" i="20"/>
  <c r="AZ191" i="1"/>
  <c r="AD41" i="10"/>
  <c r="Z42" i="9"/>
  <c r="Z44" i="38"/>
  <c r="N57" i="9"/>
  <c r="P57" i="9" s="1"/>
  <c r="U57" i="9"/>
  <c r="W57" i="9" s="1"/>
  <c r="AD30" i="38"/>
  <c r="AF30" i="38" s="1"/>
  <c r="AK30" i="38"/>
  <c r="AB32" i="38"/>
  <c r="AD32" i="38" s="1"/>
  <c r="AF32" i="38" s="1"/>
  <c r="CU78" i="20"/>
  <c r="U59" i="38"/>
  <c r="W59" i="38" s="1"/>
  <c r="N59" i="38"/>
  <c r="P59" i="38" s="1"/>
  <c r="U282" i="38"/>
  <c r="W282" i="38" s="1"/>
  <c r="N282" i="38"/>
  <c r="P282" i="38" s="1"/>
  <c r="D11" i="23"/>
  <c r="D35" i="23" s="1"/>
  <c r="D59" i="23" s="1"/>
  <c r="G61" i="2"/>
  <c r="G62" i="2"/>
  <c r="G15" i="2"/>
  <c r="G32" i="2" s="1"/>
  <c r="G87" i="2" s="1"/>
  <c r="AD63" i="5" l="1"/>
  <c r="AI62" i="5"/>
  <c r="AC12" i="5"/>
  <c r="AC100" i="5"/>
  <c r="AD11" i="5"/>
  <c r="AV16" i="3"/>
  <c r="AV34" i="3" s="1"/>
  <c r="P155" i="74"/>
  <c r="O171" i="74"/>
  <c r="O23" i="74" s="1"/>
  <c r="O12" i="74" s="1"/>
  <c r="O13" i="74" s="1"/>
  <c r="N38" i="74"/>
  <c r="N16" i="74"/>
  <c r="O21" i="74"/>
  <c r="N33" i="74"/>
  <c r="O29" i="74" s="1"/>
  <c r="DN19" i="20"/>
  <c r="AC31" i="15"/>
  <c r="CJ49" i="20"/>
  <c r="CJ31" i="20"/>
  <c r="L15" i="65"/>
  <c r="L18" i="65" s="1"/>
  <c r="H16" i="65"/>
  <c r="I16" i="65"/>
  <c r="J16" i="65"/>
  <c r="CL49" i="20"/>
  <c r="CL31" i="20"/>
  <c r="AY52" i="2"/>
  <c r="DK31" i="20"/>
  <c r="DK49" i="20"/>
  <c r="CM49" i="20"/>
  <c r="CM31" i="20"/>
  <c r="CK31" i="20"/>
  <c r="C20" i="65"/>
  <c r="CK49" i="20"/>
  <c r="C33" i="65" s="1"/>
  <c r="H31" i="65"/>
  <c r="I31" i="65"/>
  <c r="P163" i="67"/>
  <c r="P164" i="67"/>
  <c r="P162" i="67" s="1"/>
  <c r="P165" i="67"/>
  <c r="AM41" i="9"/>
  <c r="AM48" i="9"/>
  <c r="AB43" i="9"/>
  <c r="AB42" i="9"/>
  <c r="AI34" i="20"/>
  <c r="AZ192" i="1"/>
  <c r="D55" i="15"/>
  <c r="E55" i="15"/>
  <c r="V61" i="10"/>
  <c r="X61" i="10" s="1"/>
  <c r="Z61" i="10" s="1"/>
  <c r="I78" i="20"/>
  <c r="AU62" i="9"/>
  <c r="J63" i="9"/>
  <c r="L62" i="9"/>
  <c r="AT64" i="38"/>
  <c r="L64" i="38"/>
  <c r="J65" i="38"/>
  <c r="AM43" i="38"/>
  <c r="AM50" i="38"/>
  <c r="CT59" i="20"/>
  <c r="CU59" i="20"/>
  <c r="F55" i="15"/>
  <c r="G55" i="15"/>
  <c r="G60" i="15" s="1"/>
  <c r="AA46" i="5"/>
  <c r="DL69" i="20"/>
  <c r="AM30" i="38"/>
  <c r="AK32" i="38"/>
  <c r="AM32" i="38" s="1"/>
  <c r="AK35" i="9"/>
  <c r="AD35" i="9"/>
  <c r="AF35" i="9" s="1"/>
  <c r="AB37" i="9"/>
  <c r="AD37" i="9" s="1"/>
  <c r="AF37" i="9" s="1"/>
  <c r="AM28" i="9"/>
  <c r="AK30" i="9"/>
  <c r="AM30" i="9" s="1"/>
  <c r="J77" i="38"/>
  <c r="U293" i="38"/>
  <c r="L297" i="38"/>
  <c r="N300" i="38"/>
  <c r="P300" i="38" s="1"/>
  <c r="N293" i="38"/>
  <c r="P293" i="38" s="1"/>
  <c r="U60" i="38"/>
  <c r="W60" i="38" s="1"/>
  <c r="AD36" i="9"/>
  <c r="AF36" i="9" s="1"/>
  <c r="AK36" i="9"/>
  <c r="AM36" i="9" s="1"/>
  <c r="AD38" i="38"/>
  <c r="AF38" i="38" s="1"/>
  <c r="AK38" i="38"/>
  <c r="AM38" i="38" s="1"/>
  <c r="AF48" i="10"/>
  <c r="AF41" i="10"/>
  <c r="V41" i="5"/>
  <c r="DG65" i="20"/>
  <c r="DK66" i="20"/>
  <c r="Z42" i="5"/>
  <c r="N61" i="9"/>
  <c r="P61" i="9" s="1"/>
  <c r="U61" i="9"/>
  <c r="H50" i="3"/>
  <c r="H52" i="3" s="1"/>
  <c r="I9" i="2"/>
  <c r="CV73" i="20"/>
  <c r="J69" i="5"/>
  <c r="U289" i="38"/>
  <c r="U290" i="38" s="1"/>
  <c r="N289" i="38"/>
  <c r="P289" i="38" s="1"/>
  <c r="N296" i="38"/>
  <c r="P296" i="38" s="1"/>
  <c r="DG68" i="20"/>
  <c r="V45" i="5"/>
  <c r="L70" i="38"/>
  <c r="J71" i="38"/>
  <c r="W286" i="38"/>
  <c r="DK67" i="20"/>
  <c r="Z44" i="5"/>
  <c r="AD37" i="38"/>
  <c r="AF37" i="38" s="1"/>
  <c r="AK37" i="38"/>
  <c r="AB39" i="38"/>
  <c r="AD39" i="38" s="1"/>
  <c r="AF39" i="38" s="1"/>
  <c r="J52" i="5"/>
  <c r="J59" i="5"/>
  <c r="J60" i="5" s="1"/>
  <c r="Z48" i="5"/>
  <c r="DK70" i="20"/>
  <c r="R59" i="23"/>
  <c r="R53" i="23"/>
  <c r="AB66" i="20" s="1"/>
  <c r="CV78" i="20"/>
  <c r="J78" i="9"/>
  <c r="K51" i="5"/>
  <c r="J80" i="38"/>
  <c r="K68" i="5"/>
  <c r="L18" i="5"/>
  <c r="L40" i="5" s="1"/>
  <c r="CW64" i="20"/>
  <c r="CW78" i="20" s="1"/>
  <c r="U58" i="9"/>
  <c r="W58" i="9" s="1"/>
  <c r="V67" i="10"/>
  <c r="X67" i="10" s="1"/>
  <c r="Z67" i="10" s="1"/>
  <c r="L68" i="9"/>
  <c r="M78" i="20"/>
  <c r="J69" i="9"/>
  <c r="AB44" i="38"/>
  <c r="AB45" i="38"/>
  <c r="N63" i="38"/>
  <c r="P63" i="38" s="1"/>
  <c r="U63" i="38"/>
  <c r="V70" i="10"/>
  <c r="X70" i="10" s="1"/>
  <c r="Z70" i="10" s="1"/>
  <c r="J75" i="9"/>
  <c r="P78" i="20"/>
  <c r="T53" i="23"/>
  <c r="T59" i="23"/>
  <c r="U283" i="38"/>
  <c r="W283" i="38" s="1"/>
  <c r="K227" i="38"/>
  <c r="AV54" i="3" l="1"/>
  <c r="AV51" i="3"/>
  <c r="DK59" i="20"/>
  <c r="O24" i="74"/>
  <c r="P21" i="74" s="1"/>
  <c r="AY54" i="2"/>
  <c r="CH66" i="20"/>
  <c r="AD12" i="5"/>
  <c r="AD100" i="5"/>
  <c r="CH67" i="20"/>
  <c r="Q155" i="74"/>
  <c r="P171" i="74"/>
  <c r="P23" i="74" s="1"/>
  <c r="P12" i="74" s="1"/>
  <c r="P13" i="74" s="1"/>
  <c r="N35" i="74"/>
  <c r="N37" i="74"/>
  <c r="N39" i="74" s="1"/>
  <c r="O30" i="74"/>
  <c r="O15" i="74" s="1"/>
  <c r="DO19" i="20"/>
  <c r="AD31" i="15"/>
  <c r="W290" i="38"/>
  <c r="L22" i="65"/>
  <c r="H20" i="65"/>
  <c r="L23" i="65"/>
  <c r="I20" i="65"/>
  <c r="J20" i="65"/>
  <c r="CL59" i="20"/>
  <c r="CK59" i="20"/>
  <c r="C40" i="65" s="1"/>
  <c r="C22" i="65"/>
  <c r="CJ59" i="20"/>
  <c r="CM59" i="20"/>
  <c r="J33" i="65"/>
  <c r="H33" i="65"/>
  <c r="I33" i="65"/>
  <c r="N70" i="38"/>
  <c r="P70" i="38" s="1"/>
  <c r="U70" i="38"/>
  <c r="L77" i="38"/>
  <c r="J78" i="38"/>
  <c r="K9" i="2"/>
  <c r="J50" i="3"/>
  <c r="J52" i="3" s="1"/>
  <c r="W63" i="38"/>
  <c r="AD45" i="38"/>
  <c r="AF45" i="38" s="1"/>
  <c r="AD52" i="38"/>
  <c r="AF52" i="38" s="1"/>
  <c r="AK45" i="38"/>
  <c r="K69" i="5"/>
  <c r="CW73" i="20"/>
  <c r="AM37" i="38"/>
  <c r="AK39" i="38"/>
  <c r="AM39" i="38" s="1"/>
  <c r="U62" i="9"/>
  <c r="W62" i="9" s="1"/>
  <c r="N62" i="9"/>
  <c r="P62" i="9" s="1"/>
  <c r="AA44" i="5"/>
  <c r="DL67" i="20"/>
  <c r="N64" i="38"/>
  <c r="P64" i="38" s="1"/>
  <c r="U64" i="38"/>
  <c r="W64" i="38" s="1"/>
  <c r="AD51" i="38"/>
  <c r="AF51" i="38" s="1"/>
  <c r="AD44" i="38"/>
  <c r="AF44" i="38" s="1"/>
  <c r="AK44" i="38"/>
  <c r="AB46" i="38"/>
  <c r="N68" i="9"/>
  <c r="P68" i="9" s="1"/>
  <c r="U68" i="9"/>
  <c r="DL66" i="20"/>
  <c r="AA42" i="5"/>
  <c r="V62" i="10"/>
  <c r="X62" i="10" s="1"/>
  <c r="Z62" i="10" s="1"/>
  <c r="L63" i="9"/>
  <c r="J78" i="20"/>
  <c r="AU63" i="9"/>
  <c r="L64" i="9"/>
  <c r="N71" i="15"/>
  <c r="CZ34" i="20" s="1"/>
  <c r="BD189" i="1"/>
  <c r="AJ34" i="20"/>
  <c r="K52" i="5"/>
  <c r="K59" i="5"/>
  <c r="K60" i="5" s="1"/>
  <c r="J72" i="38"/>
  <c r="L71" i="38"/>
  <c r="W296" i="38"/>
  <c r="W289" i="38"/>
  <c r="AK42" i="9"/>
  <c r="AD49" i="9"/>
  <c r="AF49" i="9" s="1"/>
  <c r="AD42" i="9"/>
  <c r="AF42" i="9" s="1"/>
  <c r="AB44" i="9"/>
  <c r="V77" i="10"/>
  <c r="X77" i="10" s="1"/>
  <c r="Z77" i="10" s="1"/>
  <c r="J82" i="9"/>
  <c r="U78" i="20"/>
  <c r="F11" i="23"/>
  <c r="F35" i="23" s="1"/>
  <c r="F59" i="23" s="1"/>
  <c r="I62" i="2"/>
  <c r="I61" i="2"/>
  <c r="I15" i="2"/>
  <c r="I32" i="2" s="1"/>
  <c r="I87" i="2" s="1"/>
  <c r="W41" i="5"/>
  <c r="DH65" i="20"/>
  <c r="L65" i="38"/>
  <c r="AT65" i="38"/>
  <c r="L66" i="38"/>
  <c r="AD43" i="9"/>
  <c r="AF43" i="9" s="1"/>
  <c r="AD50" i="9"/>
  <c r="AF50" i="9" s="1"/>
  <c r="AK43" i="9"/>
  <c r="V74" i="10"/>
  <c r="X74" i="10" s="1"/>
  <c r="Z74" i="10" s="1"/>
  <c r="J76" i="9"/>
  <c r="L75" i="9"/>
  <c r="R78" i="20"/>
  <c r="V68" i="10"/>
  <c r="X68" i="10" s="1"/>
  <c r="Z68" i="10" s="1"/>
  <c r="J70" i="9"/>
  <c r="L69" i="9"/>
  <c r="N78" i="20"/>
  <c r="DH68" i="20"/>
  <c r="W45" i="5"/>
  <c r="W61" i="9"/>
  <c r="N297" i="38"/>
  <c r="P297" i="38" s="1"/>
  <c r="N304" i="38"/>
  <c r="P304" i="38" s="1"/>
  <c r="AA48" i="5"/>
  <c r="DL70" i="20"/>
  <c r="L223" i="38"/>
  <c r="K223" i="38"/>
  <c r="Z227" i="38"/>
  <c r="Z228" i="38" s="1"/>
  <c r="L68" i="5"/>
  <c r="CX64" i="20"/>
  <c r="CX78" i="20" s="1"/>
  <c r="L51" i="5"/>
  <c r="J85" i="9"/>
  <c r="M18" i="5"/>
  <c r="M40" i="5" s="1"/>
  <c r="U297" i="38"/>
  <c r="W300" i="38"/>
  <c r="W293" i="38"/>
  <c r="AM35" i="9"/>
  <c r="AK37" i="9"/>
  <c r="AM37" i="9" s="1"/>
  <c r="DM69" i="20"/>
  <c r="AB46" i="5"/>
  <c r="AC46" i="5" l="1"/>
  <c r="DN69" i="20"/>
  <c r="P24" i="74"/>
  <c r="Q21" i="74" s="1"/>
  <c r="Q171" i="74"/>
  <c r="Q23" i="74" s="1"/>
  <c r="Q12" i="74" s="1"/>
  <c r="Q13" i="74" s="1"/>
  <c r="R155" i="74"/>
  <c r="O33" i="74"/>
  <c r="O38" i="74"/>
  <c r="O16" i="74"/>
  <c r="AB228" i="38"/>
  <c r="AD228" i="38" s="1"/>
  <c r="Z229" i="38"/>
  <c r="N230" i="38"/>
  <c r="H230" i="38" s="1"/>
  <c r="N231" i="38"/>
  <c r="AB223" i="38"/>
  <c r="AD223" i="38" s="1"/>
  <c r="AB227" i="38"/>
  <c r="J22" i="65"/>
  <c r="H22" i="65"/>
  <c r="I22" i="65"/>
  <c r="C65536" i="65"/>
  <c r="DM66" i="20"/>
  <c r="AB42" i="5"/>
  <c r="DI68" i="20"/>
  <c r="X45" i="5"/>
  <c r="V69" i="10"/>
  <c r="X69" i="10" s="1"/>
  <c r="Z69" i="10" s="1"/>
  <c r="O78" i="20"/>
  <c r="L70" i="9"/>
  <c r="L71" i="9"/>
  <c r="N223" i="38"/>
  <c r="H223" i="38" s="1"/>
  <c r="L224" i="38"/>
  <c r="N224" i="38" s="1"/>
  <c r="U75" i="9"/>
  <c r="N75" i="9"/>
  <c r="P75" i="9" s="1"/>
  <c r="AM43" i="9"/>
  <c r="AM50" i="9"/>
  <c r="AM42" i="9"/>
  <c r="AM49" i="9"/>
  <c r="AK44" i="9"/>
  <c r="U64" i="9"/>
  <c r="W64" i="9" s="1"/>
  <c r="N64" i="9"/>
  <c r="P64" i="9" s="1"/>
  <c r="N65" i="38"/>
  <c r="P65" i="38" s="1"/>
  <c r="U65" i="38"/>
  <c r="W65" i="38" s="1"/>
  <c r="V75" i="10"/>
  <c r="X75" i="10" s="1"/>
  <c r="Z75" i="10" s="1"/>
  <c r="S78" i="20"/>
  <c r="L76" i="9"/>
  <c r="J77" i="9"/>
  <c r="AD46" i="38"/>
  <c r="AF46" i="38" s="1"/>
  <c r="AD53" i="38"/>
  <c r="AF53" i="38" s="1"/>
  <c r="M68" i="5"/>
  <c r="N18" i="5"/>
  <c r="N40" i="5" s="1"/>
  <c r="CY64" i="20"/>
  <c r="CY78" i="20" s="1"/>
  <c r="M51" i="5"/>
  <c r="J92" i="9"/>
  <c r="AM44" i="38"/>
  <c r="AM51" i="38"/>
  <c r="AK46" i="38"/>
  <c r="W70" i="38"/>
  <c r="W297" i="38"/>
  <c r="W304" i="38"/>
  <c r="V84" i="10"/>
  <c r="X84" i="10" s="1"/>
  <c r="Z84" i="10" s="1"/>
  <c r="Z78" i="20"/>
  <c r="L85" i="9"/>
  <c r="L89" i="9"/>
  <c r="J87" i="38"/>
  <c r="U66" i="38"/>
  <c r="W66" i="38" s="1"/>
  <c r="N66" i="38"/>
  <c r="P66" i="38" s="1"/>
  <c r="U71" i="38"/>
  <c r="W71" i="38" s="1"/>
  <c r="N71" i="38"/>
  <c r="P71" i="38" s="1"/>
  <c r="AM45" i="38"/>
  <c r="AM52" i="38"/>
  <c r="V81" i="10"/>
  <c r="X81" i="10" s="1"/>
  <c r="W78" i="20"/>
  <c r="J84" i="38"/>
  <c r="L84" i="38" s="1"/>
  <c r="L82" i="9"/>
  <c r="J83" i="9"/>
  <c r="L52" i="5"/>
  <c r="L59" i="5"/>
  <c r="L60" i="5" s="1"/>
  <c r="AB48" i="5"/>
  <c r="AC48" i="5" s="1"/>
  <c r="DM70" i="20"/>
  <c r="N69" i="9"/>
  <c r="P69" i="9" s="1"/>
  <c r="U69" i="9"/>
  <c r="W69" i="9" s="1"/>
  <c r="AD44" i="9"/>
  <c r="AF44" i="9" s="1"/>
  <c r="AD51" i="9"/>
  <c r="AF51" i="9" s="1"/>
  <c r="L72" i="38"/>
  <c r="L73" i="38"/>
  <c r="L67" i="38"/>
  <c r="N67" i="38" s="1"/>
  <c r="P67" i="38" s="1"/>
  <c r="N63" i="9"/>
  <c r="P63" i="9" s="1"/>
  <c r="U63" i="9"/>
  <c r="L65" i="9"/>
  <c r="N65" i="9" s="1"/>
  <c r="P65" i="9" s="1"/>
  <c r="DM67" i="20"/>
  <c r="AB44" i="5"/>
  <c r="L50" i="3"/>
  <c r="L52" i="3" s="1"/>
  <c r="M9" i="2"/>
  <c r="H11" i="23"/>
  <c r="H35" i="23" s="1"/>
  <c r="H59" i="23" s="1"/>
  <c r="K61" i="2"/>
  <c r="K94" i="2"/>
  <c r="K96" i="2" s="1"/>
  <c r="K15" i="2"/>
  <c r="K32" i="2" s="1"/>
  <c r="K87" i="2" s="1"/>
  <c r="K62" i="2"/>
  <c r="AL34" i="20"/>
  <c r="BD190" i="1"/>
  <c r="W68" i="9"/>
  <c r="J79" i="38"/>
  <c r="L78" i="38"/>
  <c r="CX73" i="20"/>
  <c r="L69" i="5"/>
  <c r="DI65" i="20"/>
  <c r="X41" i="5"/>
  <c r="L72" i="9"/>
  <c r="N77" i="38"/>
  <c r="P77" i="38" s="1"/>
  <c r="U77" i="38"/>
  <c r="AC44" i="5" l="1"/>
  <c r="DN67" i="20"/>
  <c r="DO69" i="20"/>
  <c r="AD46" i="5"/>
  <c r="AC42" i="5"/>
  <c r="DN66" i="20"/>
  <c r="AB224" i="38"/>
  <c r="AD224" i="38" s="1"/>
  <c r="Q24" i="74"/>
  <c r="R21" i="74" s="1"/>
  <c r="S155" i="74"/>
  <c r="R171" i="74"/>
  <c r="R23" i="74" s="1"/>
  <c r="R12" i="74" s="1"/>
  <c r="R13" i="74" s="1"/>
  <c r="P29" i="74"/>
  <c r="O37" i="74"/>
  <c r="O39" i="74" s="1"/>
  <c r="O35" i="74"/>
  <c r="Z230" i="38"/>
  <c r="AB230" i="38" s="1"/>
  <c r="AD230" i="38" s="1"/>
  <c r="AF230" i="38" s="1"/>
  <c r="AB229" i="38"/>
  <c r="AD227" i="38"/>
  <c r="L74" i="38"/>
  <c r="N74" i="38" s="1"/>
  <c r="P74" i="38" s="1"/>
  <c r="D230" i="38"/>
  <c r="W77" i="38"/>
  <c r="U85" i="9"/>
  <c r="U76" i="9"/>
  <c r="W76" i="9" s="1"/>
  <c r="N76" i="9"/>
  <c r="P76" i="9" s="1"/>
  <c r="U67" i="38"/>
  <c r="W67" i="38" s="1"/>
  <c r="BD191" i="1"/>
  <c r="AM34" i="20"/>
  <c r="W63" i="9"/>
  <c r="U65" i="9"/>
  <c r="W65" i="9" s="1"/>
  <c r="N51" i="5"/>
  <c r="J99" i="9"/>
  <c r="O18" i="5"/>
  <c r="O40" i="5" s="1"/>
  <c r="CZ64" i="20"/>
  <c r="CZ78" i="20" s="1"/>
  <c r="N68" i="5"/>
  <c r="U70" i="9"/>
  <c r="W70" i="9" s="1"/>
  <c r="N70" i="9"/>
  <c r="P70" i="9" s="1"/>
  <c r="K110" i="2"/>
  <c r="K116" i="2"/>
  <c r="K107" i="2"/>
  <c r="AM46" i="38"/>
  <c r="AM53" i="38"/>
  <c r="M69" i="5"/>
  <c r="CY73" i="20"/>
  <c r="AM44" i="9"/>
  <c r="AM51" i="9"/>
  <c r="D223" i="38"/>
  <c r="S234" i="38" s="1"/>
  <c r="AF223" i="38"/>
  <c r="N72" i="9"/>
  <c r="P72" i="9" s="1"/>
  <c r="N82" i="9"/>
  <c r="P82" i="9" s="1"/>
  <c r="U82" i="9"/>
  <c r="V82" i="10"/>
  <c r="X82" i="10" s="1"/>
  <c r="L83" i="9"/>
  <c r="L84" i="9"/>
  <c r="J85" i="38"/>
  <c r="X78" i="20"/>
  <c r="N73" i="38"/>
  <c r="P73" i="38" s="1"/>
  <c r="U73" i="38"/>
  <c r="W73" i="38" s="1"/>
  <c r="N84" i="38"/>
  <c r="P84" i="38" s="1"/>
  <c r="U84" i="38"/>
  <c r="V91" i="10"/>
  <c r="X91" i="10" s="1"/>
  <c r="Z91" i="10" s="1"/>
  <c r="J96" i="9"/>
  <c r="L92" i="9"/>
  <c r="J94" i="38"/>
  <c r="L94" i="38" s="1"/>
  <c r="AE78" i="20"/>
  <c r="W75" i="9"/>
  <c r="Y45" i="5"/>
  <c r="DJ68" i="20"/>
  <c r="J11" i="23"/>
  <c r="J35" i="23" s="1"/>
  <c r="J59" i="23" s="1"/>
  <c r="M94" i="2"/>
  <c r="M96" i="2" s="1"/>
  <c r="M61" i="2"/>
  <c r="M15" i="2"/>
  <c r="M32" i="2" s="1"/>
  <c r="M62" i="2"/>
  <c r="U72" i="38"/>
  <c r="W72" i="38" s="1"/>
  <c r="N72" i="38"/>
  <c r="P72" i="38" s="1"/>
  <c r="L87" i="38"/>
  <c r="L91" i="38"/>
  <c r="L79" i="38"/>
  <c r="L80" i="38"/>
  <c r="Y41" i="5"/>
  <c r="DJ65" i="20"/>
  <c r="N78" i="38"/>
  <c r="P78" i="38" s="1"/>
  <c r="U78" i="38"/>
  <c r="W78" i="38" s="1"/>
  <c r="O9" i="2"/>
  <c r="N50" i="3"/>
  <c r="N52" i="3" s="1"/>
  <c r="Z81" i="10"/>
  <c r="Z88" i="10"/>
  <c r="L93" i="9"/>
  <c r="U89" i="9"/>
  <c r="N89" i="9"/>
  <c r="P89" i="9" s="1"/>
  <c r="M52" i="5"/>
  <c r="M59" i="5"/>
  <c r="M60" i="5" s="1"/>
  <c r="V76" i="10"/>
  <c r="X76" i="10" s="1"/>
  <c r="T78" i="20"/>
  <c r="L77" i="9"/>
  <c r="L78" i="9"/>
  <c r="U71" i="9"/>
  <c r="W71" i="9" s="1"/>
  <c r="N71" i="9"/>
  <c r="P71" i="9" s="1"/>
  <c r="DO67" i="20" l="1"/>
  <c r="AD44" i="5"/>
  <c r="DO66" i="20"/>
  <c r="AD42" i="5"/>
  <c r="R24" i="74"/>
  <c r="S21" i="74" s="1"/>
  <c r="S171" i="74"/>
  <c r="S23" i="74" s="1"/>
  <c r="S12" i="74" s="1"/>
  <c r="S13" i="74" s="1"/>
  <c r="T155" i="74"/>
  <c r="P30" i="74"/>
  <c r="P15" i="74" s="1"/>
  <c r="AB231" i="38"/>
  <c r="AD231" i="38" s="1"/>
  <c r="AD229" i="38"/>
  <c r="AF229" i="38" s="1"/>
  <c r="AK229" i="38"/>
  <c r="AM229" i="38" s="1"/>
  <c r="S230" i="38"/>
  <c r="U230" i="38" s="1"/>
  <c r="U74" i="38"/>
  <c r="W74" i="38" s="1"/>
  <c r="L86" i="9"/>
  <c r="N78" i="9"/>
  <c r="P78" i="9" s="1"/>
  <c r="U78" i="9"/>
  <c r="W78" i="9" s="1"/>
  <c r="U72" i="9"/>
  <c r="W72" i="9" s="1"/>
  <c r="N94" i="38"/>
  <c r="P94" i="38" s="1"/>
  <c r="U94" i="38"/>
  <c r="N90" i="9"/>
  <c r="P90" i="9" s="1"/>
  <c r="N83" i="9"/>
  <c r="P83" i="9" s="1"/>
  <c r="U83" i="9"/>
  <c r="BD192" i="1"/>
  <c r="AN34" i="20"/>
  <c r="N52" i="5"/>
  <c r="N59" i="5"/>
  <c r="N60" i="5" s="1"/>
  <c r="N77" i="9"/>
  <c r="P77" i="9" s="1"/>
  <c r="U77" i="9"/>
  <c r="N91" i="38"/>
  <c r="P91" i="38" s="1"/>
  <c r="U91" i="38"/>
  <c r="L95" i="38"/>
  <c r="M87" i="2"/>
  <c r="U92" i="9"/>
  <c r="W92" i="9" s="1"/>
  <c r="N92" i="9"/>
  <c r="P92" i="9" s="1"/>
  <c r="Z82" i="10"/>
  <c r="Z89" i="10"/>
  <c r="L79" i="9"/>
  <c r="N79" i="9" s="1"/>
  <c r="P79" i="9" s="1"/>
  <c r="N85" i="9"/>
  <c r="P85" i="9" s="1"/>
  <c r="Z41" i="5"/>
  <c r="DK65" i="20"/>
  <c r="K119" i="2"/>
  <c r="K113" i="2"/>
  <c r="K108" i="2"/>
  <c r="K120" i="2" s="1"/>
  <c r="W89" i="9"/>
  <c r="U80" i="38"/>
  <c r="W80" i="38" s="1"/>
  <c r="N80" i="38"/>
  <c r="P80" i="38" s="1"/>
  <c r="N87" i="38"/>
  <c r="P87" i="38" s="1"/>
  <c r="U87" i="38"/>
  <c r="V95" i="10"/>
  <c r="X95" i="10" s="1"/>
  <c r="AG78" i="20"/>
  <c r="J98" i="38"/>
  <c r="L97" i="9"/>
  <c r="L96" i="9"/>
  <c r="N84" i="9"/>
  <c r="P84" i="9" s="1"/>
  <c r="U84" i="9"/>
  <c r="U86" i="9" s="1"/>
  <c r="N91" i="9"/>
  <c r="P91" i="9" s="1"/>
  <c r="Z76" i="10"/>
  <c r="Z83" i="10"/>
  <c r="N93" i="9"/>
  <c r="P93" i="9" s="1"/>
  <c r="U79" i="38"/>
  <c r="N79" i="38"/>
  <c r="P79" i="38" s="1"/>
  <c r="L81" i="38"/>
  <c r="N81" i="38" s="1"/>
  <c r="P81" i="38" s="1"/>
  <c r="M110" i="2"/>
  <c r="M107" i="2"/>
  <c r="M116" i="2"/>
  <c r="AI223" i="38"/>
  <c r="U223" i="38"/>
  <c r="S224" i="38"/>
  <c r="CZ73" i="20"/>
  <c r="N69" i="5"/>
  <c r="L11" i="23"/>
  <c r="L35" i="23" s="1"/>
  <c r="L59" i="23" s="1"/>
  <c r="O94" i="2"/>
  <c r="O96" i="2" s="1"/>
  <c r="O85" i="2"/>
  <c r="O15" i="2"/>
  <c r="O32" i="2" s="1"/>
  <c r="O62" i="2"/>
  <c r="O61" i="2"/>
  <c r="DK68" i="20"/>
  <c r="Z45" i="5"/>
  <c r="K335" i="38"/>
  <c r="W82" i="9"/>
  <c r="O78" i="15"/>
  <c r="DA64" i="20"/>
  <c r="DA78" i="20" s="1"/>
  <c r="O51" i="5"/>
  <c r="J106" i="9"/>
  <c r="O68" i="5"/>
  <c r="P18" i="5"/>
  <c r="P40" i="5" s="1"/>
  <c r="N53" i="3"/>
  <c r="Q9" i="2"/>
  <c r="P50" i="3"/>
  <c r="P52" i="3" s="1"/>
  <c r="W84" i="38"/>
  <c r="L86" i="38"/>
  <c r="L85" i="38"/>
  <c r="V98" i="10"/>
  <c r="X98" i="10" s="1"/>
  <c r="Z98" i="10" s="1"/>
  <c r="AJ78" i="20"/>
  <c r="J101" i="38"/>
  <c r="L99" i="9"/>
  <c r="L103" i="9"/>
  <c r="S24" i="74" l="1"/>
  <c r="T21" i="74" s="1"/>
  <c r="D224" i="38"/>
  <c r="T171" i="74"/>
  <c r="T23" i="74" s="1"/>
  <c r="T12" i="74" s="1"/>
  <c r="T13" i="74" s="1"/>
  <c r="U155" i="74"/>
  <c r="P33" i="74"/>
  <c r="P35" i="74" s="1"/>
  <c r="P38" i="74"/>
  <c r="P16" i="74"/>
  <c r="AI230" i="38"/>
  <c r="AK230" i="38" s="1"/>
  <c r="U93" i="9"/>
  <c r="W87" i="38"/>
  <c r="W230" i="38"/>
  <c r="N103" i="9"/>
  <c r="P103" i="9" s="1"/>
  <c r="U103" i="9"/>
  <c r="AK223" i="38"/>
  <c r="AI224" i="38"/>
  <c r="L100" i="9"/>
  <c r="N100" i="9" s="1"/>
  <c r="P100" i="9" s="1"/>
  <c r="N96" i="9"/>
  <c r="P96" i="9" s="1"/>
  <c r="U96" i="9"/>
  <c r="L105" i="38"/>
  <c r="L101" i="38"/>
  <c r="N86" i="38"/>
  <c r="P86" i="38" s="1"/>
  <c r="N93" i="38"/>
  <c r="P93" i="38" s="1"/>
  <c r="U86" i="38"/>
  <c r="R50" i="3"/>
  <c r="R52" i="3" s="1"/>
  <c r="P53" i="3"/>
  <c r="S9" i="2"/>
  <c r="AA45" i="5"/>
  <c r="DL68" i="20"/>
  <c r="W85" i="9"/>
  <c r="L99" i="38"/>
  <c r="L98" i="38"/>
  <c r="N11" i="23"/>
  <c r="N35" i="23" s="1"/>
  <c r="N59" i="23" s="1"/>
  <c r="Q85" i="2"/>
  <c r="Q15" i="2"/>
  <c r="Q32" i="2" s="1"/>
  <c r="Q56" i="2"/>
  <c r="Q94" i="2"/>
  <c r="Q96" i="2" s="1"/>
  <c r="Q61" i="2"/>
  <c r="W91" i="38"/>
  <c r="U95" i="38"/>
  <c r="O71" i="15"/>
  <c r="AO34" i="20"/>
  <c r="BH189" i="1"/>
  <c r="O87" i="2"/>
  <c r="M108" i="2"/>
  <c r="M120" i="2" s="1"/>
  <c r="M119" i="2"/>
  <c r="M113" i="2"/>
  <c r="P78" i="15"/>
  <c r="P51" i="5"/>
  <c r="Q18" i="5"/>
  <c r="Q40" i="5" s="1"/>
  <c r="DB64" i="20"/>
  <c r="DB78" i="20" s="1"/>
  <c r="J113" i="9"/>
  <c r="P68" i="5"/>
  <c r="W223" i="38"/>
  <c r="U224" i="38"/>
  <c r="W224" i="38" s="1"/>
  <c r="AA41" i="5"/>
  <c r="DL65" i="20"/>
  <c r="O69" i="5"/>
  <c r="DA73" i="20"/>
  <c r="N99" i="9"/>
  <c r="P99" i="9" s="1"/>
  <c r="U99" i="9"/>
  <c r="W99" i="9" s="1"/>
  <c r="V105" i="10"/>
  <c r="X105" i="10" s="1"/>
  <c r="Z105" i="10" s="1"/>
  <c r="L110" i="9"/>
  <c r="K110" i="9"/>
  <c r="J108" i="38"/>
  <c r="AO78" i="20"/>
  <c r="L106" i="9"/>
  <c r="L107" i="9" s="1"/>
  <c r="N107" i="9" s="1"/>
  <c r="P107" i="9" s="1"/>
  <c r="U97" i="9"/>
  <c r="N104" i="9"/>
  <c r="P104" i="9" s="1"/>
  <c r="N97" i="9"/>
  <c r="P97" i="9" s="1"/>
  <c r="W93" i="9"/>
  <c r="W83" i="9"/>
  <c r="W90" i="9"/>
  <c r="W77" i="9"/>
  <c r="U79" i="9"/>
  <c r="W79" i="9" s="1"/>
  <c r="O52" i="5"/>
  <c r="O59" i="5"/>
  <c r="O60" i="5" s="1"/>
  <c r="W79" i="38"/>
  <c r="U81" i="38"/>
  <c r="W81" i="38" s="1"/>
  <c r="W94" i="38"/>
  <c r="N86" i="9"/>
  <c r="P86" i="9" s="1"/>
  <c r="N85" i="38"/>
  <c r="P85" i="38" s="1"/>
  <c r="U85" i="38"/>
  <c r="N92" i="38"/>
  <c r="P92" i="38" s="1"/>
  <c r="L88" i="38"/>
  <c r="N88" i="38" s="1"/>
  <c r="P88" i="38" s="1"/>
  <c r="L331" i="38"/>
  <c r="Z335" i="38"/>
  <c r="Z336" i="38" s="1"/>
  <c r="K331" i="38"/>
  <c r="O107" i="2"/>
  <c r="O110" i="2"/>
  <c r="O116" i="2"/>
  <c r="W84" i="9"/>
  <c r="W91" i="9"/>
  <c r="Z95" i="10"/>
  <c r="Z102" i="10"/>
  <c r="T24" i="74" l="1"/>
  <c r="U21" i="74" s="1"/>
  <c r="H224" i="38"/>
  <c r="AF224" i="38" s="1"/>
  <c r="V155" i="74"/>
  <c r="U171" i="74"/>
  <c r="U23" i="74" s="1"/>
  <c r="U12" i="74" s="1"/>
  <c r="U13" i="74" s="1"/>
  <c r="Q29" i="74"/>
  <c r="Q30" i="74" s="1"/>
  <c r="Q15" i="74" s="1"/>
  <c r="P37" i="74"/>
  <c r="P39" i="74" s="1"/>
  <c r="AB336" i="38"/>
  <c r="AD336" i="38" s="1"/>
  <c r="Z337" i="38"/>
  <c r="AB331" i="38"/>
  <c r="AD331" i="38" s="1"/>
  <c r="AB335" i="38"/>
  <c r="N338" i="38"/>
  <c r="H338" i="38" s="1"/>
  <c r="AM230" i="38"/>
  <c r="N95" i="38"/>
  <c r="P95" i="38" s="1"/>
  <c r="L112" i="38"/>
  <c r="L108" i="38"/>
  <c r="L109" i="38" s="1"/>
  <c r="AM223" i="38"/>
  <c r="AK224" i="38"/>
  <c r="AM224" i="38" s="1"/>
  <c r="S56" i="2"/>
  <c r="S94" i="2"/>
  <c r="S96" i="2" s="1"/>
  <c r="S85" i="2"/>
  <c r="S15" i="2"/>
  <c r="S32" i="2" s="1"/>
  <c r="S61" i="2"/>
  <c r="N331" i="38"/>
  <c r="H331" i="38" s="1"/>
  <c r="L332" i="38"/>
  <c r="N110" i="9"/>
  <c r="P110" i="9" s="1"/>
  <c r="U110" i="9"/>
  <c r="V112" i="10"/>
  <c r="J115" i="38"/>
  <c r="L113" i="9"/>
  <c r="K113" i="9"/>
  <c r="AT78" i="20"/>
  <c r="K117" i="9"/>
  <c r="L117" i="9"/>
  <c r="W86" i="38"/>
  <c r="W93" i="38"/>
  <c r="W103" i="9"/>
  <c r="AB332" i="38"/>
  <c r="AD332" i="38" s="1"/>
  <c r="DM65" i="20"/>
  <c r="AB41" i="5"/>
  <c r="Q110" i="2"/>
  <c r="Q107" i="2"/>
  <c r="Q116" i="2"/>
  <c r="N101" i="38"/>
  <c r="P101" i="38" s="1"/>
  <c r="N237" i="38"/>
  <c r="P237" i="38" s="1"/>
  <c r="U101" i="38"/>
  <c r="W101" i="38" s="1"/>
  <c r="P69" i="5"/>
  <c r="DB73" i="20"/>
  <c r="Q78" i="15"/>
  <c r="R18" i="5"/>
  <c r="R40" i="5" s="1"/>
  <c r="J120" i="9"/>
  <c r="Q51" i="5"/>
  <c r="DC64" i="20"/>
  <c r="DC78" i="20" s="1"/>
  <c r="Q68" i="5"/>
  <c r="AQ34" i="20"/>
  <c r="BH190" i="1"/>
  <c r="U105" i="38"/>
  <c r="N105" i="38"/>
  <c r="P105" i="38" s="1"/>
  <c r="W85" i="38"/>
  <c r="W92" i="38"/>
  <c r="U88" i="38"/>
  <c r="W88" i="38" s="1"/>
  <c r="W97" i="9"/>
  <c r="W104" i="9"/>
  <c r="N98" i="38"/>
  <c r="P98" i="38" s="1"/>
  <c r="U98" i="38"/>
  <c r="L102" i="38"/>
  <c r="P52" i="5"/>
  <c r="P59" i="5"/>
  <c r="P60" i="5" s="1"/>
  <c r="Q87" i="2"/>
  <c r="Q57" i="2"/>
  <c r="U100" i="9"/>
  <c r="W100" i="9" s="1"/>
  <c r="W96" i="9"/>
  <c r="N99" i="38"/>
  <c r="P99" i="38" s="1"/>
  <c r="U99" i="38"/>
  <c r="N106" i="38"/>
  <c r="P106" i="38" s="1"/>
  <c r="T50" i="3"/>
  <c r="T52" i="3" s="1"/>
  <c r="U9" i="2"/>
  <c r="R53" i="3"/>
  <c r="O113" i="2"/>
  <c r="O108" i="2"/>
  <c r="O120" i="2" s="1"/>
  <c r="O119" i="2"/>
  <c r="N106" i="9"/>
  <c r="P106" i="9" s="1"/>
  <c r="U106" i="9"/>
  <c r="W106" i="9" s="1"/>
  <c r="W86" i="9"/>
  <c r="O72" i="15"/>
  <c r="DA33" i="20" s="1"/>
  <c r="DA34" i="20"/>
  <c r="DM68" i="20"/>
  <c r="AB45" i="5"/>
  <c r="AC45" i="5" l="1"/>
  <c r="DN68" i="20"/>
  <c r="AC41" i="5"/>
  <c r="DN65" i="20"/>
  <c r="P224" i="38"/>
  <c r="N332" i="38"/>
  <c r="N339" i="38"/>
  <c r="U24" i="74"/>
  <c r="V21" i="74" s="1"/>
  <c r="V171" i="74"/>
  <c r="V23" i="74" s="1"/>
  <c r="V12" i="74" s="1"/>
  <c r="V13" i="74" s="1"/>
  <c r="W155" i="74"/>
  <c r="W171" i="74" s="1"/>
  <c r="W23" i="74" s="1"/>
  <c r="W12" i="74" s="1"/>
  <c r="W13" i="74" s="1"/>
  <c r="Q33" i="74"/>
  <c r="R29" i="74" s="1"/>
  <c r="Q38" i="74"/>
  <c r="Q16" i="74"/>
  <c r="Z338" i="38"/>
  <c r="AB338" i="38" s="1"/>
  <c r="AD338" i="38" s="1"/>
  <c r="AF338" i="38" s="1"/>
  <c r="AB337" i="38"/>
  <c r="D338" i="38"/>
  <c r="AD335" i="38"/>
  <c r="N109" i="38"/>
  <c r="P109" i="38" s="1"/>
  <c r="U107" i="9"/>
  <c r="W107" i="9" s="1"/>
  <c r="N238" i="38"/>
  <c r="P238" i="38" s="1"/>
  <c r="N102" i="38"/>
  <c r="P102" i="38" s="1"/>
  <c r="Q52" i="5"/>
  <c r="Q59" i="5"/>
  <c r="Q60" i="5" s="1"/>
  <c r="N113" i="9"/>
  <c r="P113" i="9" s="1"/>
  <c r="U113" i="9"/>
  <c r="W113" i="9" s="1"/>
  <c r="W99" i="38"/>
  <c r="W106" i="38"/>
  <c r="W98" i="38"/>
  <c r="U102" i="38"/>
  <c r="W102" i="38" s="1"/>
  <c r="V119" i="10"/>
  <c r="X119" i="10" s="1"/>
  <c r="J122" i="38"/>
  <c r="K124" i="9"/>
  <c r="L124" i="9"/>
  <c r="K120" i="9"/>
  <c r="AY78" i="20"/>
  <c r="L120" i="9"/>
  <c r="K119" i="38"/>
  <c r="L119" i="38"/>
  <c r="L115" i="38"/>
  <c r="L116" i="38" s="1"/>
  <c r="N116" i="38" s="1"/>
  <c r="P116" i="38" s="1"/>
  <c r="W110" i="9"/>
  <c r="T53" i="3"/>
  <c r="W9" i="2"/>
  <c r="V50" i="3"/>
  <c r="V52" i="3" s="1"/>
  <c r="W105" i="38"/>
  <c r="AR34" i="20"/>
  <c r="BH191" i="1"/>
  <c r="L121" i="9"/>
  <c r="U117" i="9"/>
  <c r="N117" i="9"/>
  <c r="L114" i="9"/>
  <c r="N114" i="9" s="1"/>
  <c r="P114" i="9" s="1"/>
  <c r="S107" i="2"/>
  <c r="S110" i="2"/>
  <c r="S116" i="2"/>
  <c r="S57" i="2"/>
  <c r="S87" i="2"/>
  <c r="Q113" i="2"/>
  <c r="Q108" i="2"/>
  <c r="Q120" i="2" s="1"/>
  <c r="Q119" i="2"/>
  <c r="D331" i="38"/>
  <c r="S343" i="38" s="1"/>
  <c r="AF331" i="38"/>
  <c r="U108" i="38"/>
  <c r="W108" i="38" s="1"/>
  <c r="N108" i="38"/>
  <c r="P108" i="38" s="1"/>
  <c r="R78" i="15"/>
  <c r="J127" i="9"/>
  <c r="R51" i="5"/>
  <c r="DD64" i="20"/>
  <c r="DD78" i="20" s="1"/>
  <c r="S18" i="5"/>
  <c r="S40" i="5" s="1"/>
  <c r="R68" i="5"/>
  <c r="V113" i="10"/>
  <c r="X112" i="10"/>
  <c r="Z112" i="10" s="1"/>
  <c r="U94" i="2"/>
  <c r="U96" i="2" s="1"/>
  <c r="U15" i="2"/>
  <c r="U32" i="2" s="1"/>
  <c r="U56" i="2"/>
  <c r="U61" i="2"/>
  <c r="U85" i="2"/>
  <c r="DC73" i="20"/>
  <c r="Q69" i="5"/>
  <c r="W95" i="38"/>
  <c r="N112" i="38"/>
  <c r="P112" i="38" s="1"/>
  <c r="U112" i="38"/>
  <c r="DO68" i="20" l="1"/>
  <c r="AD45" i="5"/>
  <c r="DO65" i="20"/>
  <c r="AD41" i="5"/>
  <c r="V24" i="74"/>
  <c r="W21" i="74" s="1"/>
  <c r="W24" i="74" s="1"/>
  <c r="Q37" i="74"/>
  <c r="Q39" i="74" s="1"/>
  <c r="Q35" i="74"/>
  <c r="R30" i="74"/>
  <c r="R15" i="74" s="1"/>
  <c r="AB339" i="38"/>
  <c r="AD339" i="38" s="1"/>
  <c r="AD337" i="38"/>
  <c r="AF337" i="38" s="1"/>
  <c r="AK337" i="38"/>
  <c r="AM337" i="38" s="1"/>
  <c r="S338" i="38"/>
  <c r="AS183" i="9" s="1"/>
  <c r="Z119" i="10"/>
  <c r="S113" i="2"/>
  <c r="S108" i="2"/>
  <c r="S120" i="2" s="1"/>
  <c r="S119" i="2"/>
  <c r="DD73" i="20"/>
  <c r="R69" i="5"/>
  <c r="U57" i="2"/>
  <c r="U87" i="2"/>
  <c r="S78" i="15"/>
  <c r="S51" i="5"/>
  <c r="T18" i="5"/>
  <c r="T40" i="5" s="1"/>
  <c r="J134" i="9"/>
  <c r="DE64" i="20"/>
  <c r="S68" i="5"/>
  <c r="U331" i="38"/>
  <c r="AI331" i="38"/>
  <c r="AS176" i="9"/>
  <c r="S332" i="38"/>
  <c r="P117" i="9"/>
  <c r="U109" i="38"/>
  <c r="W109" i="38" s="1"/>
  <c r="U120" i="9"/>
  <c r="W120" i="9" s="1"/>
  <c r="N120" i="9"/>
  <c r="U119" i="38"/>
  <c r="N119" i="38"/>
  <c r="P119" i="38" s="1"/>
  <c r="W117" i="9"/>
  <c r="U114" i="9"/>
  <c r="W114" i="9" s="1"/>
  <c r="W112" i="38"/>
  <c r="U107" i="2"/>
  <c r="U110" i="2"/>
  <c r="U116" i="2"/>
  <c r="R52" i="5"/>
  <c r="R59" i="5"/>
  <c r="R60" i="5" s="1"/>
  <c r="N121" i="9"/>
  <c r="P121" i="9" s="1"/>
  <c r="V126" i="10"/>
  <c r="J129" i="38"/>
  <c r="K131" i="9"/>
  <c r="L127" i="9"/>
  <c r="L128" i="9" s="1"/>
  <c r="N128" i="9" s="1"/>
  <c r="P128" i="9" s="1"/>
  <c r="K127" i="9"/>
  <c r="L131" i="9"/>
  <c r="BD78" i="20"/>
  <c r="U124" i="9"/>
  <c r="N124" i="9"/>
  <c r="X50" i="3"/>
  <c r="X52" i="3" s="1"/>
  <c r="Y9" i="2"/>
  <c r="V53" i="3"/>
  <c r="AS34" i="20"/>
  <c r="BH192" i="1"/>
  <c r="W94" i="2"/>
  <c r="W96" i="2" s="1"/>
  <c r="W56" i="2"/>
  <c r="W15" i="2"/>
  <c r="W32" i="2" s="1"/>
  <c r="W61" i="2"/>
  <c r="W85" i="2"/>
  <c r="U115" i="38"/>
  <c r="W115" i="38" s="1"/>
  <c r="N115" i="38"/>
  <c r="P115" i="38" s="1"/>
  <c r="L126" i="38"/>
  <c r="K126" i="38"/>
  <c r="L122" i="38"/>
  <c r="L123" i="38" s="1"/>
  <c r="N123" i="38" s="1"/>
  <c r="P123" i="38" s="1"/>
  <c r="K122" i="38"/>
  <c r="D332" i="38" l="1"/>
  <c r="R33" i="74"/>
  <c r="R37" i="74" s="1"/>
  <c r="R39" i="74" s="1"/>
  <c r="R38" i="74"/>
  <c r="R16" i="74"/>
  <c r="U338" i="38"/>
  <c r="AI338" i="38"/>
  <c r="U116" i="38"/>
  <c r="W116" i="38" s="1"/>
  <c r="S52" i="5"/>
  <c r="S59" i="5"/>
  <c r="S60" i="5" s="1"/>
  <c r="V127" i="10"/>
  <c r="X126" i="10"/>
  <c r="Z126" i="10" s="1"/>
  <c r="P120" i="9"/>
  <c r="AK331" i="38"/>
  <c r="AI332" i="38"/>
  <c r="AS177" i="9"/>
  <c r="W331" i="38"/>
  <c r="U332" i="38"/>
  <c r="W332" i="38" s="1"/>
  <c r="W57" i="2"/>
  <c r="W87" i="2"/>
  <c r="S69" i="5"/>
  <c r="DE73" i="20"/>
  <c r="U131" i="9"/>
  <c r="N131" i="9"/>
  <c r="Z50" i="3"/>
  <c r="Z52" i="3" s="1"/>
  <c r="AA9" i="2"/>
  <c r="X53" i="3"/>
  <c r="W119" i="38"/>
  <c r="V133" i="10"/>
  <c r="X133" i="10" s="1"/>
  <c r="K138" i="9"/>
  <c r="J136" i="38"/>
  <c r="BI78" i="20"/>
  <c r="L138" i="9"/>
  <c r="L134" i="9"/>
  <c r="K134" i="9"/>
  <c r="Y15" i="2"/>
  <c r="Y32" i="2" s="1"/>
  <c r="Y61" i="2"/>
  <c r="Y85" i="2"/>
  <c r="Y94" i="2"/>
  <c r="Y96" i="2" s="1"/>
  <c r="Y56" i="2"/>
  <c r="U126" i="38"/>
  <c r="N126" i="38"/>
  <c r="P126" i="38" s="1"/>
  <c r="W116" i="2"/>
  <c r="W110" i="2"/>
  <c r="W107" i="2"/>
  <c r="W124" i="9"/>
  <c r="N127" i="9"/>
  <c r="U127" i="9"/>
  <c r="W127" i="9" s="1"/>
  <c r="U108" i="2"/>
  <c r="U120" i="2" s="1"/>
  <c r="U113" i="2"/>
  <c r="U119" i="2"/>
  <c r="T78" i="15"/>
  <c r="U18" i="5"/>
  <c r="U40" i="5" s="1"/>
  <c r="T51" i="5"/>
  <c r="T68" i="5"/>
  <c r="DF64" i="20"/>
  <c r="N122" i="38"/>
  <c r="P122" i="38" s="1"/>
  <c r="U122" i="38"/>
  <c r="W122" i="38" s="1"/>
  <c r="P124" i="9"/>
  <c r="P71" i="15"/>
  <c r="AT34" i="20"/>
  <c r="BL189" i="1"/>
  <c r="L129" i="38"/>
  <c r="K129" i="38"/>
  <c r="K133" i="38"/>
  <c r="L133" i="38"/>
  <c r="U121" i="9"/>
  <c r="W121" i="9" s="1"/>
  <c r="H332" i="38" l="1"/>
  <c r="P332" i="38" s="1"/>
  <c r="S29" i="74"/>
  <c r="S30" i="74" s="1"/>
  <c r="S15" i="74" s="1"/>
  <c r="R35" i="74"/>
  <c r="AK338" i="38"/>
  <c r="W338" i="38"/>
  <c r="U128" i="9"/>
  <c r="AF332" i="38"/>
  <c r="P72" i="15"/>
  <c r="DB33" i="20" s="1"/>
  <c r="DB34" i="20"/>
  <c r="V18" i="5"/>
  <c r="V40" i="5" s="1"/>
  <c r="U68" i="5"/>
  <c r="DG64" i="20"/>
  <c r="U51" i="5"/>
  <c r="W128" i="9"/>
  <c r="W126" i="38"/>
  <c r="U123" i="38"/>
  <c r="W123" i="38" s="1"/>
  <c r="P131" i="9"/>
  <c r="U129" i="38"/>
  <c r="W129" i="38" s="1"/>
  <c r="N129" i="38"/>
  <c r="P129" i="38" s="1"/>
  <c r="Y116" i="2"/>
  <c r="Y110" i="2"/>
  <c r="Y107" i="2"/>
  <c r="N141" i="9"/>
  <c r="P141" i="9" s="1"/>
  <c r="U134" i="9"/>
  <c r="N134" i="9"/>
  <c r="W131" i="9"/>
  <c r="W119" i="2"/>
  <c r="W113" i="2"/>
  <c r="W108" i="2"/>
  <c r="W120" i="2" s="1"/>
  <c r="L142" i="9"/>
  <c r="N138" i="9"/>
  <c r="P138" i="9" s="1"/>
  <c r="N145" i="9"/>
  <c r="P145" i="9" s="1"/>
  <c r="U138" i="9"/>
  <c r="AA15" i="2"/>
  <c r="AA32" i="2" s="1"/>
  <c r="AA61" i="2"/>
  <c r="AA94" i="2"/>
  <c r="AA96" i="2" s="1"/>
  <c r="AA56" i="2"/>
  <c r="AA85" i="2"/>
  <c r="AB50" i="3"/>
  <c r="AB52" i="3" s="1"/>
  <c r="Z53" i="3"/>
  <c r="AC9" i="2"/>
  <c r="AM331" i="38"/>
  <c r="AK332" i="38"/>
  <c r="AM332" i="38" s="1"/>
  <c r="L140" i="38"/>
  <c r="K140" i="38"/>
  <c r="K136" i="38"/>
  <c r="L136" i="38"/>
  <c r="L137" i="38" s="1"/>
  <c r="BL190" i="1"/>
  <c r="AV34" i="20"/>
  <c r="DF73" i="20"/>
  <c r="T69" i="5"/>
  <c r="Y87" i="2"/>
  <c r="Y57" i="2"/>
  <c r="N133" i="38"/>
  <c r="P133" i="38" s="1"/>
  <c r="U133" i="38"/>
  <c r="T52" i="5"/>
  <c r="T59" i="5"/>
  <c r="T60" i="5" s="1"/>
  <c r="P127" i="9"/>
  <c r="L130" i="38"/>
  <c r="N130" i="38" s="1"/>
  <c r="P130" i="38" s="1"/>
  <c r="Z133" i="10"/>
  <c r="Z140" i="10"/>
  <c r="L135" i="9"/>
  <c r="N135" i="9" s="1"/>
  <c r="S33" i="74" l="1"/>
  <c r="T29" i="74" s="1"/>
  <c r="S38" i="74"/>
  <c r="S16" i="74"/>
  <c r="AM338" i="38"/>
  <c r="N137" i="38"/>
  <c r="P137" i="38" s="1"/>
  <c r="AC56" i="2"/>
  <c r="AC94" i="2"/>
  <c r="AC96" i="2" s="1"/>
  <c r="AC85" i="2"/>
  <c r="AC15" i="2"/>
  <c r="AC32" i="2" s="1"/>
  <c r="AC61" i="2"/>
  <c r="AA116" i="2"/>
  <c r="AA110" i="2"/>
  <c r="AA107" i="2"/>
  <c r="U69" i="5"/>
  <c r="DG73" i="20"/>
  <c r="P134" i="9"/>
  <c r="V68" i="5"/>
  <c r="V51" i="5"/>
  <c r="W18" i="5"/>
  <c r="W40" i="5" s="1"/>
  <c r="DH64" i="20"/>
  <c r="U142" i="9"/>
  <c r="W145" i="9"/>
  <c r="W138" i="9"/>
  <c r="L144" i="38"/>
  <c r="U140" i="38"/>
  <c r="N140" i="38"/>
  <c r="P140" i="38" s="1"/>
  <c r="N147" i="38"/>
  <c r="P147" i="38" s="1"/>
  <c r="AB53" i="3"/>
  <c r="AD50" i="3"/>
  <c r="AD52" i="3" s="1"/>
  <c r="AE9" i="2"/>
  <c r="AA87" i="2"/>
  <c r="AA57" i="2"/>
  <c r="W141" i="9"/>
  <c r="W134" i="9"/>
  <c r="Y108" i="2"/>
  <c r="Y120" i="2" s="1"/>
  <c r="Y119" i="2"/>
  <c r="Y113" i="2"/>
  <c r="U130" i="38"/>
  <c r="W130" i="38" s="1"/>
  <c r="W133" i="38"/>
  <c r="BL191" i="1"/>
  <c r="AW34" i="20"/>
  <c r="N142" i="9"/>
  <c r="P142" i="9" s="1"/>
  <c r="N149" i="9"/>
  <c r="P149" i="9" s="1"/>
  <c r="U135" i="9"/>
  <c r="W135" i="9" s="1"/>
  <c r="U52" i="5"/>
  <c r="U59" i="5"/>
  <c r="U60" i="5" s="1"/>
  <c r="P135" i="9"/>
  <c r="U136" i="38"/>
  <c r="U137" i="38" s="1"/>
  <c r="N143" i="38"/>
  <c r="P143" i="38" s="1"/>
  <c r="N136" i="38"/>
  <c r="P136" i="38" s="1"/>
  <c r="S35" i="74" l="1"/>
  <c r="S37" i="74"/>
  <c r="S39" i="74" s="1"/>
  <c r="T30" i="74"/>
  <c r="T15" i="74" s="1"/>
  <c r="W137" i="38"/>
  <c r="AC116" i="2"/>
  <c r="AC110" i="2"/>
  <c r="AC107" i="2"/>
  <c r="W142" i="9"/>
  <c r="W149" i="9"/>
  <c r="W68" i="5"/>
  <c r="DI64" i="20"/>
  <c r="W51" i="5"/>
  <c r="X18" i="5"/>
  <c r="X40" i="5" s="1"/>
  <c r="W143" i="38"/>
  <c r="W136" i="38"/>
  <c r="W147" i="38"/>
  <c r="U144" i="38"/>
  <c r="W140" i="38"/>
  <c r="V52" i="5"/>
  <c r="V59" i="5"/>
  <c r="V60" i="5" s="1"/>
  <c r="N151" i="38"/>
  <c r="P151" i="38" s="1"/>
  <c r="N144" i="38"/>
  <c r="P144" i="38" s="1"/>
  <c r="DH73" i="20"/>
  <c r="V69" i="5"/>
  <c r="AE61" i="2"/>
  <c r="AE94" i="2"/>
  <c r="AE96" i="2" s="1"/>
  <c r="AE56" i="2"/>
  <c r="AE85" i="2"/>
  <c r="AE15" i="2"/>
  <c r="AE32" i="2" s="1"/>
  <c r="AC57" i="2"/>
  <c r="AC87" i="2"/>
  <c r="AX34" i="20"/>
  <c r="BL192" i="1"/>
  <c r="AD53" i="3"/>
  <c r="AF50" i="3"/>
  <c r="AF52" i="3" s="1"/>
  <c r="AG9" i="2"/>
  <c r="AA108" i="2"/>
  <c r="AA120" i="2" s="1"/>
  <c r="AA119" i="2"/>
  <c r="AA113" i="2"/>
  <c r="T33" i="74" l="1"/>
  <c r="T35" i="74" s="1"/>
  <c r="T38" i="74"/>
  <c r="T16" i="74"/>
  <c r="W151" i="38"/>
  <c r="W144" i="38"/>
  <c r="AG94" i="2"/>
  <c r="AG96" i="2" s="1"/>
  <c r="AG56" i="2"/>
  <c r="AG85" i="2"/>
  <c r="AG15" i="2"/>
  <c r="AG32" i="2" s="1"/>
  <c r="AG61" i="2"/>
  <c r="AH50" i="3"/>
  <c r="AH52" i="3" s="1"/>
  <c r="AF53" i="3"/>
  <c r="AI9" i="2"/>
  <c r="AE116" i="2"/>
  <c r="AE110" i="2"/>
  <c r="AE107" i="2"/>
  <c r="X68" i="5"/>
  <c r="X51" i="5"/>
  <c r="Y18" i="5"/>
  <c r="Y40" i="5" s="1"/>
  <c r="DJ64" i="20"/>
  <c r="Q71" i="15"/>
  <c r="AY34" i="20"/>
  <c r="BP189" i="1"/>
  <c r="W52" i="5"/>
  <c r="W59" i="5"/>
  <c r="W60" i="5" s="1"/>
  <c r="AE57" i="2"/>
  <c r="AE87" i="2"/>
  <c r="AC113" i="2"/>
  <c r="AC108" i="2"/>
  <c r="AC120" i="2" s="1"/>
  <c r="AC119" i="2"/>
  <c r="W69" i="5"/>
  <c r="DI73" i="20"/>
  <c r="U29" i="74" l="1"/>
  <c r="U30" i="74" s="1"/>
  <c r="U15" i="74" s="1"/>
  <c r="T37" i="74"/>
  <c r="T39" i="74" s="1"/>
  <c r="X52" i="5"/>
  <c r="X59" i="5"/>
  <c r="X60" i="5" s="1"/>
  <c r="AK9" i="2"/>
  <c r="AJ50" i="3"/>
  <c r="AJ52" i="3" s="1"/>
  <c r="AE108" i="2"/>
  <c r="AE120" i="2" s="1"/>
  <c r="AE119" i="2"/>
  <c r="AE113" i="2"/>
  <c r="BP190" i="1"/>
  <c r="BA34" i="20"/>
  <c r="Q72" i="15"/>
  <c r="DC34" i="20"/>
  <c r="Y51" i="5"/>
  <c r="Z18" i="5"/>
  <c r="Z40" i="5" s="1"/>
  <c r="J183" i="9" s="1"/>
  <c r="DK64" i="20"/>
  <c r="DK78" i="20" s="1"/>
  <c r="Y68" i="5"/>
  <c r="X69" i="5"/>
  <c r="DJ73" i="20"/>
  <c r="AI61" i="2"/>
  <c r="AI85" i="2"/>
  <c r="AI56" i="2"/>
  <c r="AI94" i="2"/>
  <c r="AI96" i="2" s="1"/>
  <c r="AI15" i="2"/>
  <c r="AI32" i="2" s="1"/>
  <c r="AG110" i="2"/>
  <c r="AG107" i="2"/>
  <c r="AG57" i="2"/>
  <c r="AG87" i="2"/>
  <c r="U33" i="74" l="1"/>
  <c r="V29" i="74" s="1"/>
  <c r="U38" i="74"/>
  <c r="U16" i="74"/>
  <c r="L180" i="9"/>
  <c r="K180" i="9"/>
  <c r="Y69" i="5"/>
  <c r="DK73" i="20"/>
  <c r="DC33" i="20"/>
  <c r="Q89" i="15"/>
  <c r="Z51" i="5"/>
  <c r="DL64" i="20"/>
  <c r="DL78" i="20" s="1"/>
  <c r="AA18" i="5"/>
  <c r="AA40" i="5" s="1"/>
  <c r="Z68" i="5"/>
  <c r="AK56" i="2"/>
  <c r="AK85" i="2"/>
  <c r="AK15" i="2"/>
  <c r="AK32" i="2" s="1"/>
  <c r="AK61" i="2"/>
  <c r="AK94" i="2"/>
  <c r="AK96" i="2" s="1"/>
  <c r="AI116" i="2"/>
  <c r="AI107" i="2"/>
  <c r="AI110" i="2"/>
  <c r="Y52" i="5"/>
  <c r="Y59" i="5"/>
  <c r="Y60" i="5" s="1"/>
  <c r="V175" i="10"/>
  <c r="X175" i="10" s="1"/>
  <c r="L176" i="9"/>
  <c r="K176" i="9"/>
  <c r="BP191" i="1"/>
  <c r="BB34" i="20"/>
  <c r="AI57" i="2"/>
  <c r="AI87" i="2"/>
  <c r="AG108" i="2"/>
  <c r="AG113" i="2"/>
  <c r="AM9" i="2"/>
  <c r="AL50" i="3"/>
  <c r="AL52" i="3" s="1"/>
  <c r="K182" i="38" l="1"/>
  <c r="L182" i="38"/>
  <c r="U37" i="74"/>
  <c r="U39" i="74" s="1"/>
  <c r="U35" i="74"/>
  <c r="V30" i="74"/>
  <c r="V15" i="74" s="1"/>
  <c r="Z175" i="10"/>
  <c r="N180" i="9"/>
  <c r="N176" i="9"/>
  <c r="P176" i="9" s="1"/>
  <c r="L177" i="9"/>
  <c r="N177" i="9" s="1"/>
  <c r="U176" i="9"/>
  <c r="K178" i="38"/>
  <c r="L178" i="38"/>
  <c r="AM94" i="2"/>
  <c r="AM96" i="2" s="1"/>
  <c r="AM61" i="2"/>
  <c r="AM56" i="2"/>
  <c r="AM85" i="2"/>
  <c r="AM15" i="2"/>
  <c r="AM32" i="2" s="1"/>
  <c r="Z52" i="5"/>
  <c r="AO9" i="2"/>
  <c r="AN50" i="3"/>
  <c r="AN52" i="3" s="1"/>
  <c r="AK116" i="2"/>
  <c r="AK110" i="2"/>
  <c r="AK107" i="2"/>
  <c r="Z69" i="5"/>
  <c r="DL73" i="20"/>
  <c r="AI108" i="2"/>
  <c r="AI120" i="2" s="1"/>
  <c r="AI119" i="2"/>
  <c r="AI113" i="2"/>
  <c r="AK57" i="2"/>
  <c r="AK87" i="2"/>
  <c r="BP192" i="1"/>
  <c r="BC34" i="20"/>
  <c r="AA51" i="5"/>
  <c r="AB18" i="5"/>
  <c r="AB40" i="5" s="1"/>
  <c r="DN64" i="20" s="1"/>
  <c r="DN78" i="20" s="1"/>
  <c r="DM64" i="20"/>
  <c r="DM78" i="20" s="1"/>
  <c r="AA68" i="5"/>
  <c r="DM73" i="20" s="1"/>
  <c r="N182" i="38" l="1"/>
  <c r="V33" i="74"/>
  <c r="V37" i="74" s="1"/>
  <c r="V39" i="74" s="1"/>
  <c r="V38" i="74"/>
  <c r="V16" i="74"/>
  <c r="AA69" i="5"/>
  <c r="AA52" i="5"/>
  <c r="AO85" i="2"/>
  <c r="AO94" i="2"/>
  <c r="AO96" i="2" s="1"/>
  <c r="AO61" i="2"/>
  <c r="AO56" i="2"/>
  <c r="AO15" i="2"/>
  <c r="AO32" i="2" s="1"/>
  <c r="AM87" i="2"/>
  <c r="AM57" i="2"/>
  <c r="W176" i="9"/>
  <c r="AK119" i="2"/>
  <c r="AK108" i="2"/>
  <c r="AK120" i="2" s="1"/>
  <c r="AK113" i="2"/>
  <c r="AM110" i="2"/>
  <c r="AM107" i="2"/>
  <c r="AM116" i="2"/>
  <c r="N178" i="38"/>
  <c r="H178" i="38" s="1"/>
  <c r="D178" i="38" s="1"/>
  <c r="L179" i="38"/>
  <c r="AB51" i="5"/>
  <c r="AC18" i="5"/>
  <c r="AC40" i="5" s="1"/>
  <c r="AB68" i="5"/>
  <c r="R71" i="15"/>
  <c r="BD34" i="20"/>
  <c r="BT189" i="1"/>
  <c r="AP50" i="3"/>
  <c r="AP52" i="3" s="1"/>
  <c r="AQ9" i="2"/>
  <c r="AB69" i="5" l="1"/>
  <c r="DN73" i="20"/>
  <c r="DO64" i="20"/>
  <c r="DO78" i="20" s="1"/>
  <c r="AD18" i="5"/>
  <c r="AD40" i="5" s="1"/>
  <c r="W29" i="74"/>
  <c r="W30" i="74" s="1"/>
  <c r="W15" i="74" s="1"/>
  <c r="V35" i="74"/>
  <c r="N179" i="38"/>
  <c r="S188" i="38"/>
  <c r="AM113" i="2"/>
  <c r="AM108" i="2"/>
  <c r="AM120" i="2" s="1"/>
  <c r="AM119" i="2"/>
  <c r="R72" i="15"/>
  <c r="DD34" i="20"/>
  <c r="AO87" i="2"/>
  <c r="AO57" i="2"/>
  <c r="AC51" i="5"/>
  <c r="AC68" i="5"/>
  <c r="AB52" i="5"/>
  <c r="AO107" i="2"/>
  <c r="AO110" i="2"/>
  <c r="AO116" i="2"/>
  <c r="AQ15" i="2"/>
  <c r="AQ32" i="2" s="1"/>
  <c r="AQ85" i="2"/>
  <c r="AQ56" i="2"/>
  <c r="AQ61" i="2"/>
  <c r="AQ94" i="2"/>
  <c r="AQ96" i="2" s="1"/>
  <c r="AR50" i="3"/>
  <c r="AR52" i="3" s="1"/>
  <c r="AS9" i="2"/>
  <c r="BF34" i="20"/>
  <c r="BT190" i="1"/>
  <c r="AD51" i="5" l="1"/>
  <c r="AD52" i="5" s="1"/>
  <c r="AI40" i="5"/>
  <c r="AD68" i="5"/>
  <c r="AD69" i="5" s="1"/>
  <c r="AC69" i="5"/>
  <c r="DO73" i="20"/>
  <c r="W33" i="74"/>
  <c r="W35" i="74" s="1"/>
  <c r="W38" i="74"/>
  <c r="W16" i="74"/>
  <c r="F183" i="9"/>
  <c r="CX13" i="1" s="1"/>
  <c r="CR54" i="20" s="1"/>
  <c r="AT185" i="38"/>
  <c r="AU185" i="38"/>
  <c r="AR176" i="9"/>
  <c r="AI178" i="38"/>
  <c r="U178" i="38"/>
  <c r="S179" i="38"/>
  <c r="AU9" i="2"/>
  <c r="AT50" i="3"/>
  <c r="AT52" i="3" s="1"/>
  <c r="AO108" i="2"/>
  <c r="AO120" i="2" s="1"/>
  <c r="AO119" i="2"/>
  <c r="AO113" i="2"/>
  <c r="AS15" i="2"/>
  <c r="AS32" i="2" s="1"/>
  <c r="AS94" i="2"/>
  <c r="AS96" i="2" s="1"/>
  <c r="AS61" i="2"/>
  <c r="AS85" i="2"/>
  <c r="AS56" i="2"/>
  <c r="AQ110" i="2"/>
  <c r="AQ116" i="2"/>
  <c r="AQ107" i="2"/>
  <c r="BG34" i="20"/>
  <c r="BT191" i="1"/>
  <c r="AQ57" i="2"/>
  <c r="AQ87" i="2"/>
  <c r="AC52" i="5"/>
  <c r="DD33" i="20"/>
  <c r="R89" i="15"/>
  <c r="W37" i="74" l="1"/>
  <c r="W39" i="74" s="1"/>
  <c r="AV185" i="38"/>
  <c r="AW185" i="38" s="1"/>
  <c r="AV50" i="3"/>
  <c r="AV52" i="3" s="1"/>
  <c r="AW9" i="2"/>
  <c r="AS110" i="2"/>
  <c r="AS107" i="2"/>
  <c r="AS116" i="2"/>
  <c r="AU15" i="2"/>
  <c r="AU32" i="2" s="1"/>
  <c r="AU57" i="2" s="1"/>
  <c r="AU61" i="2"/>
  <c r="AU56" i="2"/>
  <c r="AU85" i="2"/>
  <c r="AS57" i="2"/>
  <c r="AS87" i="2"/>
  <c r="D179" i="38"/>
  <c r="BH34" i="20"/>
  <c r="BT192" i="1"/>
  <c r="W178" i="38"/>
  <c r="U179" i="38"/>
  <c r="W179" i="38" s="1"/>
  <c r="AI179" i="38"/>
  <c r="AQ119" i="2"/>
  <c r="AQ113" i="2"/>
  <c r="AQ108" i="2"/>
  <c r="AQ120" i="2" s="1"/>
  <c r="AQ176" i="9"/>
  <c r="AR177" i="9"/>
  <c r="AV176" i="9"/>
  <c r="AU176" i="9" s="1"/>
  <c r="S71" i="15" l="1"/>
  <c r="BX189" i="1"/>
  <c r="BI34" i="20"/>
  <c r="H179" i="38"/>
  <c r="AS108" i="2"/>
  <c r="AS120" i="2" s="1"/>
  <c r="AS113" i="2"/>
  <c r="AS119" i="2"/>
  <c r="AW61" i="2"/>
  <c r="AW56" i="2"/>
  <c r="AW85" i="2"/>
  <c r="AW15" i="2"/>
  <c r="AW32" i="2" s="1"/>
  <c r="AW57" i="2" s="1"/>
  <c r="D8" i="68"/>
  <c r="D10" i="68" s="1"/>
  <c r="D12" i="68" s="1"/>
  <c r="D14" i="68" s="1"/>
  <c r="D18" i="68" s="1"/>
  <c r="AY9" i="2"/>
  <c r="AX50" i="3"/>
  <c r="AP176" i="9"/>
  <c r="AQ177" i="9"/>
  <c r="AY56" i="2" l="1"/>
  <c r="AY61" i="2"/>
  <c r="AY15" i="2"/>
  <c r="AY32" i="2" s="1"/>
  <c r="AY57" i="2" s="1"/>
  <c r="AY85" i="2"/>
  <c r="P179" i="38"/>
  <c r="BX190" i="1"/>
  <c r="BK34" i="20"/>
  <c r="T71" i="15"/>
  <c r="S72" i="15"/>
  <c r="DE33" i="20" s="1"/>
  <c r="DE34" i="20"/>
  <c r="U71" i="15" l="1"/>
  <c r="DF34" i="20"/>
  <c r="BL34" i="20"/>
  <c r="BX191" i="1"/>
  <c r="BX192" i="1" l="1"/>
  <c r="BM34" i="20"/>
  <c r="T72" i="15"/>
  <c r="DF33" i="20" s="1"/>
  <c r="U72" i="15"/>
  <c r="DG33" i="20" s="1"/>
  <c r="V71" i="15"/>
  <c r="DG34" i="20"/>
  <c r="CB189" i="1" l="1"/>
  <c r="BN34" i="20"/>
  <c r="V72" i="15"/>
  <c r="DH33" i="20" s="1"/>
  <c r="W71" i="15"/>
  <c r="DH34" i="20"/>
  <c r="W72" i="15" l="1"/>
  <c r="DI33" i="20" s="1"/>
  <c r="X71" i="15"/>
  <c r="DI34" i="20"/>
  <c r="CB190" i="1"/>
  <c r="BP34" i="20"/>
  <c r="CB191" i="1" l="1"/>
  <c r="BQ34" i="20"/>
  <c r="X72" i="15"/>
  <c r="DJ33" i="20" s="1"/>
  <c r="DJ34" i="20"/>
  <c r="Y71" i="15"/>
  <c r="BR34" i="20" l="1"/>
  <c r="CB192" i="1"/>
  <c r="Y72" i="15"/>
  <c r="DK33" i="20" s="1"/>
  <c r="Z71" i="15"/>
  <c r="DK34" i="20"/>
  <c r="Z72" i="15" l="1"/>
  <c r="DL33" i="20" s="1"/>
  <c r="DL34" i="20"/>
  <c r="AA71" i="15"/>
  <c r="BS34" i="20"/>
  <c r="CF189" i="1"/>
  <c r="BU34" i="20" l="1"/>
  <c r="CF190" i="1"/>
  <c r="AB71" i="15"/>
  <c r="DM34" i="20"/>
  <c r="AA72" i="15"/>
  <c r="DM33" i="20" s="1"/>
  <c r="DN34" i="20" l="1"/>
  <c r="AC71" i="15"/>
  <c r="DO34" i="20" s="1"/>
  <c r="AB72" i="15"/>
  <c r="DN33" i="20" s="1"/>
  <c r="CF191" i="1"/>
  <c r="BV34" i="20"/>
  <c r="AC72" i="15" l="1"/>
  <c r="DO33" i="20" s="1"/>
  <c r="AD71" i="15"/>
  <c r="AD72" i="15" s="1"/>
  <c r="CF192" i="1"/>
  <c r="BW34" i="20"/>
  <c r="CJ189" i="1" l="1"/>
  <c r="BX34" i="20"/>
  <c r="CJ190" i="1" l="1"/>
  <c r="BZ34" i="20"/>
  <c r="CJ191" i="1" l="1"/>
  <c r="CA34" i="20"/>
  <c r="CJ192" i="1" l="1"/>
  <c r="CB34" i="20"/>
  <c r="CN189" i="1" l="1"/>
  <c r="CC34" i="20"/>
  <c r="CN190" i="1" l="1"/>
  <c r="CE34" i="20"/>
  <c r="CN191" i="1" l="1"/>
  <c r="CF34" i="20"/>
  <c r="CN192" i="1" l="1"/>
  <c r="CG34" i="20"/>
  <c r="CH34" i="20" l="1"/>
  <c r="CR189" i="1"/>
  <c r="CR190" i="1" l="1"/>
  <c r="CR191" i="1" s="1"/>
  <c r="CR192" i="1" s="1"/>
  <c r="CV189" i="1" s="1"/>
  <c r="CV190" i="1" s="1"/>
  <c r="CV191" i="1" s="1"/>
  <c r="CV192" i="1" s="1"/>
  <c r="CO34" i="20" s="1" a="1"/>
  <c r="CR34" i="20" l="1"/>
  <c r="CP34" i="20"/>
  <c r="CQ34" i="20"/>
  <c r="CO34" i="20"/>
  <c r="CJ34" i="20" a="1"/>
  <c r="CL34" i="20" l="1"/>
  <c r="CK34" i="20"/>
  <c r="CM34" i="20"/>
  <c r="CJ34" i="20"/>
  <c r="H182" i="38" l="1"/>
  <c r="D182" i="38" s="1"/>
  <c r="S182" i="38" s="1"/>
  <c r="AR180" i="9" s="1"/>
  <c r="AI182" i="38" l="1"/>
  <c r="U182" i="38"/>
  <c r="H183" i="38"/>
  <c r="D183" i="38" s="1"/>
  <c r="S183" i="38" s="1"/>
  <c r="AR181" i="9" l="1"/>
  <c r="AI183" i="38"/>
  <c r="U183" i="38"/>
  <c r="W183" i="38" s="1"/>
  <c r="W182" i="38"/>
  <c r="D183" i="9"/>
  <c r="S183" i="9" s="1"/>
  <c r="CV13" i="1" l="1"/>
  <c r="D182" i="10" s="1"/>
  <c r="L182" i="10" s="1"/>
  <c r="AI183" i="9"/>
  <c r="CW77" i="1" l="1"/>
  <c r="CW67" i="1"/>
  <c r="CW144" i="1"/>
  <c r="CV23" i="1"/>
  <c r="F182" i="10" s="1"/>
  <c r="CW51" i="1"/>
  <c r="CW59" i="1"/>
  <c r="CW13" i="1"/>
  <c r="CZ13" i="1" s="1"/>
  <c r="CV33" i="1"/>
  <c r="CZ33" i="1" s="1"/>
  <c r="CW97" i="1"/>
  <c r="CV87" i="1" l="1"/>
  <c r="CV107" i="1" s="1"/>
  <c r="CV43" i="1"/>
  <c r="CX33" i="1"/>
  <c r="H180" i="9"/>
  <c r="CX87" i="1" l="1"/>
  <c r="CW87" i="1"/>
  <c r="CW107" i="1"/>
  <c r="CV117" i="1"/>
  <c r="CV135" i="1" s="1"/>
  <c r="CX107" i="1"/>
  <c r="CX43" i="1"/>
  <c r="CW43" i="1"/>
  <c r="D180" i="9"/>
  <c r="S180" i="9" s="1"/>
  <c r="CV10" i="1" s="1"/>
  <c r="D179" i="10" s="1"/>
  <c r="H181" i="9"/>
  <c r="D181" i="9" s="1"/>
  <c r="S181" i="9" s="1"/>
  <c r="CV11" i="1" s="1"/>
  <c r="D180" i="10" s="1"/>
  <c r="L180" i="10" s="1"/>
  <c r="L179" i="10" l="1"/>
  <c r="CZ31" i="1"/>
  <c r="CW142" i="1"/>
  <c r="CW95" i="1"/>
  <c r="CW65" i="1"/>
  <c r="CW49" i="1"/>
  <c r="CW11" i="1"/>
  <c r="CZ11" i="1" s="1"/>
  <c r="CW57" i="1"/>
  <c r="CW75" i="1"/>
  <c r="CV30" i="1"/>
  <c r="CZ30" i="1" s="1"/>
  <c r="CW74" i="1"/>
  <c r="CW141" i="1"/>
  <c r="CW64" i="1"/>
  <c r="CW10" i="1"/>
  <c r="CZ10" i="1" s="1"/>
  <c r="CW48" i="1"/>
  <c r="CW94" i="1"/>
  <c r="CV15" i="1"/>
  <c r="CW56" i="1"/>
  <c r="CV154" i="1"/>
  <c r="CW154" i="1" s="1"/>
  <c r="CV164" i="1"/>
  <c r="CW164" i="1" s="1"/>
  <c r="CW135" i="1"/>
  <c r="AI181" i="9"/>
  <c r="U181" i="9"/>
  <c r="W181" i="9" s="1"/>
  <c r="AI180" i="9"/>
  <c r="U180" i="9"/>
  <c r="CX31" i="1" l="1"/>
  <c r="CV41" i="1"/>
  <c r="CV35" i="1"/>
  <c r="CX30" i="1"/>
  <c r="CV40" i="1"/>
  <c r="CW99" i="1"/>
  <c r="CW69" i="1"/>
  <c r="CW146" i="1"/>
  <c r="CW15" i="1"/>
  <c r="W180" i="9"/>
  <c r="CW41" i="1" l="1"/>
  <c r="CX41" i="1"/>
  <c r="CX40" i="1"/>
  <c r="CW40" i="1"/>
  <c r="CX35" i="1"/>
  <c r="CW35" i="1"/>
  <c r="H227" i="38" l="1"/>
  <c r="D227" i="38" s="1"/>
  <c r="S227" i="38" s="1"/>
  <c r="H228" i="38"/>
  <c r="AF228" i="38" s="1"/>
  <c r="AI227" i="38" l="1"/>
  <c r="U227" i="38"/>
  <c r="AF227" i="38"/>
  <c r="D228" i="38"/>
  <c r="S228" i="38" s="1"/>
  <c r="S231" i="38" s="1"/>
  <c r="AF335" i="38"/>
  <c r="AF336" i="38"/>
  <c r="D335" i="38"/>
  <c r="S335" i="38" s="1"/>
  <c r="D336" i="38"/>
  <c r="S336" i="38" s="1"/>
  <c r="F231" i="38" l="1"/>
  <c r="D231" i="38"/>
  <c r="AS180" i="9"/>
  <c r="AI335" i="38"/>
  <c r="U335" i="38"/>
  <c r="S339" i="38"/>
  <c r="F339" i="38" s="1"/>
  <c r="W227" i="38"/>
  <c r="AS181" i="9"/>
  <c r="AI336" i="38"/>
  <c r="AK336" i="38" s="1"/>
  <c r="AM336" i="38" s="1"/>
  <c r="U336" i="38"/>
  <c r="W336" i="38" s="1"/>
  <c r="AI228" i="38"/>
  <c r="AK228" i="38" s="1"/>
  <c r="AM228" i="38" s="1"/>
  <c r="U228" i="38"/>
  <c r="W228" i="38" s="1"/>
  <c r="AK227" i="38"/>
  <c r="U231" i="38" l="1"/>
  <c r="W231" i="38" s="1"/>
  <c r="D339" i="38"/>
  <c r="H231" i="38"/>
  <c r="AM227" i="38"/>
  <c r="AK231" i="38"/>
  <c r="AM231" i="38" s="1"/>
  <c r="AI231" i="38"/>
  <c r="W335" i="38"/>
  <c r="U339" i="38"/>
  <c r="W339" i="38" s="1"/>
  <c r="AK335" i="38"/>
  <c r="AI339" i="38"/>
  <c r="AV181" i="9"/>
  <c r="AU181" i="9" s="1"/>
  <c r="AQ181" i="9"/>
  <c r="AP181" i="9" s="1"/>
  <c r="AS184" i="9"/>
  <c r="AV180" i="9"/>
  <c r="AU180" i="9" s="1"/>
  <c r="AQ180" i="9"/>
  <c r="H339" i="38" l="1"/>
  <c r="AF231" i="38"/>
  <c r="P231" i="38"/>
  <c r="AM335" i="38"/>
  <c r="AK339" i="38"/>
  <c r="AM339" i="38" s="1"/>
  <c r="AP180" i="9"/>
  <c r="CX20" i="1"/>
  <c r="CX21" i="1"/>
  <c r="CV21" i="1"/>
  <c r="CV20" i="1"/>
  <c r="F179" i="10" s="1"/>
  <c r="P339" i="38" l="1"/>
  <c r="AF339" i="38"/>
  <c r="CV85" i="1"/>
  <c r="CX85" i="1" s="1"/>
  <c r="F180" i="10"/>
  <c r="CV25" i="1"/>
  <c r="CW25" i="1" s="1"/>
  <c r="CX25" i="1" s="1"/>
  <c r="CV84" i="1"/>
  <c r="CW85" i="1" l="1"/>
  <c r="CV105" i="1"/>
  <c r="CV115" i="1" s="1"/>
  <c r="CV133" i="1" s="1"/>
  <c r="CW84" i="1"/>
  <c r="CX84" i="1"/>
  <c r="CV89" i="1"/>
  <c r="CV104" i="1"/>
  <c r="CV114" i="1" s="1"/>
  <c r="CW105" i="1" l="1"/>
  <c r="CX105" i="1"/>
  <c r="CV119" i="1"/>
  <c r="CX89" i="1"/>
  <c r="CW89" i="1"/>
  <c r="CW104" i="1"/>
  <c r="CV132" i="1"/>
  <c r="CV109" i="1"/>
  <c r="CX104" i="1"/>
  <c r="CW133" i="1"/>
  <c r="CV162" i="1"/>
  <c r="CW162" i="1" s="1"/>
  <c r="CV152" i="1"/>
  <c r="CW152" i="1" s="1"/>
  <c r="CX109" i="1" l="1"/>
  <c r="CW109" i="1"/>
  <c r="CW119" i="1"/>
  <c r="CV151" i="1"/>
  <c r="CV137" i="1"/>
  <c r="CW132" i="1"/>
  <c r="CV161" i="1"/>
  <c r="CW161" i="1" s="1"/>
  <c r="CW151" i="1" l="1"/>
  <c r="CV156" i="1"/>
  <c r="CW156" i="1" s="1"/>
  <c r="CV166" i="1"/>
  <c r="CW166" i="1" s="1"/>
  <c r="CW137" i="1"/>
  <c r="AD179" i="10" l="1"/>
  <c r="AD180" i="10" l="1"/>
  <c r="P177" i="38" l="1"/>
  <c r="P222" i="38"/>
  <c r="AF222" i="38"/>
  <c r="P330" i="38"/>
  <c r="AF330" i="38"/>
  <c r="D175" i="9"/>
  <c r="H175" i="9" s="1"/>
  <c r="P175" i="9" s="1"/>
  <c r="U175" i="9"/>
  <c r="W175" i="9" s="1"/>
  <c r="AI175" i="9"/>
  <c r="AP175" i="9"/>
  <c r="S177" i="9"/>
  <c r="F182" i="9"/>
  <c r="CX12" i="1" s="1"/>
  <c r="CQ54" i="20" s="1"/>
  <c r="U177" i="9" l="1"/>
  <c r="W177" i="9" s="1"/>
  <c r="D177" i="9"/>
  <c r="F177" i="9"/>
  <c r="AI177" i="9"/>
  <c r="D182" i="9"/>
  <c r="S182" i="9" s="1"/>
  <c r="DA14" i="1" l="1"/>
  <c r="Y74" i="5"/>
  <c r="CV12" i="1"/>
  <c r="CO8" i="20" s="1" a="1"/>
  <c r="S184" i="9"/>
  <c r="AI182" i="9"/>
  <c r="AP182" i="9"/>
  <c r="U182" i="9"/>
  <c r="H177" i="9"/>
  <c r="CR8" i="20" l="1"/>
  <c r="CP8" i="20"/>
  <c r="CO8" i="20"/>
  <c r="DK55" i="20"/>
  <c r="Y9" i="15"/>
  <c r="Y87" i="5"/>
  <c r="P36" i="67"/>
  <c r="DK54" i="20"/>
  <c r="W182" i="9"/>
  <c r="P177" i="9"/>
  <c r="AI184" i="9"/>
  <c r="D184" i="9"/>
  <c r="F184" i="9"/>
  <c r="CX14" i="1" s="1"/>
  <c r="Z74" i="5" s="1"/>
  <c r="CW12" i="1"/>
  <c r="CZ12" i="1" s="1"/>
  <c r="CV16" i="1"/>
  <c r="CW76" i="1"/>
  <c r="CV32" i="1"/>
  <c r="CO15" i="20" s="1" a="1"/>
  <c r="CW50" i="1"/>
  <c r="CW143" i="1"/>
  <c r="D181" i="10"/>
  <c r="CW58" i="1"/>
  <c r="CW96" i="1"/>
  <c r="CV14" i="1"/>
  <c r="CW66" i="1"/>
  <c r="CQ8" i="20"/>
  <c r="CV22" i="1"/>
  <c r="CO10" i="20" s="1" a="1"/>
  <c r="CV86" i="1" l="1"/>
  <c r="CV88" i="1" s="1"/>
  <c r="CO53" i="20"/>
  <c r="CO45" i="20"/>
  <c r="CR10" i="20"/>
  <c r="CR12" i="20" s="1"/>
  <c r="CP10" i="20"/>
  <c r="CP12" i="20" s="1"/>
  <c r="CO10" i="20"/>
  <c r="CO12" i="20" s="1"/>
  <c r="CO15" i="20"/>
  <c r="CP15" i="20"/>
  <c r="CR15" i="20"/>
  <c r="CP45" i="20"/>
  <c r="CP53" i="20"/>
  <c r="CR45" i="20"/>
  <c r="CR53" i="20"/>
  <c r="CQ45" i="20"/>
  <c r="CQ53" i="20"/>
  <c r="CW68" i="1"/>
  <c r="CW78" i="1"/>
  <c r="CW52" i="1"/>
  <c r="CW145" i="1"/>
  <c r="CW60" i="1"/>
  <c r="CW98" i="1"/>
  <c r="CW14" i="1"/>
  <c r="Z15" i="5"/>
  <c r="Z7" i="15"/>
  <c r="CW70" i="1"/>
  <c r="CW16" i="1"/>
  <c r="CW147" i="1"/>
  <c r="CW100" i="1"/>
  <c r="DL55" i="20"/>
  <c r="DL54" i="20"/>
  <c r="Z9" i="15"/>
  <c r="Q36" i="67"/>
  <c r="H184" i="9"/>
  <c r="P177" i="67"/>
  <c r="P80" i="67"/>
  <c r="P171" i="67"/>
  <c r="P169" i="67" s="1"/>
  <c r="P121" i="67"/>
  <c r="D183" i="10"/>
  <c r="L183" i="10" s="1"/>
  <c r="L181" i="10"/>
  <c r="CV26" i="1"/>
  <c r="CW26" i="1" s="1"/>
  <c r="CX26" i="1" s="1"/>
  <c r="F181" i="10"/>
  <c r="CV24" i="1"/>
  <c r="Z11" i="15" s="1"/>
  <c r="CQ10" i="20"/>
  <c r="CQ12" i="20" s="1"/>
  <c r="CV36" i="1"/>
  <c r="CX32" i="1"/>
  <c r="CZ32" i="1"/>
  <c r="CV34" i="1"/>
  <c r="CQ15" i="20"/>
  <c r="CV42" i="1"/>
  <c r="CV106" i="1" l="1"/>
  <c r="CV110" i="1" s="1"/>
  <c r="CV90" i="1"/>
  <c r="CW90" i="1" s="1"/>
  <c r="CX86" i="1"/>
  <c r="CW86" i="1"/>
  <c r="CP14" i="20"/>
  <c r="CP21" i="20" s="1"/>
  <c r="CO56" i="20"/>
  <c r="CO41" i="20"/>
  <c r="CR14" i="20"/>
  <c r="CR41" i="20"/>
  <c r="CR56" i="20"/>
  <c r="CO14" i="20"/>
  <c r="CP41" i="20"/>
  <c r="CP56" i="20"/>
  <c r="BA76" i="2"/>
  <c r="Q8" i="67"/>
  <c r="DL10" i="20"/>
  <c r="DL12" i="20" s="1"/>
  <c r="CW36" i="1"/>
  <c r="CX36" i="1"/>
  <c r="CW24" i="1"/>
  <c r="CX24" i="1" s="1"/>
  <c r="CV44" i="1"/>
  <c r="CX42" i="1"/>
  <c r="CW42" i="1"/>
  <c r="Q6" i="67"/>
  <c r="BA75" i="2"/>
  <c r="DL8" i="20"/>
  <c r="D4" i="72"/>
  <c r="Z35" i="15"/>
  <c r="Z41" i="15"/>
  <c r="Z8" i="15"/>
  <c r="Z32" i="15"/>
  <c r="Z12" i="15"/>
  <c r="CQ56" i="20"/>
  <c r="CQ41" i="20"/>
  <c r="P180" i="67"/>
  <c r="P178" i="67" s="1"/>
  <c r="P168" i="67" s="1"/>
  <c r="P127" i="67" s="1"/>
  <c r="Z7" i="5"/>
  <c r="Z16" i="5"/>
  <c r="Z71" i="5"/>
  <c r="Z59" i="5"/>
  <c r="Z60" i="5" s="1"/>
  <c r="Z103" i="5"/>
  <c r="Z10" i="5"/>
  <c r="F183" i="10"/>
  <c r="Q116" i="67"/>
  <c r="Q171" i="67"/>
  <c r="Q169" i="67" s="1"/>
  <c r="CW88" i="1"/>
  <c r="CX88" i="1"/>
  <c r="CX34" i="1"/>
  <c r="CZ34" i="1"/>
  <c r="CW34" i="1"/>
  <c r="Z14" i="15"/>
  <c r="Z37" i="15" s="1"/>
  <c r="C6" i="72" s="1"/>
  <c r="CQ14" i="20"/>
  <c r="P179" i="67"/>
  <c r="P74" i="67"/>
  <c r="C7" i="72" l="1"/>
  <c r="CX90" i="1"/>
  <c r="CX106" i="1"/>
  <c r="CV116" i="1"/>
  <c r="CO26" i="20" s="1" a="1"/>
  <c r="CP26" i="20" s="1"/>
  <c r="CV108" i="1"/>
  <c r="CW108" i="1" s="1"/>
  <c r="CW106" i="1"/>
  <c r="CP40" i="20"/>
  <c r="CO40" i="20"/>
  <c r="CO21" i="20"/>
  <c r="CP24" i="20"/>
  <c r="CP58" i="20"/>
  <c r="CP46" i="20"/>
  <c r="CP36" i="20"/>
  <c r="CR40" i="20"/>
  <c r="CR21" i="20"/>
  <c r="D6" i="72"/>
  <c r="Z89" i="5"/>
  <c r="Z90" i="5" s="1"/>
  <c r="Z43" i="15"/>
  <c r="Z38" i="15"/>
  <c r="P132" i="67"/>
  <c r="P173" i="67" s="1"/>
  <c r="P131" i="67"/>
  <c r="P181" i="67"/>
  <c r="P115" i="67"/>
  <c r="CQ21" i="20"/>
  <c r="CQ40" i="20"/>
  <c r="BA11" i="2"/>
  <c r="AX23" i="3" s="1"/>
  <c r="BA13" i="2"/>
  <c r="AX24" i="3" s="1"/>
  <c r="BA12" i="2"/>
  <c r="DL75" i="20"/>
  <c r="Z99" i="5"/>
  <c r="Z97" i="5"/>
  <c r="Z87" i="5"/>
  <c r="AA87" i="5" s="1"/>
  <c r="AB87" i="5" s="1"/>
  <c r="AC87" i="5" s="1"/>
  <c r="AD87" i="5" s="1"/>
  <c r="CW110" i="1"/>
  <c r="CX110" i="1"/>
  <c r="P76" i="67"/>
  <c r="D5" i="72"/>
  <c r="D14" i="72"/>
  <c r="DL45" i="20"/>
  <c r="DL14" i="20"/>
  <c r="DL53" i="20"/>
  <c r="Q35" i="67"/>
  <c r="Q10" i="67"/>
  <c r="Q172" i="67"/>
  <c r="DL74" i="20"/>
  <c r="Z72" i="5"/>
  <c r="Q11" i="67"/>
  <c r="BA77" i="2"/>
  <c r="BA38" i="2" s="1"/>
  <c r="Z15" i="15"/>
  <c r="Z16" i="15"/>
  <c r="DL15" i="20"/>
  <c r="CW44" i="1"/>
  <c r="CX44" i="1"/>
  <c r="CV134" i="1" l="1"/>
  <c r="CV153" i="1" s="1"/>
  <c r="CW153" i="1" s="1"/>
  <c r="CV118" i="1"/>
  <c r="Z46" i="15" s="1"/>
  <c r="CX108" i="1"/>
  <c r="P134" i="67"/>
  <c r="P161" i="67" s="1"/>
  <c r="CV120" i="1"/>
  <c r="CW120" i="1" s="1"/>
  <c r="CR26" i="20"/>
  <c r="CQ26" i="20"/>
  <c r="CO26" i="20"/>
  <c r="P77" i="67"/>
  <c r="CP48" i="20"/>
  <c r="CR58" i="20"/>
  <c r="CR24" i="20"/>
  <c r="CR46" i="20"/>
  <c r="CR36" i="20"/>
  <c r="CO24" i="20"/>
  <c r="CO58" i="20"/>
  <c r="CO36" i="20"/>
  <c r="CO46" i="20"/>
  <c r="CP47" i="20"/>
  <c r="CP29" i="20"/>
  <c r="AA7" i="5"/>
  <c r="AA99" i="5" s="1"/>
  <c r="CP50" i="20"/>
  <c r="CP60" i="20"/>
  <c r="Q121" i="67"/>
  <c r="Q177" i="67"/>
  <c r="Q80" i="67"/>
  <c r="Q81" i="67" s="1"/>
  <c r="AX28" i="3"/>
  <c r="Q37" i="67"/>
  <c r="Q30" i="67"/>
  <c r="Q69" i="67" s="1"/>
  <c r="DL21" i="20"/>
  <c r="DL40" i="20"/>
  <c r="P129" i="67"/>
  <c r="CQ36" i="20"/>
  <c r="CQ24" i="20"/>
  <c r="CQ58" i="20"/>
  <c r="CQ46" i="20"/>
  <c r="Z44" i="15"/>
  <c r="DL56" i="20"/>
  <c r="DL41" i="20"/>
  <c r="BA37" i="2"/>
  <c r="AX22" i="3"/>
  <c r="H182" i="10"/>
  <c r="P117" i="67"/>
  <c r="Q29" i="67"/>
  <c r="Q68" i="67" s="1"/>
  <c r="Q13" i="67"/>
  <c r="D7" i="72"/>
  <c r="CW134" i="1" l="1"/>
  <c r="CV138" i="1"/>
  <c r="CV167" i="1" s="1"/>
  <c r="CW167" i="1" s="1"/>
  <c r="CV157" i="1"/>
  <c r="CW157" i="1" s="1"/>
  <c r="CV136" i="1"/>
  <c r="CV165" i="1" s="1"/>
  <c r="CW165" i="1" s="1"/>
  <c r="CV163" i="1"/>
  <c r="CW163" i="1" s="1"/>
  <c r="P78" i="67"/>
  <c r="P174" i="67"/>
  <c r="P150" i="67"/>
  <c r="P176" i="67" s="1"/>
  <c r="P137" i="67"/>
  <c r="P139" i="67" s="1"/>
  <c r="P142" i="67" s="1"/>
  <c r="P144" i="67" s="1"/>
  <c r="P175" i="67" s="1"/>
  <c r="P70" i="67"/>
  <c r="CW118" i="1"/>
  <c r="P79" i="67"/>
  <c r="CO48" i="20"/>
  <c r="CQ48" i="20"/>
  <c r="CR48" i="20"/>
  <c r="P111" i="67"/>
  <c r="AA15" i="5"/>
  <c r="AA59" i="5" s="1"/>
  <c r="AA60" i="5" s="1"/>
  <c r="DM75" i="20"/>
  <c r="CR47" i="20"/>
  <c r="CR29" i="20"/>
  <c r="CP49" i="20"/>
  <c r="CP31" i="20"/>
  <c r="CP59" i="20" s="1"/>
  <c r="AB7" i="5"/>
  <c r="AC7" i="5" s="1"/>
  <c r="AA97" i="5"/>
  <c r="CO60" i="20"/>
  <c r="CO50" i="20"/>
  <c r="CO29" i="20"/>
  <c r="CO47" i="20"/>
  <c r="CR50" i="20"/>
  <c r="CR60" i="20"/>
  <c r="Q18" i="67"/>
  <c r="DL26" i="20"/>
  <c r="Z47" i="15"/>
  <c r="C8" i="72" s="1"/>
  <c r="C9" i="72" s="1"/>
  <c r="C10" i="72" s="1"/>
  <c r="DL36" i="20"/>
  <c r="DL24" i="20"/>
  <c r="DL46" i="20"/>
  <c r="DL58" i="20"/>
  <c r="CQ47" i="20"/>
  <c r="CQ29" i="20"/>
  <c r="Q16" i="67"/>
  <c r="Q38" i="67"/>
  <c r="Q31" i="67"/>
  <c r="Q26" i="67"/>
  <c r="Q40" i="67" s="1"/>
  <c r="BA40" i="2"/>
  <c r="BA45" i="2" s="1"/>
  <c r="AX27" i="3"/>
  <c r="AX30" i="3" s="1"/>
  <c r="C17" i="72" s="1"/>
  <c r="C18" i="72" s="1"/>
  <c r="CQ50" i="20"/>
  <c r="CQ60" i="20"/>
  <c r="Q179" i="67"/>
  <c r="Q74" i="67"/>
  <c r="Q45" i="67" s="1"/>
  <c r="Q110" i="67"/>
  <c r="Q160" i="67" s="1"/>
  <c r="Q159" i="67"/>
  <c r="Q157" i="67" s="1"/>
  <c r="Q158" i="67"/>
  <c r="N182" i="10"/>
  <c r="AD182" i="10"/>
  <c r="AF182" i="10" s="1"/>
  <c r="Q154" i="67"/>
  <c r="Q109" i="67"/>
  <c r="Q156" i="67" s="1"/>
  <c r="Q155" i="67"/>
  <c r="Q153" i="67" s="1"/>
  <c r="Z51" i="15"/>
  <c r="Q180" i="67"/>
  <c r="Q178" i="67" s="1"/>
  <c r="Q168" i="67" s="1"/>
  <c r="Q127" i="67" s="1"/>
  <c r="Q122" i="67"/>
  <c r="C21" i="72" l="1"/>
  <c r="C25" i="72" s="1"/>
  <c r="C11" i="72"/>
  <c r="CV155" i="1"/>
  <c r="CW155" i="1" s="1"/>
  <c r="CW136" i="1"/>
  <c r="CW138" i="1"/>
  <c r="P120" i="67"/>
  <c r="AA71" i="5"/>
  <c r="AA72" i="5" s="1"/>
  <c r="AA103" i="5"/>
  <c r="AB97" i="5"/>
  <c r="AA10" i="5"/>
  <c r="AA16" i="5"/>
  <c r="P119" i="67"/>
  <c r="P118" i="67"/>
  <c r="AA7" i="15"/>
  <c r="AA11" i="15" s="1"/>
  <c r="AB99" i="5"/>
  <c r="AB15" i="5"/>
  <c r="AB16" i="5" s="1"/>
  <c r="DN75" i="20"/>
  <c r="Q21" i="67"/>
  <c r="Q23" i="67" s="1"/>
  <c r="Q39" i="67" s="1"/>
  <c r="DL48" i="20"/>
  <c r="CR31" i="20"/>
  <c r="CR59" i="20" s="1"/>
  <c r="CR49" i="20"/>
  <c r="CO31" i="20"/>
  <c r="CO59" i="20" s="1"/>
  <c r="CO49" i="20"/>
  <c r="AX32" i="3"/>
  <c r="DL60" i="20"/>
  <c r="DL50" i="20"/>
  <c r="E6" i="68"/>
  <c r="Q181" i="67"/>
  <c r="Q115" i="67"/>
  <c r="Q86" i="67" s="1"/>
  <c r="Q131" i="67"/>
  <c r="Q132" i="67"/>
  <c r="Q173" i="67" s="1"/>
  <c r="Q32" i="67"/>
  <c r="BA78" i="2"/>
  <c r="Z52" i="15"/>
  <c r="Z54" i="15"/>
  <c r="Z55" i="15" s="1"/>
  <c r="Q50" i="67"/>
  <c r="Q76" i="67" s="1"/>
  <c r="Q49" i="67"/>
  <c r="DM74" i="20"/>
  <c r="D8" i="72"/>
  <c r="D9" i="72" s="1"/>
  <c r="D10" i="72" s="1"/>
  <c r="AA47" i="15"/>
  <c r="DO75" i="20"/>
  <c r="AC15" i="5"/>
  <c r="AD7" i="5"/>
  <c r="AC97" i="5"/>
  <c r="AC99" i="5"/>
  <c r="CQ31" i="20"/>
  <c r="CQ59" i="20" s="1"/>
  <c r="CQ49" i="20"/>
  <c r="DL29" i="20"/>
  <c r="DL47" i="20"/>
  <c r="AA35" i="15" l="1"/>
  <c r="AB7" i="15"/>
  <c r="AB35" i="15" s="1"/>
  <c r="E4" i="72"/>
  <c r="E14" i="72" s="1"/>
  <c r="AB103" i="5"/>
  <c r="BC75" i="2"/>
  <c r="BC11" i="2" s="1"/>
  <c r="AZ23" i="3" s="1"/>
  <c r="AA32" i="15"/>
  <c r="AA14" i="15"/>
  <c r="BC77" i="2" s="1"/>
  <c r="BC38" i="2" s="1"/>
  <c r="DM8" i="20"/>
  <c r="DM53" i="20" s="1"/>
  <c r="AA8" i="15"/>
  <c r="R6" i="67"/>
  <c r="R35" i="67" s="1"/>
  <c r="AA41" i="15"/>
  <c r="Q52" i="67"/>
  <c r="Q65" i="67" s="1"/>
  <c r="AB59" i="5"/>
  <c r="AB60" i="5" s="1"/>
  <c r="AB71" i="5"/>
  <c r="DN74" i="20" s="1"/>
  <c r="AB10" i="5"/>
  <c r="Q134" i="67"/>
  <c r="Q161" i="67" s="1"/>
  <c r="D11" i="72"/>
  <c r="Q91" i="67"/>
  <c r="Q117" i="67" s="1"/>
  <c r="Q90" i="67"/>
  <c r="Q88" i="67" s="1"/>
  <c r="BC76" i="2"/>
  <c r="R8" i="67"/>
  <c r="DM10" i="20"/>
  <c r="DM12" i="20" s="1"/>
  <c r="AD97" i="5"/>
  <c r="AD15" i="5"/>
  <c r="AD99" i="5"/>
  <c r="E5" i="72"/>
  <c r="Q164" i="67"/>
  <c r="Q162" i="67" s="1"/>
  <c r="Q112" i="67"/>
  <c r="Q165" i="67" s="1"/>
  <c r="Q71" i="67"/>
  <c r="Q163" i="67" s="1"/>
  <c r="AC71" i="5"/>
  <c r="AC103" i="5"/>
  <c r="AC16" i="5"/>
  <c r="AC59" i="5"/>
  <c r="AC7" i="15"/>
  <c r="Q47" i="67"/>
  <c r="BA50" i="2"/>
  <c r="AX10" i="3"/>
  <c r="AX16" i="3" s="1"/>
  <c r="AX34" i="3" s="1"/>
  <c r="AX51" i="3" s="1"/>
  <c r="DL31" i="20"/>
  <c r="DL49" i="20"/>
  <c r="E8" i="72"/>
  <c r="AB47" i="15"/>
  <c r="Q129" i="67"/>
  <c r="BE75" i="2" l="1"/>
  <c r="BE13" i="2" s="1"/>
  <c r="DL59" i="20"/>
  <c r="F4" i="72"/>
  <c r="F14" i="72" s="1"/>
  <c r="AB11" i="15"/>
  <c r="DN10" i="20" s="1"/>
  <c r="DN12" i="20" s="1"/>
  <c r="DN8" i="20"/>
  <c r="DN45" i="20" s="1"/>
  <c r="AB14" i="15"/>
  <c r="BE77" i="2" s="1"/>
  <c r="BE38" i="2" s="1"/>
  <c r="BB28" i="3" s="1"/>
  <c r="AB8" i="15"/>
  <c r="BC12" i="2"/>
  <c r="AZ22" i="3" s="1"/>
  <c r="BC13" i="2"/>
  <c r="AZ24" i="3" s="1"/>
  <c r="R11" i="67"/>
  <c r="R37" i="67" s="1"/>
  <c r="AA37" i="15"/>
  <c r="E6" i="72" s="1"/>
  <c r="DM15" i="20"/>
  <c r="DM56" i="20" s="1"/>
  <c r="AB32" i="15"/>
  <c r="S6" i="67"/>
  <c r="S35" i="67" s="1"/>
  <c r="AB41" i="15"/>
  <c r="DM45" i="20"/>
  <c r="Q77" i="67"/>
  <c r="R10" i="67"/>
  <c r="R29" i="67" s="1"/>
  <c r="R68" i="67" s="1"/>
  <c r="Q70" i="67"/>
  <c r="AB72" i="5"/>
  <c r="AA16" i="15"/>
  <c r="AC60" i="5"/>
  <c r="Q55" i="67"/>
  <c r="Q57" i="67" s="1"/>
  <c r="Q60" i="67" s="1"/>
  <c r="Q62" i="67" s="1"/>
  <c r="Q78" i="67" s="1"/>
  <c r="Q137" i="67"/>
  <c r="Q139" i="67" s="1"/>
  <c r="Q142" i="67" s="1"/>
  <c r="Q144" i="67" s="1"/>
  <c r="Q175" i="67" s="1"/>
  <c r="Q174" i="67"/>
  <c r="Q150" i="67"/>
  <c r="Q176" i="67" s="1"/>
  <c r="DM14" i="20"/>
  <c r="DO74" i="20"/>
  <c r="AC72" i="5"/>
  <c r="F8" i="72"/>
  <c r="AC47" i="15"/>
  <c r="S8" i="67"/>
  <c r="Q79" i="67"/>
  <c r="G6" i="68"/>
  <c r="AD59" i="5"/>
  <c r="AD60" i="5" s="1"/>
  <c r="AD71" i="5"/>
  <c r="AD103" i="5"/>
  <c r="AD7" i="15"/>
  <c r="AI15" i="5"/>
  <c r="AD16" i="5"/>
  <c r="BE11" i="2"/>
  <c r="BB23" i="3" s="1"/>
  <c r="AX52" i="3"/>
  <c r="AX54" i="3"/>
  <c r="R121" i="67"/>
  <c r="R177" i="67"/>
  <c r="R80" i="67"/>
  <c r="R81" i="67" s="1"/>
  <c r="BA52" i="2"/>
  <c r="BA54" i="2" s="1"/>
  <c r="BG75" i="2"/>
  <c r="DO8" i="20"/>
  <c r="G4" i="72"/>
  <c r="AC14" i="15"/>
  <c r="AC32" i="15"/>
  <c r="AC11" i="15"/>
  <c r="AC41" i="15"/>
  <c r="AC35" i="15"/>
  <c r="AC8" i="15"/>
  <c r="AZ28" i="3"/>
  <c r="Q93" i="67"/>
  <c r="BE12" i="2" l="1"/>
  <c r="BB22" i="3" s="1"/>
  <c r="F5" i="72"/>
  <c r="BC37" i="2"/>
  <c r="AZ27" i="3" s="1"/>
  <c r="AZ30" i="3" s="1"/>
  <c r="D17" i="72" s="1"/>
  <c r="D18" i="72" s="1"/>
  <c r="D21" i="72" s="1"/>
  <c r="D25" i="72" s="1"/>
  <c r="BE76" i="2"/>
  <c r="DN53" i="20"/>
  <c r="BB24" i="3"/>
  <c r="R30" i="67"/>
  <c r="R69" i="67" s="1"/>
  <c r="R158" i="67" s="1"/>
  <c r="DN15" i="20"/>
  <c r="DN41" i="20" s="1"/>
  <c r="AB16" i="15"/>
  <c r="AB37" i="15"/>
  <c r="AB43" i="15" s="1"/>
  <c r="S11" i="67"/>
  <c r="S37" i="67" s="1"/>
  <c r="R13" i="67"/>
  <c r="R26" i="67" s="1"/>
  <c r="R40" i="67" s="1"/>
  <c r="AA38" i="15"/>
  <c r="AA43" i="15"/>
  <c r="AA46" i="15" s="1"/>
  <c r="AA51" i="15" s="1"/>
  <c r="AA89" i="5"/>
  <c r="AA90" i="5" s="1"/>
  <c r="DM41" i="20"/>
  <c r="DM21" i="20"/>
  <c r="DM58" i="20" s="1"/>
  <c r="S10" i="67"/>
  <c r="S29" i="67" s="1"/>
  <c r="S68" i="67" s="1"/>
  <c r="DM40" i="20"/>
  <c r="AC37" i="15"/>
  <c r="AC43" i="15" s="1"/>
  <c r="H4" i="72"/>
  <c r="G14" i="72"/>
  <c r="G5" i="72"/>
  <c r="DO53" i="20"/>
  <c r="DO45" i="20"/>
  <c r="R179" i="67"/>
  <c r="R74" i="67"/>
  <c r="R45" i="67" s="1"/>
  <c r="BG12" i="2"/>
  <c r="BG11" i="2"/>
  <c r="BD23" i="3" s="1"/>
  <c r="BG13" i="2"/>
  <c r="BD24" i="3" s="1"/>
  <c r="BA9" i="2"/>
  <c r="E8" i="68"/>
  <c r="AZ50" i="3"/>
  <c r="BG76" i="2"/>
  <c r="DO10" i="20"/>
  <c r="DO12" i="20" s="1"/>
  <c r="S80" i="67"/>
  <c r="S81" i="67" s="1"/>
  <c r="S121" i="67"/>
  <c r="S177" i="67"/>
  <c r="BI75" i="2"/>
  <c r="AH7" i="15"/>
  <c r="AD8" i="15"/>
  <c r="AD14" i="15"/>
  <c r="AD11" i="15"/>
  <c r="AD32" i="15"/>
  <c r="AD35" i="15"/>
  <c r="AD41" i="15"/>
  <c r="BC40" i="2"/>
  <c r="BC45" i="2" s="1"/>
  <c r="E9" i="72"/>
  <c r="E10" i="72" s="1"/>
  <c r="E7" i="72"/>
  <c r="Q96" i="67"/>
  <c r="Q106" i="67"/>
  <c r="Q111" i="67"/>
  <c r="Q118" i="67"/>
  <c r="DN14" i="20"/>
  <c r="R180" i="67"/>
  <c r="R178" i="67" s="1"/>
  <c r="R168" i="67" s="1"/>
  <c r="R127" i="67" s="1"/>
  <c r="R122" i="67"/>
  <c r="R154" i="67"/>
  <c r="R109" i="67"/>
  <c r="R156" i="67" s="1"/>
  <c r="R155" i="67"/>
  <c r="R153" i="67" s="1"/>
  <c r="BG77" i="2"/>
  <c r="BG38" i="2" s="1"/>
  <c r="BD28" i="3" s="1"/>
  <c r="AC16" i="15"/>
  <c r="DO15" i="20"/>
  <c r="AD72" i="5"/>
  <c r="AI71" i="5"/>
  <c r="G8" i="72"/>
  <c r="H8" i="72" s="1"/>
  <c r="I8" i="72" s="1"/>
  <c r="J8" i="72" s="1"/>
  <c r="AD47" i="15"/>
  <c r="BE37" i="2" l="1"/>
  <c r="BB27" i="3" s="1"/>
  <c r="BB30" i="3" s="1"/>
  <c r="F6" i="72"/>
  <c r="F7" i="72" s="1"/>
  <c r="AB38" i="15"/>
  <c r="AB89" i="5"/>
  <c r="AB90" i="5" s="1"/>
  <c r="R159" i="67"/>
  <c r="R157" i="67" s="1"/>
  <c r="R132" i="67" s="1"/>
  <c r="R173" i="67" s="1"/>
  <c r="R110" i="67"/>
  <c r="R160" i="67" s="1"/>
  <c r="DN56" i="20"/>
  <c r="S30" i="67"/>
  <c r="S110" i="67" s="1"/>
  <c r="S160" i="67" s="1"/>
  <c r="AA44" i="15"/>
  <c r="R31" i="67"/>
  <c r="R38" i="67"/>
  <c r="R16" i="67"/>
  <c r="DM46" i="20"/>
  <c r="DM24" i="20"/>
  <c r="DM47" i="20" s="1"/>
  <c r="DM36" i="20"/>
  <c r="DM60" i="20" s="1"/>
  <c r="S13" i="67"/>
  <c r="S31" i="67" s="1"/>
  <c r="G6" i="72"/>
  <c r="G7" i="72" s="1"/>
  <c r="AC38" i="15"/>
  <c r="AC89" i="5"/>
  <c r="AC90" i="5" s="1"/>
  <c r="AD37" i="15"/>
  <c r="AH37" i="15" s="1"/>
  <c r="E11" i="72"/>
  <c r="AZ32" i="3"/>
  <c r="E18" i="72"/>
  <c r="E21" i="72" s="1"/>
  <c r="E25" i="72" s="1"/>
  <c r="AG120" i="2"/>
  <c r="AG116" i="2"/>
  <c r="AG117" i="2"/>
  <c r="AG119" i="2"/>
  <c r="AG118" i="2"/>
  <c r="R50" i="67"/>
  <c r="R76" i="67" s="1"/>
  <c r="R49" i="67"/>
  <c r="AB46" i="15"/>
  <c r="AB44" i="15"/>
  <c r="G8" i="68"/>
  <c r="G10" i="68" s="1"/>
  <c r="G12" i="68" s="1"/>
  <c r="G14" i="68" s="1"/>
  <c r="G18" i="68" s="1"/>
  <c r="E10" i="68"/>
  <c r="E12" i="68" s="1"/>
  <c r="E14" i="68" s="1"/>
  <c r="E18" i="68" s="1"/>
  <c r="BC78" i="2"/>
  <c r="AA52" i="15"/>
  <c r="AA54" i="15"/>
  <c r="AA55" i="15" s="1"/>
  <c r="DO56" i="20"/>
  <c r="DO41" i="20"/>
  <c r="DN40" i="20"/>
  <c r="DN21" i="20"/>
  <c r="S180" i="67"/>
  <c r="S178" i="67" s="1"/>
  <c r="S168" i="67" s="1"/>
  <c r="S127" i="67" s="1"/>
  <c r="S122" i="67"/>
  <c r="R18" i="67"/>
  <c r="DM26" i="20"/>
  <c r="BI76" i="2"/>
  <c r="AH11" i="15"/>
  <c r="S179" i="67"/>
  <c r="S74" i="67"/>
  <c r="S45" i="67" s="1"/>
  <c r="DO14" i="20"/>
  <c r="I4" i="72"/>
  <c r="H14" i="72"/>
  <c r="H6" i="72"/>
  <c r="Q98" i="67"/>
  <c r="Q101" i="67" s="1"/>
  <c r="Q103" i="67" s="1"/>
  <c r="Q119" i="67" s="1"/>
  <c r="AC46" i="15"/>
  <c r="DO26" i="20" s="1"/>
  <c r="AC44" i="15"/>
  <c r="R181" i="67"/>
  <c r="R115" i="67"/>
  <c r="R86" i="67" s="1"/>
  <c r="BI12" i="2"/>
  <c r="BI13" i="2"/>
  <c r="BF24" i="3" s="1"/>
  <c r="BI11" i="2"/>
  <c r="BF23" i="3" s="1"/>
  <c r="R131" i="67"/>
  <c r="R129" i="67" s="1"/>
  <c r="C31" i="72"/>
  <c r="BA56" i="2"/>
  <c r="BA15" i="2"/>
  <c r="BA32" i="2" s="1"/>
  <c r="BA57" i="2" s="1"/>
  <c r="BA85" i="2"/>
  <c r="BA61" i="2"/>
  <c r="BI77" i="2"/>
  <c r="BI38" i="2" s="1"/>
  <c r="BF28" i="3" s="1"/>
  <c r="AD16" i="15"/>
  <c r="AH14" i="15"/>
  <c r="BD22" i="3"/>
  <c r="BG37" i="2"/>
  <c r="Q120" i="67"/>
  <c r="H6" i="68"/>
  <c r="S154" i="67"/>
  <c r="S109" i="67"/>
  <c r="S156" i="67" s="1"/>
  <c r="S155" i="67"/>
  <c r="S153" i="67" s="1"/>
  <c r="BD27" i="3" l="1"/>
  <c r="BD30" i="3" s="1"/>
  <c r="BE40" i="2"/>
  <c r="BE45" i="2" s="1"/>
  <c r="S69" i="67"/>
  <c r="S158" i="67" s="1"/>
  <c r="F9" i="72"/>
  <c r="F10" i="72" s="1"/>
  <c r="F11" i="72" s="1"/>
  <c r="S159" i="67"/>
  <c r="S157" i="67" s="1"/>
  <c r="S132" i="67" s="1"/>
  <c r="S173" i="67" s="1"/>
  <c r="R32" i="67"/>
  <c r="R71" i="67" s="1"/>
  <c r="R163" i="67" s="1"/>
  <c r="G9" i="72"/>
  <c r="G10" i="72" s="1"/>
  <c r="G11" i="72" s="1"/>
  <c r="DM48" i="20"/>
  <c r="DM50" i="20"/>
  <c r="AD43" i="15"/>
  <c r="AH43" i="15" s="1"/>
  <c r="S26" i="67"/>
  <c r="S40" i="67" s="1"/>
  <c r="S16" i="67"/>
  <c r="S38" i="67"/>
  <c r="AD38" i="15"/>
  <c r="AD89" i="5"/>
  <c r="AD90" i="5" s="1"/>
  <c r="R52" i="67"/>
  <c r="R70" i="67" s="1"/>
  <c r="R21" i="67"/>
  <c r="R23" i="67" s="1"/>
  <c r="R39" i="67" s="1"/>
  <c r="S131" i="67"/>
  <c r="BB32" i="3"/>
  <c r="F18" i="72"/>
  <c r="C45" i="72"/>
  <c r="C32" i="72"/>
  <c r="C39" i="72" s="1"/>
  <c r="S50" i="67"/>
  <c r="S76" i="67" s="1"/>
  <c r="S49" i="67"/>
  <c r="J4" i="72"/>
  <c r="I14" i="72"/>
  <c r="I6" i="72"/>
  <c r="DO40" i="20"/>
  <c r="DO21" i="20"/>
  <c r="BG40" i="2"/>
  <c r="BG45" i="2" s="1"/>
  <c r="S181" i="67"/>
  <c r="S115" i="67"/>
  <c r="S86" i="67" s="1"/>
  <c r="AZ10" i="3"/>
  <c r="AZ16" i="3" s="1"/>
  <c r="AZ34" i="3" s="1"/>
  <c r="AZ51" i="3" s="1"/>
  <c r="BC50" i="2"/>
  <c r="H8" i="68"/>
  <c r="H10" i="68" s="1"/>
  <c r="H12" i="68" s="1"/>
  <c r="H14" i="68" s="1"/>
  <c r="H18" i="68" s="1"/>
  <c r="R47" i="67"/>
  <c r="BF22" i="3"/>
  <c r="BI37" i="2"/>
  <c r="BI40" i="2" s="1"/>
  <c r="BI45" i="2" s="1"/>
  <c r="AC51" i="15"/>
  <c r="R91" i="67"/>
  <c r="R117" i="67" s="1"/>
  <c r="R90" i="67"/>
  <c r="DM29" i="20"/>
  <c r="R134" i="67"/>
  <c r="H9" i="72"/>
  <c r="H10" i="72" s="1"/>
  <c r="S18" i="67"/>
  <c r="DN26" i="20"/>
  <c r="DN24" i="20"/>
  <c r="DN46" i="20"/>
  <c r="DN58" i="20"/>
  <c r="DN36" i="20"/>
  <c r="AB51" i="15"/>
  <c r="F21" i="72" l="1"/>
  <c r="F25" i="72" s="1"/>
  <c r="R164" i="67"/>
  <c r="R162" i="67" s="1"/>
  <c r="R112" i="67"/>
  <c r="R165" i="67" s="1"/>
  <c r="AD46" i="15"/>
  <c r="AH46" i="15" s="1"/>
  <c r="AD44" i="15"/>
  <c r="S32" i="67"/>
  <c r="S164" i="67" s="1"/>
  <c r="S162" i="67" s="1"/>
  <c r="AI89" i="5"/>
  <c r="R77" i="67"/>
  <c r="R65" i="67"/>
  <c r="R79" i="67" s="1"/>
  <c r="R55" i="67"/>
  <c r="R57" i="67" s="1"/>
  <c r="R60" i="67" s="1"/>
  <c r="R62" i="67" s="1"/>
  <c r="R78" i="67" s="1"/>
  <c r="R93" i="67"/>
  <c r="R106" i="67" s="1"/>
  <c r="R120" i="67" s="1"/>
  <c r="DN48" i="20"/>
  <c r="S52" i="67"/>
  <c r="S65" i="67" s="1"/>
  <c r="S134" i="67"/>
  <c r="S137" i="67" s="1"/>
  <c r="H11" i="72"/>
  <c r="J14" i="72"/>
  <c r="J6" i="72"/>
  <c r="DM31" i="20"/>
  <c r="DM49" i="20"/>
  <c r="BF27" i="3"/>
  <c r="BF30" i="3" s="1"/>
  <c r="BF32" i="3" s="1"/>
  <c r="S47" i="67"/>
  <c r="BC52" i="2"/>
  <c r="BC54" i="2" s="1"/>
  <c r="R88" i="67"/>
  <c r="AZ54" i="3"/>
  <c r="AZ52" i="3"/>
  <c r="DO24" i="20"/>
  <c r="DO46" i="20"/>
  <c r="DO58" i="20"/>
  <c r="DO36" i="20"/>
  <c r="BE78" i="2"/>
  <c r="BB10" i="3" s="1"/>
  <c r="BB16" i="3" s="1"/>
  <c r="BB34" i="3" s="1"/>
  <c r="BB51" i="3" s="1"/>
  <c r="BB54" i="3" s="1"/>
  <c r="AB54" i="15"/>
  <c r="AB55" i="15" s="1"/>
  <c r="AB52" i="15"/>
  <c r="BD32" i="3"/>
  <c r="S21" i="67"/>
  <c r="S23" i="67" s="1"/>
  <c r="S39" i="67" s="1"/>
  <c r="DN60" i="20"/>
  <c r="DN50" i="20"/>
  <c r="DN29" i="20"/>
  <c r="DN47" i="20"/>
  <c r="S90" i="67"/>
  <c r="S88" i="67" s="1"/>
  <c r="S91" i="67"/>
  <c r="S117" i="67" s="1"/>
  <c r="I9" i="72"/>
  <c r="I10" i="72" s="1"/>
  <c r="S129" i="67"/>
  <c r="R161" i="67"/>
  <c r="R137" i="67"/>
  <c r="R150" i="67"/>
  <c r="R176" i="67" s="1"/>
  <c r="R174" i="67"/>
  <c r="BG78" i="2"/>
  <c r="BD10" i="3" s="1"/>
  <c r="BD16" i="3" s="1"/>
  <c r="AC54" i="15"/>
  <c r="AC52" i="15"/>
  <c r="DM59" i="20" l="1"/>
  <c r="AD51" i="15"/>
  <c r="AD52" i="15" s="1"/>
  <c r="S112" i="67"/>
  <c r="S165" i="67" s="1"/>
  <c r="S71" i="67"/>
  <c r="S163" i="67" s="1"/>
  <c r="R111" i="67"/>
  <c r="R96" i="67"/>
  <c r="R98" i="67" s="1"/>
  <c r="R101" i="67" s="1"/>
  <c r="R103" i="67" s="1"/>
  <c r="R119" i="67" s="1"/>
  <c r="S79" i="67"/>
  <c r="R118" i="67"/>
  <c r="S150" i="67"/>
  <c r="S176" i="67" s="1"/>
  <c r="S161" i="67"/>
  <c r="S77" i="67"/>
  <c r="S55" i="67"/>
  <c r="S174" i="67"/>
  <c r="S70" i="67"/>
  <c r="S93" i="67"/>
  <c r="S96" i="67" s="1"/>
  <c r="I11" i="72"/>
  <c r="H17" i="72"/>
  <c r="G18" i="72"/>
  <c r="G21" i="72" s="1"/>
  <c r="G25" i="72" s="1"/>
  <c r="DO29" i="20"/>
  <c r="DO47" i="20"/>
  <c r="DO48" i="20"/>
  <c r="S139" i="67"/>
  <c r="S142" i="67" s="1"/>
  <c r="S144" i="67" s="1"/>
  <c r="DN31" i="20"/>
  <c r="DN49" i="20"/>
  <c r="AC55" i="15"/>
  <c r="BE50" i="2"/>
  <c r="BD34" i="3"/>
  <c r="BD51" i="3" s="1"/>
  <c r="BD54" i="3" s="1"/>
  <c r="DO60" i="20"/>
  <c r="DO50" i="20"/>
  <c r="R139" i="67"/>
  <c r="R142" i="67" s="1"/>
  <c r="R144" i="67" s="1"/>
  <c r="R175" i="67" s="1"/>
  <c r="BC9" i="2"/>
  <c r="BB50" i="3"/>
  <c r="BB52" i="3" s="1"/>
  <c r="J9" i="72"/>
  <c r="J10" i="72" s="1"/>
  <c r="DN59" i="20" l="1"/>
  <c r="S57" i="67"/>
  <c r="S60" i="67" s="1"/>
  <c r="S62" i="67" s="1"/>
  <c r="S78" i="67" s="1"/>
  <c r="AD54" i="15"/>
  <c r="AH54" i="15" s="1"/>
  <c r="AH51" i="15"/>
  <c r="BI78" i="2"/>
  <c r="BF10" i="3" s="1"/>
  <c r="BF16" i="3" s="1"/>
  <c r="BF34" i="3" s="1"/>
  <c r="BF51" i="3" s="1"/>
  <c r="BF54" i="3" s="1"/>
  <c r="S118" i="67"/>
  <c r="S106" i="67"/>
  <c r="S120" i="67" s="1"/>
  <c r="S111" i="67"/>
  <c r="J11" i="72"/>
  <c r="BD50" i="3"/>
  <c r="BD52" i="3" s="1"/>
  <c r="BE9" i="2"/>
  <c r="S175" i="67"/>
  <c r="S98" i="67"/>
  <c r="S101" i="67" s="1"/>
  <c r="S103" i="67" s="1"/>
  <c r="S119" i="67" s="1"/>
  <c r="H18" i="72"/>
  <c r="H21" i="72" s="1"/>
  <c r="H25" i="72" s="1"/>
  <c r="I17" i="72"/>
  <c r="DO31" i="20"/>
  <c r="DO59" i="20" s="1"/>
  <c r="DO49" i="20"/>
  <c r="BC15" i="2"/>
  <c r="BC32" i="2" s="1"/>
  <c r="BC57" i="2" s="1"/>
  <c r="BC85" i="2"/>
  <c r="BC56" i="2"/>
  <c r="BC61" i="2"/>
  <c r="BG50" i="2"/>
  <c r="BE52" i="2"/>
  <c r="BE54" i="2" s="1"/>
  <c r="AD55" i="15" l="1"/>
  <c r="BE61" i="2"/>
  <c r="BE15" i="2"/>
  <c r="BE32" i="2" s="1"/>
  <c r="BE57" i="2" s="1"/>
  <c r="BE85" i="2"/>
  <c r="BE56" i="2"/>
  <c r="BF50" i="3"/>
  <c r="BF52" i="3" s="1"/>
  <c r="BI9" i="2" s="1"/>
  <c r="BG9" i="2"/>
  <c r="BI50" i="2"/>
  <c r="BI52" i="2" s="1"/>
  <c r="BI54" i="2" s="1"/>
  <c r="BG52" i="2"/>
  <c r="BG54" i="2" s="1"/>
  <c r="I18" i="72"/>
  <c r="I21" i="72" s="1"/>
  <c r="I25" i="72" s="1"/>
  <c r="J17" i="72"/>
  <c r="J18" i="72" s="1"/>
  <c r="J21" i="72" s="1"/>
  <c r="BG61" i="2" l="1"/>
  <c r="BG15" i="2"/>
  <c r="BG32" i="2" s="1"/>
  <c r="BG57" i="2" s="1"/>
  <c r="BG85" i="2"/>
  <c r="BG56" i="2"/>
  <c r="BI56" i="2"/>
  <c r="BI61" i="2"/>
  <c r="BI15" i="2"/>
  <c r="BI32" i="2" s="1"/>
  <c r="BI57" i="2" s="1"/>
  <c r="BI85" i="2"/>
  <c r="J25" i="72"/>
  <c r="C41" i="72" s="1"/>
  <c r="J26" i="72"/>
  <c r="J27" i="72" s="1"/>
  <c r="C42" i="72" s="1"/>
  <c r="C43" i="72" l="1"/>
  <c r="C48" i="72" s="1"/>
  <c r="C49" i="72" s="1"/>
  <c r="AB175" i="9"/>
  <c r="AD175" i="9" s="1"/>
  <c r="AF175" i="9" s="1"/>
  <c r="AB176" i="9"/>
  <c r="AK176" i="9" s="1"/>
  <c r="AM176" i="9" s="1"/>
  <c r="AB177" i="38"/>
  <c r="AK177" i="38" s="1"/>
  <c r="AD176" i="9" l="1"/>
  <c r="AF176" i="9" s="1"/>
  <c r="AD177" i="38"/>
  <c r="AF177" i="38" s="1"/>
  <c r="AM177" i="38"/>
  <c r="AB178" i="38"/>
  <c r="AB179" i="38" s="1"/>
  <c r="AD179" i="38" s="1"/>
  <c r="AF179" i="38" s="1"/>
  <c r="Z182" i="38"/>
  <c r="AK175" i="9"/>
  <c r="AB177" i="9"/>
  <c r="AD177" i="9" s="1"/>
  <c r="AF177" i="9" s="1"/>
  <c r="Z180" i="9" l="1"/>
  <c r="Z183" i="38"/>
  <c r="AB182" i="38"/>
  <c r="AM175" i="9"/>
  <c r="AK177" i="9"/>
  <c r="AM177" i="9" s="1"/>
  <c r="AD178" i="38"/>
  <c r="AF178" i="38" s="1"/>
  <c r="AK178" i="38"/>
  <c r="AM178" i="38" l="1"/>
  <c r="AK179" i="38"/>
  <c r="AM179" i="38" s="1"/>
  <c r="AK182" i="38"/>
  <c r="AD182" i="38"/>
  <c r="AF182" i="38" s="1"/>
  <c r="Z184" i="38"/>
  <c r="AB183" i="38"/>
  <c r="Z181" i="9"/>
  <c r="AB180" i="9"/>
  <c r="AB179" i="10"/>
  <c r="H179" i="10" s="1"/>
  <c r="AB180" i="10" l="1"/>
  <c r="H180" i="10" s="1"/>
  <c r="AB181" i="9"/>
  <c r="AB184" i="38"/>
  <c r="Z182" i="9"/>
  <c r="AM182" i="38"/>
  <c r="AD183" i="38"/>
  <c r="AF183" i="38" s="1"/>
  <c r="AK183" i="38"/>
  <c r="AM183" i="38" s="1"/>
  <c r="X179" i="10"/>
  <c r="Z179" i="10" s="1"/>
  <c r="J179" i="10"/>
  <c r="N179" i="10"/>
  <c r="AN179" i="10"/>
  <c r="T179" i="10"/>
  <c r="P179" i="10"/>
  <c r="AD180" i="9"/>
  <c r="AF180" i="9" s="1"/>
  <c r="AK180" i="9"/>
  <c r="AI179" i="10" l="1"/>
  <c r="AL179" i="10"/>
  <c r="R179" i="10"/>
  <c r="AM180" i="9"/>
  <c r="AD181" i="9"/>
  <c r="AF181" i="9" s="1"/>
  <c r="AK181" i="9"/>
  <c r="AM181" i="9" s="1"/>
  <c r="AB183" i="9"/>
  <c r="AB181" i="10"/>
  <c r="H181" i="10" s="1"/>
  <c r="AB182" i="9"/>
  <c r="AD184" i="38"/>
  <c r="AF184" i="38" s="1"/>
  <c r="AK184" i="38"/>
  <c r="N180" i="10"/>
  <c r="P180" i="10"/>
  <c r="AN180" i="10"/>
  <c r="T180" i="10"/>
  <c r="X180" i="10"/>
  <c r="Z180" i="10" s="1"/>
  <c r="J180" i="10"/>
  <c r="AL180" i="10" l="1"/>
  <c r="R180" i="10"/>
  <c r="AI180" i="10"/>
  <c r="AK182" i="9"/>
  <c r="AD182" i="9"/>
  <c r="AF182" i="9" s="1"/>
  <c r="AB184" i="9"/>
  <c r="AD184" i="9" s="1"/>
  <c r="AF184" i="9" s="1"/>
  <c r="AD183" i="9"/>
  <c r="AF183" i="9" s="1"/>
  <c r="AK183" i="9"/>
  <c r="AM183" i="9" s="1"/>
  <c r="AM184" i="38"/>
  <c r="X181" i="10"/>
  <c r="Z181" i="10" s="1"/>
  <c r="J182" i="10"/>
  <c r="P182" i="10"/>
  <c r="N181" i="10"/>
  <c r="AN181" i="10"/>
  <c r="T181" i="10"/>
  <c r="P181" i="10"/>
  <c r="J181" i="10"/>
  <c r="AI181" i="10" l="1"/>
  <c r="R181" i="10"/>
  <c r="AL181" i="10"/>
  <c r="R182" i="10"/>
  <c r="AI182" i="10"/>
  <c r="AL182" i="10"/>
  <c r="AM182" i="9"/>
  <c r="AK184" i="9"/>
  <c r="AM184" i="9" s="1"/>
  <c r="J183" i="10"/>
  <c r="R183" i="10" l="1"/>
  <c r="AI183" i="10"/>
  <c r="K183" i="9" l="1"/>
  <c r="V182" i="10"/>
  <c r="X182" i="10" s="1"/>
  <c r="Z182" i="10" s="1"/>
  <c r="L183" i="9"/>
  <c r="N183" i="9" s="1"/>
  <c r="P183" i="9" s="1"/>
  <c r="J185" i="38"/>
  <c r="K185" i="38" s="1"/>
  <c r="Z185" i="38" l="1"/>
  <c r="AB185" i="38" s="1"/>
  <c r="AB186" i="38" s="1"/>
  <c r="AD186" i="38" s="1"/>
  <c r="L184" i="9"/>
  <c r="N184" i="9" s="1"/>
  <c r="P184" i="9" s="1"/>
  <c r="L185" i="38"/>
  <c r="U183" i="9"/>
  <c r="AD185" i="38" l="1"/>
  <c r="W183" i="9"/>
  <c r="U184" i="9"/>
  <c r="W184" i="9" s="1"/>
  <c r="N185" i="38"/>
  <c r="H185" i="38" s="1"/>
  <c r="L186" i="38"/>
  <c r="N186" i="38" s="1"/>
  <c r="AF185" i="38" l="1"/>
  <c r="D185" i="38"/>
  <c r="S185" i="38" s="1"/>
  <c r="U185" i="38" l="1"/>
  <c r="AR183" i="9"/>
  <c r="AI185" i="38"/>
  <c r="S186" i="38"/>
  <c r="W185" i="38" l="1"/>
  <c r="U186" i="38"/>
  <c r="W186" i="38" s="1"/>
  <c r="D186" i="38"/>
  <c r="F186" i="38"/>
  <c r="AK185" i="38"/>
  <c r="AI186" i="38"/>
  <c r="AR184" i="9"/>
  <c r="AQ183" i="9"/>
  <c r="AV183" i="9"/>
  <c r="AU183" i="9" s="1"/>
  <c r="AM185" i="38" l="1"/>
  <c r="AK186" i="38"/>
  <c r="AM186" i="38" s="1"/>
  <c r="H186" i="38"/>
  <c r="AP183" i="9"/>
  <c r="AQ184" i="9"/>
  <c r="P186" i="38" l="1"/>
  <c r="AF186" i="38"/>
</calcChain>
</file>

<file path=xl/comments1.xml><?xml version="1.0" encoding="utf-8"?>
<comments xmlns="http://schemas.openxmlformats.org/spreadsheetml/2006/main">
  <authors>
    <author>sunilt</author>
  </authors>
  <commentList>
    <comment ref="A1" authorId="0">
      <text>
        <r>
          <rPr>
            <b/>
            <sz val="8"/>
            <color indexed="81"/>
            <rFont val="Tahoma"/>
            <family val="2"/>
          </rPr>
          <t>卟䙄_x0001_＀＀䲅_x001E_䡃ⵓ单䙞彇剐䍉⡅㄰㌯⼱〲㤰Ⱜ⥄_x0018_＀＀_x0018_＀＀_x0008_＀＀_x0001_＀＀_x0001_＀＀䞮竡긔䀏䲅_x001E_䡃ⵓ单䙞彇剐䍉⡅㄰㌯⼱〲㐰Ⱜ⥄_x0018_＀＀_x0018_＀＀_x0008_＀＀_x0001_＀＀_x0001_＀＀凬Ẹ殅䀲䲅_x001F_剕乂唭幓䝆偟䥒䕃〨⼱ㄳ㈯〰ⰷ䐬착_x0018_＀＀_x0018_＀＀_x0008_＀＀_x0001_＀＀_x0001_＀＀晦晦晦䀸䲅_x001F_剕乂唭幓䝆偟䥒䕃〨⼱ㄳ㈯〰ⰲ䐬착_x0018_＀＀_x0018_＀＀_x0008_＀＀_x0001_＀＀_x0001_＀＀炤਽⏗䀊䲅_x001E_䡃ⵓ单䙞彇剐䍉⡅㄰㌯⼱〲㠰Ⱜ⥄_x0018_＀＀_x0018_＀＀_x0008_＀＀_x0001_＀＀_x0001_＀＀긔鑺䀥䲅_x001E_䡃ⵓ单䙞彇剐䍉⡅㄰㌯⼱〲㌰Ⱜ⥄_x0018_＀＀_x0018_＀＀_x0008_＀＀_x0001_＀＀_x0001_＀＀⣶轜㗂䀢䲅_x001F_剕乂唭幓䝆偟䥒䕃〨⼱ㄳ㈯〰ⰶ䐬착_x0018_＀＀_x0018_＀＀_x0008_＀＀_x0001_＀＀_x0001_＀＀슏⣵作䀻챀䲅_x001A_䡃ⵓ单坞当奆⡃⤰䍀彁奆⡃⤰_x0018_＀＀_x0018_＀＀_x0008_＀＀_x0001_＀＀_x0008_＀＀㄰㈯㄰0䲅_x001F_剕乂唭幓䝆偟䥒䕃〨⼱ㄳ㈯〰ⰱ䐬착_x0018_＀＀_x0018_＀＀_x0008_＀＀_x0001_＀＀_x0001_＀＀＀＀＀＀쀀㿱䲅_x001E_䡃ⵓ单䙞彇剐䍉⡅㄰㌯⼱〲㜰Ⱜ⥄_x0018_＀＀_x0018_＀＀_x0008_＀＀_x0001_＀＀_x0001_＀＀竡긔䀴챀䲅_x0015_䡃ⵓ单坞当卉彏佃䕄〨착_x0014_＀＀_x0018_＀＀_x0004_＀＀_x0001_＀＀_x0008_＀＀单D䲅_x001E_䡃ⵓ单䙞彇剐䍉⡅㄰㌯⼱〲㈰Ⱜ⥄_x0018_＀＀_x0018_＀＀_x0008_＀＀_x0001_＀＀_x0001_＀＀㌳㌳䀝䲅_x001F_剕乂唭幓䝆偟䥒䕃〨⼱ㄳ㈯㄰ⰰ䐬착_x0018_＀＀_x0018_＀＀_x0008_＀＀_x0001_＀＀_x0001_＀＀롒蔞釫䀿䲅_x001F_剕乂唭幓䝆偟䥒䕃〨⼱ㄳ㈯〰ⰵ䐬착_x0018_＀＀_x0018_＀＀_x0008_＀＀_x0001_＀＀_x0001_＀＀尩슏ࣵ䀵䲅_x001E_䡃ⵓ单䙞彇剐䍉⡅㄰㌯⼱〲㘰Ⱜ⥄_x0018_＀＀_x0018_＀＀_x0008_＀＀_x0001_＀＀_x0001_＀＀ᑺ잮䁅䲅_x001F_剕乂唭幓䝆偟䥒䕃〨⼱ㄳ㈯〰ⰹ䐬착_x0018_＀＀_x0018_＀＀_x0008_＀＀_x0001_＀＀_x0001_＀＀尩슏⣵䀯䲅_x001E_䡃ⵓ单䙞彇剐䍉⡅㄰㌯⼱〲㄰Ⱜ⥄_x0018_＀＀_x0018_＀＀_x0008_＀＀_x0001_＀＀_x0001_＀＀褃簷䜜䀍䲅_x001F_剕乂唭幓䝆偟䥒䕃〨⼱ㄳ㈯〰ⰴ䐬착_x0018_＀＀_x0018_＀＀_x0008_＀＀_x0001_＀＀_x0001_＀＀蔟凫㺸䀤䲅_x001E_䡃ⵓ单䙞彇剐䍉⡅㄰㌯⼱〲〱Ⱜ⥄_x0018_＀＀_x0018_＀＀_x0008_＀＀_x0001_＀＀_x0001_＀＀휊炣訽䀩䲅_x001E_䡃ⵓ单䙞彇剐䍉⡅㄰㌯⼱〲㔰Ⱜ⥄_x0018_＀＀_x0018_＀＀_x0008_＀＀_x0001_＀＀_x0001_＀＀ꏗ㵰圊䀺䲅_x001F_剕乂唭幓䝆偟䥒䕃〨⼱ㄳ㈯〰ⰸ䐬착_x0018_＀＀_x0018_＀＀_x0008_＀＀_x0001_＀＀_x0001_＀＀＀＀＀＀＀＀䀽䲅_x001F_剕乂唭幓䝆偟䥒䕃〨⼱ㄳ㈯〰ⰳ䐬착_x0018_＀＀_x0018_＀＀_x0008_＀＀_x0001_＀＀_x0001_＀＀ᑻ䞮竡䀄</t>
        </r>
      </text>
    </comment>
    <comment ref="B1" authorId="0">
      <text>
        <r>
          <rPr>
            <b/>
            <sz val="8"/>
            <color indexed="81"/>
            <rFont val="Tahoma"/>
            <family val="2"/>
          </rPr>
          <t>826</t>
        </r>
      </text>
    </comment>
  </commentList>
</comments>
</file>

<file path=xl/comments2.xml><?xml version="1.0" encoding="utf-8"?>
<comments xmlns="http://schemas.openxmlformats.org/spreadsheetml/2006/main">
  <authors>
    <author>lauraro</author>
  </authors>
  <commentList>
    <comment ref="A28" authorId="0">
      <text>
        <r>
          <rPr>
            <b/>
            <sz val="8"/>
            <color indexed="81"/>
            <rFont val="Tahoma"/>
            <family val="2"/>
          </rPr>
          <t>lauraro:</t>
        </r>
        <r>
          <rPr>
            <sz val="8"/>
            <color indexed="81"/>
            <rFont val="Tahoma"/>
            <family val="2"/>
          </rPr>
          <t xml:space="preserve">
- CHS deducts the value of dividends paid on unvested restricted stock (employee equity comp) from Net Income as part of our “diluted” EPS calc.  
- Usually doesn’t impact anything, but it caused a rounding issue for 2011. 
- Reconciliations in our 10-Q’s &amp; 10-K's listed under the Earnings Per Share Footnote</t>
        </r>
      </text>
    </comment>
  </commentList>
</comments>
</file>

<file path=xl/comments3.xml><?xml version="1.0" encoding="utf-8"?>
<comments xmlns="http://schemas.openxmlformats.org/spreadsheetml/2006/main">
  <authors>
    <author>dong2</author>
    <author>Lehman Brothers</author>
    <author>dliu</author>
    <author>kgreenbe</author>
    <author>kg51925</author>
    <author>MB33100</author>
    <author>mm98285</author>
    <author>lauraro</author>
    <author>kimberlg</author>
    <author>casselau</author>
    <author>solejay</author>
    <author>Cassel, Lauren (Research)</author>
    <author>De Courreges, Edouard (Research)</author>
    <author>Baglione, Gregory  (Research)</author>
  </authors>
  <commentList>
    <comment ref="J64" authorId="0">
      <text>
        <r>
          <rPr>
            <b/>
            <sz val="8"/>
            <color indexed="81"/>
            <rFont val="Tahoma"/>
            <family val="2"/>
          </rPr>
          <t>dong2:</t>
        </r>
        <r>
          <rPr>
            <sz val="8"/>
            <color indexed="81"/>
            <rFont val="Tahoma"/>
            <family val="2"/>
          </rPr>
          <t xml:space="preserve">
KG notes from 6/28/01 is 23 stores opened by end of Q2, most of store openings in Q3. PR dated 8/7, operates 273 stores</t>
        </r>
      </text>
    </comment>
    <comment ref="P64" authorId="0">
      <text>
        <r>
          <rPr>
            <b/>
            <sz val="8"/>
            <color indexed="81"/>
            <rFont val="Tahoma"/>
            <family val="2"/>
          </rPr>
          <t>dong2:</t>
        </r>
        <r>
          <rPr>
            <sz val="8"/>
            <color indexed="81"/>
            <rFont val="Tahoma"/>
            <family val="2"/>
          </rPr>
          <t xml:space="preserve">
had estimated 100%.</t>
        </r>
      </text>
    </comment>
    <comment ref="F65" authorId="0">
      <text>
        <r>
          <rPr>
            <b/>
            <sz val="8"/>
            <color indexed="81"/>
            <rFont val="Tahoma"/>
            <family val="2"/>
          </rPr>
          <t>dong2:</t>
        </r>
        <r>
          <rPr>
            <sz val="8"/>
            <color indexed="81"/>
            <rFont val="Tahoma"/>
            <family val="2"/>
          </rPr>
          <t xml:space="preserve">
had 10 before co. reported Aug comps +16.5%</t>
        </r>
      </text>
    </comment>
    <comment ref="J65" authorId="0">
      <text>
        <r>
          <rPr>
            <b/>
            <sz val="8"/>
            <color indexed="81"/>
            <rFont val="Tahoma"/>
            <family val="2"/>
          </rPr>
          <t>dong2:</t>
        </r>
        <r>
          <rPr>
            <sz val="8"/>
            <color indexed="81"/>
            <rFont val="Tahoma"/>
            <family val="2"/>
          </rPr>
          <t xml:space="preserve">
8/30: had 20 new stores but increased to 25 based on 2Q conf call (co. plans to open 23-28)</t>
        </r>
      </text>
    </comment>
    <comment ref="P65" authorId="0">
      <text>
        <r>
          <rPr>
            <b/>
            <sz val="8"/>
            <color indexed="81"/>
            <rFont val="Tahoma"/>
            <family val="2"/>
          </rPr>
          <t>dong2:</t>
        </r>
        <r>
          <rPr>
            <sz val="8"/>
            <color indexed="81"/>
            <rFont val="Tahoma"/>
            <family val="2"/>
          </rPr>
          <t xml:space="preserve">
80</t>
        </r>
      </text>
    </comment>
    <comment ref="S65" authorId="0">
      <text>
        <r>
          <rPr>
            <b/>
            <sz val="8"/>
            <color indexed="81"/>
            <rFont val="Tahoma"/>
            <family val="2"/>
          </rPr>
          <t>dong2:</t>
        </r>
        <r>
          <rPr>
            <sz val="8"/>
            <color indexed="81"/>
            <rFont val="Tahoma"/>
            <family val="2"/>
          </rPr>
          <t xml:space="preserve">
87.9</t>
        </r>
      </text>
    </comment>
    <comment ref="F66" authorId="0">
      <text>
        <r>
          <rPr>
            <b/>
            <sz val="8"/>
            <color indexed="81"/>
            <rFont val="Tahoma"/>
            <family val="2"/>
          </rPr>
          <t>dong2:</t>
        </r>
        <r>
          <rPr>
            <sz val="8"/>
            <color indexed="81"/>
            <rFont val="Tahoma"/>
            <family val="2"/>
          </rPr>
          <t xml:space="preserve">
had 9.0, then 13.0</t>
        </r>
      </text>
    </comment>
    <comment ref="P66" authorId="0">
      <text>
        <r>
          <rPr>
            <b/>
            <sz val="8"/>
            <color indexed="81"/>
            <rFont val="Tahoma"/>
            <family val="2"/>
          </rPr>
          <t>dong2:</t>
        </r>
        <r>
          <rPr>
            <sz val="8"/>
            <color indexed="81"/>
            <rFont val="Tahoma"/>
            <family val="2"/>
          </rPr>
          <t xml:space="preserve">
78, then 72. Would be 107% excl. the $5.3 mm in sales from extra week in 00</t>
        </r>
      </text>
    </comment>
    <comment ref="D70" authorId="1">
      <text>
        <r>
          <rPr>
            <sz val="8"/>
            <color indexed="81"/>
            <rFont val="Tahoma"/>
            <family val="2"/>
          </rPr>
          <t>31.5</t>
        </r>
      </text>
    </comment>
    <comment ref="F70" authorId="1">
      <text>
        <r>
          <rPr>
            <sz val="8"/>
            <color indexed="81"/>
            <rFont val="Tahoma"/>
            <family val="2"/>
          </rPr>
          <t>had 9.5</t>
        </r>
      </text>
    </comment>
    <comment ref="S70" authorId="1">
      <text>
        <r>
          <rPr>
            <sz val="8"/>
            <color indexed="81"/>
            <rFont val="Tahoma"/>
            <family val="2"/>
          </rPr>
          <t xml:space="preserve">
119.6</t>
        </r>
      </text>
    </comment>
    <comment ref="AP70" authorId="0">
      <text>
        <r>
          <rPr>
            <b/>
            <sz val="8"/>
            <color indexed="81"/>
            <rFont val="Tahoma"/>
            <family val="2"/>
          </rPr>
          <t>dong2:</t>
        </r>
        <r>
          <rPr>
            <sz val="8"/>
            <color indexed="81"/>
            <rFont val="Tahoma"/>
            <family val="2"/>
          </rPr>
          <t xml:space="preserve">
800 in Feb, 1.4 mm in Apr</t>
        </r>
      </text>
    </comment>
    <comment ref="F71" authorId="1">
      <text>
        <r>
          <rPr>
            <sz val="8"/>
            <color indexed="81"/>
            <rFont val="Tahoma"/>
            <family val="2"/>
          </rPr>
          <t>had 7</t>
        </r>
      </text>
    </comment>
    <comment ref="F72" authorId="1">
      <text>
        <r>
          <rPr>
            <sz val="8"/>
            <color indexed="81"/>
            <rFont val="Tahoma"/>
            <family val="2"/>
          </rPr>
          <t>11.2, 12.1</t>
        </r>
      </text>
    </comment>
    <comment ref="J72" authorId="1">
      <text>
        <r>
          <rPr>
            <sz val="8"/>
            <color indexed="81"/>
            <rFont val="Tahoma"/>
            <family val="2"/>
          </rPr>
          <t>359</t>
        </r>
      </text>
    </comment>
    <comment ref="P72" authorId="1">
      <text>
        <r>
          <rPr>
            <sz val="8"/>
            <color indexed="81"/>
            <rFont val="Tahoma"/>
            <family val="2"/>
          </rPr>
          <t xml:space="preserve">
100</t>
        </r>
      </text>
    </comment>
    <comment ref="S72" authorId="1">
      <text>
        <r>
          <rPr>
            <sz val="8"/>
            <color indexed="81"/>
            <rFont val="Tahoma"/>
            <family val="2"/>
          </rPr>
          <t xml:space="preserve">
123.8, 127.3</t>
        </r>
      </text>
    </comment>
    <comment ref="F73" authorId="1">
      <text>
        <r>
          <rPr>
            <sz val="8"/>
            <color indexed="81"/>
            <rFont val="Tahoma"/>
            <family val="2"/>
          </rPr>
          <t>+9.5, 10.0</t>
        </r>
      </text>
    </comment>
    <comment ref="P73" authorId="1">
      <text>
        <r>
          <rPr>
            <sz val="8"/>
            <color indexed="81"/>
            <rFont val="Tahoma"/>
            <family val="2"/>
          </rPr>
          <t xml:space="preserve">
95</t>
        </r>
      </text>
    </comment>
    <comment ref="S73" authorId="1">
      <text>
        <r>
          <rPr>
            <sz val="8"/>
            <color indexed="81"/>
            <rFont val="Tahoma"/>
            <family val="2"/>
          </rPr>
          <t xml:space="preserve">
130.3</t>
        </r>
      </text>
    </comment>
    <comment ref="D77" authorId="1">
      <text>
        <r>
          <rPr>
            <sz val="8"/>
            <color indexed="81"/>
            <rFont val="Tahoma"/>
            <family val="2"/>
          </rPr>
          <t>31.5</t>
        </r>
      </text>
    </comment>
    <comment ref="F77" authorId="2">
      <text>
        <r>
          <rPr>
            <b/>
            <sz val="8"/>
            <color indexed="81"/>
            <rFont val="Tahoma"/>
            <family val="2"/>
          </rPr>
          <t>dliu:</t>
        </r>
        <r>
          <rPr>
            <sz val="8"/>
            <color indexed="81"/>
            <rFont val="Tahoma"/>
            <family val="2"/>
          </rPr>
          <t xml:space="preserve">
7.0, 9.0</t>
        </r>
      </text>
    </comment>
    <comment ref="P77" authorId="2">
      <text>
        <r>
          <rPr>
            <b/>
            <sz val="8"/>
            <color indexed="81"/>
            <rFont val="Tahoma"/>
            <family val="2"/>
          </rPr>
          <t>dliu:</t>
        </r>
        <r>
          <rPr>
            <sz val="8"/>
            <color indexed="81"/>
            <rFont val="Tahoma"/>
            <family val="2"/>
          </rPr>
          <t xml:space="preserve">
90</t>
        </r>
      </text>
    </comment>
    <comment ref="S77" authorId="2">
      <text>
        <r>
          <rPr>
            <b/>
            <sz val="8"/>
            <color indexed="81"/>
            <rFont val="Tahoma"/>
            <family val="2"/>
          </rPr>
          <t>dliu:</t>
        </r>
        <r>
          <rPr>
            <sz val="8"/>
            <color indexed="81"/>
            <rFont val="Tahoma"/>
            <family val="2"/>
          </rPr>
          <t xml:space="preserve">
160.2, 160.6, 163.1. excludes $5.7 mm in direct sales - UPDATE segSales when full 1Q PR is issued!!!!</t>
        </r>
      </text>
    </comment>
    <comment ref="AP77" authorId="2">
      <text>
        <r>
          <rPr>
            <b/>
            <sz val="8"/>
            <color indexed="81"/>
            <rFont val="Tahoma"/>
            <family val="2"/>
          </rPr>
          <t>dliu:</t>
        </r>
        <r>
          <rPr>
            <sz val="8"/>
            <color indexed="81"/>
            <rFont val="Tahoma"/>
            <family val="2"/>
          </rPr>
          <t xml:space="preserve">
1.5 mm in feb</t>
        </r>
      </text>
    </comment>
    <comment ref="F78" authorId="2">
      <text>
        <r>
          <rPr>
            <b/>
            <sz val="8"/>
            <color indexed="81"/>
            <rFont val="Tahoma"/>
            <family val="2"/>
          </rPr>
          <t>dliu:</t>
        </r>
        <r>
          <rPr>
            <sz val="8"/>
            <color indexed="81"/>
            <rFont val="Tahoma"/>
            <family val="2"/>
          </rPr>
          <t xml:space="preserve">
8, 13</t>
        </r>
      </text>
    </comment>
    <comment ref="P78" authorId="2">
      <text>
        <r>
          <rPr>
            <b/>
            <sz val="8"/>
            <color indexed="81"/>
            <rFont val="Tahoma"/>
            <family val="2"/>
          </rPr>
          <t>dliu:</t>
        </r>
        <r>
          <rPr>
            <sz val="8"/>
            <color indexed="81"/>
            <rFont val="Tahoma"/>
            <family val="2"/>
          </rPr>
          <t xml:space="preserve">
90</t>
        </r>
      </text>
    </comment>
    <comment ref="S78" authorId="3">
      <text>
        <r>
          <rPr>
            <b/>
            <sz val="10"/>
            <color indexed="81"/>
            <rFont val="Tahoma"/>
            <family val="2"/>
          </rPr>
          <t>kgreenbe:</t>
        </r>
        <r>
          <rPr>
            <sz val="10"/>
            <color indexed="81"/>
            <rFont val="Tahoma"/>
            <family val="2"/>
          </rPr>
          <t xml:space="preserve">
8/4 before add in WHBM had $171.9</t>
        </r>
      </text>
    </comment>
    <comment ref="F79" authorId="3">
      <text>
        <r>
          <rPr>
            <b/>
            <sz val="10"/>
            <color indexed="81"/>
            <rFont val="Tahoma"/>
            <family val="2"/>
          </rPr>
          <t>kgreenbe:</t>
        </r>
        <r>
          <rPr>
            <sz val="10"/>
            <color indexed="81"/>
            <rFont val="Tahoma"/>
            <family val="2"/>
          </rPr>
          <t xml:space="preserve">
8/4/03 WHBM stores that have been opened for 13+ months will be included in reported comps upon acquisition. Leave comp est unchanged at +8%. 
10/9: 13.3 11/6: 18.0</t>
        </r>
      </text>
    </comment>
    <comment ref="J79" authorId="3">
      <text>
        <r>
          <rPr>
            <b/>
            <sz val="10"/>
            <color indexed="81"/>
            <rFont val="Tahoma"/>
            <family val="2"/>
          </rPr>
          <t>kgreenbe:</t>
        </r>
        <r>
          <rPr>
            <sz val="10"/>
            <color indexed="81"/>
            <rFont val="Tahoma"/>
            <family val="2"/>
          </rPr>
          <t xml:space="preserve">
8/4 had 440 stores before add WHBM acquisition. 9/3: opened 3 in Aug. 11/18: had 435
includes 431 Chicos and 110 WHBM</t>
        </r>
      </text>
    </comment>
    <comment ref="P79" authorId="3">
      <text>
        <r>
          <rPr>
            <b/>
            <sz val="10"/>
            <color indexed="81"/>
            <rFont val="Tahoma"/>
            <family val="2"/>
          </rPr>
          <t>kgreenbe:</t>
        </r>
        <r>
          <rPr>
            <sz val="10"/>
            <color indexed="81"/>
            <rFont val="Tahoma"/>
            <family val="2"/>
          </rPr>
          <t xml:space="preserve">
8/4 had 88% before add WHBM</t>
        </r>
      </text>
    </comment>
    <comment ref="S79" authorId="3">
      <text>
        <r>
          <rPr>
            <b/>
            <sz val="10"/>
            <color indexed="81"/>
            <rFont val="Tahoma"/>
            <family val="2"/>
          </rPr>
          <t>kgreenbe:</t>
        </r>
        <r>
          <rPr>
            <sz val="10"/>
            <color indexed="81"/>
            <rFont val="Tahoma"/>
            <family val="2"/>
          </rPr>
          <t xml:space="preserve">
8/4 before add in WHBM had $171.9</t>
        </r>
      </text>
    </comment>
    <comment ref="AF79" authorId="3">
      <text>
        <r>
          <rPr>
            <b/>
            <sz val="10"/>
            <color indexed="81"/>
            <rFont val="Tahoma"/>
            <family val="2"/>
          </rPr>
          <t>kgreenbe:</t>
        </r>
        <r>
          <rPr>
            <sz val="10"/>
            <color indexed="81"/>
            <rFont val="Tahoma"/>
            <family val="2"/>
          </rPr>
          <t xml:space="preserve">
8/4/03 had 69% before add WHBM</t>
        </r>
      </text>
    </comment>
    <comment ref="F80" authorId="3">
      <text>
        <r>
          <rPr>
            <b/>
            <sz val="10"/>
            <color indexed="81"/>
            <rFont val="Tahoma"/>
            <family val="2"/>
          </rPr>
          <t>kgreenbe:</t>
        </r>
        <r>
          <rPr>
            <sz val="10"/>
            <color indexed="81"/>
            <rFont val="Tahoma"/>
            <family val="2"/>
          </rPr>
          <t xml:space="preserve">
8/4/03 WHBM stores that have been opened for 13+ months will be included in reported comps upon acquisition. Leave comp est unchanged at +8%. 16</t>
        </r>
      </text>
    </comment>
    <comment ref="J80" authorId="3">
      <text>
        <r>
          <rPr>
            <b/>
            <sz val="10"/>
            <color indexed="81"/>
            <rFont val="Tahoma"/>
            <family val="2"/>
          </rPr>
          <t>kgreenbe:</t>
        </r>
        <r>
          <rPr>
            <sz val="10"/>
            <color indexed="81"/>
            <rFont val="Tahoma"/>
            <family val="2"/>
          </rPr>
          <t xml:space="preserve">
8/4/03 had 448 stores before added WHBM acquisition</t>
        </r>
      </text>
    </comment>
    <comment ref="P80" authorId="3">
      <text>
        <r>
          <rPr>
            <b/>
            <sz val="10"/>
            <color indexed="81"/>
            <rFont val="Tahoma"/>
            <family val="2"/>
          </rPr>
          <t>kgreenbe:</t>
        </r>
        <r>
          <rPr>
            <sz val="10"/>
            <color indexed="81"/>
            <rFont val="Tahoma"/>
            <family val="2"/>
          </rPr>
          <t xml:space="preserve">
8/4 had 92% before add WHBM</t>
        </r>
      </text>
    </comment>
    <comment ref="S80" authorId="3">
      <text>
        <r>
          <rPr>
            <b/>
            <sz val="10"/>
            <color indexed="81"/>
            <rFont val="Tahoma"/>
            <family val="2"/>
          </rPr>
          <t>kgreenbe:</t>
        </r>
        <r>
          <rPr>
            <sz val="10"/>
            <color indexed="81"/>
            <rFont val="Tahoma"/>
            <family val="2"/>
          </rPr>
          <t xml:space="preserve">
8/4 before add in WHBM had $168.9
Est $25mm rev in 4Q03 from WHBM acquisition</t>
        </r>
      </text>
    </comment>
    <comment ref="AF80" authorId="3">
      <text>
        <r>
          <rPr>
            <b/>
            <sz val="10"/>
            <color indexed="81"/>
            <rFont val="Tahoma"/>
            <family val="2"/>
          </rPr>
          <t>kgreenbe:</t>
        </r>
        <r>
          <rPr>
            <sz val="10"/>
            <color indexed="81"/>
            <rFont val="Tahoma"/>
            <family val="2"/>
          </rPr>
          <t xml:space="preserve">
8/4/03 had 70% before add WHBM</t>
        </r>
      </text>
    </comment>
    <comment ref="J86" authorId="4">
      <text>
        <r>
          <rPr>
            <b/>
            <sz val="8"/>
            <color indexed="81"/>
            <rFont val="Tahoma"/>
            <family val="2"/>
          </rPr>
          <t>kg51925:</t>
        </r>
        <r>
          <rPr>
            <sz val="8"/>
            <color indexed="81"/>
            <rFont val="Tahoma"/>
            <family val="2"/>
          </rPr>
          <t xml:space="preserve">
Includes 10 Soma stores opened in 3Q04</t>
        </r>
      </text>
    </comment>
    <comment ref="J87" authorId="4">
      <text>
        <r>
          <rPr>
            <b/>
            <sz val="8"/>
            <color indexed="81"/>
            <rFont val="Tahoma"/>
            <family val="2"/>
          </rPr>
          <t>kg51925:</t>
        </r>
        <r>
          <rPr>
            <sz val="8"/>
            <color indexed="81"/>
            <rFont val="Tahoma"/>
            <family val="2"/>
          </rPr>
          <t xml:space="preserve">
Includes 10 Soma stores opened in 3Q04</t>
        </r>
      </text>
    </comment>
    <comment ref="F91" authorId="5">
      <text>
        <r>
          <rPr>
            <b/>
            <sz val="8"/>
            <color indexed="81"/>
            <rFont val="Tahoma"/>
            <family val="2"/>
          </rPr>
          <t>MB33100:</t>
        </r>
        <r>
          <rPr>
            <sz val="8"/>
            <color indexed="81"/>
            <rFont val="Tahoma"/>
            <family val="2"/>
          </rPr>
          <t xml:space="preserve">
10-Q indicates WH comps "somewhat ahead of Chico's comps"
We estimate WH 15% at 12% of comp base yielding Chico's 10%</t>
        </r>
      </text>
    </comment>
    <comment ref="F92" authorId="5">
      <text>
        <r>
          <rPr>
            <b/>
            <sz val="8"/>
            <color indexed="81"/>
            <rFont val="Tahoma"/>
            <family val="2"/>
          </rPr>
          <t>MB33100:</t>
        </r>
        <r>
          <rPr>
            <sz val="8"/>
            <color indexed="81"/>
            <rFont val="Tahoma"/>
            <family val="2"/>
          </rPr>
          <t xml:space="preserve">
10-Q indicates Chs +LDD and WH +M30s. We calc 12% Chico's comp assuming WH 15% of comp base</t>
        </r>
      </text>
    </comment>
    <comment ref="F93" authorId="5">
      <text>
        <r>
          <rPr>
            <b/>
            <sz val="8"/>
            <color indexed="81"/>
            <rFont val="Tahoma"/>
            <family val="2"/>
          </rPr>
          <t>MB33100:</t>
        </r>
        <r>
          <rPr>
            <sz val="8"/>
            <color indexed="81"/>
            <rFont val="Tahoma"/>
            <family val="2"/>
          </rPr>
          <t xml:space="preserve">
10-Q indicates WH +low 50s and Chs +LDD in 3Q05; we calc Chs at +10% given WH 17% of comp base (19% of total rev) </t>
        </r>
      </text>
    </comment>
    <comment ref="F94" authorId="4">
      <text>
        <r>
          <rPr>
            <b/>
            <sz val="8"/>
            <color indexed="81"/>
            <rFont val="Tahoma"/>
            <family val="2"/>
          </rPr>
          <t>kg51925:</t>
        </r>
        <r>
          <rPr>
            <sz val="8"/>
            <color indexed="81"/>
            <rFont val="Tahoma"/>
            <family val="2"/>
          </rPr>
          <t xml:space="preserve">
Chico's Nov comp +HSD
Chico's Dec comp +LDD (we think +10%)
Chico's Jan comp +HSD
calc average at 9% with WH comps 20% of the base in 4Q05 (total revenue 22%)
Mgmt confirmed Chs +HSD</t>
        </r>
      </text>
    </comment>
    <comment ref="J94" authorId="6">
      <text>
        <r>
          <rPr>
            <b/>
            <sz val="8"/>
            <color indexed="81"/>
            <rFont val="Tahoma"/>
            <family val="2"/>
          </rPr>
          <t>mm98285:</t>
        </r>
        <r>
          <rPr>
            <sz val="8"/>
            <color indexed="81"/>
            <rFont val="Tahoma"/>
            <family val="2"/>
          </rPr>
          <t xml:space="preserve">
544 Chico's and 15 Soma</t>
        </r>
      </text>
    </comment>
    <comment ref="F98" authorId="4">
      <text>
        <r>
          <rPr>
            <b/>
            <sz val="8"/>
            <color indexed="81"/>
            <rFont val="Tahoma"/>
            <family val="2"/>
          </rPr>
          <t>kg51925:</t>
        </r>
        <r>
          <rPr>
            <sz val="8"/>
            <color indexed="81"/>
            <rFont val="Tahoma"/>
            <family val="2"/>
          </rPr>
          <t xml:space="preserve">
Chico's Feb 06 +LSD
Chico's Mar 06 +MSD
Chico's Apr 06 +LSD
Assume WH 18% of comp sales base at 34% comp yielding Chico's comp of 2%</t>
        </r>
      </text>
    </comment>
    <comment ref="J98" authorId="6">
      <text>
        <r>
          <rPr>
            <b/>
            <sz val="8"/>
            <color indexed="81"/>
            <rFont val="Tahoma"/>
            <family val="2"/>
          </rPr>
          <t>mm98285:</t>
        </r>
        <r>
          <rPr>
            <sz val="8"/>
            <color indexed="81"/>
            <rFont val="Tahoma"/>
            <family val="2"/>
          </rPr>
          <t xml:space="preserve">
5/06: 551 Chico's, 18 Soma, 11 Fitigues</t>
        </r>
      </text>
    </comment>
    <comment ref="P101" authorId="4">
      <text>
        <r>
          <rPr>
            <b/>
            <sz val="8"/>
            <color indexed="81"/>
            <rFont val="Tahoma"/>
            <family val="2"/>
          </rPr>
          <t>kg51925:</t>
        </r>
        <r>
          <rPr>
            <sz val="8"/>
            <color indexed="81"/>
            <rFont val="Tahoma"/>
            <family val="2"/>
          </rPr>
          <t xml:space="preserve">
$458mm at 85% productivity. Boost productivity to account for extra week in January worth approx $25mm = $483mm total 4Q revenue</t>
        </r>
      </text>
    </comment>
    <comment ref="P108" authorId="4">
      <text>
        <r>
          <rPr>
            <b/>
            <sz val="8"/>
            <color indexed="81"/>
            <rFont val="Tahoma"/>
            <family val="2"/>
          </rPr>
          <t>kg51925:</t>
        </r>
        <r>
          <rPr>
            <sz val="8"/>
            <color indexed="81"/>
            <rFont val="Tahoma"/>
            <family val="2"/>
          </rPr>
          <t xml:space="preserve">
$458mm at 85% productivity. Boost productivity to account for extra week in January worth approx $25mm = $483mm total 4Q revenue</t>
        </r>
      </text>
    </comment>
    <comment ref="J112" authorId="6">
      <text>
        <r>
          <rPr>
            <b/>
            <sz val="8"/>
            <color indexed="81"/>
            <rFont val="Tahoma"/>
            <family val="2"/>
          </rPr>
          <t>mm98285:</t>
        </r>
        <r>
          <rPr>
            <sz val="8"/>
            <color indexed="81"/>
            <rFont val="Tahoma"/>
            <family val="2"/>
          </rPr>
          <t xml:space="preserve">
includes 71 Soma</t>
        </r>
      </text>
    </comment>
    <comment ref="F113" authorId="6">
      <text>
        <r>
          <rPr>
            <b/>
            <sz val="8"/>
            <color indexed="81"/>
            <rFont val="Tahoma"/>
            <family val="2"/>
          </rPr>
          <t>mm98285:</t>
        </r>
        <r>
          <rPr>
            <sz val="8"/>
            <color indexed="81"/>
            <rFont val="Tahoma"/>
            <family val="2"/>
          </rPr>
          <t xml:space="preserve">
Chico's comp -18.8% 
</t>
        </r>
      </text>
    </comment>
    <comment ref="J113" authorId="6">
      <text>
        <r>
          <rPr>
            <b/>
            <sz val="8"/>
            <color indexed="81"/>
            <rFont val="Tahoma"/>
            <family val="2"/>
          </rPr>
          <t>mm98285:</t>
        </r>
        <r>
          <rPr>
            <sz val="8"/>
            <color indexed="81"/>
            <rFont val="Tahoma"/>
            <family val="2"/>
          </rPr>
          <t xml:space="preserve">
includes 71 Soma</t>
        </r>
      </text>
    </comment>
    <comment ref="J114" authorId="6">
      <text>
        <r>
          <rPr>
            <b/>
            <sz val="8"/>
            <color indexed="81"/>
            <rFont val="Tahoma"/>
            <family val="2"/>
          </rPr>
          <t>mm98285:</t>
        </r>
        <r>
          <rPr>
            <sz val="8"/>
            <color indexed="81"/>
            <rFont val="Tahoma"/>
            <family val="2"/>
          </rPr>
          <t xml:space="preserve">
includes 72 Soma</t>
        </r>
      </text>
    </comment>
    <comment ref="F119" authorId="6">
      <text>
        <r>
          <rPr>
            <b/>
            <sz val="8"/>
            <color indexed="81"/>
            <rFont val="Tahoma"/>
            <family val="2"/>
          </rPr>
          <t xml:space="preserve">lauraro:
2/11: </t>
        </r>
        <r>
          <rPr>
            <sz val="8"/>
            <color indexed="81"/>
            <rFont val="Tahoma"/>
            <family val="2"/>
          </rPr>
          <t>original comp -6.1% (ex DTC)</t>
        </r>
        <r>
          <rPr>
            <b/>
            <sz val="8"/>
            <color indexed="81"/>
            <rFont val="Tahoma"/>
            <family val="2"/>
          </rPr>
          <t xml:space="preserve">
mm98285:</t>
        </r>
        <r>
          <rPr>
            <sz val="8"/>
            <color indexed="81"/>
            <rFont val="Tahoma"/>
            <family val="2"/>
          </rPr>
          <t xml:space="preserve">
Soma comp was negative
-13.9% est. </t>
        </r>
      </text>
    </comment>
    <comment ref="J119" authorId="6">
      <text>
        <r>
          <rPr>
            <b/>
            <sz val="8"/>
            <color indexed="81"/>
            <rFont val="Tahoma"/>
            <family val="2"/>
          </rPr>
          <t>mm98285:</t>
        </r>
        <r>
          <rPr>
            <sz val="8"/>
            <color indexed="81"/>
            <rFont val="Tahoma"/>
            <family val="2"/>
          </rPr>
          <t xml:space="preserve">
655 chs stores (closed 5 stores in 1Q)
70 Soma stores (closed 2 and opened 1)</t>
        </r>
      </text>
    </comment>
    <comment ref="S119" authorId="7">
      <text>
        <r>
          <rPr>
            <b/>
            <sz val="8"/>
            <color indexed="81"/>
            <rFont val="Tahoma"/>
            <family val="2"/>
          </rPr>
          <t>lauraro:</t>
        </r>
        <r>
          <rPr>
            <sz val="8"/>
            <color indexed="81"/>
            <rFont val="Tahoma"/>
            <family val="2"/>
          </rPr>
          <t xml:space="preserve">
5/10: including DTC $287.922</t>
        </r>
      </text>
    </comment>
    <comment ref="F120" authorId="6">
      <text>
        <r>
          <rPr>
            <b/>
            <sz val="8"/>
            <color indexed="81"/>
            <rFont val="Tahoma"/>
            <family val="2"/>
          </rPr>
          <t xml:space="preserve">lauraro:
2/11: </t>
        </r>
        <r>
          <rPr>
            <sz val="8"/>
            <color indexed="81"/>
            <rFont val="Tahoma"/>
            <family val="2"/>
          </rPr>
          <t>original comp 0.4% (ex DTC)</t>
        </r>
        <r>
          <rPr>
            <b/>
            <sz val="8"/>
            <color indexed="81"/>
            <rFont val="Tahoma"/>
            <family val="2"/>
          </rPr>
          <t xml:space="preserve">
mm98285:</t>
        </r>
        <r>
          <rPr>
            <sz val="8"/>
            <color indexed="81"/>
            <rFont val="Tahoma"/>
            <family val="2"/>
          </rPr>
          <t xml:space="preserve">
represents combined Chico's/Soma comp
-3% est. 
6/26/09: -LSD QTD</t>
        </r>
      </text>
    </comment>
    <comment ref="J120" authorId="6">
      <text>
        <r>
          <rPr>
            <b/>
            <sz val="8"/>
            <color indexed="81"/>
            <rFont val="Tahoma"/>
            <family val="2"/>
          </rPr>
          <t>mm98285:</t>
        </r>
        <r>
          <rPr>
            <sz val="8"/>
            <color indexed="81"/>
            <rFont val="Tahoma"/>
            <family val="2"/>
          </rPr>
          <t xml:space="preserve">
652 chico's (incl. 40 outlet)
74 Soma (incl. 1 outlet)</t>
        </r>
      </text>
    </comment>
    <comment ref="S120" authorId="7">
      <text>
        <r>
          <rPr>
            <b/>
            <sz val="8"/>
            <color indexed="81"/>
            <rFont val="Tahoma"/>
            <family val="2"/>
          </rPr>
          <t>lauraro:</t>
        </r>
        <r>
          <rPr>
            <sz val="8"/>
            <color indexed="81"/>
            <rFont val="Tahoma"/>
            <family val="2"/>
          </rPr>
          <t xml:space="preserve">
8/10: including DTC $294.602</t>
        </r>
      </text>
    </comment>
    <comment ref="F121"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12.2% (ex DTC)</t>
        </r>
      </text>
    </comment>
    <comment ref="F122"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11.6% (ex DTC)</t>
        </r>
      </text>
    </comment>
    <comment ref="F126"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14.8% (ex DTC)</t>
        </r>
      </text>
    </comment>
    <comment ref="S126" authorId="7">
      <text>
        <r>
          <rPr>
            <b/>
            <sz val="8"/>
            <color indexed="81"/>
            <rFont val="Tahoma"/>
            <family val="2"/>
          </rPr>
          <t>lauraro:</t>
        </r>
        <r>
          <rPr>
            <sz val="8"/>
            <color indexed="81"/>
            <rFont val="Tahoma"/>
            <family val="2"/>
          </rPr>
          <t xml:space="preserve">
5/10: As of 1Q10 division sales numbers include DTC (estimate ~$20M)</t>
        </r>
      </text>
    </comment>
    <comment ref="F127"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4.3% (ex DTC)</t>
        </r>
      </text>
    </comment>
    <comment ref="S127" authorId="7">
      <text>
        <r>
          <rPr>
            <b/>
            <sz val="8"/>
            <color indexed="81"/>
            <rFont val="Tahoma"/>
            <family val="2"/>
          </rPr>
          <t>lauraro:</t>
        </r>
        <r>
          <rPr>
            <sz val="8"/>
            <color indexed="81"/>
            <rFont val="Tahoma"/>
            <family val="2"/>
          </rPr>
          <t xml:space="preserve">
5/10: As of 1Q10 division sales numbers include DTC (estimate ~$20M)</t>
        </r>
      </text>
    </comment>
    <comment ref="F128"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1.5% (ex DTC)
</t>
        </r>
        <r>
          <rPr>
            <u/>
            <sz val="8"/>
            <color indexed="81"/>
            <rFont val="Tahoma"/>
            <family val="2"/>
          </rPr>
          <t>Consolidated</t>
        </r>
        <r>
          <rPr>
            <sz val="8"/>
            <color indexed="81"/>
            <rFont val="Tahoma"/>
            <family val="2"/>
          </rPr>
          <t xml:space="preserve"> comp driven by +4% in UPT and incr in AUR at WHBM FP offset by a slight decr in txns. Also benefitted from from ~4% incr in txns at Chico's FP stores, offset by decr's in the AUR and UPT.</t>
        </r>
      </text>
    </comment>
    <comment ref="S128" authorId="7">
      <text>
        <r>
          <rPr>
            <b/>
            <sz val="8"/>
            <color indexed="81"/>
            <rFont val="Tahoma"/>
            <family val="2"/>
          </rPr>
          <t>lauraro:</t>
        </r>
        <r>
          <rPr>
            <sz val="8"/>
            <color indexed="81"/>
            <rFont val="Tahoma"/>
            <family val="2"/>
          </rPr>
          <t xml:space="preserve">
5/10: As of 1Q10 division sales numbers include DTC (estimate ~$20M)</t>
        </r>
      </text>
    </comment>
    <comment ref="F129"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1.2% (ex DTC)</t>
        </r>
      </text>
    </comment>
    <comment ref="F133" authorId="7">
      <text>
        <r>
          <rPr>
            <b/>
            <sz val="8"/>
            <color indexed="81"/>
            <rFont val="Tahoma"/>
            <family val="2"/>
          </rPr>
          <t xml:space="preserve">5/18/11: </t>
        </r>
        <r>
          <rPr>
            <sz val="8"/>
            <color indexed="81"/>
            <rFont val="Tahoma"/>
            <family val="2"/>
          </rPr>
          <t>incl DTC</t>
        </r>
        <r>
          <rPr>
            <sz val="8"/>
            <color indexed="81"/>
            <rFont val="Tahoma"/>
            <family val="2"/>
          </rPr>
          <t xml:space="preserve">
comp driven by 6% increase in the average unit retail price at Chico's front-line stores, offset slightly by a decrease in the number of transactions at Chico's front-line stores, plus all brands 40+% growth in DTC</t>
        </r>
      </text>
    </comment>
    <comment ref="F134" authorId="7">
      <text>
        <r>
          <rPr>
            <b/>
            <sz val="8"/>
            <color indexed="81"/>
            <rFont val="Tahoma"/>
            <family val="2"/>
          </rPr>
          <t>lauraro:</t>
        </r>
        <r>
          <rPr>
            <sz val="8"/>
            <color indexed="81"/>
            <rFont val="Tahoma"/>
            <family val="2"/>
          </rPr>
          <t xml:space="preserve">
July comp +14%</t>
        </r>
      </text>
    </comment>
    <comment ref="F135" authorId="7">
      <text>
        <r>
          <rPr>
            <b/>
            <sz val="8"/>
            <color indexed="81"/>
            <rFont val="Tahoma"/>
            <family val="2"/>
          </rPr>
          <t>lauraro:</t>
        </r>
        <r>
          <rPr>
            <sz val="8"/>
            <color indexed="81"/>
            <rFont val="Tahoma"/>
            <family val="2"/>
          </rPr>
          <t xml:space="preserve">
Aug comp +11%</t>
        </r>
      </text>
    </comment>
    <comment ref="J135" authorId="7">
      <text>
        <r>
          <rPr>
            <b/>
            <sz val="8"/>
            <color indexed="81"/>
            <rFont val="Tahoma"/>
            <family val="2"/>
          </rPr>
          <t>lauraro:</t>
        </r>
        <r>
          <rPr>
            <sz val="8"/>
            <color indexed="81"/>
            <rFont val="Tahoma"/>
            <family val="2"/>
          </rPr>
          <t xml:space="preserve">
Chico's: Opened 5 frontline, closed 4
Chico's Outlet: opened 5
Soma frontline: opened 20
Soma outlet: opened 3</t>
        </r>
      </text>
    </comment>
    <comment ref="K140" authorId="8">
      <text>
        <r>
          <rPr>
            <b/>
            <sz val="8"/>
            <color indexed="81"/>
            <rFont val="Tahoma"/>
            <family val="2"/>
          </rPr>
          <t>kimberlg:</t>
        </r>
        <r>
          <rPr>
            <sz val="8"/>
            <color indexed="81"/>
            <rFont val="Tahoma"/>
            <family val="2"/>
          </rPr>
          <t xml:space="preserve">
30 net new stores total company 1Q</t>
        </r>
      </text>
    </comment>
    <comment ref="F141" authorId="9">
      <text>
        <r>
          <rPr>
            <b/>
            <sz val="8"/>
            <color indexed="81"/>
            <rFont val="Tahoma"/>
            <family val="2"/>
          </rPr>
          <t>casselau:</t>
        </r>
        <r>
          <rPr>
            <sz val="8"/>
            <color indexed="81"/>
            <rFont val="Tahoma"/>
            <family val="2"/>
          </rPr>
          <t xml:space="preserve">
8/22/12: Soma comp +DD (9th consec. Q); soma should be profitable for first time in 2012</t>
        </r>
      </text>
    </comment>
    <comment ref="K141" authorId="8">
      <text>
        <r>
          <rPr>
            <b/>
            <sz val="8"/>
            <color indexed="81"/>
            <rFont val="Tahoma"/>
            <family val="2"/>
          </rPr>
          <t xml:space="preserve">8/22/12: </t>
        </r>
        <r>
          <rPr>
            <sz val="8"/>
            <color indexed="81"/>
            <rFont val="Tahoma"/>
            <family val="2"/>
          </rPr>
          <t>4 new chicos, 3 new chico outlets, closed 1 chicos; 10 new somas, closed 2</t>
        </r>
        <r>
          <rPr>
            <b/>
            <sz val="8"/>
            <color indexed="81"/>
            <rFont val="Tahoma"/>
            <family val="2"/>
          </rPr>
          <t xml:space="preserve">
kimberlg:</t>
        </r>
        <r>
          <rPr>
            <sz val="8"/>
            <color indexed="81"/>
            <rFont val="Tahoma"/>
            <family val="2"/>
          </rPr>
          <t xml:space="preserve">
33 net new stores 2Q total company</t>
        </r>
      </text>
    </comment>
    <comment ref="F142" authorId="9">
      <text>
        <r>
          <rPr>
            <b/>
            <sz val="8"/>
            <color indexed="81"/>
            <rFont val="Tahoma"/>
            <family val="2"/>
          </rPr>
          <t>casselau:</t>
        </r>
        <r>
          <rPr>
            <sz val="8"/>
            <color indexed="81"/>
            <rFont val="Tahoma"/>
            <family val="2"/>
          </rPr>
          <t xml:space="preserve">
+DD soma comps for past 10 quarters</t>
        </r>
      </text>
    </comment>
    <comment ref="K142" authorId="8">
      <text>
        <r>
          <rPr>
            <b/>
            <sz val="8"/>
            <color indexed="81"/>
            <rFont val="Tahoma"/>
            <family val="2"/>
          </rPr>
          <t>kimberlg:</t>
        </r>
        <r>
          <rPr>
            <sz val="8"/>
            <color indexed="81"/>
            <rFont val="Tahoma"/>
            <family val="2"/>
          </rPr>
          <t xml:space="preserve">
Todd: 3Q 50 net new stores in 3Q total company</t>
        </r>
      </text>
    </comment>
    <comment ref="F143" authorId="10">
      <text>
        <r>
          <rPr>
            <sz val="8"/>
            <color indexed="81"/>
            <rFont val="Tahoma"/>
            <family val="2"/>
          </rPr>
          <t>Chico's flat; Soma +DD
4Q12 call - "A planned component of the comparable sales results for Chico Soma was our decision to not cycle the high level of markdown product from Q4 last year. Importantly, our gross margin run rate recovered. Soma had yet another outstanding quarter with once again the company's highest comparable sales performance. This marks Soma's eleventh consecutive quarter of double-digit comparable sales increase."</t>
        </r>
      </text>
    </comment>
    <comment ref="F144" authorId="9">
      <text>
        <r>
          <rPr>
            <b/>
            <sz val="8"/>
            <color indexed="81"/>
            <rFont val="Tahoma"/>
            <family val="2"/>
          </rPr>
          <t>casselau:</t>
        </r>
        <r>
          <rPr>
            <sz val="8"/>
            <color indexed="81"/>
            <rFont val="Tahoma"/>
            <family val="2"/>
          </rPr>
          <t xml:space="preserve">
Chico's +MSD; Soma +DD</t>
        </r>
      </text>
    </comment>
    <comment ref="F147" authorId="9">
      <text>
        <r>
          <rPr>
            <b/>
            <sz val="8"/>
            <color indexed="81"/>
            <rFont val="Tahoma"/>
            <family val="2"/>
          </rPr>
          <t xml:space="preserve">casselau:
Chico's Only: -3.8%
</t>
        </r>
        <r>
          <rPr>
            <sz val="8"/>
            <color indexed="81"/>
            <rFont val="Tahoma"/>
            <family val="2"/>
          </rPr>
          <t xml:space="preserve">
5/29/13: weakeness primarily driven by chicos (-MSD); Soma comped positive single digits; soma 2-yr stack of over 20%</t>
        </r>
      </text>
    </comment>
    <comment ref="F148" authorId="9">
      <text>
        <r>
          <rPr>
            <b/>
            <sz val="9"/>
            <color indexed="81"/>
            <rFont val="Tahoma"/>
            <family val="2"/>
          </rPr>
          <t xml:space="preserve">casselau:
Chico's Only: -4.8%
</t>
        </r>
        <r>
          <rPr>
            <sz val="9"/>
            <color indexed="81"/>
            <rFont val="Tahoma"/>
            <family val="2"/>
          </rPr>
          <t xml:space="preserve">
Chico's -MSD, Soma +HSD</t>
        </r>
      </text>
    </comment>
    <comment ref="F149" authorId="9">
      <text>
        <r>
          <rPr>
            <b/>
            <sz val="8"/>
            <color indexed="81"/>
            <rFont val="Tahoma"/>
            <family val="2"/>
          </rPr>
          <t xml:space="preserve">casselau:
Chico's Only: -4.7%
</t>
        </r>
        <r>
          <rPr>
            <sz val="8"/>
            <color indexed="81"/>
            <rFont val="Tahoma"/>
            <family val="2"/>
          </rPr>
          <t xml:space="preserve">
11/26/13: soma comps +HSD; estimate Chicos -4.6% (-MSD)</t>
        </r>
      </text>
    </comment>
    <comment ref="F150" authorId="9">
      <text>
        <r>
          <rPr>
            <b/>
            <sz val="8"/>
            <color indexed="81"/>
            <rFont val="Tahoma"/>
            <family val="2"/>
          </rPr>
          <t>casselau:</t>
        </r>
        <r>
          <rPr>
            <sz val="8"/>
            <color indexed="81"/>
            <rFont val="Tahoma"/>
            <family val="2"/>
          </rPr>
          <t xml:space="preserve">
2/26/14: Chico's brand -3%; soma +5.3%</t>
        </r>
      </text>
    </comment>
    <comment ref="S150" authorId="9">
      <text>
        <r>
          <rPr>
            <b/>
            <sz val="9"/>
            <color indexed="81"/>
            <rFont val="Tahoma"/>
            <family val="2"/>
          </rPr>
          <t>casselau:</t>
        </r>
        <r>
          <rPr>
            <sz val="9"/>
            <color indexed="81"/>
            <rFont val="Tahoma"/>
            <family val="2"/>
          </rPr>
          <t xml:space="preserve">
$299.549 Chico's, $75.384 Soma</t>
        </r>
      </text>
    </comment>
    <comment ref="F151" authorId="9">
      <text>
        <r>
          <rPr>
            <b/>
            <sz val="8"/>
            <color indexed="81"/>
            <rFont val="Tahoma"/>
            <family val="2"/>
          </rPr>
          <t>casselau:</t>
        </r>
        <r>
          <rPr>
            <sz val="8"/>
            <color indexed="81"/>
            <rFont val="Tahoma"/>
            <family val="2"/>
          </rPr>
          <t xml:space="preserve">
2/27/14: Chico's -4.1%; Soma +5.8%</t>
        </r>
      </text>
    </comment>
    <comment ref="S151" authorId="9">
      <text>
        <r>
          <rPr>
            <b/>
            <sz val="9"/>
            <color indexed="81"/>
            <rFont val="Tahoma"/>
            <family val="2"/>
          </rPr>
          <t>casselau:</t>
        </r>
        <r>
          <rPr>
            <sz val="9"/>
            <color indexed="81"/>
            <rFont val="Tahoma"/>
            <family val="2"/>
          </rPr>
          <t xml:space="preserve">
$1,362.641 Chico's, $267.506 Soma</t>
        </r>
      </text>
    </comment>
    <comment ref="F154" authorId="9">
      <text>
        <r>
          <rPr>
            <b/>
            <sz val="9"/>
            <color indexed="81"/>
            <rFont val="Tahoma"/>
            <family val="2"/>
          </rPr>
          <t>casselau:</t>
        </r>
        <r>
          <rPr>
            <sz val="9"/>
            <color indexed="81"/>
            <rFont val="Tahoma"/>
            <family val="2"/>
          </rPr>
          <t xml:space="preserve">
5/28/14: Chico's -0.8% (estimate) and Soma +HSD</t>
        </r>
      </text>
    </comment>
    <comment ref="F155" authorId="9">
      <text>
        <r>
          <rPr>
            <b/>
            <sz val="9"/>
            <color indexed="81"/>
            <rFont val="Tahoma"/>
            <family val="2"/>
          </rPr>
          <t>casselau:</t>
        </r>
        <r>
          <rPr>
            <sz val="9"/>
            <color indexed="81"/>
            <rFont val="Tahoma"/>
            <family val="2"/>
          </rPr>
          <t xml:space="preserve">
8/27/14: Chico's brand comp slightly less than +1%; Soma +MSD</t>
        </r>
      </text>
    </comment>
    <comment ref="F156" authorId="9">
      <text>
        <r>
          <rPr>
            <b/>
            <sz val="9"/>
            <color indexed="81"/>
            <rFont val="Tahoma"/>
            <family val="2"/>
          </rPr>
          <t>casselau:</t>
        </r>
        <r>
          <rPr>
            <sz val="9"/>
            <color indexed="81"/>
            <rFont val="Tahoma"/>
            <family val="2"/>
          </rPr>
          <t xml:space="preserve">
11/25/14: Chico's -LSD (driven by lower AUR), Soma +MSD</t>
        </r>
      </text>
    </comment>
    <comment ref="F157" authorId="9">
      <text>
        <r>
          <rPr>
            <b/>
            <sz val="9"/>
            <color indexed="81"/>
            <rFont val="Tahoma"/>
            <family val="2"/>
          </rPr>
          <t>casselau:</t>
        </r>
        <r>
          <rPr>
            <sz val="9"/>
            <color indexed="81"/>
            <rFont val="Tahoma"/>
            <family val="2"/>
          </rPr>
          <t xml:space="preserve">
2/26/15: Chico's +1.2%, Soma +13.7%</t>
        </r>
      </text>
    </comment>
    <comment ref="S157" authorId="9">
      <text>
        <r>
          <rPr>
            <b/>
            <sz val="9"/>
            <color indexed="81"/>
            <rFont val="Tahoma"/>
            <family val="2"/>
          </rPr>
          <t>casselau:</t>
        </r>
        <r>
          <rPr>
            <sz val="9"/>
            <color indexed="81"/>
            <rFont val="Tahoma"/>
            <family val="2"/>
          </rPr>
          <t xml:space="preserve">
$310.030 Chico's, $90.768 Soma</t>
        </r>
      </text>
    </comment>
    <comment ref="F158" authorId="9">
      <text>
        <r>
          <rPr>
            <b/>
            <sz val="9"/>
            <color indexed="81"/>
            <rFont val="Tahoma"/>
            <family val="2"/>
          </rPr>
          <t>casselau:</t>
        </r>
        <r>
          <rPr>
            <sz val="9"/>
            <color indexed="81"/>
            <rFont val="Tahoma"/>
            <family val="2"/>
          </rPr>
          <t xml:space="preserve">
2/26/15: Chico's -0.5%, Soma +8%</t>
        </r>
      </text>
    </comment>
    <comment ref="S158" authorId="9">
      <text>
        <r>
          <rPr>
            <b/>
            <sz val="9"/>
            <color indexed="81"/>
            <rFont val="Tahoma"/>
            <family val="2"/>
          </rPr>
          <t>casselau:</t>
        </r>
        <r>
          <rPr>
            <sz val="9"/>
            <color indexed="81"/>
            <rFont val="Tahoma"/>
            <family val="2"/>
          </rPr>
          <t xml:space="preserve">
$1,379.863 Chico's, $311.174 Soma</t>
        </r>
      </text>
    </comment>
    <comment ref="F168" authorId="9">
      <text>
        <r>
          <rPr>
            <b/>
            <sz val="9"/>
            <color indexed="81"/>
            <rFont val="Tahoma"/>
            <family val="2"/>
          </rPr>
          <t>casselau:</t>
        </r>
        <r>
          <rPr>
            <sz val="9"/>
            <color indexed="81"/>
            <rFont val="Tahoma"/>
            <family val="2"/>
          </rPr>
          <t xml:space="preserve">
2/25/16: QTD other brands are performing roughly in line with the Q4 run rate</t>
        </r>
      </text>
    </comment>
    <comment ref="F175" authorId="11">
      <text>
        <r>
          <rPr>
            <b/>
            <sz val="9"/>
            <color indexed="81"/>
            <rFont val="Tahoma"/>
            <family val="2"/>
          </rPr>
          <t>Cassel, Lauren (Research):</t>
        </r>
        <r>
          <rPr>
            <sz val="9"/>
            <color indexed="81"/>
            <rFont val="Tahoma"/>
            <family val="2"/>
          </rPr>
          <t xml:space="preserve">
Zenergy and travelers positive comped</t>
        </r>
      </text>
    </comment>
    <comment ref="F182" authorId="12">
      <text>
        <r>
          <rPr>
            <b/>
            <sz val="9"/>
            <color indexed="81"/>
            <rFont val="Tahoma"/>
            <family val="2"/>
          </rPr>
          <t>De Courreges, Edouard (Research):</t>
        </r>
        <r>
          <rPr>
            <sz val="9"/>
            <color indexed="81"/>
            <rFont val="Tahoma"/>
            <family val="2"/>
          </rPr>
          <t xml:space="preserve">
2/28/18: Expect similar comp to 1Q; sequential acceleration throughout the year</t>
        </r>
      </text>
    </comment>
    <comment ref="F192" authorId="9">
      <text>
        <r>
          <rPr>
            <b/>
            <sz val="8"/>
            <color indexed="81"/>
            <rFont val="Tahoma"/>
            <family val="2"/>
          </rPr>
          <t>casselau:</t>
        </r>
        <r>
          <rPr>
            <sz val="8"/>
            <color indexed="81"/>
            <rFont val="Tahoma"/>
            <family val="2"/>
          </rPr>
          <t xml:space="preserve">
5/29/13: weakeness primarily driven by chicos (-MSD); Soma comped positive single digits; soma 2-yr stack of over 20%</t>
        </r>
      </text>
    </comment>
    <comment ref="S192" authorId="9">
      <text>
        <r>
          <rPr>
            <b/>
            <sz val="9"/>
            <color indexed="81"/>
            <rFont val="Tahoma"/>
            <family val="2"/>
          </rPr>
          <t>casselau:</t>
        </r>
        <r>
          <rPr>
            <sz val="9"/>
            <color indexed="81"/>
            <rFont val="Tahoma"/>
            <family val="2"/>
          </rPr>
          <t xml:space="preserve">
estimate</t>
        </r>
      </text>
    </comment>
    <comment ref="F193" authorId="9">
      <text>
        <r>
          <rPr>
            <b/>
            <sz val="9"/>
            <color indexed="81"/>
            <rFont val="Tahoma"/>
            <family val="2"/>
          </rPr>
          <t>casselau:</t>
        </r>
        <r>
          <rPr>
            <sz val="9"/>
            <color indexed="81"/>
            <rFont val="Tahoma"/>
            <family val="2"/>
          </rPr>
          <t xml:space="preserve">
Chico's -MSD, Soma +HSD</t>
        </r>
      </text>
    </comment>
    <comment ref="S193" authorId="9">
      <text>
        <r>
          <rPr>
            <b/>
            <sz val="9"/>
            <color indexed="81"/>
            <rFont val="Tahoma"/>
            <family val="2"/>
          </rPr>
          <t>casselau:</t>
        </r>
        <r>
          <rPr>
            <sz val="9"/>
            <color indexed="81"/>
            <rFont val="Tahoma"/>
            <family val="2"/>
          </rPr>
          <t xml:space="preserve">
estimate</t>
        </r>
      </text>
    </comment>
    <comment ref="F194" authorId="9">
      <text>
        <r>
          <rPr>
            <b/>
            <sz val="8"/>
            <color indexed="81"/>
            <rFont val="Tahoma"/>
            <family val="2"/>
          </rPr>
          <t>casselau:</t>
        </r>
        <r>
          <rPr>
            <sz val="8"/>
            <color indexed="81"/>
            <rFont val="Tahoma"/>
            <family val="2"/>
          </rPr>
          <t xml:space="preserve">
11/26/13: soma comps +HSD; estimate Chicos -4.6% (-MSD)</t>
        </r>
      </text>
    </comment>
    <comment ref="S194" authorId="9">
      <text>
        <r>
          <rPr>
            <b/>
            <sz val="9"/>
            <color indexed="81"/>
            <rFont val="Tahoma"/>
            <family val="2"/>
          </rPr>
          <t>casselau:</t>
        </r>
        <r>
          <rPr>
            <sz val="9"/>
            <color indexed="81"/>
            <rFont val="Tahoma"/>
            <family val="2"/>
          </rPr>
          <t xml:space="preserve">
estimate</t>
        </r>
      </text>
    </comment>
    <comment ref="F195" authorId="9">
      <text>
        <r>
          <rPr>
            <b/>
            <sz val="8"/>
            <color indexed="81"/>
            <rFont val="Tahoma"/>
            <family val="2"/>
          </rPr>
          <t>casselau:</t>
        </r>
        <r>
          <rPr>
            <sz val="8"/>
            <color indexed="81"/>
            <rFont val="Tahoma"/>
            <family val="2"/>
          </rPr>
          <t xml:space="preserve">
2/26/14: Chico's brand -3%; soma +5.3%</t>
        </r>
      </text>
    </comment>
    <comment ref="S195" authorId="9">
      <text>
        <r>
          <rPr>
            <b/>
            <sz val="9"/>
            <color indexed="81"/>
            <rFont val="Tahoma"/>
            <family val="2"/>
          </rPr>
          <t>casselau:</t>
        </r>
        <r>
          <rPr>
            <sz val="9"/>
            <color indexed="81"/>
            <rFont val="Tahoma"/>
            <family val="2"/>
          </rPr>
          <t xml:space="preserve">
$299.549 Chico's, $75.384 Soma</t>
        </r>
      </text>
    </comment>
    <comment ref="F196" authorId="9">
      <text>
        <r>
          <rPr>
            <b/>
            <sz val="8"/>
            <color indexed="81"/>
            <rFont val="Tahoma"/>
            <family val="2"/>
          </rPr>
          <t>casselau:</t>
        </r>
        <r>
          <rPr>
            <sz val="8"/>
            <color indexed="81"/>
            <rFont val="Tahoma"/>
            <family val="2"/>
          </rPr>
          <t xml:space="preserve">
2/27/14: Soma +5.8%</t>
        </r>
      </text>
    </comment>
    <comment ref="S196" authorId="9">
      <text>
        <r>
          <rPr>
            <b/>
            <sz val="9"/>
            <color indexed="81"/>
            <rFont val="Tahoma"/>
            <family val="2"/>
          </rPr>
          <t>casselau:</t>
        </r>
        <r>
          <rPr>
            <sz val="9"/>
            <color indexed="81"/>
            <rFont val="Tahoma"/>
            <family val="2"/>
          </rPr>
          <t xml:space="preserve">
$1,362.641 Chico's, $267.506 Soma</t>
        </r>
      </text>
    </comment>
    <comment ref="F199" authorId="9">
      <text>
        <r>
          <rPr>
            <b/>
            <sz val="9"/>
            <color indexed="81"/>
            <rFont val="Tahoma"/>
            <family val="2"/>
          </rPr>
          <t>casselau:</t>
        </r>
        <r>
          <rPr>
            <sz val="9"/>
            <color indexed="81"/>
            <rFont val="Tahoma"/>
            <family val="2"/>
          </rPr>
          <t xml:space="preserve">
5/28/14: Chico's -0.8% (estimate) and Soma +HSD</t>
        </r>
      </text>
    </comment>
    <comment ref="F200" authorId="9">
      <text>
        <r>
          <rPr>
            <b/>
            <sz val="9"/>
            <color indexed="81"/>
            <rFont val="Tahoma"/>
            <family val="2"/>
          </rPr>
          <t>casselau:</t>
        </r>
        <r>
          <rPr>
            <sz val="9"/>
            <color indexed="81"/>
            <rFont val="Tahoma"/>
            <family val="2"/>
          </rPr>
          <t xml:space="preserve">
8/27/14: Chico's brand comp slightly less than +1%; Soma +MSD</t>
        </r>
      </text>
    </comment>
    <comment ref="F201" authorId="9">
      <text>
        <r>
          <rPr>
            <b/>
            <sz val="9"/>
            <color indexed="81"/>
            <rFont val="Tahoma"/>
            <family val="2"/>
          </rPr>
          <t>casselau:</t>
        </r>
        <r>
          <rPr>
            <sz val="9"/>
            <color indexed="81"/>
            <rFont val="Tahoma"/>
            <family val="2"/>
          </rPr>
          <t xml:space="preserve">
11/25/14: Chico's -LSD (driven by lower AUR), Soma +MSD</t>
        </r>
      </text>
    </comment>
    <comment ref="F202" authorId="9">
      <text>
        <r>
          <rPr>
            <b/>
            <sz val="9"/>
            <color indexed="81"/>
            <rFont val="Tahoma"/>
            <family val="2"/>
          </rPr>
          <t>casselau:</t>
        </r>
        <r>
          <rPr>
            <sz val="9"/>
            <color indexed="81"/>
            <rFont val="Tahoma"/>
            <family val="2"/>
          </rPr>
          <t xml:space="preserve">
2/26/15: Chico's +1.2%, Soma +13.7%</t>
        </r>
      </text>
    </comment>
    <comment ref="S202" authorId="9">
      <text>
        <r>
          <rPr>
            <b/>
            <sz val="9"/>
            <color indexed="81"/>
            <rFont val="Tahoma"/>
            <family val="2"/>
          </rPr>
          <t>casselau:</t>
        </r>
        <r>
          <rPr>
            <sz val="9"/>
            <color indexed="81"/>
            <rFont val="Tahoma"/>
            <family val="2"/>
          </rPr>
          <t xml:space="preserve">
$310.030 Chico's, $90.768 Soma</t>
        </r>
      </text>
    </comment>
    <comment ref="F203" authorId="9">
      <text>
        <r>
          <rPr>
            <b/>
            <sz val="9"/>
            <color indexed="81"/>
            <rFont val="Tahoma"/>
            <family val="2"/>
          </rPr>
          <t>casselau:</t>
        </r>
        <r>
          <rPr>
            <sz val="9"/>
            <color indexed="81"/>
            <rFont val="Tahoma"/>
            <family val="2"/>
          </rPr>
          <t xml:space="preserve">
2/26/15: Chico's -0.5%, Soma +8%</t>
        </r>
      </text>
    </comment>
    <comment ref="S203" authorId="9">
      <text>
        <r>
          <rPr>
            <b/>
            <sz val="9"/>
            <color indexed="81"/>
            <rFont val="Tahoma"/>
            <family val="2"/>
          </rPr>
          <t>casselau:</t>
        </r>
        <r>
          <rPr>
            <sz val="9"/>
            <color indexed="81"/>
            <rFont val="Tahoma"/>
            <family val="2"/>
          </rPr>
          <t xml:space="preserve">
$1,379.863 Chico's, $311.174 Soma</t>
        </r>
      </text>
    </comment>
    <comment ref="F208" authorId="13">
      <text>
        <r>
          <rPr>
            <b/>
            <sz val="9"/>
            <color indexed="81"/>
            <rFont val="Tahoma"/>
            <family val="2"/>
          </rPr>
          <t xml:space="preserve">11/24/15: </t>
        </r>
        <r>
          <rPr>
            <sz val="9"/>
            <color indexed="81"/>
            <rFont val="Tahoma"/>
            <family val="2"/>
          </rPr>
          <t>Soma did comp positively in August and October but it was not enough to offset September's sales miss; As the quarter progressed and we increased our promotional messaging, Soma started to see the traffic come back and comps returned to the mid single-digit level
8/26/15- Thus far into 3Q positive trends in WHBM/Soma</t>
        </r>
      </text>
    </comment>
    <comment ref="F209" authorId="9">
      <text>
        <r>
          <rPr>
            <b/>
            <sz val="9"/>
            <color indexed="81"/>
            <rFont val="Tahoma"/>
            <family val="2"/>
          </rPr>
          <t>casselau:</t>
        </r>
        <r>
          <rPr>
            <sz val="9"/>
            <color indexed="81"/>
            <rFont val="Tahoma"/>
            <family val="2"/>
          </rPr>
          <t xml:space="preserve">
11/24/15: Soma is back to positive comps in both August, October and November</t>
        </r>
      </text>
    </comment>
    <comment ref="F213" authorId="9">
      <text>
        <r>
          <rPr>
            <b/>
            <sz val="9"/>
            <color indexed="81"/>
            <rFont val="Tahoma"/>
            <family val="2"/>
          </rPr>
          <t>casselau:</t>
        </r>
        <r>
          <rPr>
            <sz val="9"/>
            <color indexed="81"/>
            <rFont val="Tahoma"/>
            <family val="2"/>
          </rPr>
          <t xml:space="preserve">
2/25/16: QTD other brands are performing roughly in line with the Q4 run rate</t>
        </r>
      </text>
    </comment>
    <comment ref="F221" authorId="11">
      <text>
        <r>
          <rPr>
            <b/>
            <sz val="9"/>
            <color indexed="81"/>
            <rFont val="Tahoma"/>
            <family val="2"/>
          </rPr>
          <t>Cassel, Lauren (Research):</t>
        </r>
        <r>
          <rPr>
            <sz val="9"/>
            <color indexed="81"/>
            <rFont val="Tahoma"/>
            <family val="2"/>
          </rPr>
          <t xml:space="preserve">
8/30/17: core categories performing well; record operating income (dollars and rate)</t>
        </r>
      </text>
    </comment>
    <comment ref="F227" authorId="12">
      <text>
        <r>
          <rPr>
            <b/>
            <sz val="9"/>
            <color indexed="81"/>
            <rFont val="Tahoma"/>
            <family val="2"/>
          </rPr>
          <t>De Courreges, Edouard (Research):</t>
        </r>
        <r>
          <rPr>
            <sz val="9"/>
            <color indexed="81"/>
            <rFont val="Tahoma"/>
            <family val="2"/>
          </rPr>
          <t xml:space="preserve">
2/28/18: Expect similar comp to 1Q; then sequential acceleration in 2H</t>
        </r>
      </text>
    </comment>
    <comment ref="F239" authorId="4">
      <text>
        <r>
          <rPr>
            <b/>
            <sz val="8"/>
            <color indexed="81"/>
            <rFont val="Tahoma"/>
            <family val="2"/>
          </rPr>
          <t>kg51925:</t>
        </r>
        <r>
          <rPr>
            <sz val="8"/>
            <color indexed="81"/>
            <rFont val="Tahoma"/>
            <family val="2"/>
          </rPr>
          <t xml:space="preserve">
3Q04 WH comps increased slightly ahead of Chico's division; consolidated comp +6.1%
</t>
        </r>
      </text>
    </comment>
    <comment ref="F240" authorId="4">
      <text>
        <r>
          <rPr>
            <b/>
            <sz val="8"/>
            <color indexed="81"/>
            <rFont val="Tahoma"/>
            <family val="2"/>
          </rPr>
          <t>kg51925:</t>
        </r>
        <r>
          <rPr>
            <sz val="8"/>
            <color indexed="81"/>
            <rFont val="Tahoma"/>
            <family val="2"/>
          </rPr>
          <t xml:space="preserve">
WH Nov 04 comp similar to total at +8.6%
WH Dec 04 comp similar to total at +18.6%
WH Jan 05 comp significantly above Chico's; total Jan comp +14.6%
We calculate WH comp at +18% assuming Jan comp of approx 30%</t>
        </r>
      </text>
    </comment>
    <comment ref="F244" authorId="5">
      <text>
        <r>
          <rPr>
            <b/>
            <sz val="8"/>
            <color indexed="81"/>
            <rFont val="Tahoma"/>
            <family val="2"/>
          </rPr>
          <t>MB33100:</t>
        </r>
        <r>
          <rPr>
            <sz val="8"/>
            <color indexed="81"/>
            <rFont val="Tahoma"/>
            <family val="2"/>
          </rPr>
          <t xml:space="preserve">
10-Q indicates WH comps "somewhat ahead of Chico's comps"; consolidated comp +10.8%</t>
        </r>
      </text>
    </comment>
    <comment ref="F245" authorId="5">
      <text>
        <r>
          <rPr>
            <b/>
            <sz val="8"/>
            <color indexed="81"/>
            <rFont val="Tahoma"/>
            <family val="2"/>
          </rPr>
          <t>MB33100:</t>
        </r>
        <r>
          <rPr>
            <sz val="8"/>
            <color indexed="81"/>
            <rFont val="Tahoma"/>
            <family val="2"/>
          </rPr>
          <t xml:space="preserve">
10-Q indicates Chs +LDD and WH +M30s</t>
        </r>
      </text>
    </comment>
    <comment ref="F246" authorId="5">
      <text>
        <r>
          <rPr>
            <b/>
            <sz val="8"/>
            <color indexed="81"/>
            <rFont val="Tahoma"/>
            <family val="2"/>
          </rPr>
          <t>MB33100:</t>
        </r>
        <r>
          <rPr>
            <sz val="8"/>
            <color indexed="81"/>
            <rFont val="Tahoma"/>
            <family val="2"/>
          </rPr>
          <t xml:space="preserve">
10-Q indicates WH +low 50s and Chs +LDD in 3Q05</t>
        </r>
      </text>
    </comment>
    <comment ref="F247" authorId="4">
      <text>
        <r>
          <rPr>
            <b/>
            <sz val="8"/>
            <color indexed="81"/>
            <rFont val="Tahoma"/>
            <family val="2"/>
          </rPr>
          <t>kg51925:</t>
        </r>
        <r>
          <rPr>
            <sz val="8"/>
            <color indexed="81"/>
            <rFont val="Tahoma"/>
            <family val="2"/>
          </rPr>
          <t xml:space="preserve">
WH Nov 05 comp +L30's
WH Dec 05 comp +H40's
WH Jan 06 comp +M40's
so calc avg at 42%
Mgmt confirmed +L40's</t>
        </r>
      </text>
    </comment>
    <comment ref="F248" authorId="5">
      <text>
        <r>
          <rPr>
            <b/>
            <sz val="8"/>
            <color indexed="81"/>
            <rFont val="Tahoma"/>
            <family val="2"/>
          </rPr>
          <t>MB33100:</t>
        </r>
        <r>
          <rPr>
            <sz val="8"/>
            <color indexed="81"/>
            <rFont val="Tahoma"/>
            <family val="2"/>
          </rPr>
          <t xml:space="preserve">
10-k says in the "mid-to-high 30s" for the year</t>
        </r>
      </text>
    </comment>
    <comment ref="F251" authorId="4">
      <text>
        <r>
          <rPr>
            <b/>
            <sz val="8"/>
            <color indexed="81"/>
            <rFont val="Tahoma"/>
            <family val="2"/>
          </rPr>
          <t>kg51925:</t>
        </r>
        <r>
          <rPr>
            <sz val="8"/>
            <color indexed="81"/>
            <rFont val="Tahoma"/>
            <family val="2"/>
          </rPr>
          <t xml:space="preserve">
WH Feb 06 comp +L30's
WH Mar 06 comp +M30's
WH Apr 06 comp +M30's
We calc 34% if Feb 28% of 1Q sales</t>
        </r>
      </text>
    </comment>
    <comment ref="J251" authorId="5">
      <text>
        <r>
          <rPr>
            <b/>
            <sz val="8"/>
            <color indexed="81"/>
            <rFont val="Tahoma"/>
            <family val="2"/>
          </rPr>
          <t>MB33100:</t>
        </r>
        <r>
          <rPr>
            <sz val="8"/>
            <color indexed="81"/>
            <rFont val="Tahoma"/>
            <family val="2"/>
          </rPr>
          <t xml:space="preserve">
Guided to +65-70 WH|BM, we assume 70 and follow a similar cadence as the total openings (ie, weighted to 3Q)</t>
        </r>
      </text>
    </comment>
    <comment ref="F272" authorId="6">
      <text>
        <r>
          <rPr>
            <b/>
            <sz val="8"/>
            <color indexed="81"/>
            <rFont val="Tahoma"/>
            <family val="2"/>
          </rPr>
          <t xml:space="preserve">lauraro:
2/11: </t>
        </r>
        <r>
          <rPr>
            <sz val="8"/>
            <color indexed="81"/>
            <rFont val="Tahoma"/>
            <family val="2"/>
          </rPr>
          <t>original comp 4.2% (ex DTC)</t>
        </r>
        <r>
          <rPr>
            <b/>
            <sz val="8"/>
            <color indexed="81"/>
            <rFont val="Tahoma"/>
            <family val="2"/>
          </rPr>
          <t xml:space="preserve">
mm98285:</t>
        </r>
        <r>
          <rPr>
            <sz val="8"/>
            <color indexed="81"/>
            <rFont val="Tahoma"/>
            <family val="2"/>
          </rPr>
          <t xml:space="preserve">
-6.3% est. </t>
        </r>
      </text>
    </comment>
    <comment ref="S272" authorId="7">
      <text>
        <r>
          <rPr>
            <b/>
            <sz val="8"/>
            <color indexed="81"/>
            <rFont val="Tahoma"/>
            <family val="2"/>
          </rPr>
          <t>lauraro:</t>
        </r>
        <r>
          <rPr>
            <sz val="8"/>
            <color indexed="81"/>
            <rFont val="Tahoma"/>
            <family val="2"/>
          </rPr>
          <t xml:space="preserve">
5/10: including DTC $122.721
excl DTC $116.2</t>
        </r>
      </text>
    </comment>
    <comment ref="F273" authorId="6">
      <text>
        <r>
          <rPr>
            <b/>
            <sz val="8"/>
            <color indexed="81"/>
            <rFont val="Tahoma"/>
            <family val="2"/>
          </rPr>
          <t xml:space="preserve">lauraro:
2/11: </t>
        </r>
        <r>
          <rPr>
            <sz val="8"/>
            <color indexed="81"/>
            <rFont val="Tahoma"/>
            <family val="2"/>
          </rPr>
          <t>original comp 3.7% (ex DTC)</t>
        </r>
        <r>
          <rPr>
            <b/>
            <sz val="8"/>
            <color indexed="81"/>
            <rFont val="Tahoma"/>
            <family val="2"/>
          </rPr>
          <t xml:space="preserve">
mm98285:</t>
        </r>
        <r>
          <rPr>
            <sz val="8"/>
            <color indexed="81"/>
            <rFont val="Tahoma"/>
            <family val="2"/>
          </rPr>
          <t xml:space="preserve">
+2% est.
6/26/09: +LSD QTD</t>
        </r>
      </text>
    </comment>
    <comment ref="J273" authorId="6">
      <text>
        <r>
          <rPr>
            <b/>
            <sz val="8"/>
            <color indexed="81"/>
            <rFont val="Tahoma"/>
            <family val="2"/>
          </rPr>
          <t>mm98285:</t>
        </r>
        <r>
          <rPr>
            <sz val="8"/>
            <color indexed="81"/>
            <rFont val="Tahoma"/>
            <family val="2"/>
          </rPr>
          <t xml:space="preserve">
343 WHIBM (incl. 16 outlet)</t>
        </r>
      </text>
    </comment>
    <comment ref="S273" authorId="7">
      <text>
        <r>
          <rPr>
            <b/>
            <sz val="8"/>
            <color indexed="81"/>
            <rFont val="Tahoma"/>
            <family val="2"/>
          </rPr>
          <t>lauraro:</t>
        </r>
        <r>
          <rPr>
            <sz val="8"/>
            <color indexed="81"/>
            <rFont val="Tahoma"/>
            <family val="2"/>
          </rPr>
          <t xml:space="preserve">
8/10: including DTC $125.313
excl DTC 119.7</t>
        </r>
      </text>
    </comment>
    <comment ref="F274"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14.4% (ex DTC)</t>
        </r>
      </text>
    </comment>
    <comment ref="F275"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21.2% (ex DTC)</t>
        </r>
      </text>
    </comment>
    <comment ref="F279"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15.3% (ex DTC)</t>
        </r>
      </text>
    </comment>
    <comment ref="S279" authorId="7">
      <text>
        <r>
          <rPr>
            <b/>
            <sz val="8"/>
            <color indexed="81"/>
            <rFont val="Tahoma"/>
            <family val="2"/>
          </rPr>
          <t>lauraro:</t>
        </r>
        <r>
          <rPr>
            <sz val="8"/>
            <color indexed="81"/>
            <rFont val="Tahoma"/>
            <family val="2"/>
          </rPr>
          <t xml:space="preserve">
5/10: As of 1Q10 division sales numbers include DTC</t>
        </r>
      </text>
    </comment>
    <comment ref="F280"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11.2% (ex DTC)</t>
        </r>
      </text>
    </comment>
    <comment ref="S280" authorId="7">
      <text>
        <r>
          <rPr>
            <b/>
            <sz val="8"/>
            <color indexed="81"/>
            <rFont val="Tahoma"/>
            <family val="2"/>
          </rPr>
          <t>lauraro:</t>
        </r>
        <r>
          <rPr>
            <sz val="8"/>
            <color indexed="81"/>
            <rFont val="Tahoma"/>
            <family val="2"/>
          </rPr>
          <t xml:space="preserve">
5/10: As of 1Q10 division sales numbers include DTC</t>
        </r>
      </text>
    </comment>
    <comment ref="F281" authorId="7">
      <text>
        <r>
          <rPr>
            <b/>
            <sz val="8"/>
            <color indexed="81"/>
            <rFont val="Tahoma"/>
            <family val="2"/>
          </rPr>
          <t xml:space="preserve">lauraro:
2/11: </t>
        </r>
        <r>
          <rPr>
            <sz val="8"/>
            <color indexed="81"/>
            <rFont val="Tahoma"/>
            <family val="2"/>
          </rPr>
          <t>original comp 7.1% (ex DTC)</t>
        </r>
        <r>
          <rPr>
            <b/>
            <sz val="8"/>
            <color indexed="81"/>
            <rFont val="Tahoma"/>
            <family val="2"/>
          </rPr>
          <t xml:space="preserve">
lauraro:</t>
        </r>
        <r>
          <rPr>
            <sz val="8"/>
            <color indexed="81"/>
            <rFont val="Tahoma"/>
            <family val="2"/>
          </rPr>
          <t xml:space="preserve">
</t>
        </r>
        <r>
          <rPr>
            <u/>
            <sz val="8"/>
            <color indexed="81"/>
            <rFont val="Tahoma"/>
            <family val="2"/>
          </rPr>
          <t>Consolidated</t>
        </r>
        <r>
          <rPr>
            <sz val="8"/>
            <color indexed="81"/>
            <rFont val="Tahoma"/>
            <family val="2"/>
          </rPr>
          <t xml:space="preserve"> comp driven by +4% in UPT and incr in AUR at WHBM FP offset by a slight decr in txns. Also benefitted from from ~4% incr in txns at Chico's FP stores, offset by decr's in the AUR and UPT.</t>
        </r>
      </text>
    </comment>
    <comment ref="S281" authorId="7">
      <text>
        <r>
          <rPr>
            <b/>
            <sz val="8"/>
            <color indexed="81"/>
            <rFont val="Tahoma"/>
            <family val="2"/>
          </rPr>
          <t>lauraro:</t>
        </r>
        <r>
          <rPr>
            <sz val="8"/>
            <color indexed="81"/>
            <rFont val="Tahoma"/>
            <family val="2"/>
          </rPr>
          <t xml:space="preserve">
5/10: As of 1Q10 division sales numbers include DTC</t>
        </r>
      </text>
    </comment>
    <comment ref="F282" authorId="7">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0.9% (ex DTC)</t>
        </r>
      </text>
    </comment>
    <comment ref="F286" authorId="7">
      <text>
        <r>
          <rPr>
            <b/>
            <sz val="8"/>
            <color indexed="81"/>
            <rFont val="Tahoma"/>
            <family val="2"/>
          </rPr>
          <t xml:space="preserve">5/18/11: </t>
        </r>
        <r>
          <rPr>
            <sz val="8"/>
            <color indexed="81"/>
            <rFont val="Tahoma"/>
            <family val="2"/>
          </rPr>
          <t>incl DTC</t>
        </r>
        <r>
          <rPr>
            <sz val="8"/>
            <color indexed="81"/>
            <rFont val="Tahoma"/>
            <family val="2"/>
          </rPr>
          <t xml:space="preserve">
approximate 8% increase in units per transactions together with a 3% increase in the average unit retail price at WH|BM front-line stores offset by a decrease in the number of transactions at front-line stores, plus all brands 40+% growth in DTC</t>
        </r>
      </text>
    </comment>
    <comment ref="J286" authorId="7">
      <text>
        <r>
          <rPr>
            <b/>
            <sz val="8"/>
            <color indexed="81"/>
            <rFont val="Tahoma"/>
            <family val="2"/>
          </rPr>
          <t>lauraro:</t>
        </r>
        <r>
          <rPr>
            <sz val="8"/>
            <color indexed="81"/>
            <rFont val="Tahoma"/>
            <family val="2"/>
          </rPr>
          <t xml:space="preserve">
Opened 9, closed 1 FL
Opened 3 outlets</t>
        </r>
      </text>
    </comment>
    <comment ref="F287" authorId="7">
      <text>
        <r>
          <rPr>
            <b/>
            <sz val="8"/>
            <color indexed="81"/>
            <rFont val="Tahoma"/>
            <family val="2"/>
          </rPr>
          <t xml:space="preserve">5/18/11: </t>
        </r>
        <r>
          <rPr>
            <sz val="8"/>
            <color indexed="81"/>
            <rFont val="Tahoma"/>
            <family val="2"/>
          </rPr>
          <t>Catch-up oppty; kept selling out LY</t>
        </r>
        <r>
          <rPr>
            <sz val="8"/>
            <color indexed="81"/>
            <rFont val="Tahoma"/>
            <family val="2"/>
          </rPr>
          <t xml:space="preserve">
</t>
        </r>
        <r>
          <rPr>
            <b/>
            <sz val="8"/>
            <color indexed="81"/>
            <rFont val="Tahoma"/>
            <family val="2"/>
          </rPr>
          <t>2Q:</t>
        </r>
        <r>
          <rPr>
            <sz val="8"/>
            <color indexed="81"/>
            <rFont val="Tahoma"/>
            <family val="2"/>
          </rPr>
          <t xml:space="preserve"> Based on our store checks, though promos were mostly in line with last year across all three brands, we think WHBM held a new summer sale promotion at the end of June driving additional traffic through 2Q.</t>
        </r>
      </text>
    </comment>
    <comment ref="J287" authorId="7">
      <text>
        <r>
          <rPr>
            <b/>
            <sz val="8"/>
            <color indexed="81"/>
            <rFont val="Tahoma"/>
            <family val="2"/>
          </rPr>
          <t>lauraro:</t>
        </r>
        <r>
          <rPr>
            <sz val="8"/>
            <color indexed="81"/>
            <rFont val="Tahoma"/>
            <family val="2"/>
          </rPr>
          <t xml:space="preserve">
opened 8 frontline, closed 2 
opened 1 outlet</t>
        </r>
      </text>
    </comment>
    <comment ref="J288" authorId="7">
      <text>
        <r>
          <rPr>
            <b/>
            <sz val="8"/>
            <color indexed="81"/>
            <rFont val="Tahoma"/>
            <family val="2"/>
          </rPr>
          <t>lauraro:</t>
        </r>
        <r>
          <rPr>
            <sz val="8"/>
            <color indexed="81"/>
            <rFont val="Tahoma"/>
            <family val="2"/>
          </rPr>
          <t xml:space="preserve">
opened 6 frontline, closed 4 </t>
        </r>
      </text>
    </comment>
    <comment ref="K293" authorId="8">
      <text>
        <r>
          <rPr>
            <b/>
            <sz val="8"/>
            <color indexed="81"/>
            <rFont val="Tahoma"/>
            <family val="2"/>
          </rPr>
          <t>kimberlg:</t>
        </r>
        <r>
          <rPr>
            <sz val="8"/>
            <color indexed="81"/>
            <rFont val="Tahoma"/>
            <family val="2"/>
          </rPr>
          <t xml:space="preserve">
Todd: likely 20% of WHBM 1Q</t>
        </r>
      </text>
    </comment>
    <comment ref="K294" authorId="8">
      <text>
        <r>
          <rPr>
            <b/>
            <sz val="8"/>
            <color indexed="81"/>
            <rFont val="Tahoma"/>
            <family val="2"/>
          </rPr>
          <t xml:space="preserve">8/20/12: </t>
        </r>
        <r>
          <rPr>
            <sz val="8"/>
            <color indexed="81"/>
            <rFont val="Tahoma"/>
            <family val="2"/>
          </rPr>
          <t>open 12 stores, closed 1; opened 7 outlets</t>
        </r>
        <r>
          <rPr>
            <b/>
            <sz val="8"/>
            <color indexed="81"/>
            <rFont val="Tahoma"/>
            <family val="2"/>
          </rPr>
          <t xml:space="preserve">
kimberlg:</t>
        </r>
        <r>
          <rPr>
            <sz val="8"/>
            <color indexed="81"/>
            <rFont val="Tahoma"/>
            <family val="2"/>
          </rPr>
          <t xml:space="preserve">
Todd: about 1/3 of WHBM in 2Q</t>
        </r>
      </text>
    </comment>
    <comment ref="K296" authorId="7">
      <text>
        <r>
          <rPr>
            <b/>
            <sz val="8"/>
            <color indexed="81"/>
            <rFont val="Tahoma"/>
            <family val="2"/>
          </rPr>
          <t>lauraro:</t>
        </r>
        <r>
          <rPr>
            <sz val="8"/>
            <color indexed="81"/>
            <rFont val="Tahoma"/>
            <family val="2"/>
          </rPr>
          <t xml:space="preserve">
less than 10</t>
        </r>
      </text>
    </comment>
    <comment ref="F303" authorId="9">
      <text>
        <r>
          <rPr>
            <b/>
            <sz val="9"/>
            <color indexed="81"/>
            <rFont val="Tahoma"/>
            <family val="2"/>
          </rPr>
          <t>casselau:</t>
        </r>
        <r>
          <rPr>
            <sz val="9"/>
            <color indexed="81"/>
            <rFont val="Tahoma"/>
            <family val="2"/>
          </rPr>
          <t xml:space="preserve">
2/27/14: negative comp all from lower AUR</t>
        </r>
      </text>
    </comment>
    <comment ref="F309" authorId="9">
      <text>
        <r>
          <rPr>
            <b/>
            <sz val="9"/>
            <color indexed="81"/>
            <rFont val="Tahoma"/>
            <family val="2"/>
          </rPr>
          <t>casselau:</t>
        </r>
        <r>
          <rPr>
            <sz val="9"/>
            <color indexed="81"/>
            <rFont val="Tahoma"/>
            <family val="2"/>
          </rPr>
          <t xml:space="preserve">
</t>
        </r>
        <r>
          <rPr>
            <sz val="8"/>
            <color indexed="81"/>
            <rFont val="Tahoma"/>
            <family val="2"/>
          </rPr>
          <t>comp driven by a reduction in UPT; port delays left the brand with fewer units than planned especially later in the quarter and accordingly; with fewer units the decision was made to offer fewer promotions than last year which positively impacked AUR but negatively impacted UPT to a greater degree</t>
        </r>
      </text>
    </comment>
    <comment ref="F315" authorId="13">
      <text>
        <r>
          <rPr>
            <b/>
            <sz val="9"/>
            <color indexed="81"/>
            <rFont val="Tahoma"/>
            <family val="2"/>
          </rPr>
          <t>Baglione, Gregory  (Research):</t>
        </r>
        <r>
          <rPr>
            <sz val="9"/>
            <color indexed="81"/>
            <rFont val="Tahoma"/>
            <family val="2"/>
          </rPr>
          <t xml:space="preserve">
8/26/15-"Lapping high levels of promotional activity /excess inventory"</t>
        </r>
      </text>
    </comment>
    <comment ref="F316" authorId="13">
      <text>
        <r>
          <rPr>
            <b/>
            <sz val="9"/>
            <color indexed="81"/>
            <rFont val="Tahoma"/>
            <family val="2"/>
          </rPr>
          <t>Baglione, Gregory  (Research):</t>
        </r>
        <r>
          <rPr>
            <sz val="9"/>
            <color indexed="81"/>
            <rFont val="Tahoma"/>
            <family val="2"/>
          </rPr>
          <t xml:space="preserve">
8/26/15- Thus far into 3Q positive trends in WHBM/Soma</t>
        </r>
      </text>
    </comment>
    <comment ref="F317" authorId="9">
      <text>
        <r>
          <rPr>
            <b/>
            <sz val="9"/>
            <color indexed="81"/>
            <rFont val="Tahoma"/>
            <family val="2"/>
          </rPr>
          <t>casselau:</t>
        </r>
        <r>
          <rPr>
            <sz val="9"/>
            <color indexed="81"/>
            <rFont val="Tahoma"/>
            <family val="2"/>
          </rPr>
          <t xml:space="preserve">
sweaters biggest miss, also underpenetrated in special occasion dresses</t>
        </r>
      </text>
    </comment>
    <comment ref="F321" authorId="9">
      <text>
        <r>
          <rPr>
            <b/>
            <sz val="9"/>
            <color indexed="81"/>
            <rFont val="Tahoma"/>
            <family val="2"/>
          </rPr>
          <t>casselau:</t>
        </r>
        <r>
          <rPr>
            <sz val="9"/>
            <color indexed="81"/>
            <rFont val="Tahoma"/>
            <family val="2"/>
          </rPr>
          <t xml:space="preserve">
2/26/15: WHBM running a positive comp</t>
        </r>
      </text>
    </comment>
    <comment ref="F328" authorId="11">
      <text>
        <r>
          <rPr>
            <b/>
            <sz val="9"/>
            <color indexed="81"/>
            <rFont val="Tahoma"/>
            <family val="2"/>
          </rPr>
          <t>Cassel, Lauren (Research):</t>
        </r>
        <r>
          <rPr>
            <sz val="9"/>
            <color indexed="81"/>
            <rFont val="Tahoma"/>
            <family val="2"/>
          </rPr>
          <t xml:space="preserve">
Focused too much on fashion </t>
        </r>
      </text>
    </comment>
    <comment ref="F335" authorId="12">
      <text>
        <r>
          <rPr>
            <b/>
            <sz val="9"/>
            <color indexed="81"/>
            <rFont val="Tahoma"/>
            <family val="2"/>
          </rPr>
          <t>De Courreges, Edouard (Research):</t>
        </r>
        <r>
          <rPr>
            <sz val="9"/>
            <color indexed="81"/>
            <rFont val="Tahoma"/>
            <family val="2"/>
          </rPr>
          <t xml:space="preserve">
2/28/18: Expect similar comp to 1Q; then sequential acceleration in 2H</t>
        </r>
      </text>
    </comment>
  </commentList>
</comments>
</file>

<file path=xl/comments4.xml><?xml version="1.0" encoding="utf-8"?>
<comments xmlns="http://schemas.openxmlformats.org/spreadsheetml/2006/main">
  <authors>
    <author>lauraro</author>
    <author>dong2</author>
    <author>Lehman Brothers</author>
    <author>dliu</author>
    <author>kgreenbe</author>
    <author>lehman</author>
    <author>MS</author>
    <author>Melissa Sefl</author>
    <author>Kimberly Greenberger</author>
    <author>Morry Brown</author>
    <author>MB33100</author>
    <author>mm98285</author>
    <author>kg51925</author>
    <author>TI23070</author>
    <author>ol36766</author>
    <author>marchant</author>
    <author>oc48540</author>
    <author>kimberlg</author>
    <author>solejay</author>
    <author>Cassel, Lauren (Research)</author>
    <author>Roberts, Cynthia (Research)</author>
  </authors>
  <commentList>
    <comment ref="S8" authorId="0">
      <text>
        <r>
          <rPr>
            <b/>
            <sz val="8"/>
            <color indexed="81"/>
            <rFont val="Tahoma"/>
            <family val="2"/>
          </rPr>
          <t xml:space="preserve">5/18/11: </t>
        </r>
        <r>
          <rPr>
            <sz val="8"/>
            <color indexed="81"/>
            <rFont val="Tahoma"/>
            <family val="2"/>
          </rPr>
          <t>Includes direct as of 2010</t>
        </r>
        <r>
          <rPr>
            <sz val="8"/>
            <color indexed="81"/>
            <rFont val="Tahoma"/>
            <family val="2"/>
          </rPr>
          <t xml:space="preserve">
</t>
        </r>
      </text>
    </comment>
    <comment ref="J62" authorId="1">
      <text>
        <r>
          <rPr>
            <b/>
            <sz val="8"/>
            <color indexed="81"/>
            <rFont val="Tahoma"/>
            <family val="2"/>
          </rPr>
          <t>dong2:</t>
        </r>
        <r>
          <rPr>
            <sz val="8"/>
            <color indexed="81"/>
            <rFont val="Tahoma"/>
            <family val="2"/>
          </rPr>
          <t xml:space="preserve">
KG notes from 6/28/01 is 23 stores opened by end of Q2, most of store openings in Q3. PR dated 8/7, operates 273 stores</t>
        </r>
      </text>
    </comment>
    <comment ref="P62" authorId="1">
      <text>
        <r>
          <rPr>
            <b/>
            <sz val="8"/>
            <color indexed="81"/>
            <rFont val="Tahoma"/>
            <family val="2"/>
          </rPr>
          <t>dong2:</t>
        </r>
        <r>
          <rPr>
            <sz val="8"/>
            <color indexed="81"/>
            <rFont val="Tahoma"/>
            <family val="2"/>
          </rPr>
          <t xml:space="preserve">
had estimated 100%.</t>
        </r>
      </text>
    </comment>
    <comment ref="F63" authorId="1">
      <text>
        <r>
          <rPr>
            <b/>
            <sz val="8"/>
            <color indexed="81"/>
            <rFont val="Tahoma"/>
            <family val="2"/>
          </rPr>
          <t>dong2:</t>
        </r>
        <r>
          <rPr>
            <sz val="8"/>
            <color indexed="81"/>
            <rFont val="Tahoma"/>
            <family val="2"/>
          </rPr>
          <t xml:space="preserve">
had 10 before co. reported Aug comps +16.5%</t>
        </r>
      </text>
    </comment>
    <comment ref="J63" authorId="1">
      <text>
        <r>
          <rPr>
            <b/>
            <sz val="8"/>
            <color indexed="81"/>
            <rFont val="Tahoma"/>
            <family val="2"/>
          </rPr>
          <t>dong2:</t>
        </r>
        <r>
          <rPr>
            <sz val="8"/>
            <color indexed="81"/>
            <rFont val="Tahoma"/>
            <family val="2"/>
          </rPr>
          <t xml:space="preserve">
8/30: had 20 new stores but increased to 25 based on 2Q conf call (co. plans to open 23-28)</t>
        </r>
      </text>
    </comment>
    <comment ref="P63" authorId="1">
      <text>
        <r>
          <rPr>
            <b/>
            <sz val="8"/>
            <color indexed="81"/>
            <rFont val="Tahoma"/>
            <family val="2"/>
          </rPr>
          <t>dong2:</t>
        </r>
        <r>
          <rPr>
            <sz val="8"/>
            <color indexed="81"/>
            <rFont val="Tahoma"/>
            <family val="2"/>
          </rPr>
          <t xml:space="preserve">
80</t>
        </r>
      </text>
    </comment>
    <comment ref="S63" authorId="1">
      <text>
        <r>
          <rPr>
            <b/>
            <sz val="8"/>
            <color indexed="81"/>
            <rFont val="Tahoma"/>
            <family val="2"/>
          </rPr>
          <t>dong2:</t>
        </r>
        <r>
          <rPr>
            <sz val="8"/>
            <color indexed="81"/>
            <rFont val="Tahoma"/>
            <family val="2"/>
          </rPr>
          <t xml:space="preserve">
87.9</t>
        </r>
      </text>
    </comment>
    <comment ref="F64" authorId="1">
      <text>
        <r>
          <rPr>
            <b/>
            <sz val="8"/>
            <color indexed="81"/>
            <rFont val="Tahoma"/>
            <family val="2"/>
          </rPr>
          <t>dong2:</t>
        </r>
        <r>
          <rPr>
            <sz val="8"/>
            <color indexed="81"/>
            <rFont val="Tahoma"/>
            <family val="2"/>
          </rPr>
          <t xml:space="preserve">
had 9.0, then 13.0</t>
        </r>
      </text>
    </comment>
    <comment ref="P64" authorId="1">
      <text>
        <r>
          <rPr>
            <b/>
            <sz val="8"/>
            <color indexed="81"/>
            <rFont val="Tahoma"/>
            <family val="2"/>
          </rPr>
          <t>dong2:</t>
        </r>
        <r>
          <rPr>
            <sz val="8"/>
            <color indexed="81"/>
            <rFont val="Tahoma"/>
            <family val="2"/>
          </rPr>
          <t xml:space="preserve">
78, then 72. Would be 107% excl. the $5.3 mm in sales from extra week in 00</t>
        </r>
      </text>
    </comment>
    <comment ref="D68" authorId="2">
      <text>
        <r>
          <rPr>
            <sz val="8"/>
            <color indexed="81"/>
            <rFont val="Tahoma"/>
            <family val="2"/>
          </rPr>
          <t>31.5</t>
        </r>
      </text>
    </comment>
    <comment ref="F68" authorId="2">
      <text>
        <r>
          <rPr>
            <sz val="8"/>
            <color indexed="81"/>
            <rFont val="Tahoma"/>
            <family val="2"/>
          </rPr>
          <t>had 9.5</t>
        </r>
      </text>
    </comment>
    <comment ref="S68" authorId="2">
      <text>
        <r>
          <rPr>
            <sz val="8"/>
            <color indexed="81"/>
            <rFont val="Tahoma"/>
            <family val="2"/>
          </rPr>
          <t xml:space="preserve">
119.6</t>
        </r>
      </text>
    </comment>
    <comment ref="AQ68" authorId="1">
      <text>
        <r>
          <rPr>
            <b/>
            <sz val="8"/>
            <color indexed="81"/>
            <rFont val="Tahoma"/>
            <family val="2"/>
          </rPr>
          <t>dong2:</t>
        </r>
        <r>
          <rPr>
            <sz val="8"/>
            <color indexed="81"/>
            <rFont val="Tahoma"/>
            <family val="2"/>
          </rPr>
          <t xml:space="preserve">
800 in Feb, 1.4 mm in Apr</t>
        </r>
      </text>
    </comment>
    <comment ref="F69" authorId="2">
      <text>
        <r>
          <rPr>
            <sz val="8"/>
            <color indexed="81"/>
            <rFont val="Tahoma"/>
            <family val="2"/>
          </rPr>
          <t>had 7</t>
        </r>
      </text>
    </comment>
    <comment ref="F70" authorId="2">
      <text>
        <r>
          <rPr>
            <sz val="8"/>
            <color indexed="81"/>
            <rFont val="Tahoma"/>
            <family val="2"/>
          </rPr>
          <t>11.2, 12.1</t>
        </r>
      </text>
    </comment>
    <comment ref="J70" authorId="2">
      <text>
        <r>
          <rPr>
            <sz val="8"/>
            <color indexed="81"/>
            <rFont val="Tahoma"/>
            <family val="2"/>
          </rPr>
          <t>359</t>
        </r>
      </text>
    </comment>
    <comment ref="P70" authorId="2">
      <text>
        <r>
          <rPr>
            <sz val="8"/>
            <color indexed="81"/>
            <rFont val="Tahoma"/>
            <family val="2"/>
          </rPr>
          <t xml:space="preserve">
100</t>
        </r>
      </text>
    </comment>
    <comment ref="S70" authorId="2">
      <text>
        <r>
          <rPr>
            <sz val="8"/>
            <color indexed="81"/>
            <rFont val="Tahoma"/>
            <family val="2"/>
          </rPr>
          <t xml:space="preserve">
123.8, 127.3</t>
        </r>
      </text>
    </comment>
    <comment ref="F71" authorId="2">
      <text>
        <r>
          <rPr>
            <sz val="8"/>
            <color indexed="81"/>
            <rFont val="Tahoma"/>
            <family val="2"/>
          </rPr>
          <t>+9.5, 10.0</t>
        </r>
      </text>
    </comment>
    <comment ref="P71" authorId="2">
      <text>
        <r>
          <rPr>
            <sz val="8"/>
            <color indexed="81"/>
            <rFont val="Tahoma"/>
            <family val="2"/>
          </rPr>
          <t xml:space="preserve">
95</t>
        </r>
      </text>
    </comment>
    <comment ref="S71" authorId="2">
      <text>
        <r>
          <rPr>
            <sz val="8"/>
            <color indexed="81"/>
            <rFont val="Tahoma"/>
            <family val="2"/>
          </rPr>
          <t xml:space="preserve">
130.3</t>
        </r>
      </text>
    </comment>
    <comment ref="D75" authorId="2">
      <text>
        <r>
          <rPr>
            <sz val="8"/>
            <color indexed="81"/>
            <rFont val="Tahoma"/>
            <family val="2"/>
          </rPr>
          <t>31.5</t>
        </r>
      </text>
    </comment>
    <comment ref="F75" authorId="3">
      <text>
        <r>
          <rPr>
            <b/>
            <sz val="8"/>
            <color indexed="81"/>
            <rFont val="Tahoma"/>
            <family val="2"/>
          </rPr>
          <t>dliu:</t>
        </r>
        <r>
          <rPr>
            <sz val="8"/>
            <color indexed="81"/>
            <rFont val="Tahoma"/>
            <family val="2"/>
          </rPr>
          <t xml:space="preserve">
7.0, 9.0</t>
        </r>
      </text>
    </comment>
    <comment ref="P75" authorId="3">
      <text>
        <r>
          <rPr>
            <b/>
            <sz val="8"/>
            <color indexed="81"/>
            <rFont val="Tahoma"/>
            <family val="2"/>
          </rPr>
          <t>dliu:</t>
        </r>
        <r>
          <rPr>
            <sz val="8"/>
            <color indexed="81"/>
            <rFont val="Tahoma"/>
            <family val="2"/>
          </rPr>
          <t xml:space="preserve">
90</t>
        </r>
      </text>
    </comment>
    <comment ref="S75" authorId="3">
      <text>
        <r>
          <rPr>
            <b/>
            <sz val="8"/>
            <color indexed="81"/>
            <rFont val="Tahoma"/>
            <family val="2"/>
          </rPr>
          <t>dliu:</t>
        </r>
        <r>
          <rPr>
            <sz val="8"/>
            <color indexed="81"/>
            <rFont val="Tahoma"/>
            <family val="2"/>
          </rPr>
          <t xml:space="preserve">
160.2, 160.6, 163.1. excludes $5.7 mm in direct sales - UPDATE segSales when full 1Q PR is issued!!!!</t>
        </r>
      </text>
    </comment>
    <comment ref="AQ75" authorId="3">
      <text>
        <r>
          <rPr>
            <b/>
            <sz val="8"/>
            <color indexed="81"/>
            <rFont val="Tahoma"/>
            <family val="2"/>
          </rPr>
          <t>dliu:</t>
        </r>
        <r>
          <rPr>
            <sz val="8"/>
            <color indexed="81"/>
            <rFont val="Tahoma"/>
            <family val="2"/>
          </rPr>
          <t xml:space="preserve">
1.5 mm in feb</t>
        </r>
      </text>
    </comment>
    <comment ref="F76" authorId="3">
      <text>
        <r>
          <rPr>
            <b/>
            <sz val="8"/>
            <color indexed="81"/>
            <rFont val="Tahoma"/>
            <family val="2"/>
          </rPr>
          <t>dliu:</t>
        </r>
        <r>
          <rPr>
            <sz val="8"/>
            <color indexed="81"/>
            <rFont val="Tahoma"/>
            <family val="2"/>
          </rPr>
          <t xml:space="preserve">
8, 13</t>
        </r>
      </text>
    </comment>
    <comment ref="P76" authorId="3">
      <text>
        <r>
          <rPr>
            <b/>
            <sz val="8"/>
            <color indexed="81"/>
            <rFont val="Tahoma"/>
            <family val="2"/>
          </rPr>
          <t>dliu:</t>
        </r>
        <r>
          <rPr>
            <sz val="8"/>
            <color indexed="81"/>
            <rFont val="Tahoma"/>
            <family val="2"/>
          </rPr>
          <t xml:space="preserve">
90</t>
        </r>
      </text>
    </comment>
    <comment ref="S76" authorId="4">
      <text>
        <r>
          <rPr>
            <b/>
            <sz val="10"/>
            <color indexed="81"/>
            <rFont val="Tahoma"/>
            <family val="2"/>
          </rPr>
          <t>kgreenbe:</t>
        </r>
        <r>
          <rPr>
            <sz val="10"/>
            <color indexed="81"/>
            <rFont val="Tahoma"/>
            <family val="2"/>
          </rPr>
          <t xml:space="preserve">
8/4 before add in WHBM had $171.9</t>
        </r>
      </text>
    </comment>
    <comment ref="F77" authorId="4">
      <text>
        <r>
          <rPr>
            <b/>
            <sz val="10"/>
            <color indexed="81"/>
            <rFont val="Tahoma"/>
            <family val="2"/>
          </rPr>
          <t>kgreenbe:</t>
        </r>
        <r>
          <rPr>
            <sz val="10"/>
            <color indexed="81"/>
            <rFont val="Tahoma"/>
            <family val="2"/>
          </rPr>
          <t xml:space="preserve">
8/4/03 WHBM stores that have been opened for 13+ months will be included in reported comps upon acquisition. Leave comp est unchanged at +8%. 
10/9: 13.3 11/6: 18.0</t>
        </r>
      </text>
    </comment>
    <comment ref="J77" authorId="4">
      <text>
        <r>
          <rPr>
            <b/>
            <sz val="10"/>
            <color indexed="81"/>
            <rFont val="Tahoma"/>
            <family val="2"/>
          </rPr>
          <t>kgreenbe:</t>
        </r>
        <r>
          <rPr>
            <sz val="10"/>
            <color indexed="81"/>
            <rFont val="Tahoma"/>
            <family val="2"/>
          </rPr>
          <t xml:space="preserve">
8/4 had 440 stores before add WHBM acquisition. 9/3: opened 3 in Aug. 11/18: had 435
includes 431 Chicos and 110 WHBM</t>
        </r>
      </text>
    </comment>
    <comment ref="P77" authorId="4">
      <text>
        <r>
          <rPr>
            <b/>
            <sz val="10"/>
            <color indexed="81"/>
            <rFont val="Tahoma"/>
            <family val="2"/>
          </rPr>
          <t>kgreenbe:</t>
        </r>
        <r>
          <rPr>
            <sz val="10"/>
            <color indexed="81"/>
            <rFont val="Tahoma"/>
            <family val="2"/>
          </rPr>
          <t xml:space="preserve">
8/4 had 88% before add WHBM</t>
        </r>
      </text>
    </comment>
    <comment ref="S77" authorId="4">
      <text>
        <r>
          <rPr>
            <b/>
            <sz val="10"/>
            <color indexed="81"/>
            <rFont val="Tahoma"/>
            <family val="2"/>
          </rPr>
          <t>kgreenbe:</t>
        </r>
        <r>
          <rPr>
            <sz val="10"/>
            <color indexed="81"/>
            <rFont val="Tahoma"/>
            <family val="2"/>
          </rPr>
          <t xml:space="preserve">
8/4 before add in WHBM had $171.9</t>
        </r>
      </text>
    </comment>
    <comment ref="AF77" authorId="4">
      <text>
        <r>
          <rPr>
            <b/>
            <sz val="10"/>
            <color indexed="81"/>
            <rFont val="Tahoma"/>
            <family val="2"/>
          </rPr>
          <t>kgreenbe:</t>
        </r>
        <r>
          <rPr>
            <sz val="10"/>
            <color indexed="81"/>
            <rFont val="Tahoma"/>
            <family val="2"/>
          </rPr>
          <t xml:space="preserve">
8/4/03 had 69% before add WHBM</t>
        </r>
      </text>
    </comment>
    <comment ref="F78" authorId="4">
      <text>
        <r>
          <rPr>
            <b/>
            <sz val="10"/>
            <color indexed="81"/>
            <rFont val="Tahoma"/>
            <family val="2"/>
          </rPr>
          <t>kgreenbe:</t>
        </r>
        <r>
          <rPr>
            <sz val="10"/>
            <color indexed="81"/>
            <rFont val="Tahoma"/>
            <family val="2"/>
          </rPr>
          <t xml:space="preserve">
8/4/03 WHBM stores that have been opened for 13+ months will be included in reported comps upon acquisition. Leave comp est unchanged at +8%. 16</t>
        </r>
      </text>
    </comment>
    <comment ref="J78" authorId="4">
      <text>
        <r>
          <rPr>
            <b/>
            <sz val="10"/>
            <color indexed="81"/>
            <rFont val="Tahoma"/>
            <family val="2"/>
          </rPr>
          <t>kgreenbe:</t>
        </r>
        <r>
          <rPr>
            <sz val="10"/>
            <color indexed="81"/>
            <rFont val="Tahoma"/>
            <family val="2"/>
          </rPr>
          <t xml:space="preserve">
8/4/03 had 448 stores before added WHBM acquisition</t>
        </r>
      </text>
    </comment>
    <comment ref="P78" authorId="4">
      <text>
        <r>
          <rPr>
            <b/>
            <sz val="10"/>
            <color indexed="81"/>
            <rFont val="Tahoma"/>
            <family val="2"/>
          </rPr>
          <t>kgreenbe:</t>
        </r>
        <r>
          <rPr>
            <sz val="10"/>
            <color indexed="81"/>
            <rFont val="Tahoma"/>
            <family val="2"/>
          </rPr>
          <t xml:space="preserve">
8/4 had 92% before add WHBM</t>
        </r>
      </text>
    </comment>
    <comment ref="S78" authorId="4">
      <text>
        <r>
          <rPr>
            <b/>
            <sz val="10"/>
            <color indexed="81"/>
            <rFont val="Tahoma"/>
            <family val="2"/>
          </rPr>
          <t>kgreenbe:</t>
        </r>
        <r>
          <rPr>
            <sz val="10"/>
            <color indexed="81"/>
            <rFont val="Tahoma"/>
            <family val="2"/>
          </rPr>
          <t xml:space="preserve">
8/4 before add in WHBM had $168.9
Est $25mm rev in 4Q03 from WHBM acquisition</t>
        </r>
      </text>
    </comment>
    <comment ref="AF78" authorId="4">
      <text>
        <r>
          <rPr>
            <b/>
            <sz val="10"/>
            <color indexed="81"/>
            <rFont val="Tahoma"/>
            <family val="2"/>
          </rPr>
          <t>kgreenbe:</t>
        </r>
        <r>
          <rPr>
            <sz val="10"/>
            <color indexed="81"/>
            <rFont val="Tahoma"/>
            <family val="2"/>
          </rPr>
          <t xml:space="preserve">
8/4/03 had 70% before add WHBM</t>
        </r>
      </text>
    </comment>
    <comment ref="F82" authorId="3">
      <text>
        <r>
          <rPr>
            <b/>
            <sz val="8"/>
            <color indexed="81"/>
            <rFont val="Tahoma"/>
            <family val="2"/>
          </rPr>
          <t>dliu:</t>
        </r>
        <r>
          <rPr>
            <sz val="8"/>
            <color indexed="81"/>
            <rFont val="Tahoma"/>
            <family val="2"/>
          </rPr>
          <t xml:space="preserve">
17.0, 19</t>
        </r>
      </text>
    </comment>
    <comment ref="J82" authorId="3">
      <text>
        <r>
          <rPr>
            <b/>
            <sz val="8"/>
            <color indexed="81"/>
            <rFont val="Tahoma"/>
            <family val="2"/>
          </rPr>
          <t xml:space="preserve">KG:
</t>
        </r>
        <r>
          <rPr>
            <sz val="8"/>
            <color indexed="81"/>
            <rFont val="Tahoma"/>
            <family val="2"/>
          </rPr>
          <t>571, 126 WHBM, 0 Pazo
5 converted to WHBM, 4 closed of the 9 Pazo at beg of year</t>
        </r>
      </text>
    </comment>
    <comment ref="AQ82" authorId="3">
      <text>
        <r>
          <rPr>
            <b/>
            <sz val="8"/>
            <color indexed="81"/>
            <rFont val="Tahoma"/>
            <family val="2"/>
          </rPr>
          <t>dliu:</t>
        </r>
        <r>
          <rPr>
            <sz val="8"/>
            <color indexed="81"/>
            <rFont val="Tahoma"/>
            <family val="2"/>
          </rPr>
          <t xml:space="preserve">
1.5 mm in feb</t>
        </r>
      </text>
    </comment>
    <comment ref="F83" authorId="5">
      <text>
        <r>
          <rPr>
            <sz val="8"/>
            <color indexed="81"/>
            <rFont val="Tahoma"/>
            <family val="2"/>
          </rPr>
          <t xml:space="preserve">
5/27 raised from 9 to 11 following update may in high teens
+13</t>
        </r>
      </text>
    </comment>
    <comment ref="J83" authorId="3">
      <text>
        <r>
          <rPr>
            <b/>
            <sz val="8"/>
            <color indexed="81"/>
            <rFont val="Tahoma"/>
            <family val="2"/>
          </rPr>
          <t>KG:</t>
        </r>
        <r>
          <rPr>
            <sz val="8"/>
            <color indexed="81"/>
            <rFont val="Tahoma"/>
            <family val="2"/>
          </rPr>
          <t xml:space="preserve">
+20 chico's openings in first 6 months, closed 1.
453Chico's
137 WHBM</t>
        </r>
      </text>
    </comment>
    <comment ref="F84" authorId="6">
      <text>
        <r>
          <rPr>
            <b/>
            <sz val="8"/>
            <color indexed="81"/>
            <rFont val="Tahoma"/>
            <family val="2"/>
          </rPr>
          <t>MS:</t>
        </r>
        <r>
          <rPr>
            <sz val="8"/>
            <color indexed="81"/>
            <rFont val="Tahoma"/>
            <family val="2"/>
          </rPr>
          <t xml:space="preserve">
9/2 had +8% est, revised to +7 following aug results
revised to +4 following 9/9 preannouncement
10/7 had +4, raised to +5 after better sept</t>
        </r>
      </text>
    </comment>
    <comment ref="J84" authorId="3">
      <text>
        <r>
          <rPr>
            <sz val="8"/>
            <color indexed="81"/>
            <rFont val="Tahoma"/>
            <family val="2"/>
          </rPr>
          <t>15-18 WHBM
25-30 Chico's
10 int appare
11/4 Had 474 Chico's, 151 WHBM, 10 Soma
11/30 includes 475 Chicos, 151 WHBM and 10 soma</t>
        </r>
      </text>
    </comment>
    <comment ref="S84" authorId="7">
      <text>
        <r>
          <rPr>
            <sz val="8"/>
            <color indexed="81"/>
            <rFont val="Tahoma"/>
            <family val="2"/>
          </rPr>
          <t>262.7</t>
        </r>
      </text>
    </comment>
    <comment ref="F85" authorId="8">
      <text>
        <r>
          <rPr>
            <sz val="8"/>
            <color indexed="81"/>
            <rFont val="Tahoma"/>
            <family val="2"/>
          </rPr>
          <t>initial est was +8%
revised to +7% on sept preannouncement
11/30 Raised est to +7 from 6.3 after Nov
1/6 raised to 13 following dec</t>
        </r>
      </text>
    </comment>
    <comment ref="J85" authorId="3">
      <text>
        <r>
          <rPr>
            <b/>
            <sz val="8"/>
            <color indexed="81"/>
            <rFont val="Tahoma"/>
            <family val="2"/>
          </rPr>
          <t>dliu:</t>
        </r>
        <r>
          <rPr>
            <sz val="8"/>
            <color indexed="81"/>
            <rFont val="Tahoma"/>
            <family val="2"/>
          </rPr>
          <t xml:space="preserve">
balance</t>
        </r>
      </text>
    </comment>
    <comment ref="F89" authorId="9">
      <text>
        <r>
          <rPr>
            <b/>
            <sz val="8"/>
            <color indexed="81"/>
            <rFont val="Tahoma"/>
            <family val="2"/>
          </rPr>
          <t>Morry Brown:</t>
        </r>
        <r>
          <rPr>
            <sz val="8"/>
            <color indexed="81"/>
            <rFont val="Tahoma"/>
            <family val="2"/>
          </rPr>
          <t xml:space="preserve">
4/7: +7% initial estimate, raised to 7.5% following March sales release</t>
        </r>
      </text>
    </comment>
    <comment ref="J89" authorId="9">
      <text>
        <r>
          <rPr>
            <b/>
            <sz val="8"/>
            <color indexed="81"/>
            <rFont val="Tahoma"/>
            <family val="2"/>
          </rPr>
          <t>Morry Brown:</t>
        </r>
        <r>
          <rPr>
            <sz val="8"/>
            <color indexed="81"/>
            <rFont val="Tahoma"/>
            <family val="2"/>
          </rPr>
          <t xml:space="preserve">
Per 10-K, 25-27 stores in 1Q</t>
        </r>
      </text>
    </comment>
    <comment ref="AQ89" authorId="3">
      <text>
        <r>
          <rPr>
            <b/>
            <sz val="8"/>
            <color indexed="81"/>
            <rFont val="Tahoma"/>
            <family val="2"/>
          </rPr>
          <t>dliu:</t>
        </r>
        <r>
          <rPr>
            <sz val="8"/>
            <color indexed="81"/>
            <rFont val="Tahoma"/>
            <family val="2"/>
          </rPr>
          <t xml:space="preserve">
1.5 mm in feb</t>
        </r>
      </text>
    </comment>
    <comment ref="J90" authorId="9">
      <text>
        <r>
          <rPr>
            <b/>
            <sz val="8"/>
            <color indexed="81"/>
            <rFont val="Tahoma"/>
            <family val="2"/>
          </rPr>
          <t>Morry Brown:</t>
        </r>
        <r>
          <rPr>
            <sz val="8"/>
            <color indexed="81"/>
            <rFont val="Tahoma"/>
            <family val="2"/>
          </rPr>
          <t xml:space="preserve">
Per 10-K, 31-35 stores in 2Q</t>
        </r>
      </text>
    </comment>
    <comment ref="J91" authorId="9">
      <text>
        <r>
          <rPr>
            <b/>
            <sz val="8"/>
            <color indexed="81"/>
            <rFont val="Tahoma"/>
            <family val="2"/>
          </rPr>
          <t>Morry Brown:</t>
        </r>
        <r>
          <rPr>
            <sz val="8"/>
            <color indexed="81"/>
            <rFont val="Tahoma"/>
            <family val="2"/>
          </rPr>
          <t xml:space="preserve">
Per 10-K, 34-36 stores in 3Q</t>
        </r>
      </text>
    </comment>
    <comment ref="J92" authorId="9">
      <text>
        <r>
          <rPr>
            <b/>
            <sz val="8"/>
            <color indexed="81"/>
            <rFont val="Tahoma"/>
            <family val="2"/>
          </rPr>
          <t>Morry Brown:</t>
        </r>
        <r>
          <rPr>
            <sz val="8"/>
            <color indexed="81"/>
            <rFont val="Tahoma"/>
            <family val="2"/>
          </rPr>
          <t xml:space="preserve">
Per 10-K, company plans to open at least 110-120 stores… 65-70 Ch, 40-45 WH|BM, and 6 Soma</t>
        </r>
      </text>
    </comment>
    <comment ref="J96" authorId="10">
      <text>
        <r>
          <rPr>
            <b/>
            <sz val="8"/>
            <color indexed="81"/>
            <rFont val="Tahoma"/>
            <family val="2"/>
          </rPr>
          <t>MB33100:</t>
        </r>
        <r>
          <rPr>
            <sz val="8"/>
            <color indexed="81"/>
            <rFont val="Tahoma"/>
            <family val="2"/>
          </rPr>
          <t xml:space="preserve">
5/06: 551 Chico's, 211 WHBM, 18 Soma, 11 Fitigues
4/06 per 10-k expect to open 16-20 total stores  in 1Q (ex boutiques)</t>
        </r>
      </text>
    </comment>
    <comment ref="J97" authorId="10">
      <text>
        <r>
          <rPr>
            <b/>
            <sz val="8"/>
            <color indexed="81"/>
            <rFont val="Tahoma"/>
            <family val="2"/>
          </rPr>
          <t>MB33100:</t>
        </r>
        <r>
          <rPr>
            <sz val="8"/>
            <color indexed="81"/>
            <rFont val="Tahoma"/>
            <family val="2"/>
          </rPr>
          <t xml:space="preserve">
8/06: incl 221 WHBM, 21 Soma, and 11 Fitigues (opened 19 new stores, closed 5)
4/06 per 10-k expect to open 18-22 total stores in 2Q06 (ex boutiques)</t>
        </r>
      </text>
    </comment>
    <comment ref="F98" authorId="11">
      <text>
        <r>
          <rPr>
            <b/>
            <sz val="8"/>
            <color indexed="81"/>
            <rFont val="Tahoma"/>
            <family val="2"/>
          </rPr>
          <t>mm98285:</t>
        </r>
        <r>
          <rPr>
            <sz val="8"/>
            <color indexed="81"/>
            <rFont val="Tahoma"/>
            <family val="2"/>
          </rPr>
          <t xml:space="preserve">
8/06: expect flat to +LSD comp at Chico's div. and +HSD to +LDD comp at WHBM for 3Q</t>
        </r>
      </text>
    </comment>
    <comment ref="J98" authorId="10">
      <text>
        <r>
          <rPr>
            <b/>
            <sz val="8"/>
            <color indexed="81"/>
            <rFont val="Tahoma"/>
            <family val="2"/>
          </rPr>
          <t>MB33100:</t>
        </r>
        <r>
          <rPr>
            <sz val="8"/>
            <color indexed="81"/>
            <rFont val="Tahoma"/>
            <family val="2"/>
          </rPr>
          <t xml:space="preserve">
249 WH, 37 Soma, 10 Fit
8/06: expects to open 68-70 stores in 3Q
4/06 per 10-k expect to open 76-80 total stores in 3Q06 (ex boutiques)</t>
        </r>
      </text>
    </comment>
    <comment ref="F99" authorId="11">
      <text>
        <r>
          <rPr>
            <b/>
            <sz val="8"/>
            <color indexed="81"/>
            <rFont val="Tahoma"/>
            <family val="2"/>
          </rPr>
          <t>mm98285:</t>
        </r>
        <r>
          <rPr>
            <sz val="8"/>
            <color indexed="81"/>
            <rFont val="Tahoma"/>
            <family val="2"/>
          </rPr>
          <t xml:space="preserve">
8/06: expect flat to +LSD comp at Chico's div. and +HSD comp at WHBM for 4Q</t>
        </r>
      </text>
    </comment>
    <comment ref="J99" authorId="11">
      <text>
        <r>
          <rPr>
            <b/>
            <sz val="8"/>
            <color indexed="81"/>
            <rFont val="Tahoma"/>
            <family val="2"/>
          </rPr>
          <t>mm98285:</t>
        </r>
        <r>
          <rPr>
            <sz val="8"/>
            <color indexed="81"/>
            <rFont val="Tahoma"/>
            <family val="2"/>
          </rPr>
          <t xml:space="preserve">
8/06: expects to open 45-48 in 4Q</t>
        </r>
      </text>
    </comment>
    <comment ref="P99" authorId="12">
      <text>
        <r>
          <rPr>
            <b/>
            <sz val="8"/>
            <color indexed="81"/>
            <rFont val="Tahoma"/>
            <family val="2"/>
          </rPr>
          <t>kg51925:</t>
        </r>
        <r>
          <rPr>
            <sz val="8"/>
            <color indexed="81"/>
            <rFont val="Tahoma"/>
            <family val="2"/>
          </rPr>
          <t xml:space="preserve">
$420mm at 75% productivity. Boost productivity to account for extra week in January worth approx $25mm = $445mm total 4Q revenue</t>
        </r>
      </text>
    </comment>
    <comment ref="S99" authorId="12">
      <text>
        <r>
          <rPr>
            <b/>
            <sz val="8"/>
            <color indexed="81"/>
            <rFont val="Tahoma"/>
            <family val="2"/>
          </rPr>
          <t>kg51925:</t>
        </r>
        <r>
          <rPr>
            <sz val="8"/>
            <color indexed="81"/>
            <rFont val="Tahoma"/>
            <family val="2"/>
          </rPr>
          <t xml:space="preserve">
$458mm at 85% productivity. Boost productivity to account for extra week in January worth approx $25mm = $483mm total 4Q revenue</t>
        </r>
      </text>
    </comment>
    <comment ref="J103" authorId="11">
      <text>
        <r>
          <rPr>
            <b/>
            <sz val="8"/>
            <color indexed="81"/>
            <rFont val="Tahoma"/>
            <family val="2"/>
          </rPr>
          <t>mm98285:</t>
        </r>
        <r>
          <rPr>
            <sz val="8"/>
            <color indexed="81"/>
            <rFont val="Tahoma"/>
            <family val="2"/>
          </rPr>
          <t xml:space="preserve">
609 Chico's; 285 WHIBM; 58 Soma
2006 10K: plan to open 31-35 stores in 1Q of the 135-145 net new stores (excl 10 Fitigues closings)</t>
        </r>
      </text>
    </comment>
    <comment ref="J104" authorId="11">
      <text>
        <r>
          <rPr>
            <b/>
            <sz val="8"/>
            <color indexed="81"/>
            <rFont val="Tahoma"/>
            <family val="2"/>
          </rPr>
          <t>mm98285:</t>
        </r>
        <r>
          <rPr>
            <sz val="8"/>
            <color indexed="81"/>
            <rFont val="Tahoma"/>
            <family val="2"/>
          </rPr>
          <t xml:space="preserve">
8/07: 605 Chico's; 289 WHIBM; 64 Soma
5/07: expect to open 16-20 stores
2006 10K: plan to open 20-24 stores in 2Q of the 135-145 net new stores (excl 10 Fitigues closings)</t>
        </r>
      </text>
    </comment>
    <comment ref="J105" authorId="11">
      <text>
        <r>
          <rPr>
            <b/>
            <sz val="8"/>
            <color indexed="81"/>
            <rFont val="Tahoma"/>
            <family val="2"/>
          </rPr>
          <t>mm98285:</t>
        </r>
        <r>
          <rPr>
            <sz val="8"/>
            <color indexed="81"/>
            <rFont val="Tahoma"/>
            <family val="2"/>
          </rPr>
          <t xml:space="preserve">
12/07: 627 Chico's, 309 WHIBM, 68 Soma
8/07: expect to open 58-62 stores (55-60 net new stoers) and expand/relocate 18-20
2006 10K: plan to open 63-67 stores in 3Q of the 135-145 net new stores (excl 10 Fitigues closings)</t>
        </r>
      </text>
    </comment>
    <comment ref="J106" authorId="11">
      <text>
        <r>
          <rPr>
            <b/>
            <sz val="8"/>
            <color indexed="81"/>
            <rFont val="Tahoma"/>
            <family val="2"/>
          </rPr>
          <t>mm98285:</t>
        </r>
        <r>
          <rPr>
            <sz val="8"/>
            <color indexed="81"/>
            <rFont val="Tahoma"/>
            <family val="2"/>
          </rPr>
          <t xml:space="preserve">
8/07: 25-30 net store openings</t>
        </r>
      </text>
    </comment>
    <comment ref="F107" authorId="10">
      <text>
        <r>
          <rPr>
            <b/>
            <sz val="8"/>
            <color indexed="81"/>
            <rFont val="Tahoma"/>
            <family val="2"/>
          </rPr>
          <t>MB33100:</t>
        </r>
        <r>
          <rPr>
            <sz val="8"/>
            <color indexed="81"/>
            <rFont val="Tahoma"/>
            <family val="2"/>
          </rPr>
          <t xml:space="preserve">
2Q06 Call: Expect flat to +LSD at Chs, +HSD at WH|BM for 2007</t>
        </r>
      </text>
    </comment>
    <comment ref="J110" authorId="11">
      <text>
        <r>
          <rPr>
            <b/>
            <sz val="8"/>
            <color indexed="81"/>
            <rFont val="Tahoma"/>
            <family val="2"/>
          </rPr>
          <t>mm98285:</t>
        </r>
        <r>
          <rPr>
            <sz val="8"/>
            <color indexed="81"/>
            <rFont val="Tahoma"/>
            <family val="2"/>
          </rPr>
          <t xml:space="preserve">
2007 10K expect to open 18-20 stores in 1Q</t>
        </r>
      </text>
    </comment>
    <comment ref="J111" authorId="11">
      <text>
        <r>
          <rPr>
            <b/>
            <sz val="8"/>
            <color indexed="81"/>
            <rFont val="Tahoma"/>
            <family val="2"/>
          </rPr>
          <t>mm98285:</t>
        </r>
        <r>
          <rPr>
            <sz val="8"/>
            <color indexed="81"/>
            <rFont val="Tahoma"/>
            <family val="2"/>
          </rPr>
          <t xml:space="preserve">
2007 10K expect to open 13-14 stores in 2Q</t>
        </r>
      </text>
    </comment>
    <comment ref="J112" authorId="11">
      <text>
        <r>
          <rPr>
            <b/>
            <sz val="8"/>
            <color indexed="81"/>
            <rFont val="Tahoma"/>
            <family val="2"/>
          </rPr>
          <t>mm98285:</t>
        </r>
        <r>
          <rPr>
            <sz val="8"/>
            <color indexed="81"/>
            <rFont val="Tahoma"/>
            <family val="2"/>
          </rPr>
          <t xml:space="preserve">
2Q 10Q: open 7-9 net new stores in 3Q and 8-10 expansion/relocations in 2H08
2007 10K expect to open 14-15 stores in 3Q</t>
        </r>
      </text>
    </comment>
    <comment ref="J113" authorId="11">
      <text>
        <r>
          <rPr>
            <b/>
            <sz val="8"/>
            <color indexed="81"/>
            <rFont val="Tahoma"/>
            <family val="2"/>
          </rPr>
          <t>mm98285:</t>
        </r>
        <r>
          <rPr>
            <sz val="8"/>
            <color indexed="81"/>
            <rFont val="Tahoma"/>
            <family val="2"/>
          </rPr>
          <t xml:space="preserve">
2Q 10Q: no openings (only net closures of ~7-9 stores) in 4Q &amp; 8-10 expansion/relocations in 2H
2007 10K expect no opening in 4Q, but 8-10 closures</t>
        </r>
      </text>
    </comment>
    <comment ref="P113" authorId="13">
      <text>
        <r>
          <rPr>
            <b/>
            <sz val="8"/>
            <color indexed="81"/>
            <rFont val="Tahoma"/>
            <family val="2"/>
          </rPr>
          <t>TI23070:</t>
        </r>
        <r>
          <rPr>
            <sz val="8"/>
            <color indexed="81"/>
            <rFont val="Tahoma"/>
            <family val="2"/>
          </rPr>
          <t xml:space="preserve">
Direct:
January: +29% to $4.9mm</t>
        </r>
      </text>
    </comment>
    <comment ref="F117" authorId="11">
      <text>
        <r>
          <rPr>
            <b/>
            <sz val="8"/>
            <color indexed="81"/>
            <rFont val="Tahoma"/>
            <family val="2"/>
          </rPr>
          <t xml:space="preserve">lauraro:
2/11: </t>
        </r>
        <r>
          <rPr>
            <sz val="8"/>
            <color indexed="81"/>
            <rFont val="Tahoma"/>
            <family val="2"/>
          </rPr>
          <t>original comp -3.2% (ex DTC)</t>
        </r>
        <r>
          <rPr>
            <b/>
            <sz val="8"/>
            <color indexed="81"/>
            <rFont val="Tahoma"/>
            <family val="2"/>
          </rPr>
          <t xml:space="preserve">
mm98285:</t>
        </r>
        <r>
          <rPr>
            <sz val="8"/>
            <color indexed="81"/>
            <rFont val="Tahoma"/>
            <family val="2"/>
          </rPr>
          <t xml:space="preserve">
-12% est. </t>
        </r>
      </text>
    </comment>
    <comment ref="J117" authorId="11">
      <text>
        <r>
          <rPr>
            <b/>
            <sz val="8"/>
            <color indexed="81"/>
            <rFont val="Tahoma"/>
            <family val="2"/>
          </rPr>
          <t>mm98285:</t>
        </r>
        <r>
          <rPr>
            <sz val="8"/>
            <color indexed="81"/>
            <rFont val="Tahoma"/>
            <family val="2"/>
          </rPr>
          <t xml:space="preserve">
closed 5 chs
opened 1 WH, closed 2 WH
opened 1 Soma, closed 2 Soma</t>
        </r>
      </text>
    </comment>
    <comment ref="F118" authorId="11">
      <text>
        <r>
          <rPr>
            <b/>
            <sz val="8"/>
            <color indexed="81"/>
            <rFont val="Tahoma"/>
            <family val="2"/>
          </rPr>
          <t xml:space="preserve">lauraro:
2/11: </t>
        </r>
        <r>
          <rPr>
            <sz val="8"/>
            <color indexed="81"/>
            <rFont val="Tahoma"/>
            <family val="2"/>
          </rPr>
          <t>original comp 1.3% (ex DTC)</t>
        </r>
        <r>
          <rPr>
            <b/>
            <sz val="8"/>
            <color indexed="81"/>
            <rFont val="Tahoma"/>
            <family val="2"/>
          </rPr>
          <t xml:space="preserve">
mm98285:</t>
        </r>
        <r>
          <rPr>
            <sz val="8"/>
            <color indexed="81"/>
            <rFont val="Tahoma"/>
            <family val="2"/>
          </rPr>
          <t xml:space="preserve">
5/09: expect Chs -SD &amp; WHIBM positive</t>
        </r>
      </text>
    </comment>
    <comment ref="J118" authorId="11">
      <text>
        <r>
          <rPr>
            <b/>
            <sz val="8"/>
            <color indexed="81"/>
            <rFont val="Tahoma"/>
            <family val="2"/>
          </rPr>
          <t>mm98285:</t>
        </r>
        <r>
          <rPr>
            <sz val="8"/>
            <color indexed="81"/>
            <rFont val="Tahoma"/>
            <family val="2"/>
          </rPr>
          <t xml:space="preserve">
5/09: expect 9 openings, 8 closures, and 3 relocation/remodeling </t>
        </r>
      </text>
    </comment>
    <comment ref="P118" authorId="13">
      <text>
        <r>
          <rPr>
            <b/>
            <sz val="8"/>
            <color indexed="81"/>
            <rFont val="Tahoma"/>
            <family val="2"/>
          </rPr>
          <t>TI23070:</t>
        </r>
        <r>
          <rPr>
            <sz val="8"/>
            <color indexed="81"/>
            <rFont val="Tahoma"/>
            <family val="2"/>
          </rPr>
          <t xml:space="preserve">
Direct/web: +46% to $20.3mm</t>
        </r>
      </text>
    </comment>
    <comment ref="F119" authorId="11">
      <text>
        <r>
          <rPr>
            <b/>
            <sz val="8"/>
            <color indexed="81"/>
            <rFont val="Tahoma"/>
            <family val="2"/>
          </rPr>
          <t xml:space="preserve">lauraro:
2/11: </t>
        </r>
        <r>
          <rPr>
            <sz val="8"/>
            <color indexed="81"/>
            <rFont val="Tahoma"/>
            <family val="2"/>
          </rPr>
          <t>original comp 12.8% (ex DTC)</t>
        </r>
        <r>
          <rPr>
            <b/>
            <sz val="8"/>
            <color indexed="81"/>
            <rFont val="Tahoma"/>
            <family val="2"/>
          </rPr>
          <t xml:space="preserve">
mm98285:</t>
        </r>
        <r>
          <rPr>
            <sz val="8"/>
            <color indexed="81"/>
            <rFont val="Tahoma"/>
            <family val="2"/>
          </rPr>
          <t xml:space="preserve">
8/09: expect  +LSD</t>
        </r>
      </text>
    </comment>
    <comment ref="F120" authorId="14">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14.6% (ex DTC)
</t>
        </r>
        <r>
          <rPr>
            <b/>
            <sz val="8"/>
            <color indexed="81"/>
            <rFont val="Tahoma"/>
            <family val="2"/>
          </rPr>
          <t>11/18:</t>
        </r>
        <r>
          <rPr>
            <sz val="8"/>
            <color indexed="81"/>
            <rFont val="Tahoma"/>
            <family val="2"/>
          </rPr>
          <t>Management guided 4Q comps to be positive but potentially not as robust as 3Q09’s +12.8%.
We are encouraged that CHS has not seen a falloff in the first 16 days of November as +DD comp increases</t>
        </r>
      </text>
    </comment>
    <comment ref="F121" authorId="0">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6.1% (ex DTC)</t>
        </r>
      </text>
    </comment>
    <comment ref="F124" authorId="0">
      <text>
        <r>
          <rPr>
            <b/>
            <sz val="8"/>
            <color indexed="81"/>
            <rFont val="Tahoma"/>
            <family val="2"/>
          </rPr>
          <t>lauraro:</t>
        </r>
        <r>
          <rPr>
            <sz val="8"/>
            <color indexed="81"/>
            <rFont val="Tahoma"/>
            <family val="2"/>
          </rPr>
          <t xml:space="preserve">
2/11: original comp 14.9% (ex DTC)</t>
        </r>
      </text>
    </comment>
    <comment ref="J124" authorId="11">
      <text>
        <r>
          <rPr>
            <b/>
            <sz val="8"/>
            <color indexed="81"/>
            <rFont val="Tahoma"/>
            <family val="2"/>
          </rPr>
          <t xml:space="preserve">lr73912:
</t>
        </r>
        <r>
          <rPr>
            <sz val="8"/>
            <color indexed="81"/>
            <rFont val="Tahoma"/>
            <family val="2"/>
          </rPr>
          <t>Even distrib of 73 new stores over 2010</t>
        </r>
      </text>
    </comment>
    <comment ref="S124" authorId="0">
      <text>
        <r>
          <rPr>
            <sz val="8"/>
            <color indexed="81"/>
            <rFont val="Tahoma"/>
            <family val="2"/>
          </rPr>
          <t>Changed to total sales from store sales</t>
        </r>
        <r>
          <rPr>
            <sz val="8"/>
            <color indexed="81"/>
            <rFont val="Tahoma"/>
            <family val="2"/>
          </rPr>
          <t xml:space="preserve">
</t>
        </r>
      </text>
    </comment>
    <comment ref="AP124" authorId="0">
      <text>
        <r>
          <rPr>
            <b/>
            <sz val="8"/>
            <color indexed="81"/>
            <rFont val="Tahoma"/>
            <family val="2"/>
          </rPr>
          <t>lauraro:</t>
        </r>
        <r>
          <rPr>
            <sz val="8"/>
            <color indexed="81"/>
            <rFont val="Tahoma"/>
            <family val="2"/>
          </rPr>
          <t xml:space="preserve">
As of 1Q10 internet sales are included in divisional sales numbers</t>
        </r>
      </text>
    </comment>
    <comment ref="F125" authorId="15">
      <text>
        <r>
          <rPr>
            <b/>
            <sz val="8"/>
            <color indexed="81"/>
            <rFont val="Tahoma"/>
            <family val="2"/>
          </rPr>
          <t xml:space="preserve">lauraro:
2/11: </t>
        </r>
        <r>
          <rPr>
            <sz val="8"/>
            <color indexed="81"/>
            <rFont val="Tahoma"/>
            <family val="2"/>
          </rPr>
          <t>original comp 6.4% (ex DTC)</t>
        </r>
        <r>
          <rPr>
            <b/>
            <sz val="8"/>
            <color indexed="81"/>
            <rFont val="Tahoma"/>
            <family val="2"/>
          </rPr>
          <t xml:space="preserve">
marchant:</t>
        </r>
        <r>
          <rPr>
            <sz val="8"/>
            <color indexed="81"/>
            <rFont val="Tahoma"/>
            <family val="2"/>
          </rPr>
          <t xml:space="preserve">
May strong, June strongest, fell apart in July</t>
        </r>
      </text>
    </comment>
    <comment ref="K125" authorId="0">
      <text>
        <r>
          <rPr>
            <sz val="8"/>
            <color indexed="81"/>
            <rFont val="Tahoma"/>
            <family val="2"/>
          </rPr>
          <t>+21, -2</t>
        </r>
        <r>
          <rPr>
            <sz val="8"/>
            <color indexed="81"/>
            <rFont val="Tahoma"/>
            <family val="2"/>
          </rPr>
          <t xml:space="preserve">
+2 Chicos FL, -2
+3 Chicos outlet
+3 WHBM FL
+1 WHBM outlet
+10 Soma FL
+2 Soma outlet</t>
        </r>
      </text>
    </comment>
    <comment ref="S125" authorId="0">
      <text>
        <r>
          <rPr>
            <sz val="8"/>
            <color indexed="81"/>
            <rFont val="Tahoma"/>
            <family val="2"/>
          </rPr>
          <t>Changed to total sales from store sales</t>
        </r>
        <r>
          <rPr>
            <sz val="8"/>
            <color indexed="81"/>
            <rFont val="Tahoma"/>
            <family val="2"/>
          </rPr>
          <t xml:space="preserve">
</t>
        </r>
      </text>
    </comment>
    <comment ref="AP125" authorId="0">
      <text>
        <r>
          <rPr>
            <b/>
            <sz val="8"/>
            <color indexed="81"/>
            <rFont val="Tahoma"/>
            <family val="2"/>
          </rPr>
          <t>lauraro:</t>
        </r>
        <r>
          <rPr>
            <sz val="8"/>
            <color indexed="81"/>
            <rFont val="Tahoma"/>
            <family val="2"/>
          </rPr>
          <t xml:space="preserve">
As of 1Q10 internet sales are included in divisional sales numbers</t>
        </r>
      </text>
    </comment>
    <comment ref="F126" authorId="15">
      <text>
        <r>
          <rPr>
            <b/>
            <sz val="8"/>
            <color indexed="81"/>
            <rFont val="Tahoma"/>
            <family val="2"/>
          </rPr>
          <t xml:space="preserve">lauraro:
2/11: </t>
        </r>
        <r>
          <rPr>
            <sz val="8"/>
            <color indexed="81"/>
            <rFont val="Tahoma"/>
            <family val="2"/>
          </rPr>
          <t>original comp 3.1% (ex DTC)</t>
        </r>
        <r>
          <rPr>
            <b/>
            <sz val="8"/>
            <color indexed="81"/>
            <rFont val="Tahoma"/>
            <family val="2"/>
          </rPr>
          <t xml:space="preserve">
12/10:  </t>
        </r>
        <r>
          <rPr>
            <sz val="8"/>
            <color indexed="81"/>
            <rFont val="Tahoma"/>
            <family val="2"/>
          </rPr>
          <t>Comp driven by +4% in UPT and incr in AUR at WHBM FP offset by a slight decr in txns. Also benefitted from from ~4% incr in txns at Chico's FP stores, offset by decr's in teh AUR and UPT.</t>
        </r>
        <r>
          <rPr>
            <b/>
            <sz val="8"/>
            <color indexed="81"/>
            <rFont val="Tahoma"/>
            <family val="2"/>
          </rPr>
          <t xml:space="preserve">
11/10: </t>
        </r>
        <r>
          <rPr>
            <sz val="8"/>
            <color indexed="81"/>
            <rFont val="Tahoma"/>
            <family val="2"/>
          </rPr>
          <t>All 3 brands had positive comps
October comp was +8.2%</t>
        </r>
        <r>
          <rPr>
            <b/>
            <sz val="8"/>
            <color indexed="81"/>
            <rFont val="Tahoma"/>
            <family val="2"/>
          </rPr>
          <t xml:space="preserve">
marchant:</t>
        </r>
        <r>
          <rPr>
            <sz val="8"/>
            <color indexed="81"/>
            <rFont val="Tahoma"/>
            <family val="2"/>
          </rPr>
          <t xml:space="preserve">
8/10: expect +SD; july weakness con'ts into Aug 18</t>
        </r>
      </text>
    </comment>
    <comment ref="J126" authorId="15">
      <text>
        <r>
          <rPr>
            <b/>
            <sz val="8"/>
            <color indexed="81"/>
            <rFont val="Tahoma"/>
            <family val="2"/>
          </rPr>
          <t>marchant:</t>
        </r>
        <r>
          <rPr>
            <sz val="8"/>
            <color indexed="81"/>
            <rFont val="Tahoma"/>
            <family val="2"/>
          </rPr>
          <t xml:space="preserve">
8/10: expect 35 new stores in 2H w/majority of openings in 3Q</t>
        </r>
      </text>
    </comment>
    <comment ref="K126" authorId="0">
      <text>
        <r>
          <rPr>
            <sz val="8"/>
            <color indexed="81"/>
            <rFont val="Tahoma"/>
            <family val="2"/>
          </rPr>
          <t>+26, 0</t>
        </r>
        <r>
          <rPr>
            <sz val="8"/>
            <color indexed="81"/>
            <rFont val="Tahoma"/>
            <family val="2"/>
          </rPr>
          <t xml:space="preserve">
+0 Chicos FL
+7 Chicos outlet
+7 WHBM FL
+2 WHBM outlet
+9 Soma FL
+1 Soma outlet</t>
        </r>
      </text>
    </comment>
    <comment ref="S126" authorId="0">
      <text>
        <r>
          <rPr>
            <sz val="8"/>
            <color indexed="81"/>
            <rFont val="Tahoma"/>
            <family val="2"/>
          </rPr>
          <t>Changed to total sales from store sales</t>
        </r>
        <r>
          <rPr>
            <sz val="8"/>
            <color indexed="81"/>
            <rFont val="Tahoma"/>
            <family val="2"/>
          </rPr>
          <t xml:space="preserve">
</t>
        </r>
      </text>
    </comment>
    <comment ref="AP126" authorId="0">
      <text>
        <r>
          <rPr>
            <b/>
            <sz val="8"/>
            <color indexed="81"/>
            <rFont val="Tahoma"/>
            <family val="2"/>
          </rPr>
          <t>lauraro:</t>
        </r>
        <r>
          <rPr>
            <sz val="8"/>
            <color indexed="81"/>
            <rFont val="Tahoma"/>
            <family val="2"/>
          </rPr>
          <t xml:space="preserve">
As of 1Q10 internet sales are included in divisional sales numbers</t>
        </r>
      </text>
    </comment>
    <comment ref="F127" authorId="15">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1.1% (ex DTC)
</t>
        </r>
        <r>
          <rPr>
            <b/>
            <sz val="8"/>
            <color indexed="81"/>
            <rFont val="Tahoma"/>
            <family val="2"/>
          </rPr>
          <t>11/10:</t>
        </r>
        <r>
          <rPr>
            <sz val="8"/>
            <color indexed="81"/>
            <rFont val="Tahoma"/>
            <family val="2"/>
          </rPr>
          <t xml:space="preserve"> Comp +LSD similar to 3Q</t>
        </r>
        <r>
          <rPr>
            <b/>
            <sz val="8"/>
            <color indexed="81"/>
            <rFont val="Tahoma"/>
            <family val="2"/>
          </rPr>
          <t xml:space="preserve">
marchant:</t>
        </r>
        <r>
          <rPr>
            <sz val="8"/>
            <color indexed="81"/>
            <rFont val="Tahoma"/>
            <family val="2"/>
          </rPr>
          <t xml:space="preserve">
8/10: expect +SD</t>
        </r>
      </text>
    </comment>
    <comment ref="J127" authorId="0">
      <text>
        <r>
          <rPr>
            <b/>
            <sz val="8"/>
            <color indexed="81"/>
            <rFont val="Tahoma"/>
            <family val="2"/>
          </rPr>
          <t>lauraro:</t>
        </r>
        <r>
          <rPr>
            <sz val="8"/>
            <color indexed="81"/>
            <rFont val="Tahoma"/>
            <family val="2"/>
          </rPr>
          <t xml:space="preserve">
During the quarter, the Chico's brand opened three outlets and closed one boutique. White House|Black Market opened one boutique, closed three and opened one outlet. And Soma Intimates opened six boutiques.</t>
        </r>
      </text>
    </comment>
    <comment ref="S127" authorId="0">
      <text>
        <r>
          <rPr>
            <sz val="8"/>
            <color indexed="81"/>
            <rFont val="Tahoma"/>
            <family val="2"/>
          </rPr>
          <t>Changed to total sales from store sales</t>
        </r>
        <r>
          <rPr>
            <sz val="8"/>
            <color indexed="81"/>
            <rFont val="Tahoma"/>
            <family val="2"/>
          </rPr>
          <t xml:space="preserve">
</t>
        </r>
      </text>
    </comment>
    <comment ref="AP127" authorId="0">
      <text>
        <r>
          <rPr>
            <b/>
            <sz val="8"/>
            <color indexed="81"/>
            <rFont val="Tahoma"/>
            <family val="2"/>
          </rPr>
          <t>lauraro:</t>
        </r>
        <r>
          <rPr>
            <sz val="8"/>
            <color indexed="81"/>
            <rFont val="Tahoma"/>
            <family val="2"/>
          </rPr>
          <t xml:space="preserve">
As of 1Q10 internet sales are included in divisional sales numbers</t>
        </r>
      </text>
    </comment>
    <comment ref="F128" authorId="16">
      <text>
        <r>
          <rPr>
            <b/>
            <sz val="8"/>
            <color indexed="81"/>
            <rFont val="Tahoma"/>
            <family val="2"/>
          </rPr>
          <t xml:space="preserve">lauraro:
2/11: </t>
        </r>
        <r>
          <rPr>
            <sz val="8"/>
            <color indexed="81"/>
            <rFont val="Tahoma"/>
            <family val="2"/>
          </rPr>
          <t>original comp 6.6% (ex DTC)</t>
        </r>
        <r>
          <rPr>
            <b/>
            <sz val="8"/>
            <color indexed="81"/>
            <rFont val="Tahoma"/>
            <family val="2"/>
          </rPr>
          <t xml:space="preserve">
oc48540:</t>
        </r>
        <r>
          <rPr>
            <sz val="8"/>
            <color indexed="81"/>
            <rFont val="Tahoma"/>
            <family val="2"/>
          </rPr>
          <t xml:space="preserve">
2/24/10:  ~+MSD</t>
        </r>
      </text>
    </comment>
    <comment ref="J131" authorId="0">
      <text>
        <r>
          <rPr>
            <b/>
            <sz val="8"/>
            <color indexed="81"/>
            <rFont val="Tahoma"/>
            <family val="2"/>
          </rPr>
          <t xml:space="preserve">5/18/11: 
</t>
        </r>
        <r>
          <rPr>
            <sz val="8"/>
            <color indexed="81"/>
            <rFont val="Tahoma"/>
            <family val="2"/>
          </rPr>
          <t>Chicos</t>
        </r>
        <r>
          <rPr>
            <b/>
            <sz val="8"/>
            <color indexed="81"/>
            <rFont val="Tahoma"/>
            <family val="2"/>
          </rPr>
          <t xml:space="preserve"> </t>
        </r>
        <r>
          <rPr>
            <sz val="8"/>
            <color indexed="81"/>
            <rFont val="Tahoma"/>
            <family val="2"/>
          </rPr>
          <t>+2 -4 FL; +8 outlets
WHBM +9 -1 FL; +3 outlets</t>
        </r>
        <r>
          <rPr>
            <sz val="8"/>
            <color indexed="81"/>
            <rFont val="Tahoma"/>
            <family val="2"/>
          </rPr>
          <t xml:space="preserve">
Soma +16 -2 FL; +4 -2 outlets</t>
        </r>
      </text>
    </comment>
    <comment ref="K131" authorId="0">
      <text>
        <r>
          <rPr>
            <b/>
            <sz val="8"/>
            <color indexed="81"/>
            <rFont val="Tahoma"/>
            <family val="2"/>
          </rPr>
          <t>lauraro:</t>
        </r>
        <r>
          <rPr>
            <sz val="8"/>
            <color indexed="81"/>
            <rFont val="Tahoma"/>
            <family val="2"/>
          </rPr>
          <t xml:space="preserve">
3/1/11: Expect to open 40-45 stores in 1Q</t>
        </r>
      </text>
    </comment>
    <comment ref="P131" authorId="0">
      <text>
        <r>
          <rPr>
            <sz val="8"/>
            <color indexed="81"/>
            <rFont val="Tahoma"/>
            <family val="2"/>
          </rPr>
          <t>54 productivity based on total sales in 1Q (not just store sales)</t>
        </r>
        <r>
          <rPr>
            <sz val="8"/>
            <color indexed="81"/>
            <rFont val="Tahoma"/>
            <family val="2"/>
          </rPr>
          <t xml:space="preserve">
</t>
        </r>
      </text>
    </comment>
    <comment ref="K132" authorId="0">
      <text>
        <r>
          <rPr>
            <b/>
            <sz val="8"/>
            <color indexed="81"/>
            <rFont val="Tahoma"/>
            <family val="2"/>
          </rPr>
          <t xml:space="preserve">8/17/11: </t>
        </r>
        <r>
          <rPr>
            <sz val="8"/>
            <color indexed="81"/>
            <rFont val="Tahoma"/>
            <family val="2"/>
          </rPr>
          <t>+40, -6</t>
        </r>
        <r>
          <rPr>
            <sz val="8"/>
            <color indexed="81"/>
            <rFont val="Tahoma"/>
            <family val="2"/>
          </rPr>
          <t xml:space="preserve">
+4 Chicos FL, -1
+6 Chicos outlet
+8 WHBM FL, -2
+1 WHBM outlet
+16 Soma FL,-2
+5 Soma outlet, -1
</t>
        </r>
        <r>
          <rPr>
            <b/>
            <sz val="8"/>
            <color indexed="81"/>
            <rFont val="Tahoma"/>
            <family val="2"/>
          </rPr>
          <t>5/18/11:</t>
        </r>
        <r>
          <rPr>
            <sz val="8"/>
            <color indexed="81"/>
            <rFont val="Tahoma"/>
            <family val="2"/>
          </rPr>
          <t xml:space="preserve"> +39 -8</t>
        </r>
      </text>
    </comment>
    <comment ref="J133" authorId="0">
      <text>
        <r>
          <rPr>
            <b/>
            <sz val="8"/>
            <color indexed="81"/>
            <rFont val="Tahoma"/>
            <family val="2"/>
          </rPr>
          <t>lauraro:</t>
        </r>
        <r>
          <rPr>
            <sz val="8"/>
            <color indexed="81"/>
            <rFont val="Tahoma"/>
            <family val="2"/>
          </rPr>
          <t xml:space="preserve">
chicos +5 frontline, -4 frontline; +5 outlets
WHBM +6 frontline, -4 frontline; 
Soma +20 frontline, +3 outlets</t>
        </r>
      </text>
    </comment>
    <comment ref="K133" authorId="0">
      <text>
        <r>
          <rPr>
            <b/>
            <sz val="8"/>
            <color indexed="81"/>
            <rFont val="Tahoma"/>
            <family val="2"/>
          </rPr>
          <t xml:space="preserve">5/18/11: </t>
        </r>
        <r>
          <rPr>
            <sz val="8"/>
            <color indexed="81"/>
            <rFont val="Tahoma"/>
            <family val="2"/>
          </rPr>
          <t>+39 -5</t>
        </r>
        <r>
          <rPr>
            <sz val="8"/>
            <color indexed="81"/>
            <rFont val="Tahoma"/>
            <family val="2"/>
          </rPr>
          <t xml:space="preserve">
</t>
        </r>
      </text>
    </comment>
    <comment ref="K134" authorId="0">
      <text>
        <r>
          <rPr>
            <b/>
            <sz val="8"/>
            <color indexed="81"/>
            <rFont val="Tahoma"/>
            <family val="2"/>
          </rPr>
          <t xml:space="preserve">5/18/11: </t>
        </r>
        <r>
          <rPr>
            <sz val="8"/>
            <color indexed="81"/>
            <rFont val="Tahoma"/>
            <family val="2"/>
          </rPr>
          <t>+14 -13</t>
        </r>
        <r>
          <rPr>
            <sz val="8"/>
            <color indexed="81"/>
            <rFont val="Tahoma"/>
            <family val="2"/>
          </rPr>
          <t xml:space="preserve">
</t>
        </r>
      </text>
    </comment>
    <comment ref="AD134" authorId="0">
      <text>
        <r>
          <rPr>
            <b/>
            <sz val="8"/>
            <color indexed="81"/>
            <rFont val="Tahoma"/>
            <family val="2"/>
          </rPr>
          <t>lauraro:</t>
        </r>
        <r>
          <rPr>
            <sz val="8"/>
            <color indexed="81"/>
            <rFont val="Tahoma"/>
            <family val="2"/>
          </rPr>
          <t xml:space="preserve">
~8%</t>
        </r>
      </text>
    </comment>
    <comment ref="K138" authorId="0">
      <text>
        <r>
          <rPr>
            <b/>
            <sz val="8"/>
            <color indexed="81"/>
            <rFont val="Tahoma"/>
            <family val="2"/>
          </rPr>
          <t xml:space="preserve">kimberlg:
</t>
        </r>
        <r>
          <rPr>
            <sz val="8"/>
            <color indexed="81"/>
            <rFont val="Tahoma"/>
            <family val="2"/>
          </rPr>
          <t>30 net new stores total company 1Q</t>
        </r>
        <r>
          <rPr>
            <b/>
            <sz val="8"/>
            <color indexed="81"/>
            <rFont val="Tahoma"/>
            <family val="2"/>
          </rPr>
          <t xml:space="preserve">
lauraro:</t>
        </r>
        <r>
          <rPr>
            <sz val="8"/>
            <color indexed="81"/>
            <rFont val="Tahoma"/>
            <family val="2"/>
          </rPr>
          <t xml:space="preserve">
2/22: roughly follow the same cadence as 2011 with about five fewer stores opening in 1Q and the bulk of our additional openings coming in 3Q.</t>
        </r>
      </text>
    </comment>
    <comment ref="P138" authorId="0">
      <text>
        <r>
          <rPr>
            <b/>
            <sz val="8"/>
            <color indexed="81"/>
            <rFont val="Tahoma"/>
            <family val="2"/>
          </rPr>
          <t>lauraro:</t>
        </r>
        <r>
          <rPr>
            <sz val="8"/>
            <color indexed="81"/>
            <rFont val="Tahoma"/>
            <family val="2"/>
          </rPr>
          <t xml:space="preserve">
60% ex Boston Proper</t>
        </r>
      </text>
    </comment>
    <comment ref="K139" authorId="0">
      <text>
        <r>
          <rPr>
            <b/>
            <sz val="8"/>
            <color indexed="81"/>
            <rFont val="Tahoma"/>
            <family val="2"/>
          </rPr>
          <t>kimberlyg:</t>
        </r>
        <r>
          <rPr>
            <sz val="8"/>
            <color indexed="81"/>
            <rFont val="Tahoma"/>
            <family val="2"/>
          </rPr>
          <t xml:space="preserve">
33 net new stores 2Q total company</t>
        </r>
      </text>
    </comment>
    <comment ref="K140" authorId="0">
      <text>
        <r>
          <rPr>
            <b/>
            <sz val="8"/>
            <color indexed="81"/>
            <rFont val="Tahoma"/>
            <family val="2"/>
          </rPr>
          <t>kimberlyg:</t>
        </r>
        <r>
          <rPr>
            <sz val="8"/>
            <color indexed="81"/>
            <rFont val="Tahoma"/>
            <family val="2"/>
          </rPr>
          <t xml:space="preserve">
Todd: 3Q 50 net new stores in 3Q total company</t>
        </r>
      </text>
    </comment>
    <comment ref="S141" authorId="17">
      <text>
        <r>
          <rPr>
            <b/>
            <sz val="8"/>
            <color indexed="81"/>
            <rFont val="Tahoma"/>
            <family val="2"/>
          </rPr>
          <t>kimberlg:</t>
        </r>
        <r>
          <rPr>
            <sz val="8"/>
            <color indexed="81"/>
            <rFont val="Tahoma"/>
            <family val="2"/>
          </rPr>
          <t xml:space="preserve">
$597M at 60% productivity, then added $30M sales for extra week = $627M final est</t>
        </r>
      </text>
    </comment>
    <comment ref="P148" authorId="18">
      <text>
        <r>
          <rPr>
            <b/>
            <sz val="8"/>
            <color indexed="81"/>
            <rFont val="Tahoma"/>
            <family val="2"/>
          </rPr>
          <t>solejay:</t>
        </r>
        <r>
          <rPr>
            <sz val="8"/>
            <color indexed="81"/>
            <rFont val="Tahoma"/>
            <family val="2"/>
          </rPr>
          <t xml:space="preserve">
assume a swing for the 53rd week (~$30M)</t>
        </r>
      </text>
    </comment>
    <comment ref="H176" authorId="19">
      <text>
        <r>
          <rPr>
            <b/>
            <sz val="9"/>
            <color indexed="81"/>
            <rFont val="Tahoma"/>
            <family val="2"/>
          </rPr>
          <t>Cassel, Lauren (Research):</t>
        </r>
        <r>
          <rPr>
            <sz val="9"/>
            <color indexed="81"/>
            <rFont val="Tahoma"/>
            <family val="2"/>
          </rPr>
          <t xml:space="preserve">
12/20/16: 2012 53rd week added $38M in sales (but that included BP which was like $1-2M) = 6% growth</t>
        </r>
      </text>
    </comment>
    <comment ref="H182" authorId="20">
      <text>
        <r>
          <rPr>
            <b/>
            <sz val="9"/>
            <color indexed="81"/>
            <rFont val="Tahoma"/>
            <family val="2"/>
          </rPr>
          <t>Roberts, Cynthia (Research):</t>
        </r>
        <r>
          <rPr>
            <sz val="9"/>
            <color indexed="81"/>
            <rFont val="Tahoma"/>
            <family val="2"/>
          </rPr>
          <t xml:space="preserve">
Assumes incremental revenue of ~$4M related to calendar shift, where the quarter loses calendar days equivalent to 2017 August Week 1 and gains calendar days equivalent to 2017 Novemeber Week 1.
We estimate August week 1 is 7.1% of 3Q ($39.5M) and November week 1 is 7.8% of of 4Q ($43.5M) , the 1/4 month avg from 1999-2009
Underlying spread -0.4%</t>
        </r>
      </text>
    </comment>
    <comment ref="H183" authorId="20">
      <text>
        <r>
          <rPr>
            <b/>
            <sz val="9"/>
            <color indexed="81"/>
            <rFont val="Tahoma"/>
            <family val="2"/>
          </rPr>
          <t>Roberts, Cynthia (Research):</t>
        </r>
        <r>
          <rPr>
            <sz val="9"/>
            <color indexed="81"/>
            <rFont val="Tahoma"/>
            <family val="2"/>
          </rPr>
          <t xml:space="preserve">
Reversal of 53rd week, quarter loses calendar days equivalent to 2017 November Week 1.
Avg of 1/4 of November sales from 1999-2009 is 7.8% of 4Q sales. (7.8% of 4Q17 ex 53rd week= $43.5M or 7.4% of 4Q17 inc 53rd week)
Underlying spread -0.5%</t>
        </r>
      </text>
    </comment>
  </commentList>
</comments>
</file>

<file path=xl/comments5.xml><?xml version="1.0" encoding="utf-8"?>
<comments xmlns="http://schemas.openxmlformats.org/spreadsheetml/2006/main">
  <authors>
    <author>Debbie Ong</author>
    <author>dliu</author>
    <author>Morry Brown</author>
    <author>MB33100</author>
    <author>mm98285</author>
    <author>lauraro</author>
    <author>solejay</author>
    <author>casselau</author>
    <author>Cassel, Lauren (Research)</author>
    <author>Melissa Sefl</author>
    <author>KG51925</author>
    <author>marchant</author>
    <author>DL</author>
    <author>Mains, Spencer (Research)</author>
    <author>dong2</author>
    <author>Baglione, Gregory  (Research)</author>
    <author>Roberts, Cynthia (Research)</author>
    <author>Corinna Freedman</author>
    <author>ol36766</author>
    <author>oc48540</author>
    <author>De Courreges, Edouard (Research)</author>
    <author>kg51925</author>
    <author>kgreenbe</author>
    <author>MS</author>
    <author>ti23070</author>
    <author>TI23070</author>
    <author>antons</author>
    <author>Lehman Brothers</author>
    <author>SB</author>
    <author>kimberlg</author>
    <author>ns66486</author>
  </authors>
  <commentList>
    <comment ref="F6" authorId="0">
      <text>
        <r>
          <rPr>
            <b/>
            <sz val="8"/>
            <color indexed="81"/>
            <rFont val="Tahoma"/>
            <family val="2"/>
          </rPr>
          <t>Debbie Ong:</t>
        </r>
        <r>
          <rPr>
            <sz val="8"/>
            <color indexed="81"/>
            <rFont val="Tahoma"/>
            <family val="2"/>
          </rPr>
          <t xml:space="preserve">
co. went public  4/1/93. 1.61 shares, 433,342 primary and 1.176658 secondary. Priced at $14 per share. Secondary offering was priced in October for 1.05 mm shares at $34 per share. COMPS (not sales) are restated for the change in the fiscal year end</t>
        </r>
      </text>
    </comment>
    <comment ref="J6" authorId="0">
      <text>
        <r>
          <rPr>
            <b/>
            <sz val="8"/>
            <color indexed="81"/>
            <rFont val="Tahoma"/>
            <family val="2"/>
          </rPr>
          <t>Debbie Ong:</t>
        </r>
        <r>
          <rPr>
            <sz val="8"/>
            <color indexed="81"/>
            <rFont val="Tahoma"/>
            <family val="2"/>
          </rPr>
          <t xml:space="preserve">
COMPS (not sales) are restated for the change in FY</t>
        </r>
      </text>
    </comment>
    <comment ref="N6" authorId="0">
      <text>
        <r>
          <rPr>
            <b/>
            <sz val="8"/>
            <color indexed="81"/>
            <rFont val="Tahoma"/>
            <family val="2"/>
          </rPr>
          <t>Debbie Ong:</t>
        </r>
        <r>
          <rPr>
            <sz val="8"/>
            <color indexed="81"/>
            <rFont val="Tahoma"/>
            <family val="2"/>
          </rPr>
          <t xml:space="preserve">
COMPS (not sales) are restated for the change in the fiscal year)</t>
        </r>
      </text>
    </comment>
    <comment ref="AD6" authorId="0">
      <text>
        <r>
          <rPr>
            <b/>
            <sz val="8"/>
            <color indexed="81"/>
            <rFont val="Tahoma"/>
            <family val="2"/>
          </rPr>
          <t>Debbie Ong:</t>
        </r>
        <r>
          <rPr>
            <sz val="8"/>
            <color indexed="81"/>
            <rFont val="Tahoma"/>
            <family val="2"/>
          </rPr>
          <t xml:space="preserve">
Internet and telephone sales began in late May 00</t>
        </r>
      </text>
    </comment>
    <comment ref="AN10" authorId="1">
      <text>
        <r>
          <rPr>
            <b/>
            <sz val="8"/>
            <color indexed="81"/>
            <rFont val="Tahoma"/>
            <family val="2"/>
          </rPr>
          <t>dliu:</t>
        </r>
        <r>
          <rPr>
            <sz val="8"/>
            <color indexed="81"/>
            <rFont val="Tahoma"/>
            <family val="2"/>
          </rPr>
          <t xml:space="preserve">
166.5, 169.0</t>
        </r>
      </text>
    </comment>
    <comment ref="AR10" authorId="1">
      <text>
        <r>
          <rPr>
            <b/>
            <sz val="8"/>
            <color indexed="81"/>
            <rFont val="Tahoma"/>
            <family val="2"/>
          </rPr>
          <t>dliu:</t>
        </r>
        <r>
          <rPr>
            <sz val="8"/>
            <color indexed="81"/>
            <rFont val="Tahoma"/>
            <family val="2"/>
          </rPr>
          <t xml:space="preserve">
253.7, 257</t>
        </r>
      </text>
    </comment>
    <comment ref="AV10" authorId="2">
      <text>
        <r>
          <rPr>
            <b/>
            <sz val="8"/>
            <color indexed="81"/>
            <rFont val="Tahoma"/>
            <family val="2"/>
          </rPr>
          <t>Morry Brown:</t>
        </r>
        <r>
          <rPr>
            <sz val="8"/>
            <color indexed="81"/>
            <rFont val="Tahoma"/>
            <family val="2"/>
          </rPr>
          <t xml:space="preserve">
325.8</t>
        </r>
      </text>
    </comment>
    <comment ref="AZ10" authorId="3">
      <text>
        <r>
          <rPr>
            <b/>
            <sz val="8"/>
            <color indexed="81"/>
            <rFont val="Tahoma"/>
            <family val="2"/>
          </rPr>
          <t>MB33100:</t>
        </r>
        <r>
          <rPr>
            <sz val="8"/>
            <color indexed="81"/>
            <rFont val="Tahoma"/>
            <family val="2"/>
          </rPr>
          <t xml:space="preserve">
prior to restatement: $391.981
404.5</t>
        </r>
      </text>
    </comment>
    <comment ref="BL10" authorId="4">
      <text>
        <r>
          <rPr>
            <b/>
            <sz val="8"/>
            <color indexed="81"/>
            <rFont val="Tahoma"/>
            <family val="2"/>
          </rPr>
          <t>mm98285:</t>
        </r>
        <r>
          <rPr>
            <sz val="8"/>
            <color indexed="81"/>
            <rFont val="Tahoma"/>
            <family val="2"/>
          </rPr>
          <t xml:space="preserve">
$372.5M est. </t>
        </r>
      </text>
    </comment>
    <comment ref="BN10" authorId="4">
      <text>
        <r>
          <rPr>
            <b/>
            <sz val="8"/>
            <color indexed="81"/>
            <rFont val="Tahoma"/>
            <family val="2"/>
          </rPr>
          <t xml:space="preserve">lauraro:
2/11: </t>
        </r>
        <r>
          <rPr>
            <sz val="8"/>
            <color indexed="81"/>
            <rFont val="Tahoma"/>
            <family val="2"/>
          </rPr>
          <t>original comp -3.2% (ex DTC)</t>
        </r>
        <r>
          <rPr>
            <b/>
            <sz val="8"/>
            <color indexed="81"/>
            <rFont val="Tahoma"/>
            <family val="2"/>
          </rPr>
          <t xml:space="preserve">
mm98285:</t>
        </r>
        <r>
          <rPr>
            <sz val="8"/>
            <color indexed="81"/>
            <rFont val="Tahoma"/>
            <family val="2"/>
          </rPr>
          <t xml:space="preserve">
-12% est. </t>
        </r>
      </text>
    </comment>
    <comment ref="BR10" authorId="5">
      <text>
        <r>
          <rPr>
            <b/>
            <sz val="8"/>
            <color indexed="81"/>
            <rFont val="Tahoma"/>
            <family val="2"/>
          </rPr>
          <t>lauraro:</t>
        </r>
        <r>
          <rPr>
            <sz val="8"/>
            <color indexed="81"/>
            <rFont val="Tahoma"/>
            <family val="2"/>
          </rPr>
          <t xml:space="preserve">
2/11: original comp 14.9% (ex DTC)</t>
        </r>
      </text>
    </comment>
    <comment ref="BU10" authorId="5">
      <text>
        <r>
          <rPr>
            <b/>
            <sz val="8"/>
            <color indexed="81"/>
            <rFont val="Tahoma"/>
            <family val="2"/>
          </rPr>
          <t>lauraro:</t>
        </r>
        <r>
          <rPr>
            <sz val="8"/>
            <color indexed="81"/>
            <rFont val="Tahoma"/>
            <family val="2"/>
          </rPr>
          <t xml:space="preserve">
2/11: 17% total sales growth w/in 1st 3 weeks of Feb</t>
        </r>
      </text>
    </comment>
    <comment ref="BV10" authorId="5">
      <text>
        <r>
          <rPr>
            <b/>
            <sz val="8"/>
            <color indexed="81"/>
            <rFont val="Tahoma"/>
            <family val="2"/>
          </rPr>
          <t>lauraro:</t>
        </r>
        <r>
          <rPr>
            <sz val="8"/>
            <color indexed="81"/>
            <rFont val="Tahoma"/>
            <family val="2"/>
          </rPr>
          <t xml:space="preserve">
2/11: 13% comp by 1st 3 weeks of February</t>
        </r>
      </text>
    </comment>
    <comment ref="BY10" authorId="5">
      <text>
        <r>
          <rPr>
            <b/>
            <sz val="8"/>
            <color indexed="81"/>
            <rFont val="Tahoma"/>
            <family val="2"/>
          </rPr>
          <t>lauraro:</t>
        </r>
        <r>
          <rPr>
            <sz val="8"/>
            <color indexed="81"/>
            <rFont val="Tahoma"/>
            <family val="2"/>
          </rPr>
          <t xml:space="preserve">
2/22/12: running QTD +19%</t>
        </r>
      </text>
    </comment>
    <comment ref="BZ10" authorId="5">
      <text>
        <r>
          <rPr>
            <b/>
            <sz val="8"/>
            <color indexed="81"/>
            <rFont val="Tahoma"/>
            <family val="2"/>
          </rPr>
          <t>lauraro:</t>
        </r>
        <r>
          <rPr>
            <sz val="8"/>
            <color indexed="81"/>
            <rFont val="Tahoma"/>
            <family val="2"/>
          </rPr>
          <t xml:space="preserve">
2/22/12: comps running +7% QTD</t>
        </r>
      </text>
    </comment>
    <comment ref="CC10" authorId="6">
      <text>
        <r>
          <rPr>
            <sz val="8"/>
            <color indexed="81"/>
            <rFont val="Tahoma"/>
            <family val="2"/>
          </rPr>
          <t>2/28/13 - QTD total sales +7%
"We're now in the fourth week of the first quarter and I can share with you that as reflected on, again, our unaudited daily flash sales through yesterday our total quarter to date sales are up approximately 7%."</t>
        </r>
      </text>
    </comment>
    <comment ref="CD10" authorId="6">
      <text>
        <r>
          <rPr>
            <sz val="8"/>
            <color indexed="81"/>
            <rFont val="Tahoma"/>
            <family val="2"/>
          </rPr>
          <t>5/29/13: higher transaction count offset by a decrease in average dollar sale; estimate that the cooler weather negatively impacted comp by several hundred basis points
2/28/12 CFO - "There are a number of data points that lead us to be cautious about the pace of consumer spending in 2013. In particular, an ongoing promotional environment in the mall, December and January declined in consumer confidence. Higher tax rates, be it personal income or payroll taxes, and uncertainty around government spending and tax policy especially in the face of the upcoming budget and debt spending discussions. These factors do cause us to be cautious and mindful about how we approach the near-term."</t>
        </r>
      </text>
    </comment>
    <comment ref="CG10" authorId="7">
      <text>
        <r>
          <rPr>
            <b/>
            <sz val="9"/>
            <color indexed="81"/>
            <rFont val="Tahoma"/>
            <family val="2"/>
          </rPr>
          <t>casselau:</t>
        </r>
        <r>
          <rPr>
            <sz val="9"/>
            <color indexed="81"/>
            <rFont val="Tahoma"/>
            <family val="2"/>
          </rPr>
          <t xml:space="preserve">
5/28/14: +6.9% sqft increase</t>
        </r>
      </text>
    </comment>
    <comment ref="CH10" authorId="7">
      <text>
        <r>
          <rPr>
            <b/>
            <sz val="8"/>
            <color indexed="81"/>
            <rFont val="Tahoma"/>
            <family val="2"/>
          </rPr>
          <t xml:space="preserve">casselau:
</t>
        </r>
        <r>
          <rPr>
            <sz val="8"/>
            <color indexed="81"/>
            <rFont val="Tahoma"/>
            <family val="2"/>
          </rPr>
          <t>5/28/14: Lower ADS (AUR driven) as a result of highly promtional environment in response to lower traffic
2/27/14: QTD net sales -MSD and sluggish through 2/14; comps positive since 2/14</t>
        </r>
      </text>
    </comment>
    <comment ref="CJ10" authorId="7">
      <text>
        <r>
          <rPr>
            <b/>
            <sz val="9"/>
            <color indexed="81"/>
            <rFont val="Tahoma"/>
            <family val="2"/>
          </rPr>
          <t>casselau:</t>
        </r>
        <r>
          <rPr>
            <sz val="9"/>
            <color indexed="81"/>
            <rFont val="Tahoma"/>
            <family val="2"/>
          </rPr>
          <t xml:space="preserve">
669.557 ex Boston Proper</t>
        </r>
      </text>
    </comment>
    <comment ref="CK10" authorId="7">
      <text>
        <r>
          <rPr>
            <b/>
            <sz val="9"/>
            <color indexed="81"/>
            <rFont val="Tahoma"/>
            <family val="2"/>
          </rPr>
          <t xml:space="preserve">5/27/15: 56 net new stores; +3.3% sqft; </t>
        </r>
        <r>
          <rPr>
            <sz val="9"/>
            <color indexed="81"/>
            <rFont val="Tahoma"/>
            <family val="2"/>
          </rPr>
          <t>Port issue shipping delays impacted sales by 1%</t>
        </r>
        <r>
          <rPr>
            <b/>
            <sz val="9"/>
            <color indexed="81"/>
            <rFont val="Tahoma"/>
            <family val="2"/>
          </rPr>
          <t xml:space="preserve">
casselau:</t>
        </r>
        <r>
          <rPr>
            <sz val="9"/>
            <color indexed="81"/>
            <rFont val="Tahoma"/>
            <family val="2"/>
          </rPr>
          <t xml:space="preserve">
2/26/15: QTD sales +3%</t>
        </r>
      </text>
    </comment>
    <comment ref="CL10" authorId="7">
      <text>
        <r>
          <rPr>
            <sz val="9"/>
            <color indexed="81"/>
            <rFont val="Tahoma"/>
            <family val="2"/>
          </rPr>
          <t>5/27/15: +1-1.5% excluding port delays; AUR +2%; Feb and 1st week of March tough.  Rest of March was better.  April was consistent with results at end of quarter.  Mar/April combined was ~flat.  Store traffic counts are negative, digitial is up significantly.</t>
        </r>
        <r>
          <rPr>
            <b/>
            <sz val="9"/>
            <color indexed="81"/>
            <rFont val="Tahoma"/>
            <family val="2"/>
          </rPr>
          <t xml:space="preserve">
casselau:</t>
        </r>
        <r>
          <rPr>
            <sz val="9"/>
            <color indexed="81"/>
            <rFont val="Tahoma"/>
            <family val="2"/>
          </rPr>
          <t xml:space="preserve">
2/26/15: QTD comp +1% (not all brands comping positively).</t>
        </r>
      </text>
    </comment>
    <comment ref="CP10" authorId="7">
      <text>
        <r>
          <rPr>
            <b/>
            <sz val="9"/>
            <color indexed="81"/>
            <rFont val="Tahoma"/>
            <family val="2"/>
          </rPr>
          <t>casselau:
5/26/16: reflects lower ADS and slightly lower transaction count</t>
        </r>
        <r>
          <rPr>
            <sz val="9"/>
            <color indexed="81"/>
            <rFont val="Tahoma"/>
            <family val="2"/>
          </rPr>
          <t xml:space="preserve">
2/25/16: QTD comp +1%</t>
        </r>
      </text>
    </comment>
    <comment ref="CS10" authorId="8">
      <text>
        <r>
          <rPr>
            <b/>
            <sz val="9"/>
            <color indexed="81"/>
            <rFont val="Tahoma"/>
            <family val="2"/>
          </rPr>
          <t>Cassel, Lauren (Research):</t>
        </r>
        <r>
          <rPr>
            <sz val="9"/>
            <color indexed="81"/>
            <rFont val="Tahoma"/>
            <family val="2"/>
          </rPr>
          <t xml:space="preserve">
2/22/17: per Todd; -1% spread</t>
        </r>
      </text>
    </comment>
    <comment ref="CT10" authorId="8">
      <text>
        <r>
          <rPr>
            <b/>
            <sz val="9"/>
            <color indexed="81"/>
            <rFont val="Tahoma"/>
            <family val="2"/>
          </rPr>
          <t>Cassel, Lauren (Research):</t>
        </r>
        <r>
          <rPr>
            <sz val="9"/>
            <color indexed="81"/>
            <rFont val="Tahoma"/>
            <family val="2"/>
          </rPr>
          <t xml:space="preserve">
5/24/17: driven by lower ADS and a decline in transaction count; product issues at Chicos and WHBM also contributed to decline (in addition to mall traffic headwinds); were also more promotional y/y 
Digital EBIT margins higher than stores; </t>
        </r>
        <r>
          <rPr>
            <b/>
            <sz val="9"/>
            <color indexed="81"/>
            <rFont val="Tahoma"/>
            <family val="2"/>
          </rPr>
          <t>performance relatively consistent across all months (march/april combined = february) and all regions</t>
        </r>
      </text>
    </comment>
    <comment ref="AN11" authorId="1">
      <text>
        <r>
          <rPr>
            <b/>
            <sz val="8"/>
            <color indexed="81"/>
            <rFont val="Tahoma"/>
            <family val="2"/>
          </rPr>
          <t>dliu:</t>
        </r>
        <r>
          <rPr>
            <sz val="8"/>
            <color indexed="81"/>
            <rFont val="Tahoma"/>
            <family val="2"/>
          </rPr>
          <t xml:space="preserve">
164.6</t>
        </r>
      </text>
    </comment>
    <comment ref="AR11" authorId="9">
      <text>
        <r>
          <rPr>
            <sz val="8"/>
            <color indexed="81"/>
            <rFont val="Tahoma"/>
            <family val="2"/>
          </rPr>
          <t>248.2</t>
        </r>
      </text>
    </comment>
    <comment ref="AZ11" authorId="3">
      <text>
        <r>
          <rPr>
            <b/>
            <sz val="8"/>
            <color indexed="81"/>
            <rFont val="Tahoma"/>
            <family val="2"/>
          </rPr>
          <t>MB33100:</t>
        </r>
        <r>
          <rPr>
            <sz val="8"/>
            <color indexed="81"/>
            <rFont val="Tahoma"/>
            <family val="2"/>
          </rPr>
          <t xml:space="preserve">
$404.653 prior to restatement
$415.2</t>
        </r>
      </text>
    </comment>
    <comment ref="BN11" authorId="4">
      <text>
        <r>
          <rPr>
            <b/>
            <sz val="8"/>
            <color indexed="81"/>
            <rFont val="Tahoma"/>
            <family val="2"/>
          </rPr>
          <t xml:space="preserve">lauraro:
2/11: </t>
        </r>
        <r>
          <rPr>
            <sz val="8"/>
            <color indexed="81"/>
            <rFont val="Tahoma"/>
            <family val="2"/>
          </rPr>
          <t>original comp 1.3% (ex DTC)</t>
        </r>
        <r>
          <rPr>
            <b/>
            <sz val="8"/>
            <color indexed="81"/>
            <rFont val="Tahoma"/>
            <family val="2"/>
          </rPr>
          <t xml:space="preserve">
mm98285:</t>
        </r>
        <r>
          <rPr>
            <sz val="8"/>
            <color indexed="81"/>
            <rFont val="Tahoma"/>
            <family val="2"/>
          </rPr>
          <t xml:space="preserve">
5/09: expect Chs -SD &amp; WHIBM positive</t>
        </r>
      </text>
    </comment>
    <comment ref="BP11" authorId="10">
      <text>
        <r>
          <rPr>
            <sz val="8"/>
            <color indexed="81"/>
            <rFont val="Tahoma"/>
            <family val="2"/>
          </rPr>
          <t>Short of internal expectations
- Missed shorts, knit tops, &amp; s/s wovens
- Fall transition too soon</t>
        </r>
        <r>
          <rPr>
            <b/>
            <sz val="8"/>
            <color indexed="81"/>
            <rFont val="Tahoma"/>
            <family val="2"/>
          </rPr>
          <t xml:space="preserve">
KG51925:</t>
        </r>
        <r>
          <rPr>
            <sz val="8"/>
            <color indexed="81"/>
            <rFont val="Tahoma"/>
            <family val="2"/>
          </rPr>
          <t xml:space="preserve">
above $480mm</t>
        </r>
      </text>
    </comment>
    <comment ref="BR11" authorId="11">
      <text>
        <r>
          <rPr>
            <b/>
            <sz val="8"/>
            <color indexed="81"/>
            <rFont val="Tahoma"/>
            <family val="2"/>
          </rPr>
          <t xml:space="preserve">lauraro:
2/11: </t>
        </r>
        <r>
          <rPr>
            <sz val="8"/>
            <color indexed="81"/>
            <rFont val="Tahoma"/>
            <family val="2"/>
          </rPr>
          <t>original comp 6.4% (ex DTC)</t>
        </r>
        <r>
          <rPr>
            <b/>
            <sz val="8"/>
            <color indexed="81"/>
            <rFont val="Tahoma"/>
            <family val="2"/>
          </rPr>
          <t xml:space="preserve">
marchant:</t>
        </r>
        <r>
          <rPr>
            <sz val="8"/>
            <color indexed="81"/>
            <rFont val="Tahoma"/>
            <family val="2"/>
          </rPr>
          <t xml:space="preserve">
May strong, June strongest, fell apart in July</t>
        </r>
      </text>
    </comment>
    <comment ref="BU11" authorId="5">
      <text>
        <r>
          <rPr>
            <b/>
            <sz val="8"/>
            <color indexed="81"/>
            <rFont val="Tahoma"/>
            <family val="2"/>
          </rPr>
          <t xml:space="preserve">6/23/2011:
</t>
        </r>
        <r>
          <rPr>
            <sz val="8"/>
            <color indexed="81"/>
            <rFont val="Tahoma"/>
            <family val="2"/>
          </rPr>
          <t>as a snapshot of our business as of June 22, 2011, preliminary total sales for the second quarter reflected a percentage increase in the positive mid-teens and a consolidated comparable sales percentage increase in the positive low double digits</t>
        </r>
        <r>
          <rPr>
            <b/>
            <sz val="8"/>
            <color indexed="81"/>
            <rFont val="Tahoma"/>
            <family val="2"/>
          </rPr>
          <t xml:space="preserve">
lauraro:</t>
        </r>
        <r>
          <rPr>
            <sz val="8"/>
            <color indexed="81"/>
            <rFont val="Tahoma"/>
            <family val="2"/>
          </rPr>
          <t xml:space="preserve">
mid teens</t>
        </r>
      </text>
    </comment>
    <comment ref="BV11" authorId="5">
      <text>
        <r>
          <rPr>
            <b/>
            <sz val="8"/>
            <color indexed="81"/>
            <rFont val="Tahoma"/>
            <family val="2"/>
          </rPr>
          <t xml:space="preserve">6/23/2011:
</t>
        </r>
        <r>
          <rPr>
            <sz val="8"/>
            <color indexed="81"/>
            <rFont val="Tahoma"/>
            <family val="2"/>
          </rPr>
          <t>as a snapshot of our business as of June 22, 2011, preliminary total sales for the second quarter reflected a percentage increase in the positive mid-teens and a consolidated comparable sales percentage increase in the positive low double digits</t>
        </r>
        <r>
          <rPr>
            <b/>
            <sz val="8"/>
            <color indexed="81"/>
            <rFont val="Tahoma"/>
            <family val="2"/>
          </rPr>
          <t xml:space="preserve">
5/25/11:
</t>
        </r>
        <r>
          <rPr>
            <sz val="8"/>
            <color indexed="81"/>
            <rFont val="Tahoma"/>
            <family val="2"/>
          </rPr>
          <t>Clarification at MS conference: +MSD store comp, +2-3% eComm</t>
        </r>
        <r>
          <rPr>
            <b/>
            <sz val="8"/>
            <color indexed="81"/>
            <rFont val="Tahoma"/>
            <family val="2"/>
          </rPr>
          <t xml:space="preserve">
5/18/11:</t>
        </r>
        <r>
          <rPr>
            <sz val="8"/>
            <color indexed="81"/>
            <rFont val="Tahoma"/>
            <family val="2"/>
          </rPr>
          <t xml:space="preserve">
Guidance: +MSD comp
-As of 5/18 total sales almost +14%, comp +9% (incl DTC)
-Believe 2Q10 left several points of comp and pennies of earnings on the table due to lack of wear-now product at Chico's, not enough clearance inventory at WHBM and several mdse delivery snafus
-2Q10 May strong, June strongest, fell apart in July</t>
        </r>
      </text>
    </comment>
    <comment ref="BX11" authorId="7">
      <text>
        <r>
          <rPr>
            <b/>
            <sz val="8"/>
            <color indexed="81"/>
            <rFont val="Tahoma"/>
            <family val="2"/>
          </rPr>
          <t>casselau:</t>
        </r>
        <r>
          <rPr>
            <sz val="8"/>
            <color indexed="81"/>
            <rFont val="Tahoma"/>
            <family val="2"/>
          </rPr>
          <t xml:space="preserve">
8/22/12: reflected increase in both average dollar sale and transaction count; DD increase in new customers</t>
        </r>
      </text>
    </comment>
    <comment ref="BY11" authorId="5">
      <text>
        <r>
          <rPr>
            <b/>
            <sz val="8"/>
            <color indexed="81"/>
            <rFont val="Tahoma"/>
            <family val="2"/>
          </rPr>
          <t>lauraro:</t>
        </r>
        <r>
          <rPr>
            <sz val="8"/>
            <color indexed="81"/>
            <rFont val="Tahoma"/>
            <family val="2"/>
          </rPr>
          <t xml:space="preserve">
</t>
        </r>
        <r>
          <rPr>
            <b/>
            <sz val="8"/>
            <color indexed="81"/>
            <rFont val="Tahoma"/>
            <family val="2"/>
          </rPr>
          <t xml:space="preserve">5/16/12: </t>
        </r>
        <r>
          <rPr>
            <sz val="8"/>
            <color indexed="81"/>
            <rFont val="Tahoma"/>
            <family val="2"/>
          </rPr>
          <t>QTD sales +16%</t>
        </r>
        <r>
          <rPr>
            <b/>
            <sz val="8"/>
            <color indexed="81"/>
            <rFont val="Tahoma"/>
            <family val="2"/>
          </rPr>
          <t xml:space="preserve">
5/16/12: </t>
        </r>
        <r>
          <rPr>
            <sz val="8"/>
            <color indexed="81"/>
            <rFont val="Tahoma"/>
            <family val="2"/>
          </rPr>
          <t>our second-quarter sales growth, gross margin rate and expense leverage should be directionally consistent with our full-year planning assumptions</t>
        </r>
      </text>
    </comment>
    <comment ref="BZ11" authorId="5">
      <text>
        <r>
          <rPr>
            <b/>
            <sz val="8"/>
            <color indexed="81"/>
            <rFont val="Tahoma"/>
            <family val="2"/>
          </rPr>
          <t xml:space="preserve">8/22/12: </t>
        </r>
        <r>
          <rPr>
            <sz val="8"/>
            <color indexed="81"/>
            <rFont val="Tahoma"/>
            <family val="2"/>
          </rPr>
          <t>reflects the effectiveness of innovative marketing plans, positive customer response to merchandise offering and new product launches</t>
        </r>
        <r>
          <rPr>
            <b/>
            <sz val="8"/>
            <color indexed="81"/>
            <rFont val="Tahoma"/>
            <family val="2"/>
          </rPr>
          <t xml:space="preserve">
lauraro:</t>
        </r>
        <r>
          <rPr>
            <sz val="8"/>
            <color indexed="81"/>
            <rFont val="Tahoma"/>
            <family val="2"/>
          </rPr>
          <t xml:space="preserve">
</t>
        </r>
        <r>
          <rPr>
            <b/>
            <sz val="8"/>
            <color indexed="81"/>
            <rFont val="Tahoma"/>
            <family val="2"/>
          </rPr>
          <t xml:space="preserve">5/16/12: </t>
        </r>
        <r>
          <rPr>
            <sz val="8"/>
            <color indexed="81"/>
            <rFont val="Tahoma"/>
            <family val="2"/>
          </rPr>
          <t>QTD comps +6.1%</t>
        </r>
        <r>
          <rPr>
            <b/>
            <sz val="8"/>
            <color indexed="81"/>
            <rFont val="Tahoma"/>
            <family val="2"/>
          </rPr>
          <t xml:space="preserve">
5/16/12: </t>
        </r>
        <r>
          <rPr>
            <sz val="8"/>
            <color indexed="81"/>
            <rFont val="Tahoma"/>
            <family val="2"/>
          </rPr>
          <t>our second-quarter sales growth, gross margin rate and expense leverage should be directionally consistent with our full-year planning assumptions</t>
        </r>
      </text>
    </comment>
    <comment ref="CC11" authorId="7">
      <text>
        <r>
          <rPr>
            <b/>
            <sz val="8"/>
            <color indexed="81"/>
            <rFont val="Tahoma"/>
            <family val="2"/>
          </rPr>
          <t>casselau:</t>
        </r>
        <r>
          <rPr>
            <sz val="8"/>
            <color indexed="81"/>
            <rFont val="Tahoma"/>
            <family val="2"/>
          </rPr>
          <t xml:space="preserve">
5/29/13: conference call: sales up +1% thus far</t>
        </r>
      </text>
    </comment>
    <comment ref="CD11" authorId="7">
      <text>
        <r>
          <rPr>
            <b/>
            <sz val="8"/>
            <color indexed="81"/>
            <rFont val="Tahoma"/>
            <family val="2"/>
          </rPr>
          <t xml:space="preserve">casselau:
8/28/13: </t>
        </r>
        <r>
          <rPr>
            <sz val="8"/>
            <color indexed="81"/>
            <rFont val="Tahoma"/>
            <family val="2"/>
          </rPr>
          <t>reflects lower transactions and ADS primarily as a result of lower traffic; UPT flat, AUC roughly flat, conversion all time high; monthly cadence relatively consistent</t>
        </r>
        <r>
          <rPr>
            <sz val="8"/>
            <color indexed="81"/>
            <rFont val="Tahoma"/>
            <family val="2"/>
          </rPr>
          <t xml:space="preserve">
5/29/13: "comp QTD is slightly negative"; as we transition into May, the month is playing out to be cool with soft traffic as well</t>
        </r>
      </text>
    </comment>
    <comment ref="CG11" authorId="12">
      <text>
        <r>
          <rPr>
            <b/>
            <sz val="9"/>
            <color indexed="81"/>
            <rFont val="Tahoma"/>
            <family val="2"/>
          </rPr>
          <t xml:space="preserve">8/27/14: </t>
        </r>
        <r>
          <rPr>
            <sz val="9"/>
            <color indexed="81"/>
            <rFont val="Tahoma"/>
            <family val="2"/>
          </rPr>
          <t>+6.4% square footage increase</t>
        </r>
        <r>
          <rPr>
            <b/>
            <sz val="9"/>
            <color indexed="81"/>
            <rFont val="Tahoma"/>
            <family val="2"/>
          </rPr>
          <t xml:space="preserve">
5/28/14: </t>
        </r>
        <r>
          <rPr>
            <sz val="9"/>
            <color indexed="81"/>
            <rFont val="Tahoma"/>
            <family val="2"/>
          </rPr>
          <t xml:space="preserve">QTD total sales +5%
</t>
        </r>
      </text>
    </comment>
    <comment ref="CH11" authorId="12">
      <text>
        <r>
          <rPr>
            <b/>
            <sz val="9"/>
            <color indexed="81"/>
            <rFont val="Tahoma"/>
            <family val="2"/>
          </rPr>
          <t xml:space="preserve">8/27/14: </t>
        </r>
        <r>
          <rPr>
            <sz val="9"/>
            <color indexed="81"/>
            <rFont val="Tahoma"/>
            <family val="2"/>
          </rPr>
          <t>increase in transaction count partially offset by a drease in ADS; trends consistent throughout the quarter</t>
        </r>
        <r>
          <rPr>
            <b/>
            <sz val="9"/>
            <color indexed="81"/>
            <rFont val="Tahoma"/>
            <family val="2"/>
          </rPr>
          <t xml:space="preserve">
5/28/14: </t>
        </r>
        <r>
          <rPr>
            <sz val="9"/>
            <color indexed="81"/>
            <rFont val="Tahoma"/>
            <family val="2"/>
          </rPr>
          <t xml:space="preserve">QTD comp +1%
</t>
        </r>
      </text>
    </comment>
    <comment ref="CJ11" authorId="7">
      <text>
        <r>
          <rPr>
            <b/>
            <sz val="9"/>
            <color indexed="81"/>
            <rFont val="Tahoma"/>
            <family val="2"/>
          </rPr>
          <t>casselau:</t>
        </r>
        <r>
          <rPr>
            <sz val="9"/>
            <color indexed="81"/>
            <rFont val="Tahoma"/>
            <family val="2"/>
          </rPr>
          <t xml:space="preserve">
656.143 ex Boston Proper</t>
        </r>
      </text>
    </comment>
    <comment ref="CK11" authorId="13">
      <text>
        <r>
          <rPr>
            <b/>
            <sz val="9"/>
            <color indexed="81"/>
            <rFont val="Tahoma"/>
            <family val="2"/>
          </rPr>
          <t>8/26/15: +1.3% square footage; 23 net new stores</t>
        </r>
        <r>
          <rPr>
            <sz val="9"/>
            <color indexed="81"/>
            <rFont val="Tahoma"/>
            <family val="2"/>
          </rPr>
          <t xml:space="preserve">
5/27/15: QTD sales down      -0.7%
May soft, improved steadily throughout quarter.</t>
        </r>
      </text>
    </comment>
    <comment ref="CL11" authorId="13">
      <text>
        <r>
          <rPr>
            <b/>
            <sz val="9"/>
            <color indexed="81"/>
            <rFont val="Tahoma"/>
            <family val="2"/>
          </rPr>
          <t>8/26/15: reflects an increase in ADS partially offset by a decrease in transaction count</t>
        </r>
        <r>
          <rPr>
            <sz val="9"/>
            <color indexed="81"/>
            <rFont val="Tahoma"/>
            <family val="2"/>
          </rPr>
          <t xml:space="preserve">
5/27/15: QTD comp -1.7% (sounds like all brands negative)</t>
        </r>
      </text>
    </comment>
    <comment ref="CP11" authorId="8">
      <text>
        <r>
          <rPr>
            <b/>
            <sz val="9"/>
            <color indexed="81"/>
            <rFont val="Tahoma"/>
            <family val="2"/>
          </rPr>
          <t>Cassel, Lauren (Research):</t>
        </r>
        <r>
          <rPr>
            <sz val="9"/>
            <color indexed="81"/>
            <rFont val="Tahoma"/>
            <family val="2"/>
          </rPr>
          <t xml:space="preserve">
8/30/16: reflects reduced transaction count and slightly lower average dollar sale; reduce promotional selling weighed on transactions at Chico's brand</t>
        </r>
      </text>
    </comment>
    <comment ref="CS11" authorId="8">
      <text>
        <r>
          <rPr>
            <b/>
            <sz val="9"/>
            <color indexed="81"/>
            <rFont val="Tahoma"/>
            <family val="2"/>
          </rPr>
          <t>Cassel, Lauren (Research):</t>
        </r>
        <r>
          <rPr>
            <sz val="9"/>
            <color indexed="81"/>
            <rFont val="Tahoma"/>
            <family val="2"/>
          </rPr>
          <t xml:space="preserve">
2/22/17: per Todd; -1% spread</t>
        </r>
      </text>
    </comment>
    <comment ref="CT11" authorId="8">
      <text>
        <r>
          <rPr>
            <b/>
            <sz val="9"/>
            <color indexed="81"/>
            <rFont val="Tahoma"/>
            <family val="2"/>
          </rPr>
          <t xml:space="preserve">Cassel, Lauren (Research):
8/30/17: </t>
        </r>
        <r>
          <rPr>
            <sz val="9"/>
            <color indexed="81"/>
            <rFont val="Tahoma"/>
            <family val="2"/>
          </rPr>
          <t>driven by lower ADS (slightly lower AUR and UPT) and transactions; ADS bigger driver
5/24/17: expect 2Q comps -HSD</t>
        </r>
      </text>
    </comment>
    <comment ref="AF12" authorId="14">
      <text>
        <r>
          <rPr>
            <b/>
            <sz val="8"/>
            <color indexed="81"/>
            <rFont val="Tahoma"/>
            <family val="2"/>
          </rPr>
          <t>dong2:</t>
        </r>
        <r>
          <rPr>
            <sz val="8"/>
            <color indexed="81"/>
            <rFont val="Tahoma"/>
            <family val="2"/>
          </rPr>
          <t xml:space="preserve">
91.4, 92.7</t>
        </r>
      </text>
    </comment>
    <comment ref="AN12" authorId="1">
      <text>
        <r>
          <rPr>
            <b/>
            <sz val="8"/>
            <color indexed="81"/>
            <rFont val="Tahoma"/>
            <family val="2"/>
          </rPr>
          <t>dliu:</t>
        </r>
        <r>
          <rPr>
            <sz val="8"/>
            <color indexed="81"/>
            <rFont val="Tahoma"/>
            <family val="2"/>
          </rPr>
          <t xml:space="preserve">
had 202.5</t>
        </r>
      </text>
    </comment>
    <comment ref="AR12" authorId="9">
      <text>
        <r>
          <rPr>
            <sz val="8"/>
            <color indexed="81"/>
            <rFont val="Tahoma"/>
            <family val="2"/>
          </rPr>
          <t>272.4</t>
        </r>
      </text>
    </comment>
    <comment ref="AV12" authorId="2">
      <text>
        <r>
          <rPr>
            <b/>
            <sz val="8"/>
            <color indexed="81"/>
            <rFont val="Tahoma"/>
            <family val="2"/>
          </rPr>
          <t>Morry Brown:</t>
        </r>
        <r>
          <rPr>
            <sz val="8"/>
            <color indexed="81"/>
            <rFont val="Tahoma"/>
            <family val="2"/>
          </rPr>
          <t xml:space="preserve">
353.4</t>
        </r>
      </text>
    </comment>
    <comment ref="AZ12" authorId="3">
      <text>
        <r>
          <rPr>
            <b/>
            <sz val="8"/>
            <color indexed="81"/>
            <rFont val="Tahoma"/>
            <family val="2"/>
          </rPr>
          <t>MB33100:</t>
        </r>
        <r>
          <rPr>
            <sz val="8"/>
            <color indexed="81"/>
            <rFont val="Tahoma"/>
            <family val="2"/>
          </rPr>
          <t xml:space="preserve">
$403.563 prior to restatement
405.2</t>
        </r>
      </text>
    </comment>
    <comment ref="BB12" authorId="4">
      <text>
        <r>
          <rPr>
            <b/>
            <sz val="8"/>
            <color indexed="81"/>
            <rFont val="Tahoma"/>
            <family val="2"/>
          </rPr>
          <t>mm98285:</t>
        </r>
        <r>
          <rPr>
            <sz val="8"/>
            <color indexed="81"/>
            <rFont val="Tahoma"/>
            <family val="2"/>
          </rPr>
          <t xml:space="preserve">
8/06: expect flat to +LSD comp at Chico's div. and +HSD to +LDD comp at WHBM for 3Q</t>
        </r>
      </text>
    </comment>
    <comment ref="BN12" authorId="4">
      <text>
        <r>
          <rPr>
            <b/>
            <sz val="8"/>
            <color indexed="81"/>
            <rFont val="Tahoma"/>
            <family val="2"/>
          </rPr>
          <t xml:space="preserve">lauraro:
2/11: </t>
        </r>
        <r>
          <rPr>
            <sz val="8"/>
            <color indexed="81"/>
            <rFont val="Tahoma"/>
            <family val="2"/>
          </rPr>
          <t>original comp 12.8% (ex DTC)</t>
        </r>
        <r>
          <rPr>
            <b/>
            <sz val="8"/>
            <color indexed="81"/>
            <rFont val="Tahoma"/>
            <family val="2"/>
          </rPr>
          <t xml:space="preserve">
mm98285:</t>
        </r>
        <r>
          <rPr>
            <sz val="8"/>
            <color indexed="81"/>
            <rFont val="Tahoma"/>
            <family val="2"/>
          </rPr>
          <t xml:space="preserve">
8/09: expect  +LSD</t>
        </r>
      </text>
    </comment>
    <comment ref="BR12" authorId="11">
      <text>
        <r>
          <rPr>
            <b/>
            <sz val="8"/>
            <color indexed="81"/>
            <rFont val="Tahoma"/>
            <family val="2"/>
          </rPr>
          <t xml:space="preserve">lauraro:
2/11: </t>
        </r>
        <r>
          <rPr>
            <sz val="8"/>
            <color indexed="81"/>
            <rFont val="Tahoma"/>
            <family val="2"/>
          </rPr>
          <t>original comp 3.1% (ex DTC)</t>
        </r>
        <r>
          <rPr>
            <b/>
            <sz val="8"/>
            <color indexed="81"/>
            <rFont val="Tahoma"/>
            <family val="2"/>
          </rPr>
          <t xml:space="preserve">
12/10:  </t>
        </r>
        <r>
          <rPr>
            <sz val="8"/>
            <color indexed="81"/>
            <rFont val="Tahoma"/>
            <family val="2"/>
          </rPr>
          <t>Comp driven by +4% in UPT and incr in AUR at WHBM FP offset by a slight decr in txns. Also benefitted from from ~4% incr in txns at Chico's FP stores, offset by decr's in teh AUR and UPT.</t>
        </r>
        <r>
          <rPr>
            <b/>
            <sz val="8"/>
            <color indexed="81"/>
            <rFont val="Tahoma"/>
            <family val="2"/>
          </rPr>
          <t xml:space="preserve">
11/10: </t>
        </r>
        <r>
          <rPr>
            <sz val="8"/>
            <color indexed="81"/>
            <rFont val="Tahoma"/>
            <family val="2"/>
          </rPr>
          <t>All 3 brands had positive comps
October comp was +8.2%</t>
        </r>
        <r>
          <rPr>
            <b/>
            <sz val="8"/>
            <color indexed="81"/>
            <rFont val="Tahoma"/>
            <family val="2"/>
          </rPr>
          <t xml:space="preserve">
marchant:</t>
        </r>
        <r>
          <rPr>
            <sz val="8"/>
            <color indexed="81"/>
            <rFont val="Tahoma"/>
            <family val="2"/>
          </rPr>
          <t xml:space="preserve">
8/10: expect +SD; july weakness con'ts into Aug 18</t>
        </r>
      </text>
    </comment>
    <comment ref="BU12" authorId="5">
      <text>
        <r>
          <rPr>
            <b/>
            <sz val="8"/>
            <color indexed="81"/>
            <rFont val="Tahoma"/>
            <family val="2"/>
          </rPr>
          <t>lauraro:</t>
        </r>
        <r>
          <rPr>
            <sz val="8"/>
            <color indexed="81"/>
            <rFont val="Tahoma"/>
            <family val="2"/>
          </rPr>
          <t xml:space="preserve">
8/17/11: QTD 14% total sales, 7.4% comp growth
Expect L-Mteens % Growth</t>
        </r>
      </text>
    </comment>
    <comment ref="BV12" authorId="5">
      <text>
        <r>
          <rPr>
            <b/>
            <sz val="8"/>
            <color indexed="81"/>
            <rFont val="Tahoma"/>
            <family val="2"/>
          </rPr>
          <t>lauraro:</t>
        </r>
        <r>
          <rPr>
            <sz val="8"/>
            <color indexed="81"/>
            <rFont val="Tahoma"/>
            <family val="2"/>
          </rPr>
          <t xml:space="preserve">
8/17/11: QTD 14% total sales, 7.4% comp growth
Expect +MSD</t>
        </r>
      </text>
    </comment>
    <comment ref="BX12" authorId="7">
      <text>
        <r>
          <rPr>
            <b/>
            <sz val="8"/>
            <color indexed="81"/>
            <rFont val="Tahoma"/>
            <family val="2"/>
          </rPr>
          <t>casselau:</t>
        </r>
        <r>
          <rPr>
            <sz val="8"/>
            <color indexed="81"/>
            <rFont val="Tahoma"/>
            <family val="2"/>
          </rPr>
          <t xml:space="preserve">
11/20: includes BP sales for seven incremental weeks of $16.7M</t>
        </r>
      </text>
    </comment>
    <comment ref="BZ12" authorId="7">
      <text>
        <r>
          <rPr>
            <b/>
            <sz val="8"/>
            <color indexed="81"/>
            <rFont val="Tahoma"/>
            <family val="2"/>
          </rPr>
          <t xml:space="preserve">11/20: </t>
        </r>
        <r>
          <rPr>
            <sz val="8"/>
            <color indexed="81"/>
            <rFont val="Tahoma"/>
            <family val="2"/>
          </rPr>
          <t>DD increase in new customers and increases in both average dollar sales and transactions</t>
        </r>
        <r>
          <rPr>
            <b/>
            <sz val="8"/>
            <color indexed="81"/>
            <rFont val="Tahoma"/>
            <family val="2"/>
          </rPr>
          <t xml:space="preserve">
casselau:</t>
        </r>
        <r>
          <rPr>
            <sz val="8"/>
            <color indexed="81"/>
            <rFont val="Tahoma"/>
            <family val="2"/>
          </rPr>
          <t xml:space="preserve">
8/22/12: planning for +MSD; QTD comps +10% vs. 5% LY; all brands + so far in the Q and QTD sales (including BP) +20%; </t>
        </r>
      </text>
    </comment>
    <comment ref="CC12" authorId="7">
      <text>
        <r>
          <rPr>
            <b/>
            <sz val="8"/>
            <color indexed="81"/>
            <rFont val="Tahoma"/>
            <family val="2"/>
          </rPr>
          <t xml:space="preserve">casselau:
</t>
        </r>
        <r>
          <rPr>
            <sz val="8"/>
            <color indexed="81"/>
            <rFont val="Tahoma"/>
            <family val="2"/>
          </rPr>
          <t>11/26/13: increase primarily reflects +8.6% square footage growth</t>
        </r>
        <r>
          <rPr>
            <sz val="8"/>
            <color indexed="81"/>
            <rFont val="Tahoma"/>
            <family val="2"/>
          </rPr>
          <t xml:space="preserve">
8/28/13: 3QTD sales +4.9%; August toughest 3Q compare; Q2 traffic better than Q3</t>
        </r>
      </text>
    </comment>
    <comment ref="CD12" authorId="7">
      <text>
        <r>
          <rPr>
            <b/>
            <sz val="8"/>
            <color indexed="81"/>
            <rFont val="Tahoma"/>
            <family val="2"/>
          </rPr>
          <t xml:space="preserve">casselau:
</t>
        </r>
        <r>
          <rPr>
            <sz val="8"/>
            <color indexed="81"/>
            <rFont val="Tahoma"/>
            <family val="2"/>
          </rPr>
          <t xml:space="preserve">11/26/13: lower A$S (primarily AUR), partially offset by higher transactions; </t>
        </r>
        <r>
          <rPr>
            <b/>
            <sz val="8"/>
            <color indexed="81"/>
            <rFont val="Tahoma"/>
            <family val="2"/>
          </rPr>
          <t xml:space="preserve"> </t>
        </r>
        <r>
          <rPr>
            <sz val="8"/>
            <color indexed="81"/>
            <rFont val="Tahoma"/>
            <family val="2"/>
          </rPr>
          <t>primarily reflects the cycling of strong comps LY and lower traffic</t>
        </r>
        <r>
          <rPr>
            <sz val="8"/>
            <color indexed="81"/>
            <rFont val="Tahoma"/>
            <family val="2"/>
          </rPr>
          <t xml:space="preserve">
8/28/13: 3QTD traffic remains challenging </t>
        </r>
      </text>
    </comment>
    <comment ref="CG12" authorId="7">
      <text>
        <r>
          <rPr>
            <b/>
            <sz val="9"/>
            <color indexed="81"/>
            <rFont val="Tahoma"/>
            <family val="2"/>
          </rPr>
          <t xml:space="preserve">casselau:
11/25/14: </t>
        </r>
        <r>
          <rPr>
            <sz val="9"/>
            <color indexed="81"/>
            <rFont val="Tahoma"/>
            <family val="2"/>
          </rPr>
          <t>87 net new stores for sq ft +5.4%; estimate port delays -1% impact
8/27/14: QTD sales +3%</t>
        </r>
      </text>
    </comment>
    <comment ref="CH12" authorId="7">
      <text>
        <r>
          <rPr>
            <b/>
            <sz val="9"/>
            <color indexed="81"/>
            <rFont val="Tahoma"/>
            <family val="2"/>
          </rPr>
          <t xml:space="preserve">casselau:
</t>
        </r>
        <r>
          <rPr>
            <sz val="9"/>
            <color indexed="81"/>
            <rFont val="Tahoma"/>
            <family val="2"/>
          </rPr>
          <t>11/25/14: comp driven by decline in ADS partially offset by an increase in transaction count
8/27/14: QTD comp -1%; anticipating slightly negative 3Q comps</t>
        </r>
      </text>
    </comment>
    <comment ref="CJ12" authorId="7">
      <text>
        <r>
          <rPr>
            <b/>
            <sz val="9"/>
            <color indexed="81"/>
            <rFont val="Tahoma"/>
            <family val="2"/>
          </rPr>
          <t>casselau:</t>
        </r>
        <r>
          <rPr>
            <sz val="9"/>
            <color indexed="81"/>
            <rFont val="Tahoma"/>
            <family val="2"/>
          </rPr>
          <t xml:space="preserve">
623.907 ex Boston Proper</t>
        </r>
      </text>
    </comment>
    <comment ref="CK12" authorId="15">
      <text>
        <r>
          <rPr>
            <sz val="9"/>
            <color indexed="81"/>
            <rFont val="Tahoma"/>
            <family val="2"/>
          </rPr>
          <t>11/24/15: -0.8% decline in selling square footage
8/26/15 Comp sales QTD down 4% due to 500,000 inveotry units being delayed. WHBM/ Soma positive, but transit delays will impcat CHS.Sales soft in May but improved throughout the quarter.</t>
        </r>
      </text>
    </comment>
    <comment ref="CL12" authorId="15">
      <text>
        <r>
          <rPr>
            <b/>
            <sz val="9"/>
            <color indexed="81"/>
            <rFont val="Tahoma"/>
            <family val="2"/>
          </rPr>
          <t xml:space="preserve">11/24/15: </t>
        </r>
        <r>
          <rPr>
            <sz val="9"/>
            <color indexed="81"/>
            <rFont val="Tahoma"/>
            <family val="2"/>
          </rPr>
          <t xml:space="preserve">reflects a decrease in average dollar sale (AUR) and transaction count; first three weeks of September "just terrible" due to shift in Labor Day, warm weather, and volatile stock market (September one of the biggest sales months of the year); sales improved through October and delivered a positive comp
8/26/15 Comp sales QTD </t>
        </r>
        <r>
          <rPr>
            <b/>
            <sz val="9"/>
            <color indexed="81"/>
            <rFont val="Tahoma"/>
            <family val="2"/>
          </rPr>
          <t xml:space="preserve">down 4% </t>
        </r>
        <r>
          <rPr>
            <sz val="9"/>
            <color indexed="81"/>
            <rFont val="Tahoma"/>
            <family val="2"/>
          </rPr>
          <t>due to 500,000 inveotry units being delayed. WHBM/ Soma positive, but transit delays will impcat CHS.</t>
        </r>
      </text>
    </comment>
    <comment ref="CO12" authorId="8">
      <text>
        <r>
          <rPr>
            <b/>
            <sz val="9"/>
            <color indexed="81"/>
            <rFont val="Tahoma"/>
            <family val="2"/>
          </rPr>
          <t>Cassel, Lauren (Research):</t>
        </r>
        <r>
          <rPr>
            <sz val="9"/>
            <color indexed="81"/>
            <rFont val="Tahoma"/>
            <family val="2"/>
          </rPr>
          <t xml:space="preserve">
-7.5% including BP last year</t>
        </r>
      </text>
    </comment>
    <comment ref="CP12" authorId="8">
      <text>
        <r>
          <rPr>
            <b/>
            <sz val="9"/>
            <color indexed="81"/>
            <rFont val="Tahoma"/>
            <family val="2"/>
          </rPr>
          <t xml:space="preserve">Cassel, Lauren (Research):
11/22/16: comp driven by a reduction in transaction count and lower average dollar sale; AUR increased with a decline in promotional activity; UPT down slightly
</t>
        </r>
        <r>
          <rPr>
            <sz val="9"/>
            <color indexed="81"/>
            <rFont val="Tahoma"/>
            <family val="2"/>
          </rPr>
          <t xml:space="preserve">
</t>
        </r>
        <r>
          <rPr>
            <b/>
            <sz val="9"/>
            <color indexed="81"/>
            <rFont val="Tahoma"/>
            <family val="2"/>
          </rPr>
          <t>8/30/16: guidance: -LSD comparable sales decline for the second half.</t>
        </r>
      </text>
    </comment>
    <comment ref="CS12" authorId="8">
      <text>
        <r>
          <rPr>
            <b/>
            <sz val="9"/>
            <color indexed="81"/>
            <rFont val="Tahoma"/>
            <family val="2"/>
          </rPr>
          <t>Cassel, Lauren (Research):</t>
        </r>
        <r>
          <rPr>
            <sz val="9"/>
            <color indexed="81"/>
            <rFont val="Tahoma"/>
            <family val="2"/>
          </rPr>
          <t xml:space="preserve">
2/22/17: per Todd; -1% spread</t>
        </r>
      </text>
    </comment>
    <comment ref="CT12" authorId="8">
      <text>
        <r>
          <rPr>
            <b/>
            <sz val="9"/>
            <color indexed="81"/>
            <rFont val="Tahoma"/>
            <family val="2"/>
          </rPr>
          <t xml:space="preserve">Cassel, Lauren (Research):
11/21/17: driven by a decline in average dollar sale and a decline in transation count (excludes stores closed for 4 or more days);  adjusted for an approximate $9 million sales impact due to the severe weather, comp would have declined -7.6%, which was in line with our expectations and a slight sequential improvement from the first half. August best month of the quarter
8/30/17: expect 2H comps inline with 1H </t>
        </r>
        <r>
          <rPr>
            <sz val="9"/>
            <color indexed="81"/>
            <rFont val="Tahoma"/>
            <family val="2"/>
          </rPr>
          <t xml:space="preserve">(seeing encouraging results in August, but it is one of smallest months of the year) 
5/24/17: expect 2H comps -LSD, once merchandising adjustments flow through </t>
        </r>
      </text>
    </comment>
    <comment ref="CW12" authorId="16">
      <text>
        <r>
          <rPr>
            <b/>
            <sz val="9"/>
            <color indexed="81"/>
            <rFont val="Tahoma"/>
            <family val="2"/>
          </rPr>
          <t>Roberts, Cynthia (Research):</t>
        </r>
        <r>
          <rPr>
            <sz val="9"/>
            <color indexed="81"/>
            <rFont val="Tahoma"/>
            <family val="2"/>
          </rPr>
          <t xml:space="preserve">
Assumes incremental revenue of ~$4M related to calendar shift, where the quarter loses calendar days equivalent to 2017 August Week 1 and gains calendar days equivalent to 2017 Novemeber Week 1.
We estimate August week 1 is 7.1% of 3Q ($39.5M) and November week 1 is 7.8% of of 4Q ($43.5M) , the 1/4 month avg from 1999-2009
Underlying spread -0.4%</t>
        </r>
      </text>
    </comment>
    <comment ref="AB13" authorId="14">
      <text>
        <r>
          <rPr>
            <b/>
            <sz val="8"/>
            <color indexed="81"/>
            <rFont val="Tahoma"/>
            <family val="2"/>
          </rPr>
          <t>dong2:</t>
        </r>
        <r>
          <rPr>
            <sz val="8"/>
            <color indexed="81"/>
            <rFont val="Tahoma"/>
            <family val="2"/>
          </rPr>
          <t xml:space="preserve">
$5.3 mm from 14th week of sales</t>
        </r>
      </text>
    </comment>
    <comment ref="AF13" authorId="14">
      <text>
        <r>
          <rPr>
            <b/>
            <sz val="8"/>
            <color indexed="81"/>
            <rFont val="Tahoma"/>
            <family val="2"/>
          </rPr>
          <t>dong2:</t>
        </r>
        <r>
          <rPr>
            <sz val="8"/>
            <color indexed="81"/>
            <rFont val="Tahoma"/>
            <family val="2"/>
          </rPr>
          <t xml:space="preserve">
$97.2, then $99.1 mm</t>
        </r>
      </text>
    </comment>
    <comment ref="AR13" authorId="17">
      <text>
        <r>
          <rPr>
            <b/>
            <sz val="8"/>
            <color indexed="81"/>
            <rFont val="Tahoma"/>
            <family val="2"/>
          </rPr>
          <t>Corinna Freedman:</t>
        </r>
        <r>
          <rPr>
            <sz val="8"/>
            <color indexed="81"/>
            <rFont val="Tahoma"/>
            <family val="2"/>
          </rPr>
          <t xml:space="preserve">
282.9</t>
        </r>
      </text>
    </comment>
    <comment ref="AV13" authorId="3">
      <text>
        <r>
          <rPr>
            <b/>
            <sz val="8"/>
            <color indexed="81"/>
            <rFont val="Tahoma"/>
            <family val="2"/>
          </rPr>
          <t>MB33100:</t>
        </r>
        <r>
          <rPr>
            <sz val="8"/>
            <color indexed="81"/>
            <rFont val="Tahoma"/>
            <family val="2"/>
          </rPr>
          <t xml:space="preserve">
372.6</t>
        </r>
      </text>
    </comment>
    <comment ref="AZ13" authorId="3">
      <text>
        <r>
          <rPr>
            <b/>
            <sz val="8"/>
            <color indexed="81"/>
            <rFont val="Tahoma"/>
            <family val="2"/>
          </rPr>
          <t>MB33100:</t>
        </r>
        <r>
          <rPr>
            <sz val="8"/>
            <color indexed="81"/>
            <rFont val="Tahoma"/>
            <family val="2"/>
          </rPr>
          <t xml:space="preserve">
12/07: 53rd week added $24mm or 3-4c to EPS
449.2</t>
        </r>
      </text>
    </comment>
    <comment ref="BB13" authorId="4">
      <text>
        <r>
          <rPr>
            <b/>
            <sz val="8"/>
            <color indexed="81"/>
            <rFont val="Tahoma"/>
            <family val="2"/>
          </rPr>
          <t>mm98285:</t>
        </r>
        <r>
          <rPr>
            <sz val="8"/>
            <color indexed="81"/>
            <rFont val="Tahoma"/>
            <family val="2"/>
          </rPr>
          <t xml:space="preserve">
8/06: expect flat to +LSD comp at Chico's div. and +HSD comp at WHBM for 4Q</t>
        </r>
      </text>
    </comment>
    <comment ref="BE13" authorId="4">
      <text>
        <r>
          <rPr>
            <b/>
            <sz val="8"/>
            <color indexed="81"/>
            <rFont val="Tahoma"/>
            <family val="2"/>
          </rPr>
          <t>mm98285:</t>
        </r>
        <r>
          <rPr>
            <sz val="8"/>
            <color indexed="81"/>
            <rFont val="Tahoma"/>
            <family val="2"/>
          </rPr>
          <t xml:space="preserve">
12/07: +2% excluding extra week revenues LY</t>
        </r>
      </text>
    </comment>
    <comment ref="BN13" authorId="18">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14.6% (ex DTC)
</t>
        </r>
        <r>
          <rPr>
            <b/>
            <sz val="8"/>
            <color indexed="81"/>
            <rFont val="Tahoma"/>
            <family val="2"/>
          </rPr>
          <t>11/18:</t>
        </r>
        <r>
          <rPr>
            <sz val="8"/>
            <color indexed="81"/>
            <rFont val="Tahoma"/>
            <family val="2"/>
          </rPr>
          <t>Management guided 4Q comps to be positive but potentially not as robust as 3Q09’s +12.8%.
We are encouraged that CHS has not seen a falloff in the first 16 days of November as +DD comp increases</t>
        </r>
      </text>
    </comment>
    <comment ref="BR13" authorId="11">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1.1% (ex DTC)
</t>
        </r>
        <r>
          <rPr>
            <b/>
            <sz val="8"/>
            <color indexed="81"/>
            <rFont val="Tahoma"/>
            <family val="2"/>
          </rPr>
          <t>11/10:</t>
        </r>
        <r>
          <rPr>
            <sz val="8"/>
            <color indexed="81"/>
            <rFont val="Tahoma"/>
            <family val="2"/>
          </rPr>
          <t xml:space="preserve"> Comp +LSD similar to 3Q</t>
        </r>
        <r>
          <rPr>
            <b/>
            <sz val="8"/>
            <color indexed="81"/>
            <rFont val="Tahoma"/>
            <family val="2"/>
          </rPr>
          <t xml:space="preserve">
marchant:</t>
        </r>
        <r>
          <rPr>
            <sz val="8"/>
            <color indexed="81"/>
            <rFont val="Tahoma"/>
            <family val="2"/>
          </rPr>
          <t xml:space="preserve">
8/10: expect +SD</t>
        </r>
      </text>
    </comment>
    <comment ref="BU13" authorId="5">
      <text>
        <r>
          <rPr>
            <b/>
            <sz val="8"/>
            <color indexed="81"/>
            <rFont val="Tahoma"/>
            <family val="2"/>
          </rPr>
          <t>lauraro:</t>
        </r>
        <r>
          <rPr>
            <sz val="8"/>
            <color indexed="81"/>
            <rFont val="Tahoma"/>
            <family val="2"/>
          </rPr>
          <t xml:space="preserve">
11/22/11: QTD +15%, 4.6% comp
Expect +MSD comp, ~mid-teens total sales growth</t>
        </r>
      </text>
    </comment>
    <comment ref="BV13" authorId="5">
      <text>
        <r>
          <rPr>
            <b/>
            <sz val="8"/>
            <color indexed="81"/>
            <rFont val="Tahoma"/>
            <family val="2"/>
          </rPr>
          <t>lauraro:</t>
        </r>
        <r>
          <rPr>
            <sz val="8"/>
            <color indexed="81"/>
            <rFont val="Tahoma"/>
            <family val="2"/>
          </rPr>
          <t xml:space="preserve">
11/22/11: QTD +15%, 4.6% comp
Expect +MSD comp, ~mid-teens total sales growth</t>
        </r>
      </text>
    </comment>
    <comment ref="BX13" authorId="5">
      <text>
        <r>
          <rPr>
            <b/>
            <sz val="8"/>
            <color indexed="81"/>
            <rFont val="Tahoma"/>
            <family val="2"/>
          </rPr>
          <t xml:space="preserve">antons:
2/28/13: </t>
        </r>
        <r>
          <rPr>
            <sz val="8"/>
            <color indexed="81"/>
            <rFont val="Tahoma"/>
            <family val="2"/>
          </rPr>
          <t>From 4Q12 Conf. call - CFO, Net sales up 15% due to comps growth, store openings and the impact of the 53rd week. "net sales were $652 million, an increase of 15% compared to $569 million last year, reflecting comparable sales growth of
3.7%, the opening of 101 net new stores, and approximately $38 million in sales for the 53rd week."</t>
        </r>
        <r>
          <rPr>
            <b/>
            <sz val="8"/>
            <color indexed="81"/>
            <rFont val="Tahoma"/>
            <family val="2"/>
          </rPr>
          <t xml:space="preserve">
11/20: </t>
        </r>
        <r>
          <rPr>
            <sz val="8"/>
            <color indexed="81"/>
            <rFont val="Tahoma"/>
            <family val="2"/>
          </rPr>
          <t>extra week +$30M in sales, but no incremental earnings</t>
        </r>
        <r>
          <rPr>
            <b/>
            <sz val="8"/>
            <color indexed="81"/>
            <rFont val="Tahoma"/>
            <family val="2"/>
          </rPr>
          <t xml:space="preserve">
lauraro:</t>
        </r>
        <r>
          <rPr>
            <sz val="8"/>
            <color indexed="81"/>
            <rFont val="Tahoma"/>
            <family val="2"/>
          </rPr>
          <t xml:space="preserve">
$632M ex extra week</t>
        </r>
      </text>
    </comment>
    <comment ref="BZ13" authorId="7">
      <text>
        <r>
          <rPr>
            <b/>
            <sz val="8"/>
            <color indexed="81"/>
            <rFont val="Tahoma"/>
            <family val="2"/>
          </rPr>
          <t>2/28/13:</t>
        </r>
        <r>
          <rPr>
            <sz val="8"/>
            <color indexed="81"/>
            <rFont val="Tahoma"/>
            <family val="2"/>
          </rPr>
          <t xml:space="preserve"> reflects increases in both avg dollar sale and transaction count</t>
        </r>
        <r>
          <rPr>
            <b/>
            <sz val="8"/>
            <color indexed="81"/>
            <rFont val="Tahoma"/>
            <family val="2"/>
          </rPr>
          <t xml:space="preserve">
11/20</t>
        </r>
        <r>
          <rPr>
            <sz val="8"/>
            <color indexed="81"/>
            <rFont val="Tahoma"/>
            <family val="2"/>
          </rPr>
          <t>: running about 3% QTD; excluding hurricane would have been up +M-HSD</t>
        </r>
        <r>
          <rPr>
            <b/>
            <sz val="8"/>
            <color indexed="81"/>
            <rFont val="Tahoma"/>
            <family val="2"/>
          </rPr>
          <t xml:space="preserve">
casselau:</t>
        </r>
        <r>
          <rPr>
            <sz val="8"/>
            <color indexed="81"/>
            <rFont val="Tahoma"/>
            <family val="2"/>
          </rPr>
          <t xml:space="preserve">
8/22/12: planning for +MSD</t>
        </r>
      </text>
    </comment>
    <comment ref="CC13" authorId="7">
      <text>
        <r>
          <rPr>
            <b/>
            <sz val="8"/>
            <color indexed="81"/>
            <rFont val="Tahoma"/>
            <family val="2"/>
          </rPr>
          <t xml:space="preserve">casselau:
</t>
        </r>
        <r>
          <rPr>
            <sz val="8"/>
            <color indexed="81"/>
            <rFont val="Tahoma"/>
            <family val="2"/>
          </rPr>
          <t>2/27/14: reflects 115 net new stores for +8.4% sqft increase; -$38M attributable for the 53rd week</t>
        </r>
        <r>
          <rPr>
            <sz val="8"/>
            <color indexed="81"/>
            <rFont val="Tahoma"/>
            <family val="2"/>
          </rPr>
          <t xml:space="preserve">
11/26/13: QTD sales +5% on comparable basis; extra week$38M/6.7% of LY</t>
        </r>
      </text>
    </comment>
    <comment ref="CD13" authorId="7">
      <text>
        <r>
          <rPr>
            <b/>
            <sz val="8"/>
            <color indexed="81"/>
            <rFont val="Tahoma"/>
            <family val="2"/>
          </rPr>
          <t xml:space="preserve">casselau:
</t>
        </r>
        <r>
          <rPr>
            <sz val="8"/>
            <color indexed="81"/>
            <rFont val="Tahoma"/>
            <family val="2"/>
          </rPr>
          <t>2/27/14:</t>
        </r>
        <r>
          <rPr>
            <b/>
            <sz val="8"/>
            <color indexed="81"/>
            <rFont val="Tahoma"/>
            <family val="2"/>
          </rPr>
          <t xml:space="preserve"> </t>
        </r>
        <r>
          <rPr>
            <sz val="8"/>
            <color indexed="81"/>
            <rFont val="Tahoma"/>
            <family val="2"/>
          </rPr>
          <t>reflects lower ADS and transaction count; conversion and UPT positive</t>
        </r>
        <r>
          <rPr>
            <sz val="8"/>
            <color indexed="81"/>
            <rFont val="Tahoma"/>
            <family val="2"/>
          </rPr>
          <t xml:space="preserve">
11/26/13: QTD +1% comp (ex Hurricane Sandy stores)</t>
        </r>
      </text>
    </comment>
    <comment ref="CG13" authorId="7">
      <text>
        <r>
          <rPr>
            <b/>
            <sz val="9"/>
            <color indexed="81"/>
            <rFont val="Tahoma"/>
            <family val="2"/>
          </rPr>
          <t>casselau:
2/26/15: 75 net new stores (+4.5% sqft); port delays impacted by -1%</t>
        </r>
        <r>
          <rPr>
            <sz val="9"/>
            <color indexed="81"/>
            <rFont val="Tahoma"/>
            <family val="2"/>
          </rPr>
          <t xml:space="preserve">
11/25/14: QTD sales +4%</t>
        </r>
      </text>
    </comment>
    <comment ref="CH13" authorId="7">
      <text>
        <r>
          <rPr>
            <b/>
            <sz val="9"/>
            <color indexed="81"/>
            <rFont val="Tahoma"/>
            <family val="2"/>
          </rPr>
          <t xml:space="preserve">casselau:
2/26/15: increase in transactions and ADS (+AUR)
</t>
        </r>
        <r>
          <rPr>
            <sz val="9"/>
            <color indexed="81"/>
            <rFont val="Tahoma"/>
            <family val="2"/>
          </rPr>
          <t>11/25/14: QTD comp flat; continue to expect positive comps (units down, AUR up)
8/27/14: expecting positive 4Q comps</t>
        </r>
      </text>
    </comment>
    <comment ref="CL13" authorId="13">
      <text>
        <r>
          <rPr>
            <b/>
            <sz val="9"/>
            <color indexed="81"/>
            <rFont val="Tahoma"/>
            <family val="2"/>
          </rPr>
          <t xml:space="preserve">2/25/16: reflects decrease in ADS partially offset by an increase in transaction count </t>
        </r>
        <r>
          <rPr>
            <sz val="9"/>
            <color indexed="81"/>
            <rFont val="Tahoma"/>
            <family val="2"/>
          </rPr>
          <t xml:space="preserve">
11/24/15: QTD total company comp -4.8%</t>
        </r>
      </text>
    </comment>
    <comment ref="CP13" authorId="8">
      <text>
        <r>
          <rPr>
            <b/>
            <sz val="9"/>
            <color indexed="81"/>
            <rFont val="Tahoma"/>
            <family val="2"/>
          </rPr>
          <t xml:space="preserve">Cassel, Lauren (Research):
2/22/17: driven by reduced transaction count and an increase in average dollar sale; AUR increased primarily due to a reduction in promotional activity
</t>
        </r>
        <r>
          <rPr>
            <sz val="9"/>
            <color indexed="81"/>
            <rFont val="Tahoma"/>
            <family val="2"/>
          </rPr>
          <t xml:space="preserve">
8/30/16: </t>
        </r>
        <r>
          <rPr>
            <b/>
            <sz val="9"/>
            <color indexed="81"/>
            <rFont val="Tahoma"/>
            <family val="2"/>
          </rPr>
          <t>guidance: -LSD comparable sales decline for the second half.</t>
        </r>
      </text>
    </comment>
    <comment ref="CR13" authorId="8">
      <text>
        <r>
          <rPr>
            <b/>
            <sz val="9"/>
            <color indexed="81"/>
            <rFont val="Tahoma"/>
            <family val="2"/>
          </rPr>
          <t xml:space="preserve">Cassel, Lauren (Research):
</t>
        </r>
        <r>
          <rPr>
            <sz val="9"/>
            <color indexed="81"/>
            <rFont val="Tahoma"/>
            <family val="2"/>
          </rPr>
          <t xml:space="preserve">2/28/18: $29 million benefit of
the 53(rd )week
</t>
        </r>
        <r>
          <rPr>
            <b/>
            <sz val="9"/>
            <color indexed="81"/>
            <rFont val="Tahoma"/>
            <family val="2"/>
          </rPr>
          <t xml:space="preserve">
8/20/17: 53rd week: $30M in sales = 5% and no EPS benefit
</t>
        </r>
        <r>
          <rPr>
            <sz val="9"/>
            <color indexed="81"/>
            <rFont val="Tahoma"/>
            <family val="2"/>
          </rPr>
          <t>2/22/17: 53rd week: $35M in sales = 5.8% and no EPS benefit</t>
        </r>
        <r>
          <rPr>
            <b/>
            <sz val="9"/>
            <color indexed="81"/>
            <rFont val="Tahoma"/>
            <family val="2"/>
          </rPr>
          <t xml:space="preserve">
</t>
        </r>
        <r>
          <rPr>
            <sz val="9"/>
            <color indexed="81"/>
            <rFont val="Tahoma"/>
            <family val="2"/>
          </rPr>
          <t xml:space="preserve">
12/20/16: 2012 53rd week added $38M in sales (but that included BP which was like $1-2M and they were comping +HSD) = ~5% growth</t>
        </r>
      </text>
    </comment>
    <comment ref="CS13" authorId="8">
      <text>
        <r>
          <rPr>
            <b/>
            <sz val="9"/>
            <color indexed="81"/>
            <rFont val="Tahoma"/>
            <family val="2"/>
          </rPr>
          <t xml:space="preserve">Cassel, Lauren (Research):
2/28/18: for CHS brand, AUR slightly down, UPT positive, Conversion up, transactions slightly down
8/20/17: 53rd week: $30M in sales = 5% and no EPS benefit
</t>
        </r>
        <r>
          <rPr>
            <sz val="9"/>
            <color indexed="81"/>
            <rFont val="Tahoma"/>
            <family val="2"/>
          </rPr>
          <t>2/22/17: 53rd week: $35M in sales = 5.8% and no EPS benefit</t>
        </r>
        <r>
          <rPr>
            <b/>
            <sz val="9"/>
            <color indexed="81"/>
            <rFont val="Tahoma"/>
            <family val="2"/>
          </rPr>
          <t xml:space="preserve">
</t>
        </r>
        <r>
          <rPr>
            <sz val="9"/>
            <color indexed="81"/>
            <rFont val="Tahoma"/>
            <family val="2"/>
          </rPr>
          <t xml:space="preserve">
12/20/16: 2012 53rd week added $38M in sales (but that included BP which was like $1-2M and they were comping +HSD) = ~5% growth</t>
        </r>
      </text>
    </comment>
    <comment ref="CT13" authorId="8">
      <text>
        <r>
          <rPr>
            <b/>
            <sz val="9"/>
            <color indexed="81"/>
            <rFont val="Tahoma"/>
            <family val="2"/>
          </rPr>
          <t>Cassel, Lauren (Research):
2/28/18: $29 million benefit of the 53rd week
1/8/18: -5 to -7 guidance
11/21/17: guidance -HSD</t>
        </r>
        <r>
          <rPr>
            <sz val="9"/>
            <color indexed="81"/>
            <rFont val="Tahoma"/>
            <family val="2"/>
          </rPr>
          <t xml:space="preserve">
5/24/17: expect 2H comps -LSD</t>
        </r>
      </text>
    </comment>
    <comment ref="CW13" authorId="16">
      <text>
        <r>
          <rPr>
            <b/>
            <sz val="9"/>
            <color indexed="81"/>
            <rFont val="Tahoma"/>
            <family val="2"/>
          </rPr>
          <t>Roberts, Cynthia (Research):</t>
        </r>
        <r>
          <rPr>
            <sz val="9"/>
            <color indexed="81"/>
            <rFont val="Tahoma"/>
            <family val="2"/>
          </rPr>
          <t xml:space="preserve">
Reversal of 53rd week, quarter loses calendar days equivalent to 2017 November Week 1.
Avg of 1/4 of November sales from 1999-2009 is 7.8% of 4Q sales. (7.8% of 4Q17 ex 53rd week= $43.5M or 7.4% of 4Q17 inc 53rd week)
Underlying spread -0.5%</t>
        </r>
      </text>
    </comment>
    <comment ref="BB14" authorId="4">
      <text>
        <r>
          <rPr>
            <b/>
            <sz val="8"/>
            <color indexed="81"/>
            <rFont val="Tahoma"/>
            <family val="2"/>
          </rPr>
          <t>mm98285:</t>
        </r>
        <r>
          <rPr>
            <sz val="8"/>
            <color indexed="81"/>
            <rFont val="Tahoma"/>
            <family val="2"/>
          </rPr>
          <t xml:space="preserve">
8/06: expect +LSD comp at Chico's div. and +mid-teen comp at WHBM for the year
5/06: expect +MSD comp at Chico's div. and +mid-teen comp at WHBM for the year</t>
        </r>
      </text>
    </comment>
    <comment ref="BN14" authorId="5">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original comp 6.1% (ex DTC)</t>
        </r>
      </text>
    </comment>
    <comment ref="BR14" authorId="19">
      <text>
        <r>
          <rPr>
            <b/>
            <sz val="8"/>
            <color indexed="81"/>
            <rFont val="Tahoma"/>
            <family val="2"/>
          </rPr>
          <t xml:space="preserve">lauraro:
2/11: </t>
        </r>
        <r>
          <rPr>
            <sz val="8"/>
            <color indexed="81"/>
            <rFont val="Tahoma"/>
            <family val="2"/>
          </rPr>
          <t>original comp 6.6% (ex DTC)</t>
        </r>
        <r>
          <rPr>
            <b/>
            <sz val="8"/>
            <color indexed="81"/>
            <rFont val="Tahoma"/>
            <family val="2"/>
          </rPr>
          <t xml:space="preserve">
oc48540:</t>
        </r>
        <r>
          <rPr>
            <sz val="8"/>
            <color indexed="81"/>
            <rFont val="Tahoma"/>
            <family val="2"/>
          </rPr>
          <t xml:space="preserve">
2/24/10:  ~+MSD</t>
        </r>
      </text>
    </comment>
    <comment ref="BU14" authorId="5">
      <text>
        <r>
          <rPr>
            <b/>
            <sz val="8"/>
            <color indexed="81"/>
            <rFont val="Tahoma"/>
            <family val="2"/>
          </rPr>
          <t>lauraro:</t>
        </r>
        <r>
          <rPr>
            <sz val="8"/>
            <color indexed="81"/>
            <rFont val="Tahoma"/>
            <family val="2"/>
          </rPr>
          <t xml:space="preserve">
2/11: Exp sales to increase a low teen percentage, largely from the net addition of 100-110 stores in 2011
12-13% is Low Teens</t>
        </r>
      </text>
    </comment>
    <comment ref="BV14" authorId="5">
      <text>
        <r>
          <rPr>
            <b/>
            <sz val="8"/>
            <color indexed="81"/>
            <rFont val="Tahoma"/>
            <family val="2"/>
          </rPr>
          <t>lauraro:</t>
        </r>
        <r>
          <rPr>
            <sz val="8"/>
            <color indexed="81"/>
            <rFont val="Tahoma"/>
            <family val="2"/>
          </rPr>
          <t xml:space="preserve">
2/11: L-MSD comps</t>
        </r>
      </text>
    </comment>
    <comment ref="BX14" authorId="5">
      <text>
        <r>
          <rPr>
            <b/>
            <sz val="8"/>
            <color indexed="81"/>
            <rFont val="Tahoma"/>
            <family val="2"/>
          </rPr>
          <t xml:space="preserve">11/20: sales $2.55-$2.6B
8/22/12: </t>
        </r>
        <r>
          <rPr>
            <sz val="8"/>
            <color indexed="81"/>
            <rFont val="Tahoma"/>
            <family val="2"/>
          </rPr>
          <t>sales $2.55B-$2.6B, includes +MSD comp; ~$30M in sales from the 53rd week</t>
        </r>
        <r>
          <rPr>
            <b/>
            <sz val="8"/>
            <color indexed="81"/>
            <rFont val="Tahoma"/>
            <family val="2"/>
          </rPr>
          <t xml:space="preserve">
lauraro:</t>
        </r>
        <r>
          <rPr>
            <sz val="8"/>
            <color indexed="81"/>
            <rFont val="Tahoma"/>
            <family val="2"/>
          </rPr>
          <t xml:space="preserve">
</t>
        </r>
        <r>
          <rPr>
            <b/>
            <sz val="8"/>
            <color indexed="81"/>
            <rFont val="Tahoma"/>
            <family val="2"/>
          </rPr>
          <t xml:space="preserve">5/16/12: </t>
        </r>
        <r>
          <rPr>
            <sz val="8"/>
            <color indexed="81"/>
            <rFont val="Tahoma"/>
            <family val="2"/>
          </rPr>
          <t>Sales +mid-high teens% to ~$2.5-$2.6Bn, comp +MSD, ~9% sq ftge and ~$30M 53rd week sales</t>
        </r>
        <r>
          <rPr>
            <sz val="8"/>
            <color indexed="81"/>
            <rFont val="Tahoma"/>
            <family val="2"/>
          </rPr>
          <t xml:space="preserve">
</t>
        </r>
        <r>
          <rPr>
            <b/>
            <sz val="8"/>
            <color indexed="81"/>
            <rFont val="Tahoma"/>
            <family val="2"/>
          </rPr>
          <t>2/22/12:</t>
        </r>
        <r>
          <rPr>
            <sz val="8"/>
            <color indexed="81"/>
            <rFont val="Tahoma"/>
            <family val="2"/>
          </rPr>
          <t xml:space="preserve"> Sales +mid-teens% to ~$2.5 billion, including +MSD comp, ~9% sq ftge growth and ~$30M in sales from the 53rd week</t>
        </r>
        <r>
          <rPr>
            <sz val="8"/>
            <color indexed="81"/>
            <rFont val="Tahoma"/>
            <family val="2"/>
          </rPr>
          <t xml:space="preserve">
</t>
        </r>
        <r>
          <rPr>
            <b/>
            <sz val="8"/>
            <color indexed="81"/>
            <rFont val="Tahoma"/>
            <family val="2"/>
          </rPr>
          <t>1/12/12:</t>
        </r>
        <r>
          <rPr>
            <sz val="8"/>
            <color indexed="81"/>
            <rFont val="Tahoma"/>
            <family val="2"/>
          </rPr>
          <t xml:space="preserve">
$2443 ex extra week</t>
        </r>
      </text>
    </comment>
    <comment ref="BY14" authorId="5">
      <text>
        <r>
          <rPr>
            <sz val="8"/>
            <color indexed="81"/>
            <rFont val="Tahoma"/>
            <family val="2"/>
          </rPr>
          <t xml:space="preserve">CHS achieved double digit percentage improvements in new customers.
</t>
        </r>
        <r>
          <rPr>
            <b/>
            <sz val="8"/>
            <color indexed="81"/>
            <rFont val="Tahoma"/>
            <family val="2"/>
          </rPr>
          <t xml:space="preserve">5/16/12: </t>
        </r>
        <r>
          <rPr>
            <sz val="8"/>
            <color indexed="81"/>
            <rFont val="Tahoma"/>
            <family val="2"/>
          </rPr>
          <t>5/16/12: Sales +mid-high teens% to ~$2.5-$2.6Bn</t>
        </r>
        <r>
          <rPr>
            <sz val="8"/>
            <color indexed="81"/>
            <rFont val="Tahoma"/>
            <family val="2"/>
          </rPr>
          <t xml:space="preserve">
</t>
        </r>
        <r>
          <rPr>
            <b/>
            <sz val="8"/>
            <color indexed="81"/>
            <rFont val="Tahoma"/>
            <family val="2"/>
          </rPr>
          <t xml:space="preserve">2/22/12: </t>
        </r>
        <r>
          <rPr>
            <sz val="8"/>
            <color indexed="81"/>
            <rFont val="Tahoma"/>
            <family val="2"/>
          </rPr>
          <t>+Mid-teens%</t>
        </r>
      </text>
    </comment>
    <comment ref="BZ14" authorId="5">
      <text>
        <r>
          <rPr>
            <b/>
            <sz val="8"/>
            <color indexed="81"/>
            <rFont val="Tahoma"/>
            <family val="2"/>
          </rPr>
          <t xml:space="preserve">11/20: +MSD
8/22/12: </t>
        </r>
        <r>
          <rPr>
            <sz val="8"/>
            <color indexed="81"/>
            <rFont val="Tahoma"/>
            <family val="2"/>
          </rPr>
          <t>+MSD comp</t>
        </r>
        <r>
          <rPr>
            <b/>
            <sz val="8"/>
            <color indexed="81"/>
            <rFont val="Tahoma"/>
            <family val="2"/>
          </rPr>
          <t xml:space="preserve">
lauraro:</t>
        </r>
        <r>
          <rPr>
            <sz val="8"/>
            <color indexed="81"/>
            <rFont val="Tahoma"/>
            <family val="2"/>
          </rPr>
          <t xml:space="preserve">
</t>
        </r>
        <r>
          <rPr>
            <b/>
            <sz val="8"/>
            <color indexed="81"/>
            <rFont val="Tahoma"/>
            <family val="2"/>
          </rPr>
          <t xml:space="preserve">5/16/12: </t>
        </r>
        <r>
          <rPr>
            <sz val="8"/>
            <color indexed="81"/>
            <rFont val="Tahoma"/>
            <family val="2"/>
          </rPr>
          <t>Sales +mid-high teens% to ~$2.5-$2.6Bn, comp +MSD</t>
        </r>
        <r>
          <rPr>
            <sz val="8"/>
            <color indexed="81"/>
            <rFont val="Tahoma"/>
            <family val="2"/>
          </rPr>
          <t xml:space="preserve">
</t>
        </r>
        <r>
          <rPr>
            <b/>
            <sz val="8"/>
            <color indexed="81"/>
            <rFont val="Tahoma"/>
            <family val="2"/>
          </rPr>
          <t>2/22/12:</t>
        </r>
        <r>
          <rPr>
            <sz val="8"/>
            <color indexed="81"/>
            <rFont val="Tahoma"/>
            <family val="2"/>
          </rPr>
          <t xml:space="preserve"> +MSD comp</t>
        </r>
      </text>
    </comment>
    <comment ref="CC14" authorId="7">
      <text>
        <r>
          <rPr>
            <b/>
            <sz val="8"/>
            <color indexed="81"/>
            <rFont val="Tahoma"/>
            <family val="2"/>
          </rPr>
          <t xml:space="preserve">casselau:
</t>
        </r>
        <r>
          <rPr>
            <sz val="8"/>
            <color indexed="81"/>
            <rFont val="Tahoma"/>
            <family val="2"/>
          </rPr>
          <t>2/26/14: 115 net new stores for 8.4% sq ft increase ($38M due to 53rd week)</t>
        </r>
        <r>
          <rPr>
            <sz val="8"/>
            <color indexed="81"/>
            <rFont val="Tahoma"/>
            <family val="2"/>
          </rPr>
          <t xml:space="preserve">
2/28/13: guidance +LDD sales growth 
</t>
        </r>
        <r>
          <rPr>
            <b/>
            <sz val="8"/>
            <color indexed="81"/>
            <rFont val="Tahoma"/>
            <family val="2"/>
          </rPr>
          <t xml:space="preserve">antons:
</t>
        </r>
        <r>
          <rPr>
            <sz val="8"/>
            <color indexed="81"/>
            <rFont val="Tahoma"/>
            <family val="2"/>
          </rPr>
          <t>2/28/13: From 4Q12 Conf. call - Cfo, 2013 Sales growth driven by omni-channel and domestic expansion. "...our primary initiatives for sales growth are expanding domestic new stores and our omni-channel capabilities, increasing the breadth of products using slimming technologies, creating innovative marketing and developing new fabrications, including the Perfect Form fabric for White House | Black Market."</t>
        </r>
      </text>
    </comment>
    <comment ref="CD14" authorId="7">
      <text>
        <r>
          <rPr>
            <b/>
            <sz val="8"/>
            <color indexed="81"/>
            <rFont val="Tahoma"/>
            <family val="2"/>
          </rPr>
          <t>casselau:</t>
        </r>
        <r>
          <rPr>
            <sz val="8"/>
            <color indexed="81"/>
            <rFont val="Tahoma"/>
            <family val="2"/>
          </rPr>
          <t xml:space="preserve">
2/27/14: reflects lowre ADS, partially offset by higher transactions, primarily as a result of the impact of a highly promotional encironment in response to lower traffic</t>
        </r>
      </text>
    </comment>
    <comment ref="CG14" authorId="7">
      <text>
        <r>
          <rPr>
            <b/>
            <sz val="8"/>
            <color indexed="81"/>
            <rFont val="Tahoma"/>
            <family val="2"/>
          </rPr>
          <t>casselau:
2/26/15: 75 net new stores (sqft +4.5%)</t>
        </r>
        <r>
          <rPr>
            <sz val="8"/>
            <color indexed="81"/>
            <rFont val="Tahoma"/>
            <family val="2"/>
          </rPr>
          <t xml:space="preserve">
2/27/14: ongoing goal is LDD sales growth</t>
        </r>
      </text>
    </comment>
    <comment ref="CH14" authorId="7">
      <text>
        <r>
          <rPr>
            <b/>
            <sz val="9"/>
            <color indexed="81"/>
            <rFont val="Tahoma"/>
            <family val="2"/>
          </rPr>
          <t>casselau:</t>
        </r>
        <r>
          <rPr>
            <sz val="9"/>
            <color indexed="81"/>
            <rFont val="Tahoma"/>
            <family val="2"/>
          </rPr>
          <t xml:space="preserve">
2/25/15: increase in transactions offset by a decrease in ADS</t>
        </r>
      </text>
    </comment>
    <comment ref="CK14" authorId="7">
      <text>
        <r>
          <rPr>
            <sz val="9"/>
            <color indexed="81"/>
            <rFont val="Tahoma"/>
            <family val="2"/>
          </rPr>
          <t>5/27/: Expect spread to be between 1-2%.</t>
        </r>
        <r>
          <rPr>
            <b/>
            <sz val="9"/>
            <color indexed="81"/>
            <rFont val="Tahoma"/>
            <family val="2"/>
          </rPr>
          <t xml:space="preserve">
casselau:</t>
        </r>
        <r>
          <rPr>
            <sz val="9"/>
            <color indexed="81"/>
            <rFont val="Tahoma"/>
            <family val="2"/>
          </rPr>
          <t xml:space="preserve">
2/26/15: expect spread 2-3%</t>
        </r>
      </text>
    </comment>
    <comment ref="CL14" authorId="7">
      <text>
        <r>
          <rPr>
            <sz val="9"/>
            <color indexed="81"/>
            <rFont val="Tahoma"/>
            <family val="2"/>
          </rPr>
          <t>2/25/16: reflects decrease in ADS and flat transactions 
5/27/15: guidanc: expect modestly positive increase in comp sales through recovery in AUR.</t>
        </r>
        <r>
          <rPr>
            <b/>
            <sz val="9"/>
            <color indexed="81"/>
            <rFont val="Tahoma"/>
            <family val="2"/>
          </rPr>
          <t xml:space="preserve">
casselau:</t>
        </r>
        <r>
          <rPr>
            <sz val="9"/>
            <color indexed="81"/>
            <rFont val="Tahoma"/>
            <family val="2"/>
          </rPr>
          <t xml:space="preserve">
2/26/15: +LSD comp guidance</t>
        </r>
      </text>
    </comment>
    <comment ref="CP14" authorId="7">
      <text>
        <r>
          <rPr>
            <b/>
            <sz val="9"/>
            <color indexed="81"/>
            <rFont val="Tahoma"/>
            <family val="2"/>
          </rPr>
          <t>casselau:
2/22/17: driven by reduced transaction count and lower average dollar sale 
5/26/16: expect comps -LSD for the remainder of the year</t>
        </r>
        <r>
          <rPr>
            <sz val="9"/>
            <color indexed="81"/>
            <rFont val="Tahoma"/>
            <family val="2"/>
          </rPr>
          <t xml:space="preserve">
2/25/16: guidance flat to slightly negative comps, with more opportunity for positive growth in the back half of the year</t>
        </r>
      </text>
    </comment>
    <comment ref="CT14" authorId="8">
      <text>
        <r>
          <rPr>
            <b/>
            <sz val="9"/>
            <color indexed="81"/>
            <rFont val="Tahoma"/>
            <family val="2"/>
          </rPr>
          <t>Cassel, Lauren (Research):
8/30/17: guidance: -HSD comp
5/24/17: guidance: -MSD comp</t>
        </r>
        <r>
          <rPr>
            <sz val="9"/>
            <color indexed="81"/>
            <rFont val="Tahoma"/>
            <family val="2"/>
          </rPr>
          <t xml:space="preserve">
2/22/17: guidance: -LSD comps as the company continues to rationalize its promotional activity</t>
        </r>
      </text>
    </comment>
    <comment ref="CX14" authorId="20">
      <text>
        <r>
          <rPr>
            <b/>
            <sz val="9"/>
            <color indexed="81"/>
            <rFont val="Tahoma"/>
            <family val="2"/>
          </rPr>
          <t>De Courreges, Edouard (Research):</t>
        </r>
        <r>
          <rPr>
            <sz val="9"/>
            <color indexed="81"/>
            <rFont val="Tahoma"/>
            <family val="2"/>
          </rPr>
          <t xml:space="preserve">
2/28/18: -LSD guide, with sequential improvement btw 1H and 2H</t>
        </r>
      </text>
    </comment>
    <comment ref="DD19" authorId="5">
      <text>
        <r>
          <rPr>
            <b/>
            <sz val="8"/>
            <color indexed="81"/>
            <rFont val="Tahoma"/>
            <family val="2"/>
          </rPr>
          <t>lauraro:</t>
        </r>
        <r>
          <rPr>
            <sz val="8"/>
            <color indexed="81"/>
            <rFont val="Tahoma"/>
            <family val="2"/>
          </rPr>
          <t xml:space="preserve">
</t>
        </r>
        <r>
          <rPr>
            <b/>
            <sz val="8"/>
            <color indexed="81"/>
            <rFont val="Tahoma"/>
            <family val="2"/>
          </rPr>
          <t>3/1/11:</t>
        </r>
        <r>
          <rPr>
            <sz val="8"/>
            <color indexed="81"/>
            <rFont val="Tahoma"/>
            <family val="2"/>
          </rPr>
          <t xml:space="preserve"> We've made it quite clear that we plan to have a significant migration of production out of China into other areas of Asia over the next 18 to 24 months (aim for 40% out of China, currently ~63%). Be clear about 3 things: </t>
        </r>
        <r>
          <rPr>
            <b/>
            <sz val="8"/>
            <color indexed="81"/>
            <rFont val="Tahoma"/>
            <family val="2"/>
          </rPr>
          <t>1)</t>
        </r>
        <r>
          <rPr>
            <sz val="8"/>
            <color indexed="81"/>
            <rFont val="Tahoma"/>
            <family val="2"/>
          </rPr>
          <t xml:space="preserve"> According to our sourcing partners, there still is some undeveloped capacity in China. We just have to go to more remote regions in western and northern China. </t>
        </r>
        <r>
          <rPr>
            <b/>
            <sz val="8"/>
            <color indexed="81"/>
            <rFont val="Tahoma"/>
            <family val="2"/>
          </rPr>
          <t>2)</t>
        </r>
        <r>
          <rPr>
            <sz val="8"/>
            <color indexed="81"/>
            <rFont val="Tahoma"/>
            <family val="2"/>
          </rPr>
          <t xml:space="preserve"> China has one of the highest productivity ratios in Asia from a finished goods production perspective. So when we migrate to other countries, it isn't necessarily a one for one tradeoff. We give a little bit up in terms of
less productivity. </t>
        </r>
        <r>
          <rPr>
            <b/>
            <sz val="8"/>
            <color indexed="81"/>
            <rFont val="Tahoma"/>
            <family val="2"/>
          </rPr>
          <t>3)</t>
        </r>
        <r>
          <rPr>
            <sz val="8"/>
            <color indexed="81"/>
            <rFont val="Tahoma"/>
            <family val="2"/>
          </rPr>
          <t xml:space="preserve"> </t>
        </r>
        <r>
          <rPr>
            <sz val="8"/>
            <color indexed="81"/>
            <rFont val="Tahoma"/>
            <family val="2"/>
          </rPr>
          <t>There are probably going to be a few product categories that are going to be very hard to move. I think sweaters is the one that comes first to mind. I think in the dress business, which is important for our White House brand, that that will be difficult to move. And then also the footwear, which is also part of the White House brand, will also be difficult to move. But we'll make significant efforts in all the other categories.
Strengthening in: Vietnam, Indonesia, India, Sri Lanka, USA</t>
        </r>
      </text>
    </comment>
    <comment ref="AK20" authorId="14">
      <text>
        <r>
          <rPr>
            <b/>
            <sz val="8"/>
            <color indexed="81"/>
            <rFont val="Tahoma"/>
            <family val="2"/>
          </rPr>
          <t>dong2:</t>
        </r>
        <r>
          <rPr>
            <sz val="8"/>
            <color indexed="81"/>
            <rFont val="Tahoma"/>
            <family val="2"/>
          </rPr>
          <t xml:space="preserve">
could be impact from bringing sourcing away from Turkey/India to U.S.
(this is my immed. Reaction to post 9/11).
12/5: but co sees more oppty to grow GM than SG&amp;A in future, with goal of flat SG&amp;A w/ +5% Comp
Also, may be some pressure (30 to 40 bps in each qtr) from relocating to D.C. as early as 3Q and 4Q. We think more likely to come 1Q and 2Q (given that they will be busy opening stores in 2H02) but ask co. how progressing. Don't forget to model in pressure in 1H03!!
4/8: $47.8 and 60.2%. 5/6: $48.8 and 60.2%
5/02: model flat GM w/ oppty for upside given sourcing initiatives and outlet refocus and lower MDs as a result of full price selling, offset slightly by increasing costs from running 2 DCs.</t>
        </r>
      </text>
    </comment>
    <comment ref="AO20" authorId="1">
      <text>
        <r>
          <rPr>
            <b/>
            <sz val="8"/>
            <color indexed="81"/>
            <rFont val="Tahoma"/>
            <family val="2"/>
          </rPr>
          <t>dliu:</t>
        </r>
        <r>
          <rPr>
            <sz val="8"/>
            <color indexed="81"/>
            <rFont val="Tahoma"/>
            <family val="2"/>
          </rPr>
          <t xml:space="preserve">
61.4</t>
        </r>
      </text>
    </comment>
    <comment ref="AW20" authorId="2">
      <text>
        <r>
          <rPr>
            <b/>
            <sz val="8"/>
            <color indexed="81"/>
            <rFont val="Tahoma"/>
            <family val="2"/>
          </rPr>
          <t>Morry Brown:</t>
        </r>
        <r>
          <rPr>
            <sz val="8"/>
            <color indexed="81"/>
            <rFont val="Tahoma"/>
            <family val="2"/>
          </rPr>
          <t xml:space="preserve">
61.5% est</t>
        </r>
      </text>
    </comment>
    <comment ref="BA20" authorId="21">
      <text>
        <r>
          <rPr>
            <b/>
            <sz val="8"/>
            <color indexed="81"/>
            <rFont val="Tahoma"/>
            <family val="2"/>
          </rPr>
          <t>kg51925:</t>
        </r>
        <r>
          <rPr>
            <sz val="8"/>
            <color indexed="81"/>
            <rFont val="Tahoma"/>
            <family val="2"/>
          </rPr>
          <t xml:space="preserve">
-40 bps from options exp (+30 bps excl options)
(merch margin: +110 bps at Chs, +460 bps at Soma, -20 bps WHIBM)
5/4/06: indicated GM at Chicos was above plan
3/1/06 mgmt guided to flat to 40 bps of pressure in 1Q06 &amp; 2Q06</t>
        </r>
      </text>
    </comment>
    <comment ref="BE20" authorId="4">
      <text>
        <r>
          <rPr>
            <b/>
            <sz val="8"/>
            <color indexed="81"/>
            <rFont val="Tahoma"/>
            <family val="2"/>
          </rPr>
          <t>mm98285:</t>
        </r>
        <r>
          <rPr>
            <sz val="8"/>
            <color indexed="81"/>
            <rFont val="Tahoma"/>
            <family val="2"/>
          </rPr>
          <t xml:space="preserve">
+merch margin: +180 bps at WH|BM (+IMU &amp; MDs -slightly) and +slight at Chs
-mix effect resulting from WH|BM &amp; Soma (which operate at a lower GM) sales becoming larger % of total sales &amp; investment in product development and merchandising functions for each of the three brands
Feb merch margin +signif at WHIBM, -signif for Chs
March/April "no comment"</t>
        </r>
      </text>
    </comment>
    <comment ref="BH20" authorId="4">
      <text>
        <r>
          <rPr>
            <b/>
            <sz val="8"/>
            <color indexed="81"/>
            <rFont val="Tahoma"/>
            <family val="2"/>
          </rPr>
          <t>mm98285:</t>
        </r>
        <r>
          <rPr>
            <sz val="8"/>
            <color indexed="81"/>
            <rFont val="Tahoma"/>
            <family val="2"/>
          </rPr>
          <t xml:space="preserve">
includes $4.6mm charge to clear up aged and overstock inventories for Chico's front line &amp; outlet stores (110 bps)</t>
        </r>
      </text>
    </comment>
    <comment ref="BI20" authorId="4">
      <text>
        <r>
          <rPr>
            <b/>
            <sz val="8"/>
            <color indexed="81"/>
            <rFont val="Tahoma"/>
            <family val="2"/>
          </rPr>
          <t>mm98285:</t>
        </r>
        <r>
          <rPr>
            <sz val="8"/>
            <color indexed="81"/>
            <rFont val="Tahoma"/>
            <family val="2"/>
          </rPr>
          <t xml:space="preserve">
-480 bps decrease in Chico's merch margin due to higher MDs and $4.6mm (110 bps) of charges to clear up aged and overstock inventories for front-line and outlet stores
-negatively impacted by con't inv in product dev. and merch functions and lower merch margins in outlet and DTC channels</t>
        </r>
      </text>
    </comment>
    <comment ref="BM20" authorId="21">
      <text>
        <r>
          <rPr>
            <b/>
            <sz val="8"/>
            <color indexed="81"/>
            <rFont val="Tahoma"/>
            <family val="2"/>
          </rPr>
          <t>kg51925:</t>
        </r>
        <r>
          <rPr>
            <sz val="8"/>
            <color indexed="81"/>
            <rFont val="Tahoma"/>
            <family val="2"/>
          </rPr>
          <t xml:space="preserve">
5/09: higher merchandise margins at Chico’s brand given lower MD rate on lower inventory and greater full price selling as well as improved margin at Chico’s outlet given increased penetration of made for outlet product (higher margin) vs. front line clearance product (lower margin); partially offset by lower WH|BM brand merchandise margin due primarily to higher MDs on slower selling non-apparel cat's at beg. of quarter (specifically warm weather shoes and large handbags)
took a $4.4mm Chico's inventory write off LY
Est less than 100 bps  hit from mix shift w/ higher WH sales in mix</t>
        </r>
      </text>
    </comment>
    <comment ref="BQ20" authorId="5">
      <text>
        <r>
          <rPr>
            <b/>
            <sz val="8"/>
            <color indexed="81"/>
            <rFont val="Tahoma"/>
            <family val="2"/>
          </rPr>
          <t>lauraro:</t>
        </r>
        <r>
          <rPr>
            <sz val="8"/>
            <color indexed="81"/>
            <rFont val="Tahoma"/>
            <family val="2"/>
          </rPr>
          <t xml:space="preserve">
+170 bps largely attributable to lower markdowns
of front line stores, higher initial mark-ups and continued gross margin improvement at Chico's outlets resulting from increased penetration of made for outlet apparel and accessories</t>
        </r>
      </text>
    </comment>
    <comment ref="BU20" authorId="5">
      <text>
        <r>
          <rPr>
            <b/>
            <sz val="8"/>
            <color indexed="81"/>
            <rFont val="Tahoma"/>
            <family val="2"/>
          </rPr>
          <t xml:space="preserve">5/18/11: </t>
        </r>
        <r>
          <rPr>
            <sz val="8"/>
            <color indexed="81"/>
            <rFont val="Tahoma"/>
            <family val="2"/>
          </rPr>
          <t>gross margin rate increase was attributable to increased margins at Chico's and WH|BM frontline stores primarily driven by improved in-season sell-through in the current period versus the same period last year</t>
        </r>
        <r>
          <rPr>
            <sz val="8"/>
            <color indexed="81"/>
            <rFont val="Tahoma"/>
            <family val="2"/>
          </rPr>
          <t xml:space="preserve">
</t>
        </r>
        <r>
          <rPr>
            <b/>
            <sz val="8"/>
            <color indexed="81"/>
            <rFont val="Tahoma"/>
            <family val="2"/>
          </rPr>
          <t xml:space="preserve">2/11: </t>
        </r>
        <r>
          <rPr>
            <sz val="8"/>
            <color indexed="81"/>
            <rFont val="Tahoma"/>
            <family val="2"/>
          </rPr>
          <t>Buying leverage on 6% comp, merch margin improvement</t>
        </r>
      </text>
    </comment>
    <comment ref="BY20" authorId="5">
      <text>
        <r>
          <rPr>
            <b/>
            <sz val="8"/>
            <color indexed="81"/>
            <rFont val="Tahoma"/>
            <family val="2"/>
          </rPr>
          <t>lauraro:</t>
        </r>
        <r>
          <rPr>
            <sz val="8"/>
            <color indexed="81"/>
            <rFont val="Tahoma"/>
            <family val="2"/>
          </rPr>
          <t xml:space="preserve">
</t>
        </r>
        <r>
          <rPr>
            <b/>
            <sz val="8"/>
            <color indexed="81"/>
            <rFont val="Tahoma"/>
            <family val="2"/>
          </rPr>
          <t xml:space="preserve">2/22/12: </t>
        </r>
        <r>
          <rPr>
            <sz val="8"/>
            <color indexed="81"/>
            <rFont val="Tahoma"/>
            <family val="2"/>
          </rPr>
          <t>-150bps
cost increase pressures, plus promo environment</t>
        </r>
      </text>
    </comment>
    <comment ref="CC20" authorId="7">
      <text>
        <r>
          <rPr>
            <b/>
            <sz val="8"/>
            <color indexed="81"/>
            <rFont val="Tahoma"/>
            <family val="2"/>
          </rPr>
          <t>casselau:</t>
        </r>
        <r>
          <rPr>
            <sz val="8"/>
            <color indexed="81"/>
            <rFont val="Tahoma"/>
            <family val="2"/>
          </rPr>
          <t xml:space="preserve">
5/29/13: decrease primarily reflects higher promotion of seasonal merchandise during an unusually cool spring and investment in new distribution automation offset by lower incentive compensation </t>
        </r>
      </text>
    </comment>
    <comment ref="CH20" authorId="7">
      <text>
        <r>
          <rPr>
            <b/>
            <sz val="9"/>
            <color indexed="81"/>
            <rFont val="Tahoma"/>
            <family val="2"/>
          </rPr>
          <t>casselau:</t>
        </r>
        <r>
          <rPr>
            <sz val="9"/>
            <color indexed="81"/>
            <rFont val="Tahoma"/>
            <family val="2"/>
          </rPr>
          <t xml:space="preserve">
5/28/14: primarily reflects increased promotional activity partially offset by lower incentive comp</t>
        </r>
      </text>
    </comment>
    <comment ref="CK20" authorId="13">
      <text>
        <r>
          <rPr>
            <b/>
            <sz val="9"/>
            <color indexed="81"/>
            <rFont val="Tahoma"/>
            <family val="2"/>
          </rPr>
          <t xml:space="preserve">57.5% ex Boston Proper 
(385.292 Gross profit)
</t>
        </r>
        <r>
          <rPr>
            <sz val="9"/>
            <color indexed="81"/>
            <rFont val="Tahoma"/>
            <family val="2"/>
          </rPr>
          <t xml:space="preserve">
5/27/15: ~40% of incentive comp is in GM.  Rest in SG&amp;A.  Restructuring took place at end of Feb.  About half was in GM and half in SG&amp;A.
8/26/15: Excluding BP, GM would have been 40 bps higher in 2014 and 10 bps higher ytd in 2015</t>
        </r>
      </text>
    </comment>
    <comment ref="CL20" authorId="7">
      <text>
        <r>
          <rPr>
            <sz val="9"/>
            <color indexed="81"/>
            <rFont val="Tahoma"/>
            <family val="2"/>
          </rPr>
          <t>5/27/15: increase driven by better inventory control and less promotions/higher AUR offset by 40 bps of incremental air freight costs ($2.5mm)</t>
        </r>
        <r>
          <rPr>
            <b/>
            <sz val="9"/>
            <color indexed="81"/>
            <rFont val="Tahoma"/>
            <family val="2"/>
          </rPr>
          <t xml:space="preserve">
*</t>
        </r>
        <r>
          <rPr>
            <sz val="9"/>
            <color indexed="81"/>
            <rFont val="Tahoma"/>
            <family val="2"/>
          </rPr>
          <t>at beginning of q had 75-80% of floor sets on time, latter half ~95% on time</t>
        </r>
        <r>
          <rPr>
            <b/>
            <sz val="9"/>
            <color indexed="81"/>
            <rFont val="Tahoma"/>
            <family val="2"/>
          </rPr>
          <t xml:space="preserve">
casselau:</t>
        </r>
        <r>
          <rPr>
            <sz val="9"/>
            <color indexed="81"/>
            <rFont val="Tahoma"/>
            <family val="2"/>
          </rPr>
          <t xml:space="preserve">
2/26/15: air freight costs could be similar to 4Q's $4M (~60 bps)</t>
        </r>
      </text>
    </comment>
    <comment ref="CP20" authorId="8">
      <text>
        <r>
          <rPr>
            <b/>
            <sz val="9"/>
            <color indexed="81"/>
            <rFont val="Tahoma"/>
            <family val="2"/>
          </rPr>
          <t>Cassel, Lauren (Research):</t>
        </r>
        <r>
          <rPr>
            <sz val="9"/>
            <color indexed="81"/>
            <rFont val="Tahoma"/>
            <family val="2"/>
          </rPr>
          <t xml:space="preserve">
5/26/16: decline primarily reflects increased promotional activity in response to lower traffic and sales deleverage of store occupancy expenses, partially offset by reduced incentive compensation ; 100 bps occupancy deleverage and lower AUR due to promotions</t>
        </r>
      </text>
    </comment>
    <comment ref="CT20" authorId="8">
      <text>
        <r>
          <rPr>
            <b/>
            <sz val="9"/>
            <color indexed="81"/>
            <rFont val="Tahoma"/>
            <family val="2"/>
          </rPr>
          <t>Cassel, Lauren (Research):</t>
        </r>
        <r>
          <rPr>
            <sz val="9"/>
            <color indexed="81"/>
            <rFont val="Tahoma"/>
            <family val="2"/>
          </rPr>
          <t xml:space="preserve">
5/24/17: primarily reflects sales deleverage of store occupancy expenses, substantially offset by an improvement in merchandise margin (+70 bps); Chicos brand gross margin + as well as WHBM</t>
        </r>
      </text>
    </comment>
    <comment ref="DD20" authorId="5">
      <text>
        <r>
          <rPr>
            <b/>
            <sz val="8"/>
            <color indexed="81"/>
            <rFont val="Tahoma"/>
            <family val="2"/>
          </rPr>
          <t>lauraro:</t>
        </r>
        <r>
          <rPr>
            <sz val="8"/>
            <color indexed="81"/>
            <rFont val="Tahoma"/>
            <family val="2"/>
          </rPr>
          <t xml:space="preserve">
purchased cotton through late spring</t>
        </r>
      </text>
    </comment>
    <comment ref="DE20" authorId="5">
      <text>
        <r>
          <rPr>
            <b/>
            <sz val="8"/>
            <color indexed="81"/>
            <rFont val="Tahoma"/>
            <family val="2"/>
          </rPr>
          <t>lauraro:</t>
        </r>
        <r>
          <rPr>
            <sz val="8"/>
            <color indexed="81"/>
            <rFont val="Tahoma"/>
            <family val="2"/>
          </rPr>
          <t xml:space="preserve">
+10 bps deeper penetration of made for outlet product
Assume higher MDs offset by higher IMUs
IT systems, less "rich" couponing, sourcing improvements(?)</t>
        </r>
      </text>
    </comment>
    <comment ref="AG21" authorId="22">
      <text>
        <r>
          <rPr>
            <b/>
            <sz val="8"/>
            <color indexed="81"/>
            <rFont val="Tahoma"/>
            <family val="2"/>
          </rPr>
          <t>kgreenbe:</t>
        </r>
        <r>
          <rPr>
            <sz val="8"/>
            <color indexed="81"/>
            <rFont val="Tahoma"/>
            <family val="2"/>
          </rPr>
          <t xml:space="preserve">
per Q1 conf call: GM s/b very similar to LY.</t>
        </r>
      </text>
    </comment>
    <comment ref="AR21" authorId="23">
      <text>
        <r>
          <rPr>
            <b/>
            <sz val="8"/>
            <color indexed="81"/>
            <rFont val="Tahoma"/>
            <family val="2"/>
          </rPr>
          <t>MS:</t>
        </r>
        <r>
          <rPr>
            <sz val="8"/>
            <color indexed="81"/>
            <rFont val="Tahoma"/>
            <family val="2"/>
          </rPr>
          <t xml:space="preserve">
97.6</t>
        </r>
      </text>
    </comment>
    <comment ref="AS21" authorId="23">
      <text>
        <r>
          <rPr>
            <b/>
            <sz val="8"/>
            <color indexed="81"/>
            <rFont val="Tahoma"/>
            <family val="2"/>
          </rPr>
          <t>MS:</t>
        </r>
        <r>
          <rPr>
            <sz val="8"/>
            <color indexed="81"/>
            <rFont val="Tahoma"/>
            <family val="2"/>
          </rPr>
          <t xml:space="preserve">
61.7 est</t>
        </r>
      </text>
    </comment>
    <comment ref="AW21" authorId="2">
      <text>
        <r>
          <rPr>
            <b/>
            <sz val="8"/>
            <color indexed="81"/>
            <rFont val="Tahoma"/>
            <family val="2"/>
          </rPr>
          <t>Morry Brown:</t>
        </r>
        <r>
          <rPr>
            <sz val="8"/>
            <color indexed="81"/>
            <rFont val="Tahoma"/>
            <family val="2"/>
          </rPr>
          <t xml:space="preserve">
60.5 est</t>
        </r>
      </text>
    </comment>
    <comment ref="AZ21" authorId="4">
      <text>
        <r>
          <rPr>
            <b/>
            <sz val="8"/>
            <color indexed="81"/>
            <rFont val="Tahoma"/>
            <family val="2"/>
          </rPr>
          <t>mm98285:</t>
        </r>
        <r>
          <rPr>
            <sz val="8"/>
            <color indexed="81"/>
            <rFont val="Tahoma"/>
            <family val="2"/>
          </rPr>
          <t xml:space="preserve">
160.735 prior to restate</t>
        </r>
      </text>
    </comment>
    <comment ref="BA21" authorId="21">
      <text>
        <r>
          <rPr>
            <b/>
            <sz val="8"/>
            <color indexed="81"/>
            <rFont val="Tahoma"/>
            <family val="2"/>
          </rPr>
          <t>kg51925:</t>
        </r>
        <r>
          <rPr>
            <sz val="8"/>
            <color indexed="81"/>
            <rFont val="Tahoma"/>
            <family val="2"/>
          </rPr>
          <t xml:space="preserve">
-40 bps of options expense (merch margins +230 bps at WHIBM and +590 bps at Soma)
5/06: confirmed prev. guidance for 2Q
3/1/06 mgmt guided to flat to 40 bps of pressure in 1Q06 &amp; 2Q06</t>
        </r>
      </text>
    </comment>
    <comment ref="BE21" authorId="4">
      <text>
        <r>
          <rPr>
            <b/>
            <sz val="8"/>
            <color indexed="81"/>
            <rFont val="Tahoma"/>
            <family val="2"/>
          </rPr>
          <t>mm98285:</t>
        </r>
        <r>
          <rPr>
            <sz val="8"/>
            <color indexed="81"/>
            <rFont val="Tahoma"/>
            <family val="2"/>
          </rPr>
          <t xml:space="preserve">
8/07: merch margin: WHIBM -360 bps (higher MDs); Chico's -120 bps (higher MDs, &amp; slightly lower IMU on new products)
-also neg. impacted by mix effect resulting from WH|BM &amp; Soma (operate at lower GM) sales becoming larger portion of total sales &amp; cont'd investments in product development merchandising functions for each brand
5/07: expect down
May: No comment
June: No comment
July: We est down</t>
        </r>
      </text>
    </comment>
    <comment ref="BI21" authorId="24">
      <text>
        <r>
          <rPr>
            <b/>
            <sz val="8"/>
            <color indexed="81"/>
            <rFont val="Tahoma"/>
            <family val="2"/>
          </rPr>
          <t>ti23070:</t>
        </r>
        <r>
          <rPr>
            <sz val="8"/>
            <color indexed="81"/>
            <rFont val="Tahoma"/>
            <family val="2"/>
          </rPr>
          <t xml:space="preserve">
~-440 bps in Chico’s merch margin given higher MDs to liquidate invt'y 
-con't invstm't in product devpm't &amp; merchandising functions (design &amp; buying) 
-delvge of these costs on -15.9% comp
~-220 bps in WHIBM’s GM given lower IMU and invstm'ts in product devpm't &amp; merchandising functions
July MM: down (we est.)</t>
        </r>
      </text>
    </comment>
    <comment ref="BM21" authorId="4">
      <text>
        <r>
          <rPr>
            <b/>
            <sz val="8"/>
            <color indexed="81"/>
            <rFont val="Tahoma"/>
            <family val="2"/>
          </rPr>
          <t>mm98285:</t>
        </r>
        <r>
          <rPr>
            <sz val="8"/>
            <color indexed="81"/>
            <rFont val="Tahoma"/>
            <family val="2"/>
          </rPr>
          <t xml:space="preserve">
Merch margin up primarily given lower MDs at Chico's div. &amp; to a lesser extent higher IMU at WHIBM &amp; Chs &amp; higher outlet margins given greater percentage of made of outlet product; partially offset by cont'd investment in merchandise payroll (incl. support for P&amp;A initiatives)
5/09: expect up (given inventory control driving lower markdowns)
2Q:MM we est up</t>
        </r>
      </text>
    </comment>
    <comment ref="BQ21" authorId="11">
      <text>
        <r>
          <rPr>
            <b/>
            <sz val="8"/>
            <color indexed="81"/>
            <rFont val="Tahoma"/>
            <family val="2"/>
          </rPr>
          <t>marchant:</t>
        </r>
        <r>
          <rPr>
            <sz val="8"/>
            <color indexed="81"/>
            <rFont val="Tahoma"/>
            <family val="2"/>
          </rPr>
          <t xml:space="preserve">
higher GM at WHBM and con't merch margin at Chs outlet (higher MFO product), offset by higher MDs at Chs</t>
        </r>
      </text>
    </comment>
    <comment ref="BU21" authorId="5">
      <text>
        <r>
          <rPr>
            <b/>
            <sz val="8"/>
            <color indexed="81"/>
            <rFont val="Tahoma"/>
            <family val="2"/>
          </rPr>
          <t xml:space="preserve">8/17/11: </t>
        </r>
        <r>
          <rPr>
            <sz val="8"/>
            <color indexed="81"/>
            <rFont val="Tahoma"/>
            <family val="2"/>
          </rPr>
          <t>increase reflects increased full price selling partially offset by planned promo activity</t>
        </r>
        <r>
          <rPr>
            <b/>
            <sz val="8"/>
            <color indexed="81"/>
            <rFont val="Tahoma"/>
            <family val="2"/>
          </rPr>
          <t xml:space="preserve">
5/18/11: </t>
        </r>
        <r>
          <rPr>
            <sz val="8"/>
            <color indexed="81"/>
            <rFont val="Tahoma"/>
            <family val="2"/>
          </rPr>
          <t xml:space="preserve">up slightly, reflecting improved markdown rates
</t>
        </r>
        <r>
          <rPr>
            <b/>
            <sz val="8"/>
            <color indexed="81"/>
            <rFont val="Tahoma"/>
            <family val="2"/>
          </rPr>
          <t>2/11</t>
        </r>
        <r>
          <rPr>
            <sz val="8"/>
            <color indexed="81"/>
            <rFont val="Tahoma"/>
            <family val="2"/>
          </rPr>
          <t xml:space="preserve"> Continued merch margin improvement</t>
        </r>
      </text>
    </comment>
    <comment ref="BY21" authorId="5">
      <text>
        <r>
          <rPr>
            <b/>
            <sz val="8"/>
            <color indexed="81"/>
            <rFont val="Tahoma"/>
            <family val="2"/>
          </rPr>
          <t xml:space="preserve">8/22/12:  </t>
        </r>
        <r>
          <rPr>
            <sz val="8"/>
            <color indexed="81"/>
            <rFont val="Tahoma"/>
            <family val="2"/>
          </rPr>
          <t>reflects strong increased full-price selling and effective promotional activities despite a more promotional competitive environment TY; partially offset by the inclusion of BP results</t>
        </r>
        <r>
          <rPr>
            <b/>
            <sz val="8"/>
            <color indexed="81"/>
            <rFont val="Tahoma"/>
            <family val="2"/>
          </rPr>
          <t xml:space="preserve">
</t>
        </r>
        <r>
          <rPr>
            <b/>
            <sz val="8"/>
            <color indexed="81"/>
            <rFont val="Tahoma"/>
            <family val="2"/>
          </rPr>
          <t>lauraro:</t>
        </r>
        <r>
          <rPr>
            <sz val="8"/>
            <color indexed="81"/>
            <rFont val="Tahoma"/>
            <family val="2"/>
          </rPr>
          <t xml:space="preserve">
</t>
        </r>
        <r>
          <rPr>
            <b/>
            <sz val="8"/>
            <color indexed="81"/>
            <rFont val="Tahoma"/>
            <family val="2"/>
          </rPr>
          <t xml:space="preserve">5/16/12: </t>
        </r>
        <r>
          <rPr>
            <sz val="8"/>
            <color indexed="81"/>
            <rFont val="Tahoma"/>
            <family val="2"/>
          </rPr>
          <t>our second-quarter sales growth, gross margin rate and expense leverage should be directionally consistent with our full-year planning assumptions</t>
        </r>
      </text>
    </comment>
    <comment ref="CC21" authorId="7">
      <text>
        <r>
          <rPr>
            <b/>
            <sz val="8"/>
            <color indexed="81"/>
            <rFont val="Tahoma"/>
            <family val="2"/>
          </rPr>
          <t>casselau:</t>
        </r>
        <r>
          <rPr>
            <sz val="8"/>
            <color indexed="81"/>
            <rFont val="Tahoma"/>
            <family val="2"/>
          </rPr>
          <t xml:space="preserve">
8/28/13: driven by increased promotional activity in reseponse to lower traffic and investment in new distribution automation, partially offset by lower incentive compensation as a % of sales</t>
        </r>
      </text>
    </comment>
    <comment ref="CH21" authorId="7">
      <text>
        <r>
          <rPr>
            <b/>
            <sz val="9"/>
            <color indexed="81"/>
            <rFont val="Tahoma"/>
            <family val="2"/>
          </rPr>
          <t>casselau:</t>
        </r>
        <r>
          <rPr>
            <sz val="9"/>
            <color indexed="81"/>
            <rFont val="Tahoma"/>
            <family val="2"/>
          </rPr>
          <t xml:space="preserve">
8/27/14: primarily reflects increased promotional activity to sell through seasonal merchandise</t>
        </r>
      </text>
    </comment>
    <comment ref="CK21" authorId="7">
      <text>
        <r>
          <rPr>
            <b/>
            <sz val="9"/>
            <color indexed="81"/>
            <rFont val="Tahoma"/>
            <family val="2"/>
          </rPr>
          <t>54.1% ex Boston Proper 
(355.045 Gross profit)
casselau:</t>
        </r>
        <r>
          <rPr>
            <sz val="9"/>
            <color indexed="81"/>
            <rFont val="Tahoma"/>
            <family val="2"/>
          </rPr>
          <t xml:space="preserve">
8/26/15: primarily reflects a decrease in promotional activitiy in response to improved inventory mgmt and benefits form previously announced cost reduction efforts, partially offset by an increase in accrued incentive comp.
Lower liquidation and fewer clerance.
8/26/15: Excluding BP, GM would have been 40 bps higher in 2014 and 10 bps higher ytd in 2015</t>
        </r>
      </text>
    </comment>
    <comment ref="CP21" authorId="7">
      <text>
        <r>
          <rPr>
            <b/>
            <sz val="9"/>
            <color indexed="81"/>
            <rFont val="Tahoma"/>
            <family val="2"/>
          </rPr>
          <t xml:space="preserve">casselau:
</t>
        </r>
        <r>
          <rPr>
            <sz val="9"/>
            <color indexed="81"/>
            <rFont val="Tahoma"/>
            <family val="2"/>
          </rPr>
          <t xml:space="preserve">8/30/16: The decrease in gross margin rate primarily reflects sales deleverage of occupancy costs partially offset by a slight increase in merchandise margin rate (+10 bps); Chico's brand merch margin  +100 bps, WHBM down, Soma roughly flat
</t>
        </r>
        <r>
          <rPr>
            <b/>
            <sz val="9"/>
            <color indexed="81"/>
            <rFont val="Tahoma"/>
            <family val="2"/>
          </rPr>
          <t xml:space="preserve">
</t>
        </r>
        <r>
          <rPr>
            <sz val="9"/>
            <color indexed="81"/>
            <rFont val="Tahoma"/>
            <family val="2"/>
          </rPr>
          <t>5/26/16: 2Q merch margins will be pressured by the 1Q higher inventory levels
2/25/16: Expect to have more ability to leverage GM in 2Q and 4Q</t>
        </r>
      </text>
    </comment>
    <comment ref="CT21" authorId="8">
      <text>
        <r>
          <rPr>
            <b/>
            <sz val="9"/>
            <color indexed="81"/>
            <rFont val="Tahoma"/>
            <family val="2"/>
          </rPr>
          <t>Cassel, Lauren (Research):
8/30/17: primarily reflects sales deleverage of store occupancy expenses (-90 bps including 4% or 4M occupancy result reduction) and increased promotional activity to reduce inventory levels (merch margin -90 bps)</t>
        </r>
        <r>
          <rPr>
            <sz val="9"/>
            <color indexed="81"/>
            <rFont val="Tahoma"/>
            <family val="2"/>
          </rPr>
          <t xml:space="preserve">
5/24/17: gross margin and SG&amp;A will likely deleverage due to our sales expectation and the residual inventory </t>
        </r>
      </text>
    </comment>
    <comment ref="DD21" authorId="5">
      <text>
        <r>
          <rPr>
            <b/>
            <sz val="8"/>
            <color indexed="81"/>
            <rFont val="Tahoma"/>
            <family val="2"/>
          </rPr>
          <t>lauraro:</t>
        </r>
        <r>
          <rPr>
            <sz val="8"/>
            <color indexed="81"/>
            <rFont val="Tahoma"/>
            <family val="2"/>
          </rPr>
          <t xml:space="preserve">
purchased cotton through late spring</t>
        </r>
      </text>
    </comment>
    <comment ref="DE21" authorId="5">
      <text>
        <r>
          <rPr>
            <b/>
            <sz val="8"/>
            <color indexed="81"/>
            <rFont val="Tahoma"/>
            <family val="2"/>
          </rPr>
          <t>lauraro:</t>
        </r>
        <r>
          <rPr>
            <sz val="8"/>
            <color indexed="81"/>
            <rFont val="Tahoma"/>
            <family val="2"/>
          </rPr>
          <t xml:space="preserve">
+10 bps deeper penetration of made for outlet product</t>
        </r>
      </text>
    </comment>
    <comment ref="AG22" authorId="22">
      <text>
        <r>
          <rPr>
            <b/>
            <sz val="8"/>
            <color indexed="81"/>
            <rFont val="Tahoma"/>
            <family val="2"/>
          </rPr>
          <t>kgreenbe:</t>
        </r>
        <r>
          <rPr>
            <sz val="8"/>
            <color indexed="81"/>
            <rFont val="Tahoma"/>
            <family val="2"/>
          </rPr>
          <t xml:space="preserve">
per Q1 conf call: GM s/b very similar to LY. 10/2: update w. co.- GM could be flattish (58.7).
10/30: Oct. comps continue to be weak, lvg. Could be more like 50 bps. SGA looks in ballpark, so could miss $0.33 by $0.01</t>
        </r>
      </text>
    </comment>
    <comment ref="AK22" authorId="14">
      <text>
        <r>
          <rPr>
            <b/>
            <sz val="8"/>
            <color indexed="81"/>
            <rFont val="Tahoma"/>
            <family val="2"/>
          </rPr>
          <t>dong2:</t>
        </r>
        <r>
          <rPr>
            <sz val="8"/>
            <color indexed="81"/>
            <rFont val="Tahoma"/>
            <family val="2"/>
          </rPr>
          <t xml:space="preserve">
12/5: may be some pressure (30 to 40 bps in each qtr) from relocating to D.C. as early as 3Q and 4Q. We think more likely to come 1Q and 2Q (given that they will be busy opening stores in 2H02) but ask co. how progressing.</t>
        </r>
      </text>
    </comment>
    <comment ref="AN22" authorId="1">
      <text>
        <r>
          <rPr>
            <b/>
            <sz val="8"/>
            <color indexed="81"/>
            <rFont val="Tahoma"/>
            <family val="2"/>
          </rPr>
          <t>dliu:</t>
        </r>
        <r>
          <rPr>
            <sz val="8"/>
            <color indexed="81"/>
            <rFont val="Tahoma"/>
            <family val="2"/>
          </rPr>
          <t xml:space="preserve">
12/2/03: 300K related to discontinuation of pazo concept (other 3.3 mm included in SG&amp;A). Represents 20 bps in GM and less than 0.01 in EPS</t>
        </r>
      </text>
    </comment>
    <comment ref="AO22" authorId="1">
      <text>
        <r>
          <rPr>
            <b/>
            <sz val="8"/>
            <color indexed="81"/>
            <rFont val="Tahoma"/>
            <family val="2"/>
          </rPr>
          <t>dliu:</t>
        </r>
        <r>
          <rPr>
            <sz val="8"/>
            <color indexed="81"/>
            <rFont val="Tahoma"/>
            <family val="2"/>
          </rPr>
          <t xml:space="preserve">
300K related to discontinuation of pazo concept (other 3.3 mm included in SG&amp;A). Represents 20 bps in GM and less than 0.01 in EPS</t>
        </r>
      </text>
    </comment>
    <comment ref="AW22" authorId="2">
      <text>
        <r>
          <rPr>
            <b/>
            <sz val="8"/>
            <color indexed="81"/>
            <rFont val="Tahoma"/>
            <family val="2"/>
          </rPr>
          <t>Morry Brown:</t>
        </r>
        <r>
          <rPr>
            <sz val="8"/>
            <color indexed="81"/>
            <rFont val="Tahoma"/>
            <family val="2"/>
          </rPr>
          <t xml:space="preserve">
61.5</t>
        </r>
      </text>
    </comment>
    <comment ref="AZ22" authorId="4">
      <text>
        <r>
          <rPr>
            <b/>
            <sz val="8"/>
            <color indexed="81"/>
            <rFont val="Tahoma"/>
            <family val="2"/>
          </rPr>
          <t>mm98285:</t>
        </r>
        <r>
          <rPr>
            <sz val="8"/>
            <color indexed="81"/>
            <rFont val="Tahoma"/>
            <family val="2"/>
          </rPr>
          <t xml:space="preserve">
$162.826 prior to restatement</t>
        </r>
      </text>
    </comment>
    <comment ref="BA22" authorId="21">
      <text>
        <r>
          <rPr>
            <b/>
            <sz val="8"/>
            <color indexed="81"/>
            <rFont val="Tahoma"/>
            <family val="2"/>
          </rPr>
          <t>kg51925:</t>
        </r>
        <r>
          <rPr>
            <sz val="8"/>
            <color indexed="81"/>
            <rFont val="Tahoma"/>
            <family val="2"/>
          </rPr>
          <t xml:space="preserve">
- options exp
merch margin -110 bps at Chico’s and -80 bps at WH|BM  
Also - higher mix of WH|BM and Soma stores decreased GM
5/06: confirmed prev. guid.
3/1/06 mgmt guided to down 40-80 bps GM in 3Q06 &amp; 4Q06</t>
        </r>
      </text>
    </comment>
    <comment ref="BE22" authorId="4">
      <text>
        <r>
          <rPr>
            <b/>
            <sz val="8"/>
            <color indexed="81"/>
            <rFont val="Tahoma"/>
            <family val="2"/>
          </rPr>
          <t>mm98285:</t>
        </r>
        <r>
          <rPr>
            <sz val="8"/>
            <color indexed="81"/>
            <rFont val="Tahoma"/>
            <family val="2"/>
          </rPr>
          <t xml:space="preserve">
-140 bps total merch margin (-100 bps in Chico's mm, +70 bps in WHBM mm, and decline at direct channel)
-50 bps product developm't &amp; merchandising functioins investment 
-neg. impact from mix shift
8/07: expect merch margin down to LY or flat (if comp is slightly pos.)
5/07: expect down</t>
        </r>
      </text>
    </comment>
    <comment ref="BI22" authorId="25">
      <text>
        <r>
          <rPr>
            <b/>
            <sz val="8"/>
            <color indexed="81"/>
            <rFont val="Tahoma"/>
            <family val="2"/>
          </rPr>
          <t>TI23070:</t>
        </r>
        <r>
          <rPr>
            <sz val="8"/>
            <color indexed="81"/>
            <rFont val="Tahoma"/>
            <family val="2"/>
          </rPr>
          <t xml:space="preserve">
11/08: Chs merch margins -430 bps due to lower IMU &amp; higher MDs to liquidate inventory and bring inline with sales 
-20 bps cont'd investment in product development and merchandising functions (design &amp; buying departments) &amp; deleverage of these costs on the -13.4% comp. 
WHIBM’s merch margin -450 bps given lower IMU &amp; higher MDs 
also neg. impact from the mix effect resulting from WHIBM sales becoming a larger portion of the total sales
October: Merch Marg down</t>
        </r>
      </text>
    </comment>
    <comment ref="BM22" authorId="18">
      <text>
        <r>
          <rPr>
            <b/>
            <sz val="8"/>
            <color indexed="81"/>
            <rFont val="Tahoma"/>
            <family val="2"/>
          </rPr>
          <t>11/18:</t>
        </r>
        <r>
          <rPr>
            <sz val="8"/>
            <color indexed="81"/>
            <rFont val="Tahoma"/>
            <family val="2"/>
          </rPr>
          <t xml:space="preserve">
GM rate increase was driven by higher merchandise margins at Chico's and WH|BM on both lower markdowns and higher initial markups for the Chico's and WH|BM brands. Improvements in gross margins were partially offset by the continued investment in
merchandise payroll (we estimate ~-40bps) including the support for planning and allocation initiatives that support new inventory initiatives and systems applications.</t>
        </r>
      </text>
    </comment>
    <comment ref="BQ22" authorId="5">
      <text>
        <r>
          <rPr>
            <b/>
            <sz val="8"/>
            <color indexed="81"/>
            <rFont val="Tahoma"/>
            <family val="2"/>
          </rPr>
          <t>lauraro:</t>
        </r>
        <r>
          <rPr>
            <sz val="8"/>
            <color indexed="81"/>
            <rFont val="Tahoma"/>
            <family val="2"/>
          </rPr>
          <t xml:space="preserve">
11/10: IMU increased in all 3 brands
The small decrease came from a greater level of promotional markdowns, especially at the Chico's brand, made necessary to clear slower selling inventory earlier in the quarter and to help drive customer traffic. The decrease was partially offset by continued merchandise margin improvement at Chico's &amp; WHBM outlets provided by increased penetration of made for outlet apparel and accessories.</t>
        </r>
      </text>
    </comment>
    <comment ref="BU22" authorId="5">
      <text>
        <r>
          <rPr>
            <b/>
            <sz val="8"/>
            <color indexed="81"/>
            <rFont val="Tahoma"/>
            <family val="2"/>
          </rPr>
          <t>lauraro:</t>
        </r>
        <r>
          <rPr>
            <sz val="8"/>
            <color indexed="81"/>
            <rFont val="Tahoma"/>
            <family val="2"/>
          </rPr>
          <t xml:space="preserve">
11/22: attributable to higher discounting for the Chico's brand as a result of a soft sales environment partially offset by higher margins at the WH|BM and Soma Intimates brands due to increased full-price selling and effective promotional activities.
8/17/11: expect slightly up vs. LY.  Gone back and renegotiated and got some relief on higher costs that have since come down.
2/11 sourcing cost inflation hits</t>
        </r>
      </text>
    </comment>
    <comment ref="BY22" authorId="7">
      <text>
        <r>
          <rPr>
            <b/>
            <sz val="8"/>
            <color indexed="81"/>
            <rFont val="Tahoma"/>
            <family val="2"/>
          </rPr>
          <t>casselau:</t>
        </r>
        <r>
          <rPr>
            <sz val="8"/>
            <color indexed="81"/>
            <rFont val="Tahoma"/>
            <family val="2"/>
          </rPr>
          <t xml:space="preserve">
11/20: reflects higher full-price selling and effective promotional activities, partially offset by incentive compensation</t>
        </r>
      </text>
    </comment>
    <comment ref="CC22" authorId="7">
      <text>
        <r>
          <rPr>
            <b/>
            <sz val="8"/>
            <color indexed="81"/>
            <rFont val="Tahoma"/>
            <family val="2"/>
          </rPr>
          <t>casselau:</t>
        </r>
        <r>
          <rPr>
            <sz val="8"/>
            <color indexed="81"/>
            <rFont val="Tahoma"/>
            <family val="2"/>
          </rPr>
          <t xml:space="preserve">
11/26/13: primarily reflects increased promotional activity in response to lower traffic, partially offset by lower incentive compensation as a % of sales</t>
        </r>
      </text>
    </comment>
    <comment ref="CG22" authorId="7">
      <text>
        <r>
          <rPr>
            <b/>
            <sz val="9"/>
            <color indexed="81"/>
            <rFont val="Tahoma"/>
            <family val="2"/>
          </rPr>
          <t xml:space="preserve">casselau:
</t>
        </r>
        <r>
          <rPr>
            <sz val="9"/>
            <color indexed="81"/>
            <rFont val="Tahoma"/>
            <family val="2"/>
          </rPr>
          <t>11/25/14: primarily reflects an increase in promotional activity (decline in AUR at Chicos and WHBM working through the remainder of higher AUC goods from 1H)
8/27/14: decline in 2H should be less than 1H</t>
        </r>
      </text>
    </comment>
    <comment ref="CK22" authorId="13">
      <text>
        <r>
          <rPr>
            <b/>
            <sz val="9"/>
            <color indexed="81"/>
            <rFont val="Tahoma"/>
            <family val="2"/>
          </rPr>
          <t xml:space="preserve">55.3% ex Boston Proper 
(344.656 Gross profit)
</t>
        </r>
        <r>
          <rPr>
            <sz val="9"/>
            <color indexed="81"/>
            <rFont val="Tahoma"/>
            <family val="2"/>
          </rPr>
          <t xml:space="preserve">
11/24/15: realized slight GM leverage excluding Boston Proper</t>
        </r>
      </text>
    </comment>
    <comment ref="CL22" authorId="7">
      <text>
        <r>
          <rPr>
            <sz val="9"/>
            <color indexed="81"/>
            <rFont val="Tahoma"/>
            <family val="2"/>
          </rPr>
          <t>5/27/15: Looking for improvements across entire year, but 2Q/4Q should see largest</t>
        </r>
        <r>
          <rPr>
            <b/>
            <sz val="9"/>
            <color indexed="81"/>
            <rFont val="Tahoma"/>
            <family val="2"/>
          </rPr>
          <t xml:space="preserve">
casselau:</t>
        </r>
        <r>
          <rPr>
            <sz val="9"/>
            <color indexed="81"/>
            <rFont val="Tahoma"/>
            <family val="2"/>
          </rPr>
          <t xml:space="preserve">
2/26/15: expect improvement; primarily in 2Q/4Q driven by AUR recovery
8/26/15: Expect improvement in GM y/y, majority of 2H opportunity will come in 4Q.</t>
        </r>
      </text>
    </comment>
    <comment ref="CP22" authorId="8">
      <text>
        <r>
          <rPr>
            <b/>
            <sz val="9"/>
            <color indexed="81"/>
            <rFont val="Tahoma"/>
            <family val="2"/>
          </rPr>
          <t xml:space="preserve">Cassel, Lauren (Research):
11/22/16: -40 bps reflects a 50 bps improvement in merchandise margin (at all brands), which was more than offset by deleverage of occupancy costs and incentive compensation; AUC roughly flat
</t>
        </r>
        <r>
          <rPr>
            <sz val="9"/>
            <color indexed="81"/>
            <rFont val="Tahoma"/>
            <family val="2"/>
          </rPr>
          <t xml:space="preserve">
8/30/16: expect lower gross margin due to deleverage of store occupancy costs, partially offset by an increase in merch margin
</t>
        </r>
      </text>
    </comment>
    <comment ref="CT22" authorId="8">
      <text>
        <r>
          <rPr>
            <b/>
            <sz val="9"/>
            <color indexed="81"/>
            <rFont val="Tahoma"/>
            <family val="2"/>
          </rPr>
          <t>Cassel, Lauren (Research):
11/21/17; primarily reflects deleverage of store occupancy costs as a percent of sales and store impairment charges related to the Hurricanes, partially offset by an improvement in merchandise margin.    
8/30/17: expect merchandise margin up, offset by occupancy deleverage</t>
        </r>
        <r>
          <rPr>
            <sz val="9"/>
            <color indexed="81"/>
            <rFont val="Tahoma"/>
            <family val="2"/>
          </rPr>
          <t xml:space="preserve">
5/24/17: supply chain cost savings begin to accelerate in 2H</t>
        </r>
      </text>
    </comment>
    <comment ref="DE22" authorId="5">
      <text>
        <r>
          <rPr>
            <b/>
            <sz val="8"/>
            <color indexed="81"/>
            <rFont val="Tahoma"/>
            <family val="2"/>
          </rPr>
          <t>lauraro:</t>
        </r>
        <r>
          <rPr>
            <sz val="8"/>
            <color indexed="81"/>
            <rFont val="Tahoma"/>
            <family val="2"/>
          </rPr>
          <t xml:space="preserve">
+10 bps deeper penetration of made for outlet product
High level of MD in 3Q10 to anniversary
+20 bps tech improvement / better MD rate</t>
        </r>
      </text>
    </comment>
    <comment ref="AG23" authorId="22">
      <text>
        <r>
          <rPr>
            <b/>
            <sz val="8"/>
            <color indexed="81"/>
            <rFont val="Tahoma"/>
            <family val="2"/>
          </rPr>
          <t>kgreenbe:</t>
        </r>
        <r>
          <rPr>
            <sz val="8"/>
            <color indexed="81"/>
            <rFont val="Tahoma"/>
            <family val="2"/>
          </rPr>
          <t xml:space="preserve">
per Q1 conf call: GM s/b very similar to LY. 10/2: update w. co.- not too sure about 4Q at this pt, but could be flat to up (56.3)
12/5: had 56.1 but co. indicated GM could be up 50 bps for qtr- in Nov. GM was up 1% vs. LY
had $42.2 mm and 56.6% b4 dec comp rptd
had 42.9 mm and 56.7% b4 jan reptd</t>
        </r>
      </text>
    </comment>
    <comment ref="AK23" authorId="14">
      <text>
        <r>
          <rPr>
            <b/>
            <sz val="8"/>
            <color indexed="81"/>
            <rFont val="Tahoma"/>
            <family val="2"/>
          </rPr>
          <t>dong2:</t>
        </r>
        <r>
          <rPr>
            <sz val="8"/>
            <color indexed="81"/>
            <rFont val="Tahoma"/>
            <family val="2"/>
          </rPr>
          <t xml:space="preserve">
1/8/02: this was 57.0; took down to 56.8 to keep 4Q02 at $0.34</t>
        </r>
      </text>
    </comment>
    <comment ref="AO23" authorId="22">
      <text>
        <r>
          <rPr>
            <b/>
            <sz val="10"/>
            <color indexed="81"/>
            <rFont val="Tahoma"/>
            <family val="2"/>
          </rPr>
          <t>kgreenbe:</t>
        </r>
        <r>
          <rPr>
            <sz val="10"/>
            <color indexed="81"/>
            <rFont val="Tahoma"/>
            <family val="2"/>
          </rPr>
          <t xml:space="preserve">
8/4/03 had 59.3% before lowered margin to reflect WHBM acquisition. Most of margin dilution comes from SG&amp;A. 11/24: purposely lowered from 59.3% to keep EPS at $0.24. remember that!!</t>
        </r>
      </text>
    </comment>
    <comment ref="BA23" authorId="21">
      <text>
        <r>
          <rPr>
            <b/>
            <sz val="8"/>
            <color indexed="81"/>
            <rFont val="Tahoma"/>
            <family val="2"/>
          </rPr>
          <t>kg51925:</t>
        </r>
        <r>
          <rPr>
            <sz val="8"/>
            <color indexed="81"/>
            <rFont val="Tahoma"/>
            <family val="2"/>
          </rPr>
          <t xml:space="preserve">
-merch margin at all 3 div's &amp; options exp
1/04: guided to 53-55% range
5/06: confirmed prev. guid.
3/1/06 mgmt guided to down 40-80 bps GM in 3Q06 &amp; 4Q06</t>
        </r>
      </text>
    </comment>
    <comment ref="BE23" authorId="4">
      <text>
        <r>
          <rPr>
            <b/>
            <sz val="8"/>
            <color indexed="81"/>
            <rFont val="Tahoma"/>
            <family val="2"/>
          </rPr>
          <t>mm98285:</t>
        </r>
        <r>
          <rPr>
            <sz val="8"/>
            <color indexed="81"/>
            <rFont val="Tahoma"/>
            <family val="2"/>
          </rPr>
          <t xml:space="preserve">
-680 bps Chico’s front-line stores’ merch. margins (given aggressive MDs to lower Fall carryover levels at yr. end)
-lower merch. margins at DTC and outlet channels (given higher MDs given below plan sales at front-line stores)
-con't investment in product development &amp; merchandising &amp; higher cancellation charges from reducing Spring inventory commitments
12/07: expect merch margins down in same range as 3Q (-140 bps)</t>
        </r>
      </text>
    </comment>
    <comment ref="BI23" authorId="25">
      <text>
        <r>
          <rPr>
            <b/>
            <sz val="8"/>
            <color indexed="81"/>
            <rFont val="Tahoma"/>
            <family val="2"/>
          </rPr>
          <t>TI23070:</t>
        </r>
        <r>
          <rPr>
            <sz val="8"/>
            <color indexed="81"/>
            <rFont val="Tahoma"/>
            <family val="2"/>
          </rPr>
          <t xml:space="preserve">
WHBM merch margin -590bps given lower IMU &amp; higher MDs; Chs merch margin -140pbs given lower IMU partially offset by improved MDs
-con't investment in product development and merchandising functions coupled w/delevg of these costs on -13% comp
2/09: January MM down
1/09: lower GM than originally anticipated given its efforts to be promotionally competitive and its intent to end 4Q with lowered targeted store inventory levels
12/08: Mdse mgn down</t>
        </r>
      </text>
    </comment>
    <comment ref="BM23" authorId="18">
      <text>
        <r>
          <rPr>
            <sz val="8"/>
            <color indexed="81"/>
            <rFont val="Tahoma"/>
            <family val="2"/>
          </rPr>
          <t>11/18: CHS expects meaningful improvement in gross margin rate and favorable SG&amp;A leverage due to positive comp (with dollars to be up due to small increases in occupancy and Holiday TV and print media campaigns).</t>
        </r>
      </text>
    </comment>
    <comment ref="BQ23" authorId="5">
      <text>
        <r>
          <rPr>
            <sz val="8"/>
            <color indexed="81"/>
            <rFont val="Tahoma"/>
            <family val="2"/>
          </rPr>
          <t>2/11: a higher promotional cadence and mix of clearance goods in the direct-to-consumer or DTC channel also put pressure on gross margin, but we will take the kind of sales increase this channel delivered any time
- the decrease is primarily attributable to greater-than-planned markdowns at White House|Black Market and lower merchandise margins in DTC, which were partially offset by improved margins at our outlet stores, given the increased penetration of made-for-outlet apparel and accessories.
(80) - (100)</t>
        </r>
        <r>
          <rPr>
            <b/>
            <sz val="8"/>
            <color indexed="81"/>
            <rFont val="Tahoma"/>
            <family val="2"/>
          </rPr>
          <t xml:space="preserve">
lauraro:</t>
        </r>
        <r>
          <rPr>
            <sz val="8"/>
            <color indexed="81"/>
            <rFont val="Tahoma"/>
            <family val="2"/>
          </rPr>
          <t xml:space="preserve">
11/10: GM slightly below LY given the anticipated incremental promotional holiday season over last year</t>
        </r>
      </text>
    </comment>
    <comment ref="BU23" authorId="5">
      <text>
        <r>
          <rPr>
            <b/>
            <sz val="8"/>
            <color indexed="81"/>
            <rFont val="Tahoma"/>
            <family val="2"/>
          </rPr>
          <t xml:space="preserve">lauraro:
2/22/12: </t>
        </r>
        <r>
          <rPr>
            <sz val="8"/>
            <color indexed="81"/>
            <rFont val="Tahoma"/>
            <family val="2"/>
          </rPr>
          <t>-90bps primarily reflecting the strategic use of the Chico's brand inventory for traffic building in a highly promotional time period and the inclusion of Boston Proper.This impact was partially offset by higher margins at White House Black Market and Soma Intimates from increased full-price selling and effective promotional activities.</t>
        </r>
        <r>
          <rPr>
            <b/>
            <sz val="8"/>
            <color indexed="81"/>
            <rFont val="Tahoma"/>
            <family val="2"/>
          </rPr>
          <t xml:space="preserve">
11/22/11: </t>
        </r>
        <r>
          <rPr>
            <sz val="8"/>
            <color indexed="81"/>
            <rFont val="Tahoma"/>
            <family val="2"/>
          </rPr>
          <t>Expect -100 to -200 bps vs LY reflecting a highly promotional missy sector, along with a need to align end of year inventories</t>
        </r>
        <r>
          <rPr>
            <b/>
            <sz val="8"/>
            <color indexed="81"/>
            <rFont val="Tahoma"/>
            <family val="2"/>
          </rPr>
          <t xml:space="preserve">
8/17/11: </t>
        </r>
        <r>
          <rPr>
            <sz val="8"/>
            <color indexed="81"/>
            <rFont val="Tahoma"/>
            <family val="2"/>
          </rPr>
          <t>MD oppty is in 4Q</t>
        </r>
        <r>
          <rPr>
            <sz val="8"/>
            <color indexed="81"/>
            <rFont val="Tahoma"/>
            <family val="2"/>
          </rPr>
          <t xml:space="preserve">
2/11: Wouldn't expect full 140bps back, 4Q09 were peak margins for WHBM (WHBM higher than expected MDs drove GM decline in 4Q10)</t>
        </r>
      </text>
    </comment>
    <comment ref="BV23" authorId="5">
      <text>
        <r>
          <rPr>
            <b/>
            <sz val="8"/>
            <color indexed="81"/>
            <rFont val="Tahoma"/>
            <family val="2"/>
          </rPr>
          <t>lauraro:</t>
        </r>
        <r>
          <rPr>
            <sz val="8"/>
            <color indexed="81"/>
            <rFont val="Tahoma"/>
            <family val="2"/>
          </rPr>
          <t xml:space="preserve">
2/11: Wouldn't expect full 140bps back, 4Q09 were peak margins for WHBM (WHBM higher than expected MDs drove GM decline in 4Q10)</t>
        </r>
      </text>
    </comment>
    <comment ref="BY23" authorId="7">
      <text>
        <r>
          <rPr>
            <b/>
            <sz val="8"/>
            <color indexed="81"/>
            <rFont val="Tahoma"/>
            <family val="2"/>
          </rPr>
          <t>casselau:</t>
        </r>
        <r>
          <rPr>
            <sz val="8"/>
            <color indexed="81"/>
            <rFont val="Tahoma"/>
            <family val="2"/>
          </rPr>
          <t xml:space="preserve">
2/28/13: reflecs a higher level of full-price selling (+90bps) and effective inventory management, partially offset by incentive compensation</t>
        </r>
      </text>
    </comment>
    <comment ref="CC23" authorId="7">
      <text>
        <r>
          <rPr>
            <b/>
            <sz val="8"/>
            <color indexed="81"/>
            <rFont val="Tahoma"/>
            <family val="2"/>
          </rPr>
          <t>casselau:</t>
        </r>
        <r>
          <rPr>
            <sz val="8"/>
            <color indexed="81"/>
            <rFont val="Tahoma"/>
            <family val="2"/>
          </rPr>
          <t xml:space="preserve">
2/27/14: reflects increased promo activity in response to lower traffic, partially offset by lower incentive comp as a % of sales</t>
        </r>
      </text>
    </comment>
    <comment ref="CG23" authorId="7">
      <text>
        <r>
          <rPr>
            <b/>
            <sz val="9"/>
            <color indexed="81"/>
            <rFont val="Tahoma"/>
            <family val="2"/>
          </rPr>
          <t>casselau:
2/25/16: 50.6% ex Boston Proper</t>
        </r>
        <r>
          <rPr>
            <sz val="9"/>
            <color indexed="81"/>
            <rFont val="Tahoma"/>
            <family val="2"/>
          </rPr>
          <t xml:space="preserve">
8/27/14: decline in 2H should be less than 1H</t>
        </r>
      </text>
    </comment>
    <comment ref="CH23" authorId="7">
      <text>
        <r>
          <rPr>
            <b/>
            <sz val="9"/>
            <color indexed="81"/>
            <rFont val="Tahoma"/>
            <family val="2"/>
          </rPr>
          <t xml:space="preserve">casselau:
2/26/15: </t>
        </r>
        <r>
          <rPr>
            <sz val="9"/>
            <color indexed="81"/>
            <rFont val="Tahoma"/>
            <family val="2"/>
          </rPr>
          <t>primarily reflects increase promo activity to sell through product delayed by port issues, air frieght costs (+$4M/60 bps); and seasonal merch as well as an impairment charge related to non-go-forward inventory
11/25/14: expect continued sequential improvement in gross margin</t>
        </r>
      </text>
    </comment>
    <comment ref="CJ23" authorId="13">
      <text>
        <r>
          <rPr>
            <b/>
            <sz val="9"/>
            <color indexed="81"/>
            <rFont val="Tahoma"/>
            <family val="2"/>
          </rPr>
          <t>Mains, Spencer (Research):</t>
        </r>
        <r>
          <rPr>
            <sz val="9"/>
            <color indexed="81"/>
            <rFont val="Tahoma"/>
            <family val="2"/>
          </rPr>
          <t xml:space="preserve">
11/24/15: additional air freight last year was "in the millions" and so the lack of that will be a tailwind TY vs. LY</t>
        </r>
      </text>
    </comment>
    <comment ref="CK23" authorId="13">
      <text>
        <r>
          <rPr>
            <b/>
            <sz val="9"/>
            <color indexed="81"/>
            <rFont val="Tahoma"/>
            <family val="2"/>
          </rPr>
          <t xml:space="preserve">2/25/16: 51.4% ex Boston Proper
</t>
        </r>
        <r>
          <rPr>
            <sz val="9"/>
            <color indexed="81"/>
            <rFont val="Tahoma"/>
            <family val="2"/>
          </rPr>
          <t>11/24/15: guidance: e</t>
        </r>
        <r>
          <rPr>
            <sz val="9"/>
            <color indexed="81"/>
            <rFont val="Tahoma"/>
            <family val="2"/>
          </rPr>
          <t>xpect flattish GM rate vs LY. Lack of additional air freight costs ($4M in 4Q14) will be tailwind TY
"sounds conservative"</t>
        </r>
      </text>
    </comment>
    <comment ref="CL23" authorId="7">
      <text>
        <r>
          <rPr>
            <sz val="9"/>
            <color indexed="81"/>
            <rFont val="Tahoma"/>
            <family val="2"/>
          </rPr>
          <t xml:space="preserve">2/26/16: primarily reflects improved inventory management; </t>
        </r>
        <r>
          <rPr>
            <b/>
            <sz val="9"/>
            <color indexed="81"/>
            <rFont val="Tahoma"/>
            <family val="2"/>
          </rPr>
          <t>Ex. Boston Proper would have been 51.4%</t>
        </r>
        <r>
          <rPr>
            <sz val="9"/>
            <color indexed="81"/>
            <rFont val="Tahoma"/>
            <family val="2"/>
          </rPr>
          <t xml:space="preserve">
8/26/15: Expect improvement in GM y/y, majority of 2H opportunity will come in 4Q.
5/27/15: Looking for improvements across entire year, but 2Q/4Q should see largest</t>
        </r>
        <r>
          <rPr>
            <b/>
            <sz val="9"/>
            <color indexed="81"/>
            <rFont val="Tahoma"/>
            <family val="2"/>
          </rPr>
          <t xml:space="preserve">
casselau:</t>
        </r>
        <r>
          <rPr>
            <sz val="9"/>
            <color indexed="81"/>
            <rFont val="Tahoma"/>
            <family val="2"/>
          </rPr>
          <t xml:space="preserve">
2/26/15: expect improvement; primarily in 2Q/4Q driven by AUR recovery
</t>
        </r>
      </text>
    </comment>
    <comment ref="CP23" authorId="7">
      <text>
        <r>
          <rPr>
            <b/>
            <sz val="9"/>
            <color indexed="81"/>
            <rFont val="Tahoma"/>
            <family val="2"/>
          </rPr>
          <t xml:space="preserve">casselau:
2/22/17: primarily reflects reduced promotional activity, partially offset by an increase in incentive compensation; occupancy only deleveraged 10 bps on -2.5% comp
11/22/16: expect improvement in merch margin to be more than offset by occupancy deleverage, leading to slight gross margin decline
8/30/16: expect lower gross margin due to deleverage of store occupancy costs, partially offset by an increase in merch margin; do not expect to leverage occupancy until 2017 
</t>
        </r>
        <r>
          <rPr>
            <sz val="9"/>
            <color indexed="81"/>
            <rFont val="Tahoma"/>
            <family val="2"/>
          </rPr>
          <t xml:space="preserve">
2/25/16: Expect to have more ability to leverage GM in 2Q and 4Q</t>
        </r>
      </text>
    </comment>
    <comment ref="CT23" authorId="8">
      <text>
        <r>
          <rPr>
            <b/>
            <sz val="9"/>
            <color indexed="81"/>
            <rFont val="Tahoma"/>
            <family val="2"/>
          </rPr>
          <t>Cassel, Lauren (Research):
2/28/18: primarily reflects a 170 basis point improvement in merchandise margin driven by lower average unit costs and a reduction in store occupancy costs.
11/21/17: guidance: flat to up slightly
8/30/17: expect merchandise margin up, offset by occupancy deleverage</t>
        </r>
        <r>
          <rPr>
            <sz val="9"/>
            <color indexed="81"/>
            <rFont val="Tahoma"/>
            <family val="2"/>
          </rPr>
          <t xml:space="preserve">
5/24/17: supply chain cost savings begin to accelerate in 2H</t>
        </r>
      </text>
    </comment>
    <comment ref="DE23" authorId="5">
      <text>
        <r>
          <rPr>
            <b/>
            <sz val="8"/>
            <color indexed="81"/>
            <rFont val="Tahoma"/>
            <family val="2"/>
          </rPr>
          <t>lauraro:</t>
        </r>
        <r>
          <rPr>
            <sz val="8"/>
            <color indexed="81"/>
            <rFont val="Tahoma"/>
            <family val="2"/>
          </rPr>
          <t xml:space="preserve">
+10 bps deeper penetration of made for outlet product
High level of MD in 3Q10 to anniversary
+30 bps tech improvement / better MD rate</t>
        </r>
      </text>
    </comment>
    <comment ref="BA24" authorId="4">
      <text>
        <r>
          <rPr>
            <b/>
            <sz val="8"/>
            <color indexed="81"/>
            <rFont val="Tahoma"/>
            <family val="2"/>
          </rPr>
          <t>mm98285:</t>
        </r>
        <r>
          <rPr>
            <sz val="8"/>
            <color indexed="81"/>
            <rFont val="Tahoma"/>
            <family val="2"/>
          </rPr>
          <t xml:space="preserve">
-100 bps Chs merch margin</t>
        </r>
      </text>
    </comment>
    <comment ref="BE24" authorId="4">
      <text>
        <r>
          <rPr>
            <b/>
            <sz val="8"/>
            <color indexed="81"/>
            <rFont val="Tahoma"/>
            <family val="2"/>
          </rPr>
          <t>mm98285:</t>
        </r>
        <r>
          <rPr>
            <sz val="8"/>
            <color indexed="81"/>
            <rFont val="Tahoma"/>
            <family val="2"/>
          </rPr>
          <t xml:space="preserve">
-180 bps Chs merch margin</t>
        </r>
      </text>
    </comment>
    <comment ref="BH24" authorId="4">
      <text>
        <r>
          <rPr>
            <b/>
            <sz val="8"/>
            <color indexed="81"/>
            <rFont val="Tahoma"/>
            <family val="2"/>
          </rPr>
          <t>mm98285:</t>
        </r>
        <r>
          <rPr>
            <sz val="8"/>
            <color indexed="81"/>
            <rFont val="Tahoma"/>
            <family val="2"/>
          </rPr>
          <t xml:space="preserve">
3//09: $46-$54mm savings ($37-$43M in SG&amp;A, $9-$11M in GM)</t>
        </r>
      </text>
    </comment>
    <comment ref="BI24" authorId="4">
      <text>
        <r>
          <rPr>
            <b/>
            <sz val="8"/>
            <color indexed="81"/>
            <rFont val="Tahoma"/>
            <family val="2"/>
          </rPr>
          <t>mm98285:</t>
        </r>
        <r>
          <rPr>
            <sz val="8"/>
            <color indexed="81"/>
            <rFont val="Tahoma"/>
            <family val="2"/>
          </rPr>
          <t xml:space="preserve">
Chs div merch margin -360 bps; WHBM merch margin -320 bps</t>
        </r>
      </text>
    </comment>
    <comment ref="BM24" authorId="4">
      <text>
        <r>
          <rPr>
            <b/>
            <sz val="8"/>
            <color indexed="81"/>
            <rFont val="Tahoma"/>
            <family val="2"/>
          </rPr>
          <t>mm98285:</t>
        </r>
        <r>
          <rPr>
            <sz val="8"/>
            <color indexed="81"/>
            <rFont val="Tahoma"/>
            <family val="2"/>
          </rPr>
          <t xml:space="preserve">
3/10: IMU: +60 bps, $10.5M, $0.04 EPS, MDs: +250 bps, $43.5M, $0.15 EPS, Outlet GM: 60 bps, $10.3M, $0.04 EPS, Merch, dist, compliance: +50 bps, $7.5M, $0.03 EPS; + saved $5.7M in freight, fabric, &amp; trim
3/09: $35-$40mm exp savings - primarily in SG&amp;A (we est. ~$5-10M in COGS savings); expect IMU at WHBM up in 2009 &amp; up in 2H09 at Chs div</t>
        </r>
      </text>
    </comment>
    <comment ref="BQ24" authorId="19">
      <text>
        <r>
          <rPr>
            <b/>
            <sz val="8"/>
            <color indexed="81"/>
            <rFont val="Tahoma"/>
            <family val="2"/>
          </rPr>
          <t>oc48540:</t>
        </r>
        <r>
          <rPr>
            <sz val="8"/>
            <color indexed="81"/>
            <rFont val="Tahoma"/>
            <family val="2"/>
          </rPr>
          <t xml:space="preserve">
2/24/10: +50-80bps improvement before any incremental benefit from our sourcing initiatives that we expect to begin to harvest in late fall 2010. 
On a go forward basis, we expect to see some IMU improvement, but perhaps not a significant as we enjoyed recently (~+110bps in 4Q).</t>
        </r>
      </text>
    </comment>
    <comment ref="BU24" authorId="5">
      <text>
        <r>
          <rPr>
            <b/>
            <sz val="8"/>
            <color indexed="81"/>
            <rFont val="Tahoma"/>
            <family val="2"/>
          </rPr>
          <t>lauraro:</t>
        </r>
        <r>
          <rPr>
            <sz val="8"/>
            <color indexed="81"/>
            <rFont val="Tahoma"/>
            <family val="2"/>
          </rPr>
          <t xml:space="preserve">
3/1/11: lower MD's and lower discounts wrt to coupons. Not eliminating coupons, lowering the richness of the offer
2/11: Exp GM rate to increase slightly moderated by what are expected to be higher sourcing and mdse costs, primarily in 2H11.</t>
        </r>
      </text>
    </comment>
    <comment ref="BY24" authorId="5">
      <text>
        <r>
          <rPr>
            <b/>
            <sz val="8"/>
            <color indexed="81"/>
            <rFont val="Tahoma"/>
            <family val="2"/>
          </rPr>
          <t xml:space="preserve">
11/20: +25-50 bps
8/20/12: </t>
        </r>
        <r>
          <rPr>
            <sz val="8"/>
            <color indexed="81"/>
            <rFont val="Tahoma"/>
            <family val="2"/>
          </rPr>
          <t>approx. flat to 2011</t>
        </r>
        <r>
          <rPr>
            <b/>
            <sz val="8"/>
            <color indexed="81"/>
            <rFont val="Tahoma"/>
            <family val="2"/>
          </rPr>
          <t xml:space="preserve">
</t>
        </r>
      </text>
    </comment>
    <comment ref="CC24" authorId="26">
      <text>
        <r>
          <rPr>
            <b/>
            <sz val="8"/>
            <color indexed="81"/>
            <rFont val="Tahoma"/>
            <family val="2"/>
          </rPr>
          <t>antons:</t>
        </r>
        <r>
          <rPr>
            <sz val="8"/>
            <color indexed="81"/>
            <rFont val="Tahoma"/>
            <family val="2"/>
          </rPr>
          <t xml:space="preserve">
2/28/13: From 4Q12 Conf. call - CFO, GM expected to be driven by new sourcing efforts to gain leverage on purchases. "Our primary initiatives impacting gross margin are building on our sourcing efforts to gain further leverage on our purchases, to diversify the mix
of our products out of China and to minimize the impact of inflationary cost pressures in raw materials and labor, implementing further technologies that allow for more precision in the allocation of our product like our size-scaling.."</t>
        </r>
      </text>
    </comment>
    <comment ref="CG24" authorId="15">
      <text>
        <r>
          <rPr>
            <b/>
            <sz val="9"/>
            <color indexed="81"/>
            <rFont val="Tahoma"/>
            <family val="2"/>
          </rPr>
          <t>2/26/16: 53.7% ex Boston Proper</t>
        </r>
        <r>
          <rPr>
            <sz val="9"/>
            <color indexed="81"/>
            <rFont val="Tahoma"/>
            <family val="2"/>
          </rPr>
          <t xml:space="preserve">
8/26/15: Excluding BP, GM would have been 40 bps higher in 2014 and 10 bps higher ytd in 2015</t>
        </r>
      </text>
    </comment>
    <comment ref="CK24" authorId="7">
      <text>
        <r>
          <rPr>
            <b/>
            <sz val="9"/>
            <color indexed="81"/>
            <rFont val="Tahoma"/>
            <family val="2"/>
          </rPr>
          <t>casselau:</t>
        </r>
        <r>
          <rPr>
            <sz val="9"/>
            <color indexed="81"/>
            <rFont val="Tahoma"/>
            <family val="2"/>
          </rPr>
          <t xml:space="preserve">
</t>
        </r>
        <r>
          <rPr>
            <b/>
            <sz val="9"/>
            <color indexed="81"/>
            <rFont val="Tahoma"/>
            <family val="2"/>
          </rPr>
          <t>2/26/16: 54.6% ex Boston Proper</t>
        </r>
      </text>
    </comment>
    <comment ref="CL24" authorId="7">
      <text>
        <r>
          <rPr>
            <sz val="9"/>
            <color indexed="81"/>
            <rFont val="Tahoma"/>
            <family val="2"/>
          </rPr>
          <t>5/27/15: Looking for improvements across entire year, but 2Q/4Q should see largest</t>
        </r>
        <r>
          <rPr>
            <b/>
            <sz val="9"/>
            <color indexed="81"/>
            <rFont val="Tahoma"/>
            <family val="2"/>
          </rPr>
          <t xml:space="preserve">
casselau:</t>
        </r>
        <r>
          <rPr>
            <sz val="9"/>
            <color indexed="81"/>
            <rFont val="Tahoma"/>
            <family val="2"/>
          </rPr>
          <t xml:space="preserve">
2/26/15: expect improvement; primarily in 2Q/4Q driven by AUR recovery
8/26/15: Expect improvement in GM y/y, majority of 2H opportunity will come in 4Q.</t>
        </r>
      </text>
    </comment>
    <comment ref="CO24" authorId="7">
      <text>
        <r>
          <rPr>
            <b/>
            <sz val="9"/>
            <color indexed="81"/>
            <rFont val="Tahoma"/>
            <family val="2"/>
          </rPr>
          <t>casselau:
5/26/16: expecting slight gross margin deleverage as occupancy costs will deleverage with lower sales; expect slight leverage of maintained margins 
*40% of $25M headcount reduction in COGS = $10M annualized savings</t>
        </r>
        <r>
          <rPr>
            <sz val="9"/>
            <color indexed="81"/>
            <rFont val="Tahoma"/>
            <family val="2"/>
          </rPr>
          <t xml:space="preserve">
2/26/16: The Company expects to achieve merchandise margin expansion and slight SG&amp;A leverage, both of which we expect to be offset by a return to targeted levels of incentive compensation,</t>
        </r>
        <r>
          <rPr>
            <b/>
            <sz val="9"/>
            <color indexed="81"/>
            <rFont val="Tahoma"/>
            <family val="2"/>
          </rPr>
          <t xml:space="preserve"> resulting in flat gross margin and SG&amp;A leverage ex BP</t>
        </r>
      </text>
    </comment>
    <comment ref="CT24" authorId="8">
      <text>
        <r>
          <rPr>
            <b/>
            <sz val="9"/>
            <color indexed="81"/>
            <rFont val="Tahoma"/>
            <family val="2"/>
          </rPr>
          <t>Cassel, Lauren (Research):
8/30/17: guidance: 75-100 bps decline
5/24/17: guidance: expect flat to +30 bps</t>
        </r>
        <r>
          <rPr>
            <sz val="9"/>
            <color indexed="81"/>
            <rFont val="Tahoma"/>
            <family val="2"/>
          </rPr>
          <t xml:space="preserve">
2/22/17: guidance: expects to achieve gross margin leverage for the year (+50-100 bps) primarily due to reduced promotional activity and savings from the supply chain initiative launched last year</t>
        </r>
      </text>
    </comment>
    <comment ref="CW24" authorId="20">
      <text>
        <r>
          <rPr>
            <b/>
            <sz val="9"/>
            <color indexed="81"/>
            <rFont val="Tahoma"/>
            <family val="2"/>
          </rPr>
          <t>De Courreges, Edouard (Research):</t>
        </r>
        <r>
          <rPr>
            <sz val="9"/>
            <color indexed="81"/>
            <rFont val="Tahoma"/>
            <family val="2"/>
          </rPr>
          <t xml:space="preserve">
2/28/18: Guide +125-150 bps GM increase y/y, driven by supply chain initiatives; 30-40M AUC savings</t>
        </r>
      </text>
    </comment>
    <comment ref="AF30" authorId="22">
      <text>
        <r>
          <rPr>
            <b/>
            <sz val="8"/>
            <color indexed="81"/>
            <rFont val="Tahoma"/>
            <family val="2"/>
          </rPr>
          <t>kgreenbe:</t>
        </r>
        <r>
          <rPr>
            <sz val="8"/>
            <color indexed="81"/>
            <rFont val="Tahoma"/>
            <family val="2"/>
          </rPr>
          <t xml:space="preserve">
register roll-out mostly hit Q1, which inflated dollars spent. </t>
        </r>
      </text>
    </comment>
    <comment ref="AJ30" authorId="14">
      <text>
        <r>
          <rPr>
            <b/>
            <sz val="8"/>
            <color indexed="81"/>
            <rFont val="Tahoma"/>
            <family val="2"/>
          </rPr>
          <t>dong2:</t>
        </r>
        <r>
          <rPr>
            <sz val="8"/>
            <color indexed="81"/>
            <rFont val="Tahoma"/>
            <family val="2"/>
          </rPr>
          <t xml:space="preserve">
$46.9, then 47.9</t>
        </r>
      </text>
    </comment>
    <comment ref="AK30" authorId="14">
      <text>
        <r>
          <rPr>
            <b/>
            <sz val="8"/>
            <color indexed="81"/>
            <rFont val="Tahoma"/>
            <family val="2"/>
          </rPr>
          <t>dong2:</t>
        </r>
        <r>
          <rPr>
            <sz val="8"/>
            <color indexed="81"/>
            <rFont val="Tahoma"/>
            <family val="2"/>
          </rPr>
          <t xml:space="preserve">
39.1%</t>
        </r>
      </text>
    </comment>
    <comment ref="AN30" authorId="1">
      <text>
        <r>
          <rPr>
            <b/>
            <sz val="8"/>
            <color indexed="81"/>
            <rFont val="Tahoma"/>
            <family val="2"/>
          </rPr>
          <t>dliu:</t>
        </r>
        <r>
          <rPr>
            <sz val="8"/>
            <color indexed="81"/>
            <rFont val="Tahoma"/>
            <family val="2"/>
          </rPr>
          <t xml:space="preserve">
58.9, 59.8</t>
        </r>
      </text>
    </comment>
    <comment ref="AO30" authorId="1">
      <text>
        <r>
          <rPr>
            <b/>
            <sz val="8"/>
            <color indexed="81"/>
            <rFont val="Tahoma"/>
            <family val="2"/>
          </rPr>
          <t>dliu:</t>
        </r>
        <r>
          <rPr>
            <sz val="8"/>
            <color indexed="81"/>
            <rFont val="Tahoma"/>
            <family val="2"/>
          </rPr>
          <t xml:space="preserve">
3/19/03: before broke out D&amp;A in model, had flat SG&amp;A to 02 in each qtr. Now that broken out, pressure on D&amp;A (from addtnl depre as a result of 2nd D.C.) offsets lvg on SG&amp;A.
5/23/03: SG&amp;A was 150 bps higher than anticipated. $2 mm of overage: 60 bps for marketing efforts, 70 bps for Pazo</t>
        </r>
      </text>
    </comment>
    <comment ref="AR30" authorId="1">
      <text>
        <r>
          <rPr>
            <b/>
            <sz val="8"/>
            <color indexed="81"/>
            <rFont val="Tahoma"/>
            <family val="2"/>
          </rPr>
          <t>dliu:</t>
        </r>
        <r>
          <rPr>
            <sz val="8"/>
            <color indexed="81"/>
            <rFont val="Tahoma"/>
            <family val="2"/>
          </rPr>
          <t xml:space="preserve">
92.4, 95.8</t>
        </r>
      </text>
    </comment>
    <comment ref="AW30" authorId="2">
      <text>
        <r>
          <rPr>
            <b/>
            <sz val="8"/>
            <color indexed="81"/>
            <rFont val="Tahoma"/>
            <family val="2"/>
          </rPr>
          <t>Morry Brown:</t>
        </r>
        <r>
          <rPr>
            <sz val="8"/>
            <color indexed="81"/>
            <rFont val="Tahoma"/>
            <family val="2"/>
          </rPr>
          <t xml:space="preserve">
35.8% est</t>
        </r>
      </text>
    </comment>
    <comment ref="AZ30" authorId="21">
      <text>
        <r>
          <rPr>
            <b/>
            <sz val="8"/>
            <color indexed="81"/>
            <rFont val="Tahoma"/>
            <family val="2"/>
          </rPr>
          <t>kg51925:</t>
        </r>
        <r>
          <rPr>
            <sz val="8"/>
            <color indexed="81"/>
            <rFont val="Tahoma"/>
            <family val="2"/>
          </rPr>
          <t xml:space="preserve">
3/1/06 $144.7mm -20 bps with 7% comp</t>
        </r>
      </text>
    </comment>
    <comment ref="BA30" authorId="21">
      <text>
        <r>
          <rPr>
            <b/>
            <sz val="8"/>
            <color indexed="81"/>
            <rFont val="Tahoma"/>
            <family val="2"/>
          </rPr>
          <t>kg51925:</t>
        </r>
        <r>
          <rPr>
            <sz val="8"/>
            <color indexed="81"/>
            <rFont val="Tahoma"/>
            <family val="2"/>
          </rPr>
          <t xml:space="preserve">
+30 bps increased marketing
+30 bps start-up costs (prep for SAP conversion)
+30 bps store payroll delvge (convert store managers from salary to hourly)
+20 bps write-off of new headquarters plan
+20 bps of incremt'l recruiting &amp; relocation exp +100 bps of options expense
-90 bps of leverage on other fixed expenses given higher sales volume
3/1/06 mgmt guided to SG&amp;A plus deprec'n combined flat as % to sales at +7% comp</t>
        </r>
      </text>
    </comment>
    <comment ref="BD30" authorId="4">
      <text>
        <r>
          <rPr>
            <b/>
            <sz val="8"/>
            <color indexed="81"/>
            <rFont val="Tahoma"/>
            <family val="2"/>
          </rPr>
          <t>mm98285:</t>
        </r>
        <r>
          <rPr>
            <sz val="8"/>
            <color indexed="81"/>
            <rFont val="Tahoma"/>
            <family val="2"/>
          </rPr>
          <t xml:space="preserve">
store operating: $154.693
marketing: $18.119
shared services: $32.291</t>
        </r>
      </text>
    </comment>
    <comment ref="BE30" authorId="4">
      <text>
        <r>
          <rPr>
            <b/>
            <sz val="8"/>
            <color indexed="81"/>
            <rFont val="Tahoma"/>
            <family val="2"/>
          </rPr>
          <t>mm98285:</t>
        </r>
        <r>
          <rPr>
            <sz val="8"/>
            <color indexed="81"/>
            <rFont val="Tahoma"/>
            <family val="2"/>
          </rPr>
          <t xml:space="preserve">
45.3% vs. 41.1% LY incl depreciat'n exp. (+410 bps)
+550 bps store operating exp, primarily due to incrsd occupancy (~100 bps) &amp; personnel given larger store openings, increased investment in store payroll to improve service levels, &amp; mix effect of WH|BM &amp; Soma becoming a larger % of the store base (both WH|BM and Soma brands operate with higher store operating costs as a % of sales) and higher depreciation (~100 bps)
-80 bps marketing costs (shifting out of 1Q to 2Q)
-60 bps shared services exp.</t>
        </r>
      </text>
    </comment>
    <comment ref="BT30" authorId="5">
      <text>
        <r>
          <rPr>
            <b/>
            <sz val="8"/>
            <color indexed="81"/>
            <rFont val="Tahoma"/>
            <family val="2"/>
          </rPr>
          <t xml:space="preserve">5/18/11: </t>
        </r>
        <r>
          <rPr>
            <sz val="8"/>
            <color indexed="81"/>
            <rFont val="Tahoma"/>
            <family val="2"/>
          </rPr>
          <t>SG&amp;A dollars increased $18.3 million, or 8.1%, over last year's first quarter primarily due to higher store and direct operating costs associated with 85 net new stores opened since the end of last year's first quarter.</t>
        </r>
        <r>
          <rPr>
            <sz val="8"/>
            <color indexed="81"/>
            <rFont val="Tahoma"/>
            <family val="2"/>
          </rPr>
          <t xml:space="preserve">
</t>
        </r>
      </text>
    </comment>
    <comment ref="BU30" authorId="5">
      <text>
        <r>
          <rPr>
            <b/>
            <sz val="8"/>
            <color indexed="81"/>
            <rFont val="Tahoma"/>
            <family val="2"/>
          </rPr>
          <t xml:space="preserve">5/18/11: </t>
        </r>
        <r>
          <rPr>
            <sz val="8"/>
            <color indexed="81"/>
            <rFont val="Tahoma"/>
            <family val="2"/>
          </rPr>
          <t>Lvg on 7.7% comp drove lower SG&amp;A rate</t>
        </r>
        <r>
          <rPr>
            <sz val="8"/>
            <color indexed="81"/>
            <rFont val="Tahoma"/>
            <family val="2"/>
          </rPr>
          <t xml:space="preserve">
</t>
        </r>
      </text>
    </comment>
    <comment ref="BX30" authorId="7">
      <text>
        <r>
          <rPr>
            <b/>
            <sz val="8"/>
            <color indexed="81"/>
            <rFont val="Tahoma"/>
            <family val="2"/>
          </rPr>
          <t>casselau:</t>
        </r>
        <r>
          <rPr>
            <sz val="8"/>
            <color indexed="81"/>
            <rFont val="Tahoma"/>
            <family val="2"/>
          </rPr>
          <t xml:space="preserve">
including .561M in acquisition and integration costs </t>
        </r>
      </text>
    </comment>
    <comment ref="BY30" authorId="5">
      <text>
        <r>
          <rPr>
            <b/>
            <sz val="8"/>
            <color indexed="81"/>
            <rFont val="Tahoma"/>
            <family val="2"/>
          </rPr>
          <t>lauraro:</t>
        </r>
        <r>
          <rPr>
            <sz val="8"/>
            <color indexed="81"/>
            <rFont val="Tahoma"/>
            <family val="2"/>
          </rPr>
          <t xml:space="preserve">
</t>
        </r>
        <r>
          <rPr>
            <b/>
            <sz val="8"/>
            <color indexed="81"/>
            <rFont val="Tahoma"/>
            <family val="2"/>
          </rPr>
          <t xml:space="preserve">5/16/12: </t>
        </r>
        <r>
          <rPr>
            <sz val="8"/>
            <color indexed="81"/>
            <rFont val="Tahoma"/>
            <family val="2"/>
          </rPr>
          <t>Marketing expenses as a percent of sales, excluding Boston Proper, were up 30 basis points compared to last year and Boston Proper's marketing expenses were approximately $11M</t>
        </r>
        <r>
          <rPr>
            <sz val="8"/>
            <color indexed="81"/>
            <rFont val="Tahoma"/>
            <family val="2"/>
          </rPr>
          <t xml:space="preserve">
</t>
        </r>
        <r>
          <rPr>
            <b/>
            <sz val="8"/>
            <color indexed="81"/>
            <rFont val="Tahoma"/>
            <family val="2"/>
          </rPr>
          <t>2/22/12:</t>
        </r>
        <r>
          <rPr>
            <sz val="8"/>
            <color indexed="81"/>
            <rFont val="Tahoma"/>
            <family val="2"/>
          </rPr>
          <t xml:space="preserve"> expect SG&amp;A leverage in all quarters but 1Q leverage somewhat lower than the remainder of the year as we launch incremental TV advertising for White House Black Market.</t>
        </r>
      </text>
    </comment>
    <comment ref="CB30" authorId="7">
      <text>
        <r>
          <rPr>
            <b/>
            <sz val="8"/>
            <color indexed="81"/>
            <rFont val="Tahoma"/>
            <family val="2"/>
          </rPr>
          <t>casselau:</t>
        </r>
        <r>
          <rPr>
            <sz val="8"/>
            <color indexed="81"/>
            <rFont val="Tahoma"/>
            <family val="2"/>
          </rPr>
          <t xml:space="preserve">
including .941M in acquisition and integration costs </t>
        </r>
      </text>
    </comment>
    <comment ref="CC30" authorId="7">
      <text>
        <r>
          <rPr>
            <b/>
            <sz val="8"/>
            <color indexed="81"/>
            <rFont val="Tahoma"/>
            <family val="2"/>
          </rPr>
          <t>casselau:</t>
        </r>
        <r>
          <rPr>
            <sz val="8"/>
            <color indexed="81"/>
            <rFont val="Tahoma"/>
            <family val="2"/>
          </rPr>
          <t xml:space="preserve">
5/29/13: increase primarily reflects higher occupancy and marketing expenses as a percent of net sales partially offset by lower incentive compensation </t>
        </r>
      </text>
    </comment>
    <comment ref="CH30" authorId="7">
      <text>
        <r>
          <rPr>
            <b/>
            <sz val="9"/>
            <color indexed="81"/>
            <rFont val="Tahoma"/>
            <family val="2"/>
          </rPr>
          <t>casselau:</t>
        </r>
        <r>
          <rPr>
            <sz val="9"/>
            <color indexed="81"/>
            <rFont val="Tahoma"/>
            <family val="2"/>
          </rPr>
          <t xml:space="preserve">
5/28/14: reflects sales deleverage of store expenses and the impact of $4M in investment spending on strategic initiatives, partially offset by lower incentive comp as a % of net sales</t>
        </r>
      </text>
    </comment>
    <comment ref="CJ30" authorId="7">
      <text>
        <r>
          <rPr>
            <b/>
            <sz val="9"/>
            <color indexed="81"/>
            <rFont val="Tahoma"/>
            <family val="2"/>
          </rPr>
          <t>$313,351 ex Boston Proper</t>
        </r>
      </text>
    </comment>
    <comment ref="CK30" authorId="7">
      <text>
        <r>
          <rPr>
            <b/>
            <sz val="9"/>
            <color indexed="81"/>
            <rFont val="Tahoma"/>
            <family val="2"/>
          </rPr>
          <t>46.8% ex Boston Proper</t>
        </r>
        <r>
          <rPr>
            <sz val="9"/>
            <color indexed="81"/>
            <rFont val="Tahoma"/>
            <family val="2"/>
          </rPr>
          <t xml:space="preserve">
5/27/15: deleverage driven by  increased occupancy costs due to 109 new stores opened last year and return to targeted levels of incentive compensation, partially offset by the savings from organizational realignment. ~60% of incentive comp is in SG&amp;A.  Restructuring took place at end of Feb.  About half was in GM and half in SG&amp;A.</t>
        </r>
        <r>
          <rPr>
            <b/>
            <sz val="9"/>
            <color indexed="81"/>
            <rFont val="Tahoma"/>
            <family val="2"/>
          </rPr>
          <t xml:space="preserve">
casselau:</t>
        </r>
        <r>
          <rPr>
            <sz val="9"/>
            <color indexed="81"/>
            <rFont val="Tahoma"/>
            <family val="2"/>
          </rPr>
          <t xml:space="preserve">
2/26/15: cost cut initiatives will not have the benefit of a full quarter (sounds like deleverage)
8/26/15: Excluding BP, SG&amp;A would have been 30 bps lower y/y in 2014  and flat vs. 20 bps of delverage ytd in 2015</t>
        </r>
      </text>
    </comment>
    <comment ref="CN30" authorId="8">
      <text>
        <r>
          <rPr>
            <b/>
            <sz val="9"/>
            <color indexed="81"/>
            <rFont val="Tahoma"/>
            <family val="2"/>
          </rPr>
          <t>Cassel, Lauren (Research):</t>
        </r>
        <r>
          <rPr>
            <sz val="9"/>
            <color indexed="81"/>
            <rFont val="Tahoma"/>
            <family val="2"/>
          </rPr>
          <t xml:space="preserve">
5/26/16: excludes $2.651 in restructuring and strategic charges</t>
        </r>
      </text>
    </comment>
    <comment ref="CP30" authorId="8">
      <text>
        <r>
          <rPr>
            <b/>
            <sz val="9"/>
            <color indexed="81"/>
            <rFont val="Tahoma"/>
            <family val="2"/>
          </rPr>
          <t>Cassel, Lauren (Research):</t>
        </r>
        <r>
          <rPr>
            <sz val="9"/>
            <color indexed="81"/>
            <rFont val="Tahoma"/>
            <family val="2"/>
          </rPr>
          <t xml:space="preserve">
5/26/16: the decline reflects savings in store labor, marketing expenses, and incentive compensation, reflecting a slight decline in SG&amp;A rate</t>
        </r>
      </text>
    </comment>
    <comment ref="CS30" authorId="8">
      <text>
        <r>
          <rPr>
            <b/>
            <sz val="9"/>
            <color indexed="81"/>
            <rFont val="Tahoma"/>
            <family val="2"/>
          </rPr>
          <t>Cassel, Lauren (Research):</t>
        </r>
        <r>
          <rPr>
            <sz val="9"/>
            <color indexed="81"/>
            <rFont val="Tahoma"/>
            <family val="2"/>
          </rPr>
          <t xml:space="preserve">
2/22/17: first half is toughest compare from an incentive comp perspective</t>
        </r>
      </text>
    </comment>
    <comment ref="CT30" authorId="8">
      <text>
        <r>
          <rPr>
            <b/>
            <sz val="9"/>
            <color indexed="81"/>
            <rFont val="Tahoma"/>
            <family val="2"/>
          </rPr>
          <t>Cassel, Lauren (Research):</t>
        </r>
        <r>
          <rPr>
            <sz val="9"/>
            <color indexed="81"/>
            <rFont val="Tahoma"/>
            <family val="2"/>
          </rPr>
          <t xml:space="preserve">
5/24/17: This $25.6 million decrease primarily reflects savings in store related expenses, lower marketing spend and the benefit of other previously announced cost reduction initiatives. 
</t>
        </r>
        <r>
          <rPr>
            <b/>
            <sz val="9"/>
            <color indexed="81"/>
            <rFont val="Tahoma"/>
            <family val="2"/>
          </rPr>
          <t>-$10M marketing dollars y/y (eliminated tv commercials) - but do not have similar opportunity in rest of the year given 1Q has traditionally been the bigger quarter for TV spend</t>
        </r>
      </text>
    </comment>
    <comment ref="CX30" authorId="20">
      <text>
        <r>
          <rPr>
            <b/>
            <sz val="9"/>
            <color indexed="81"/>
            <rFont val="Tahoma"/>
            <family val="2"/>
          </rPr>
          <t>De Courreges, Edouard (Research):</t>
        </r>
        <r>
          <rPr>
            <sz val="9"/>
            <color indexed="81"/>
            <rFont val="Tahoma"/>
            <family val="2"/>
          </rPr>
          <t xml:space="preserve">
2/28/18: Marketing expense to rise in 1Q and 3Q, leading to higher SG&amp;A</t>
        </r>
      </text>
    </comment>
    <comment ref="AG31" authorId="22">
      <text>
        <r>
          <rPr>
            <b/>
            <sz val="8"/>
            <color indexed="81"/>
            <rFont val="Tahoma"/>
            <family val="2"/>
          </rPr>
          <t>kgreenbe:</t>
        </r>
        <r>
          <rPr>
            <sz val="8"/>
            <color indexed="81"/>
            <rFont val="Tahoma"/>
            <family val="2"/>
          </rPr>
          <t xml:space="preserve">
Q1 conf call co. indicated neg lvg will continue into 2Q due to register roll-out, but to lesser degree.  SG&amp;A also incl stepped up mktg budget at 3.5% of sales vs. 2.3% LY (expected to continue).</t>
        </r>
      </text>
    </comment>
    <comment ref="AJ31" authorId="27">
      <text>
        <r>
          <rPr>
            <sz val="8"/>
            <color indexed="81"/>
            <rFont val="Tahoma"/>
            <family val="2"/>
          </rPr>
          <t xml:space="preserve">had $45.8 mm, then 47.9 mm, </t>
        </r>
      </text>
    </comment>
    <comment ref="AK31" authorId="14">
      <text>
        <r>
          <rPr>
            <b/>
            <sz val="8"/>
            <color indexed="81"/>
            <rFont val="Tahoma"/>
            <family val="2"/>
          </rPr>
          <t>dong2:</t>
        </r>
        <r>
          <rPr>
            <sz val="8"/>
            <color indexed="81"/>
            <rFont val="Tahoma"/>
            <family val="2"/>
          </rPr>
          <t xml:space="preserve">
12/5: co. s/ benefit from lack of 1-time charges related to POS, but co. indicated more oppty on SG&amp;A than GM g.f.</t>
        </r>
      </text>
    </comment>
    <comment ref="AN31" authorId="1">
      <text>
        <r>
          <rPr>
            <b/>
            <sz val="8"/>
            <color indexed="81"/>
            <rFont val="Tahoma"/>
            <family val="2"/>
          </rPr>
          <t>dliu:</t>
        </r>
        <r>
          <rPr>
            <sz val="8"/>
            <color indexed="81"/>
            <rFont val="Tahoma"/>
            <family val="2"/>
          </rPr>
          <t xml:space="preserve">
61.1, 62.0, 64.1</t>
        </r>
      </text>
    </comment>
    <comment ref="AO31" authorId="1">
      <text>
        <r>
          <rPr>
            <b/>
            <sz val="8"/>
            <color indexed="81"/>
            <rFont val="Tahoma"/>
            <family val="2"/>
          </rPr>
          <t>dliu:</t>
        </r>
        <r>
          <rPr>
            <sz val="8"/>
            <color indexed="81"/>
            <rFont val="Tahoma"/>
            <family val="2"/>
          </rPr>
          <t xml:space="preserve">
had 37.2 but had to raise to keep at $0.24</t>
        </r>
      </text>
    </comment>
    <comment ref="AS31" authorId="23">
      <text>
        <r>
          <rPr>
            <b/>
            <sz val="8"/>
            <color indexed="81"/>
            <rFont val="Tahoma"/>
            <family val="2"/>
          </rPr>
          <t>MS:</t>
        </r>
        <r>
          <rPr>
            <sz val="8"/>
            <color indexed="81"/>
            <rFont val="Tahoma"/>
            <family val="2"/>
          </rPr>
          <t xml:space="preserve">
36.8</t>
        </r>
      </text>
    </comment>
    <comment ref="AW31" authorId="2">
      <text>
        <r>
          <rPr>
            <b/>
            <sz val="8"/>
            <color indexed="81"/>
            <rFont val="Tahoma"/>
            <family val="2"/>
          </rPr>
          <t>Morry Brown:</t>
        </r>
        <r>
          <rPr>
            <sz val="8"/>
            <color indexed="81"/>
            <rFont val="Tahoma"/>
            <family val="2"/>
          </rPr>
          <t xml:space="preserve">
35.0 est</t>
        </r>
      </text>
    </comment>
    <comment ref="AZ31" authorId="21">
      <text>
        <r>
          <rPr>
            <b/>
            <sz val="8"/>
            <color indexed="81"/>
            <rFont val="Tahoma"/>
            <family val="2"/>
          </rPr>
          <t>kg51925:</t>
        </r>
        <r>
          <rPr>
            <sz val="8"/>
            <color indexed="81"/>
            <rFont val="Tahoma"/>
            <family val="2"/>
          </rPr>
          <t xml:space="preserve">
3/1/06 $144.8mm -20 bps with 7% comp</t>
        </r>
      </text>
    </comment>
    <comment ref="BA31" authorId="21">
      <text>
        <r>
          <rPr>
            <b/>
            <sz val="8"/>
            <color indexed="81"/>
            <rFont val="Tahoma"/>
            <family val="2"/>
          </rPr>
          <t>kg51925:</t>
        </r>
        <r>
          <rPr>
            <sz val="8"/>
            <color indexed="81"/>
            <rFont val="Tahoma"/>
            <family val="2"/>
          </rPr>
          <t xml:space="preserve">
+50 bps options exp
5/06: SG&amp;A plus dep. (on a preoption basis) down, up to -50 bps vs LY
3/1/06 mgmt guided to SG&amp;A plus deprec'n combined flat as % to sales at +7% comp</t>
        </r>
      </text>
    </comment>
    <comment ref="BD31" authorId="4">
      <text>
        <r>
          <rPr>
            <b/>
            <sz val="8"/>
            <color indexed="81"/>
            <rFont val="Tahoma"/>
            <family val="2"/>
          </rPr>
          <t>mm98285:</t>
        </r>
        <r>
          <rPr>
            <sz val="8"/>
            <color indexed="81"/>
            <rFont val="Tahoma"/>
            <family val="2"/>
          </rPr>
          <t xml:space="preserve">
store operating: $151.259
marketing: $12.267
shared services: $30.448
(excludes dep of $19.558)</t>
        </r>
      </text>
    </comment>
    <comment ref="BE31" authorId="4">
      <text>
        <r>
          <rPr>
            <b/>
            <sz val="8"/>
            <color indexed="81"/>
            <rFont val="Tahoma"/>
            <family val="2"/>
          </rPr>
          <t>mm98285:</t>
        </r>
        <r>
          <rPr>
            <sz val="8"/>
            <color indexed="81"/>
            <rFont val="Tahoma"/>
            <family val="2"/>
          </rPr>
          <t xml:space="preserve">
+occupcy &amp; personnel costs given larger Chico's &amp; WHIBM stores
+investment in store payroll to improve service levels
+the mix effect of smaller brands (which have higher store op. costs as a % of sales) becoming a larger portion of the store base
+deleverage associated with the -5.6% comp
+add'l store level promo &amp; outreach events across all brands
+100 bps shared services due to 1) incrs'd relocation, recruitment, tech &amp; marketing costs &amp; 2) delvge given -5.6% comp, offset partially by 3) reduction in incentive &amp; stock-based comp vs. LY. 
-10 bps marketing costs as mgmt intends to increase marketing spending in 2H07 to protect and enhance its market share as well as highlight its Fall and Holiday product offerings.
8/07: expect incremental 80 bps in marketing costs (shifting out of 1Q to 2Q)</t>
        </r>
      </text>
    </comment>
    <comment ref="BL31" authorId="4">
      <text>
        <r>
          <rPr>
            <b/>
            <sz val="8"/>
            <color indexed="81"/>
            <rFont val="Tahoma"/>
            <family val="2"/>
          </rPr>
          <t>mm98285:</t>
        </r>
        <r>
          <rPr>
            <sz val="8"/>
            <color indexed="81"/>
            <rFont val="Tahoma"/>
            <family val="2"/>
          </rPr>
          <t xml:space="preserve">
8/09: down $4-5M</t>
        </r>
      </text>
    </comment>
    <comment ref="BM31" authorId="4">
      <text>
        <r>
          <rPr>
            <b/>
            <sz val="8"/>
            <color indexed="81"/>
            <rFont val="Tahoma"/>
            <family val="2"/>
          </rPr>
          <t>mm98285:</t>
        </r>
        <r>
          <rPr>
            <sz val="8"/>
            <color indexed="81"/>
            <rFont val="Tahoma"/>
            <family val="2"/>
          </rPr>
          <t xml:space="preserve">
expense reduction strategies offset in part by increase in perf. based comp. accruals resulting from improved YTD results
5/09: expect meaningful reduction in SG&amp;A even with increase in occupancy as continue to extract cost from business</t>
        </r>
      </text>
    </comment>
    <comment ref="BQ31" authorId="11">
      <text>
        <r>
          <rPr>
            <b/>
            <sz val="8"/>
            <color indexed="81"/>
            <rFont val="Tahoma"/>
            <family val="2"/>
          </rPr>
          <t>marchant:</t>
        </r>
        <r>
          <rPr>
            <sz val="8"/>
            <color indexed="81"/>
            <rFont val="Tahoma"/>
            <family val="2"/>
          </rPr>
          <t xml:space="preserve">
higher $s given costs associated with ~50 net new stores and $1.8M more on marketing vs. LY</t>
        </r>
      </text>
    </comment>
    <comment ref="BU31" authorId="5">
      <text>
        <r>
          <rPr>
            <b/>
            <sz val="8"/>
            <color indexed="81"/>
            <rFont val="Tahoma"/>
            <family val="2"/>
          </rPr>
          <t xml:space="preserve">8/17/11: </t>
        </r>
        <r>
          <rPr>
            <sz val="8"/>
            <color indexed="81"/>
            <rFont val="Tahoma"/>
            <family val="2"/>
          </rPr>
          <t>Store payroll and occupancy costs were leveraged against the larger sales base</t>
        </r>
        <r>
          <rPr>
            <b/>
            <sz val="8"/>
            <color indexed="81"/>
            <rFont val="Tahoma"/>
            <family val="2"/>
          </rPr>
          <t xml:space="preserve">
5/18/11: </t>
        </r>
        <r>
          <rPr>
            <sz val="8"/>
            <color indexed="81"/>
            <rFont val="Tahoma"/>
            <family val="2"/>
          </rPr>
          <t>leverage similar to that in the first quarter resulting from a positive comp and continued effective expense control, partially offset by a small increase in marketing expenditure</t>
        </r>
        <r>
          <rPr>
            <sz val="8"/>
            <color indexed="81"/>
            <rFont val="Tahoma"/>
            <family val="2"/>
          </rPr>
          <t xml:space="preserve">
</t>
        </r>
      </text>
    </comment>
    <comment ref="BX31" authorId="7">
      <text>
        <r>
          <rPr>
            <b/>
            <sz val="8"/>
            <color indexed="81"/>
            <rFont val="Tahoma"/>
            <family val="2"/>
          </rPr>
          <t>casselau:</t>
        </r>
        <r>
          <rPr>
            <sz val="8"/>
            <color indexed="81"/>
            <rFont val="Tahoma"/>
            <family val="2"/>
          </rPr>
          <t xml:space="preserve">
8/22/12: including .283M in acquisition and integration costs </t>
        </r>
      </text>
    </comment>
    <comment ref="BY31" authorId="5">
      <text>
        <r>
          <rPr>
            <b/>
            <sz val="8"/>
            <color indexed="81"/>
            <rFont val="Tahoma"/>
            <family val="2"/>
          </rPr>
          <t xml:space="preserve">8/22/12: </t>
        </r>
        <r>
          <rPr>
            <sz val="8"/>
            <color indexed="81"/>
            <rFont val="Tahoma"/>
            <family val="2"/>
          </rPr>
          <t xml:space="preserve">reflects sales leverage impact on store expenses and the inclusion of BP's results </t>
        </r>
        <r>
          <rPr>
            <b/>
            <sz val="8"/>
            <color indexed="81"/>
            <rFont val="Tahoma"/>
            <family val="2"/>
          </rPr>
          <t xml:space="preserve">
lauraro:</t>
        </r>
        <r>
          <rPr>
            <sz val="8"/>
            <color indexed="81"/>
            <rFont val="Tahoma"/>
            <family val="2"/>
          </rPr>
          <t xml:space="preserve">
</t>
        </r>
        <r>
          <rPr>
            <b/>
            <sz val="8"/>
            <color indexed="81"/>
            <rFont val="Tahoma"/>
            <family val="2"/>
          </rPr>
          <t xml:space="preserve">5/16/12: </t>
        </r>
        <r>
          <rPr>
            <sz val="8"/>
            <color indexed="81"/>
            <rFont val="Tahoma"/>
            <family val="2"/>
          </rPr>
          <t>our second-quarter sales growth, gross margin rate and expense leverage should be directionally consistent with our full-year planning assumptions</t>
        </r>
      </text>
    </comment>
    <comment ref="CC31" authorId="7">
      <text>
        <r>
          <rPr>
            <b/>
            <sz val="8"/>
            <color indexed="81"/>
            <rFont val="Tahoma"/>
            <family val="2"/>
          </rPr>
          <t>casselau:</t>
        </r>
        <r>
          <rPr>
            <sz val="8"/>
            <color indexed="81"/>
            <rFont val="Tahoma"/>
            <family val="2"/>
          </rPr>
          <t xml:space="preserve">
8/28/13: driven by deleverage of occupancy and marketing expenses and the impact of invenstment spending on strategic initatives (+20 bps), partially offset by lower incentive compensation as a % of sales</t>
        </r>
      </text>
    </comment>
    <comment ref="CG31" authorId="7">
      <text>
        <r>
          <rPr>
            <b/>
            <sz val="9"/>
            <color indexed="81"/>
            <rFont val="Tahoma"/>
            <family val="2"/>
          </rPr>
          <t>casselau:</t>
        </r>
        <r>
          <rPr>
            <sz val="9"/>
            <color indexed="81"/>
            <rFont val="Tahoma"/>
            <family val="2"/>
          </rPr>
          <t xml:space="preserve">
8/27/14: primarily reflects sales deleverage of store expenses, costs to support new store gorwth, and ~$5 in incremental investment spending on strategic initiatives </t>
        </r>
      </text>
    </comment>
    <comment ref="CH31" authorId="7">
      <text>
        <r>
          <rPr>
            <b/>
            <sz val="9"/>
            <color indexed="81"/>
            <rFont val="Tahoma"/>
            <family val="2"/>
          </rPr>
          <t>casselau:</t>
        </r>
        <r>
          <rPr>
            <sz val="9"/>
            <color indexed="81"/>
            <rFont val="Tahoma"/>
            <family val="2"/>
          </rPr>
          <t xml:space="preserve">
8/27/14: +4.7% ex. strategic investments</t>
        </r>
      </text>
    </comment>
    <comment ref="CJ31" authorId="7">
      <text>
        <r>
          <rPr>
            <b/>
            <sz val="9"/>
            <color indexed="81"/>
            <rFont val="Tahoma"/>
            <family val="2"/>
          </rPr>
          <t>$294,274 e</t>
        </r>
        <r>
          <rPr>
            <b/>
            <sz val="9"/>
            <color indexed="81"/>
            <rFont val="Tahoma"/>
            <family val="2"/>
          </rPr>
          <t>x Boston Proper</t>
        </r>
      </text>
    </comment>
    <comment ref="CK31" authorId="7">
      <text>
        <r>
          <rPr>
            <b/>
            <sz val="9"/>
            <color indexed="81"/>
            <rFont val="Tahoma"/>
            <family val="2"/>
          </rPr>
          <t>44.8% ex Boston Proper
casselau:</t>
        </r>
        <r>
          <rPr>
            <sz val="9"/>
            <color indexed="81"/>
            <rFont val="Tahoma"/>
            <family val="2"/>
          </rPr>
          <t xml:space="preserve">
8/26/15: primarily reflects benefits from previously accounced cost reduction efforts, partially offset by an increase in accrued incentive comp and occupancy costs 
8/26/15: Excluding BP, SG&amp;A would have been 30 bps lower y/y in 2014  and flat vs. 20 bps of delverage ytd in 2015</t>
        </r>
      </text>
    </comment>
    <comment ref="CN31" authorId="8">
      <text>
        <r>
          <rPr>
            <b/>
            <sz val="9"/>
            <color indexed="81"/>
            <rFont val="Tahoma"/>
            <family val="2"/>
          </rPr>
          <t>Cassel, Lauren (Research):</t>
        </r>
        <r>
          <rPr>
            <sz val="9"/>
            <color indexed="81"/>
            <rFont val="Tahoma"/>
            <family val="2"/>
          </rPr>
          <t xml:space="preserve">
8/30/16: Excludes pre-tax restructuring and strategic charges of $16.6 million, primarily consisting of severance, proxy solicitation costs, and consulting fees</t>
        </r>
      </text>
    </comment>
    <comment ref="CO31" authorId="8">
      <text>
        <r>
          <rPr>
            <b/>
            <sz val="9"/>
            <color indexed="81"/>
            <rFont val="Tahoma"/>
            <family val="2"/>
          </rPr>
          <t>Cassel, Lauren (Research):</t>
        </r>
        <r>
          <rPr>
            <sz val="9"/>
            <color indexed="81"/>
            <rFont val="Tahoma"/>
            <family val="2"/>
          </rPr>
          <t xml:space="preserve">
830/16: The $7.9 million decrease is primarily due to savings in store labor, stock-based compensation and marketing expenses, and reflects a slight decline in SG&amp;A rate.</t>
        </r>
      </text>
    </comment>
    <comment ref="CP31" authorId="8">
      <text>
        <r>
          <rPr>
            <b/>
            <sz val="9"/>
            <color indexed="81"/>
            <rFont val="Tahoma"/>
            <family val="2"/>
          </rPr>
          <t>Cassel, Lauren (Research):</t>
        </r>
        <r>
          <rPr>
            <sz val="9"/>
            <color indexed="81"/>
            <rFont val="Tahoma"/>
            <family val="2"/>
          </rPr>
          <t xml:space="preserve">
830/16: The $7.9 million decrease is primarily due to savings in store labor, stock-based compensation and marketing expenses, and reflects a slight decline in SG&amp;A rate; reduced headcount by 200, or 13%, which is expected to result in $25M pre-tax annualized savings</t>
        </r>
      </text>
    </comment>
    <comment ref="CS31" authorId="8">
      <text>
        <r>
          <rPr>
            <b/>
            <sz val="9"/>
            <color indexed="81"/>
            <rFont val="Tahoma"/>
            <family val="2"/>
          </rPr>
          <t>Cassel, Lauren (Research):</t>
        </r>
        <r>
          <rPr>
            <sz val="9"/>
            <color indexed="81"/>
            <rFont val="Tahoma"/>
            <family val="2"/>
          </rPr>
          <t xml:space="preserve">
5/24/17: gross margin and SG&amp;A will likely deleverage due to our sales expectation and the residual inventory </t>
        </r>
      </text>
    </comment>
    <comment ref="CT31" authorId="8">
      <text>
        <r>
          <rPr>
            <b/>
            <sz val="9"/>
            <color indexed="81"/>
            <rFont val="Tahoma"/>
            <family val="2"/>
          </rPr>
          <t>Cassel, Lauren (Research):</t>
        </r>
        <r>
          <rPr>
            <sz val="9"/>
            <color indexed="81"/>
            <rFont val="Tahoma"/>
            <family val="2"/>
          </rPr>
          <t xml:space="preserve">
8/30/17: This decrease of $13.0 million primarily reflects a reduction in store operating expenses to align with sales as well as a decrease in unproductive marketing spend by 15%; realized $55M of $1110M savings (in COGS and SG&amp;A) in 1H</t>
        </r>
      </text>
    </comment>
    <comment ref="AG32" authorId="22">
      <text>
        <r>
          <rPr>
            <b/>
            <sz val="8"/>
            <color indexed="81"/>
            <rFont val="Tahoma"/>
            <family val="2"/>
          </rPr>
          <t>kgreenbe:</t>
        </r>
        <r>
          <rPr>
            <sz val="8"/>
            <color indexed="81"/>
            <rFont val="Tahoma"/>
            <family val="2"/>
          </rPr>
          <t xml:space="preserve">
Q1 conf call co. indicated neg lvg will continue into 2Q due to register roll-out, but to lesser degree.  SG&amp;A also incl stepped up mktg budget at 3.5% of sales vs. 2.3% LY (expected to continue). 10/2: update w. co.- sg&amp;a pressure could be 200 bps. (42.8)
12/5: payroll was scheduled for +20% comp, but after 9/11 went to (30)% comp. So now have changed payroll to be more flexible to react to events</t>
        </r>
      </text>
    </comment>
    <comment ref="AN32" authorId="1">
      <text>
        <r>
          <rPr>
            <b/>
            <sz val="8"/>
            <color indexed="81"/>
            <rFont val="Tahoma"/>
            <family val="2"/>
          </rPr>
          <t>dliu:</t>
        </r>
        <r>
          <rPr>
            <sz val="8"/>
            <color indexed="81"/>
            <rFont val="Tahoma"/>
            <family val="2"/>
          </rPr>
          <t xml:space="preserve">
12/2: includes $3.2 mm of 1-time costs related to discontinuation of pazo (other $300K in GM). Reflects 160 bps of SG&amp;A pressure and 0.04 EPS.</t>
        </r>
      </text>
    </comment>
    <comment ref="AO32" authorId="1">
      <text>
        <r>
          <rPr>
            <b/>
            <sz val="8"/>
            <color indexed="81"/>
            <rFont val="Tahoma"/>
            <family val="2"/>
          </rPr>
          <t>dliu:</t>
        </r>
        <r>
          <rPr>
            <sz val="8"/>
            <color indexed="81"/>
            <rFont val="Tahoma"/>
            <family val="2"/>
          </rPr>
          <t xml:space="preserve">
12/2: includes $2.9 mm of 1-time costs related (total $3.2 million) to discontinuation of pazo (other $300K in GM). Reflects 160 bps of SG&amp;A pressure and 0.04 EPS</t>
        </r>
      </text>
    </comment>
    <comment ref="AS32" authorId="22">
      <text>
        <r>
          <rPr>
            <b/>
            <sz val="10"/>
            <color indexed="81"/>
            <rFont val="Tahoma"/>
            <family val="2"/>
          </rPr>
          <t>kgreenbe:</t>
        </r>
        <r>
          <rPr>
            <sz val="10"/>
            <color indexed="81"/>
            <rFont val="Tahoma"/>
            <family val="2"/>
          </rPr>
          <t xml:space="preserve">
12/03 assume 20 bps of neg lvg to finish 5 weeks of WHBM integration (after backing out $3.3mm on 1 time expenses from 3Q03)</t>
        </r>
      </text>
    </comment>
    <comment ref="AW32" authorId="2">
      <text>
        <r>
          <rPr>
            <b/>
            <sz val="8"/>
            <color indexed="81"/>
            <rFont val="Tahoma"/>
            <family val="2"/>
          </rPr>
          <t>Morry Brown:</t>
        </r>
        <r>
          <rPr>
            <sz val="8"/>
            <color indexed="81"/>
            <rFont val="Tahoma"/>
            <family val="2"/>
          </rPr>
          <t xml:space="preserve">
35.6</t>
        </r>
      </text>
    </comment>
    <comment ref="AZ32" authorId="21">
      <text>
        <r>
          <rPr>
            <b/>
            <sz val="8"/>
            <color indexed="81"/>
            <rFont val="Tahoma"/>
            <family val="2"/>
          </rPr>
          <t>kg51925:</t>
        </r>
        <r>
          <rPr>
            <sz val="8"/>
            <color indexed="81"/>
            <rFont val="Tahoma"/>
            <family val="2"/>
          </rPr>
          <t xml:space="preserve">
$161.373 prior to restatement 
3/1/06 $161.5mm -20 bps with 7% comp</t>
        </r>
      </text>
    </comment>
    <comment ref="BA32" authorId="21">
      <text>
        <r>
          <rPr>
            <b/>
            <sz val="8"/>
            <color indexed="81"/>
            <rFont val="Tahoma"/>
            <family val="2"/>
          </rPr>
          <t>kg51925:</t>
        </r>
        <r>
          <rPr>
            <sz val="8"/>
            <color indexed="81"/>
            <rFont val="Tahoma"/>
            <family val="2"/>
          </rPr>
          <t xml:space="preserve">
+100 bps options exp
+store payroll, aggressive new store openings (larger stores), delvge on neg comp (store operating costs +310 bps at Chico’s &amp; +280 bps at WH|BM (store payroll &amp; occp'cy))
Also - higher mix of WH|BM and Soma stores increased SG&amp;A
5/06: SG&amp;A plus dep. (on a preoption basis) down, up to -50 bps vs LY
3/1/06 mgmt guided to SG&amp;A plus deprec'n combined flat as % to sales at +7% comp</t>
        </r>
      </text>
    </comment>
    <comment ref="BD32" authorId="4">
      <text>
        <r>
          <rPr>
            <b/>
            <sz val="8"/>
            <color indexed="81"/>
            <rFont val="Tahoma"/>
            <family val="2"/>
          </rPr>
          <t>mm98285:</t>
        </r>
        <r>
          <rPr>
            <sz val="8"/>
            <color indexed="81"/>
            <rFont val="Tahoma"/>
            <family val="2"/>
          </rPr>
          <t xml:space="preserve">
12/07: excludes $6.833 gain on sale of investment (Lucy) so that est's are included in FC</t>
        </r>
      </text>
    </comment>
    <comment ref="BE32" authorId="4">
      <text>
        <r>
          <rPr>
            <b/>
            <sz val="8"/>
            <color indexed="81"/>
            <rFont val="Tahoma"/>
            <family val="2"/>
          </rPr>
          <t>mm98285:</t>
        </r>
        <r>
          <rPr>
            <sz val="8"/>
            <color indexed="81"/>
            <rFont val="Tahoma"/>
            <family val="2"/>
          </rPr>
          <t xml:space="preserve">
+590 bps store operating expenses
+240 bps marketing (planned increase)
+80 bps shared services
-Store op increased given 1) +occupancy &amp; personnel costs given larger stores, 2) +store payroll, 3) the mix effect, 4) delvge given -9.3% comp, &amp; 5) add'l store level promo &amp; outreach events across all brands. 
-Shared services increased given 1) +personnel relocation and recruitment costs, severance, technology and marketing support costs and 2) delvge given -9.3% comp, offset partially by 3) reduction in stock-based comp for 3Q07 vs. LY.
8/07: expect to increase marketing spending substantially in 2H vs. LY
-expect con't delevg from larger store openings
-expect less payroll delevg in 2H
-moderating delevge in store operating exp &amp; shared services cost in 3Q </t>
        </r>
      </text>
    </comment>
    <comment ref="BN32" authorId="4">
      <text>
        <r>
          <rPr>
            <b/>
            <sz val="8"/>
            <color indexed="81"/>
            <rFont val="Tahoma"/>
            <family val="2"/>
          </rPr>
          <t>mm98285:</t>
        </r>
        <r>
          <rPr>
            <sz val="8"/>
            <color indexed="81"/>
            <rFont val="Tahoma"/>
            <family val="2"/>
          </rPr>
          <t xml:space="preserve">
8/09: SG&amp;A+ 3% for 3Q (marketing +18%, shared services +DD given accruals for performance based compensation </t>
        </r>
      </text>
    </comment>
    <comment ref="BP32" authorId="5">
      <text>
        <r>
          <rPr>
            <b/>
            <sz val="8"/>
            <color indexed="81"/>
            <rFont val="Tahoma"/>
            <family val="2"/>
          </rPr>
          <t>lauraro:</t>
        </r>
        <r>
          <rPr>
            <sz val="8"/>
            <color indexed="81"/>
            <rFont val="Tahoma"/>
            <family val="2"/>
          </rPr>
          <t xml:space="preserve">
11/10: The dollar increase was primarily attributable to costs associated with the addition of 64 net new boutiques and outlets, plus the previously disclosed incremental $7 million marketing spend over last year for television, online and print advertising.</t>
        </r>
      </text>
    </comment>
    <comment ref="BQ32" authorId="5">
      <text>
        <r>
          <rPr>
            <b/>
            <sz val="8"/>
            <color indexed="81"/>
            <rFont val="Tahoma"/>
            <family val="2"/>
          </rPr>
          <t>lauraro:</t>
        </r>
        <r>
          <rPr>
            <sz val="8"/>
            <color indexed="81"/>
            <rFont val="Tahoma"/>
            <family val="2"/>
          </rPr>
          <t xml:space="preserve">
SG&amp;A impvt as a % of sales due to the leverage associated with the comparable store sales increase</t>
        </r>
      </text>
    </comment>
    <comment ref="BR32" authorId="11">
      <text>
        <r>
          <rPr>
            <b/>
            <sz val="8"/>
            <color indexed="81"/>
            <rFont val="Tahoma"/>
            <family val="2"/>
          </rPr>
          <t>marchant:</t>
        </r>
        <r>
          <rPr>
            <sz val="8"/>
            <color indexed="81"/>
            <rFont val="Tahoma"/>
            <family val="2"/>
          </rPr>
          <t xml:space="preserve">
8/10: store &amp; direct operating exp up in 2H similar to 1H; marketing spend +$8-10M in 2H vs. LY (Chs TV, WHBM prospecting and Soma media) with 2/3 of marketing in 3Q</t>
        </r>
      </text>
    </comment>
    <comment ref="BU32" authorId="5">
      <text>
        <r>
          <rPr>
            <b/>
            <sz val="8"/>
            <color indexed="81"/>
            <rFont val="Tahoma"/>
            <family val="2"/>
          </rPr>
          <t>lauraro:</t>
        </r>
        <r>
          <rPr>
            <sz val="8"/>
            <color indexed="81"/>
            <rFont val="Tahoma"/>
            <family val="2"/>
          </rPr>
          <t xml:space="preserve">
11/22:11: attributable to the sales leverage impact on occupancy costs as well as lower performance based compensation, partially offset by increased marketing expenses. 
8/17/11: expect some SG&amp;A lvg vs LY, SG&amp;A $ expect to grow at a similar rate to 2Q driven by higher comp growth, new store openings, and increased marketing and performance-based compensation expense</t>
        </r>
      </text>
    </comment>
    <comment ref="BY32" authorId="7">
      <text>
        <r>
          <rPr>
            <b/>
            <sz val="8"/>
            <color indexed="81"/>
            <rFont val="Tahoma"/>
            <family val="2"/>
          </rPr>
          <t>casselau:</t>
        </r>
        <r>
          <rPr>
            <sz val="8"/>
            <color indexed="81"/>
            <rFont val="Tahoma"/>
            <family val="2"/>
          </rPr>
          <t xml:space="preserve">
11/20: reflects the sales leverage impact on store expenses, payroll, occupancy, and supplies, partially offset by higher marketing expenses and incentive compensation </t>
        </r>
      </text>
    </comment>
    <comment ref="CC32" authorId="7">
      <text>
        <r>
          <rPr>
            <b/>
            <sz val="8"/>
            <color indexed="81"/>
            <rFont val="Tahoma"/>
            <family val="2"/>
          </rPr>
          <t>casselau:</t>
        </r>
        <r>
          <rPr>
            <sz val="8"/>
            <color indexed="81"/>
            <rFont val="Tahoma"/>
            <family val="2"/>
          </rPr>
          <t xml:space="preserve">
11/26/13: increase primarily reflects deleverage of occupancy expenses and the impact of investment spending on strategic initiatives, substantially offset by lower incentive compensation as a % of net sales</t>
        </r>
      </text>
    </comment>
    <comment ref="CG32" authorId="7">
      <text>
        <r>
          <rPr>
            <b/>
            <sz val="9"/>
            <color indexed="81"/>
            <rFont val="Tahoma"/>
            <family val="2"/>
          </rPr>
          <t>casselau:</t>
        </r>
        <r>
          <rPr>
            <sz val="9"/>
            <color indexed="81"/>
            <rFont val="Tahoma"/>
            <family val="2"/>
          </rPr>
          <t xml:space="preserve">
11/25/14: primarily reflects sales deleverage of store expenses, the impact of ~$5M in incremental investment spending on strategic initiatives and cycling the reversal of incentive comp in 2013</t>
        </r>
      </text>
    </comment>
    <comment ref="CH32" authorId="7">
      <text>
        <r>
          <rPr>
            <b/>
            <sz val="9"/>
            <color indexed="81"/>
            <rFont val="Tahoma"/>
            <family val="2"/>
          </rPr>
          <t>casselau:</t>
        </r>
        <r>
          <rPr>
            <sz val="9"/>
            <color indexed="81"/>
            <rFont val="Tahoma"/>
            <family val="2"/>
          </rPr>
          <t xml:space="preserve">
11/25/14: +2.6% ex. strategic initiative expenses ($5M)</t>
        </r>
      </text>
    </comment>
    <comment ref="CJ32" authorId="7">
      <text>
        <r>
          <rPr>
            <b/>
            <sz val="9"/>
            <color indexed="81"/>
            <rFont val="Tahoma"/>
            <family val="2"/>
          </rPr>
          <t>$316.109 ex Boston Proper</t>
        </r>
      </text>
    </comment>
    <comment ref="CK32" authorId="13">
      <text>
        <r>
          <rPr>
            <b/>
            <sz val="9"/>
            <color indexed="81"/>
            <rFont val="Tahoma"/>
            <family val="2"/>
          </rPr>
          <t>50.7% ex Boston Proper
11/24/15: primarily reflects sales deleverage as well as an increase in store occupancy and POS implementation costs</t>
        </r>
        <r>
          <rPr>
            <sz val="9"/>
            <color indexed="81"/>
            <rFont val="Tahoma"/>
            <family val="2"/>
          </rPr>
          <t xml:space="preserve">
SG&amp;A dollars ~flat excluding costs associated with rollout of POS (~$6M)</t>
        </r>
      </text>
    </comment>
    <comment ref="CL32" authorId="7">
      <text>
        <r>
          <rPr>
            <b/>
            <sz val="9"/>
            <color indexed="81"/>
            <rFont val="Tahoma"/>
            <family val="2"/>
          </rPr>
          <t>casselau:</t>
        </r>
        <r>
          <rPr>
            <sz val="9"/>
            <color indexed="81"/>
            <rFont val="Tahoma"/>
            <family val="2"/>
          </rPr>
          <t xml:space="preserve">
6/9/15: per Todd +1.5% dollar growth a "reasonable place to start, maybe a touch higher"</t>
        </r>
      </text>
    </comment>
    <comment ref="CN32" authorId="8">
      <text>
        <r>
          <rPr>
            <b/>
            <sz val="9"/>
            <color indexed="81"/>
            <rFont val="Tahoma"/>
            <family val="2"/>
          </rPr>
          <t>Cassel, Lauren (Research):</t>
        </r>
        <r>
          <rPr>
            <sz val="9"/>
            <color indexed="81"/>
            <rFont val="Tahoma"/>
            <family val="2"/>
          </rPr>
          <t xml:space="preserve">
11/21/16: This -$27.3M decrease is primarily due to a reduction in unproductive marketing spend and savings in store labor, partially offset by an increase in incentive compensation; We accelerated the timing of our marketing expense optimization, resulting in savings of approximately $17M in the third quarter compared to last year.</t>
        </r>
      </text>
    </comment>
    <comment ref="CO32" authorId="8">
      <text>
        <r>
          <rPr>
            <b/>
            <sz val="9"/>
            <color indexed="81"/>
            <rFont val="Tahoma"/>
            <family val="2"/>
          </rPr>
          <t>Cassel, Lauren (Research):</t>
        </r>
        <r>
          <rPr>
            <sz val="9"/>
            <color indexed="81"/>
            <rFont val="Tahoma"/>
            <family val="2"/>
          </rPr>
          <t xml:space="preserve">
</t>
        </r>
        <r>
          <rPr>
            <b/>
            <sz val="9"/>
            <color indexed="81"/>
            <rFont val="Tahoma"/>
            <family val="2"/>
          </rPr>
          <t>8/30/16: guidance: GM decline is expected to be offset by a decline in SG&amp;A as a percent of sales, resulting from the previously announced cost reduction and operating efficiency initiatives</t>
        </r>
      </text>
    </comment>
    <comment ref="CS32" authorId="8">
      <text>
        <r>
          <rPr>
            <b/>
            <sz val="9"/>
            <color indexed="81"/>
            <rFont val="Tahoma"/>
            <family val="2"/>
          </rPr>
          <t>Cassel, Lauren (Research):</t>
        </r>
        <r>
          <rPr>
            <sz val="9"/>
            <color indexed="81"/>
            <rFont val="Tahoma"/>
            <family val="2"/>
          </rPr>
          <t xml:space="preserve">
11/21/17; This decrease of $16.9 million, or 9.0%, primarily reflects the impact of a reduction in employee-related costs and marketing spend. </t>
        </r>
      </text>
    </comment>
    <comment ref="CT32" authorId="8">
      <text>
        <r>
          <rPr>
            <b/>
            <sz val="9"/>
            <color indexed="81"/>
            <rFont val="Tahoma"/>
            <family val="2"/>
          </rPr>
          <t>Cassel, Lauren (Research):</t>
        </r>
        <r>
          <rPr>
            <sz val="9"/>
            <color indexed="81"/>
            <rFont val="Tahoma"/>
            <family val="2"/>
          </rPr>
          <t xml:space="preserve">
8/30/17: We still anticipate another $25 million of initiative savings in the second half, primarily from our supply chain initiatives and non-merchandise procurement negotiations.</t>
        </r>
      </text>
    </comment>
    <comment ref="CX32" authorId="20">
      <text>
        <r>
          <rPr>
            <b/>
            <sz val="9"/>
            <color indexed="81"/>
            <rFont val="Tahoma"/>
            <family val="2"/>
          </rPr>
          <t>De Courreges, Edouard (Research):</t>
        </r>
        <r>
          <rPr>
            <sz val="9"/>
            <color indexed="81"/>
            <rFont val="Tahoma"/>
            <family val="2"/>
          </rPr>
          <t xml:space="preserve">
2/28/18: Marketing expense to rise in 1Q and 3Q, leading to higher SG&amp;A</t>
        </r>
      </text>
    </comment>
    <comment ref="AG33" authorId="22">
      <text>
        <r>
          <rPr>
            <b/>
            <sz val="8"/>
            <color indexed="81"/>
            <rFont val="Tahoma"/>
            <family val="2"/>
          </rPr>
          <t>kgreenbe:</t>
        </r>
        <r>
          <rPr>
            <sz val="8"/>
            <color indexed="81"/>
            <rFont val="Tahoma"/>
            <family val="2"/>
          </rPr>
          <t xml:space="preserve">
Q1 conf call co. indicated neg lvg will continue into 2Q due to register roll-out, but to lesser degree.  SG&amp;A also incl stepped up mktg budget at 3.5% of sales vs. 2.3% LY (expected to continue). 10/2: don't expect negative lvg. into the fourth qtr., as long as comp stays above 5%. i.e. so they need +5% comp to stay flat
12/5: reduce neg. lvg to 20 bps; go from 44.2 to 44.0
1/9/02: had $42.7 and 44.0% b4 Dec comp rptd
2/5/02: had $43.4 mm and 43.8% b4 Jan comp rptd</t>
        </r>
      </text>
    </comment>
    <comment ref="AK33" authorId="14">
      <text>
        <r>
          <rPr>
            <b/>
            <sz val="8"/>
            <color indexed="81"/>
            <rFont val="Tahoma"/>
            <family val="2"/>
          </rPr>
          <t>dong2:</t>
        </r>
        <r>
          <rPr>
            <sz val="8"/>
            <color indexed="81"/>
            <rFont val="Tahoma"/>
            <family val="2"/>
          </rPr>
          <t xml:space="preserve">
2/5/02: had to bring up to 44.1 to keep 4Q EPS at $0.23</t>
        </r>
      </text>
    </comment>
    <comment ref="AN33" authorId="1">
      <text>
        <r>
          <rPr>
            <b/>
            <sz val="8"/>
            <color indexed="81"/>
            <rFont val="Tahoma"/>
            <family val="2"/>
          </rPr>
          <t>dliu:</t>
        </r>
        <r>
          <rPr>
            <sz val="8"/>
            <color indexed="81"/>
            <rFont val="Tahoma"/>
            <family val="2"/>
          </rPr>
          <t xml:space="preserve">
82.2</t>
        </r>
      </text>
    </comment>
    <comment ref="AO33" authorId="22">
      <text>
        <r>
          <rPr>
            <b/>
            <sz val="10"/>
            <color indexed="81"/>
            <rFont val="Tahoma"/>
            <family val="2"/>
          </rPr>
          <t>kgreenbe:</t>
        </r>
        <r>
          <rPr>
            <sz val="10"/>
            <color indexed="81"/>
            <rFont val="Tahoma"/>
            <family val="2"/>
          </rPr>
          <t xml:space="preserve">
8/4/03 had 39.2% before lowered margin to reflect WHBM acquisition. Most of margin dilution comes from SG&amp;A.</t>
        </r>
      </text>
    </comment>
    <comment ref="AS33" authorId="28">
      <text>
        <r>
          <rPr>
            <b/>
            <sz val="8"/>
            <color indexed="81"/>
            <rFont val="Tahoma"/>
            <family val="2"/>
          </rPr>
          <t>SB:</t>
        </r>
        <r>
          <rPr>
            <sz val="8"/>
            <color indexed="81"/>
            <rFont val="Tahoma"/>
            <family val="2"/>
          </rPr>
          <t xml:space="preserve">
1/6 lowered from 38.3 given higher sales assumptions</t>
        </r>
      </text>
    </comment>
    <comment ref="AV33" authorId="21">
      <text>
        <r>
          <rPr>
            <b/>
            <sz val="8"/>
            <color indexed="81"/>
            <rFont val="Tahoma"/>
            <family val="2"/>
          </rPr>
          <t>kg51925:</t>
        </r>
        <r>
          <rPr>
            <sz val="8"/>
            <color indexed="81"/>
            <rFont val="Tahoma"/>
            <family val="2"/>
          </rPr>
          <t xml:space="preserve">
includes 110 bps increase in marketing planned expenses</t>
        </r>
      </text>
    </comment>
    <comment ref="AZ33" authorId="21">
      <text>
        <r>
          <rPr>
            <b/>
            <sz val="8"/>
            <color indexed="81"/>
            <rFont val="Tahoma"/>
            <family val="2"/>
          </rPr>
          <t>kg51925:</t>
        </r>
        <r>
          <rPr>
            <sz val="8"/>
            <color indexed="81"/>
            <rFont val="Tahoma"/>
            <family val="2"/>
          </rPr>
          <t xml:space="preserve">
3/07: includes $8.6mm impairment charge (incl $6.8mm impairment of goodwill, $1.2mm accelerated deprc'n, $0.6m other impairment)
CHS included the $6.8mm charge on a separate line labeled: "Impairment of goodwill"
3/1/06 $186.9mm flat rate with 7% comp
but given +110 bps mktg in 4Q05 plus 53rd week in 4Q06, assume some small addt'l lvg</t>
        </r>
      </text>
    </comment>
    <comment ref="BA33" authorId="21">
      <text>
        <r>
          <rPr>
            <b/>
            <sz val="8"/>
            <color indexed="81"/>
            <rFont val="Tahoma"/>
            <family val="2"/>
          </rPr>
          <t>kg51925:</t>
        </r>
        <r>
          <rPr>
            <sz val="8"/>
            <color indexed="81"/>
            <rFont val="Tahoma"/>
            <family val="2"/>
          </rPr>
          <t xml:space="preserve">
+60 bps options exp 
+delvge from neg comp, +payroll &amp; marketing exp, +invm't in larger stores (Chs &amp; WHBM) driving higher occup costs 
+higher mix of WH|BM and Soma stores 
5/06: SG&amp;A plus dep. (on a preoption basis) up, up to +50 bps vs LY
3/1/06 mgmt guided to SG&amp;A plus deprec'n combined flat as % to sales at +7% comp</t>
        </r>
      </text>
    </comment>
    <comment ref="BE33" authorId="4">
      <text>
        <r>
          <rPr>
            <b/>
            <sz val="8"/>
            <color indexed="81"/>
            <rFont val="Tahoma"/>
            <family val="2"/>
          </rPr>
          <t>mm98285:</t>
        </r>
        <r>
          <rPr>
            <sz val="8"/>
            <color indexed="81"/>
            <rFont val="Tahoma"/>
            <family val="2"/>
          </rPr>
          <t xml:space="preserve">
SG&amp;A +~960 bps due to increased store operating exp, marketing and deleverage on -15.7% comp, combined w/reduction in sales associated w/the extra week LY
8/07: expect to increase marketing spending substantially in 2H vs. LY
-start to anni larger store openings, expect delevg to lessen
-expect less payroll delevg in 2H
-expect moderating delevg / levg (depending on comp) in store operating exp &amp; shared services cost in 4Q</t>
        </r>
      </text>
    </comment>
    <comment ref="BF33" authorId="21">
      <text>
        <r>
          <rPr>
            <b/>
            <sz val="8"/>
            <color indexed="81"/>
            <rFont val="Tahoma"/>
            <family val="2"/>
          </rPr>
          <t>kg51925:</t>
        </r>
        <r>
          <rPr>
            <sz val="8"/>
            <color indexed="81"/>
            <rFont val="Tahoma"/>
            <family val="2"/>
          </rPr>
          <t xml:space="preserve">
1/08: 18.6% growth rate excl $8.6mm impairment charge taken LY</t>
        </r>
      </text>
    </comment>
    <comment ref="BM33" authorId="18">
      <text>
        <r>
          <rPr>
            <sz val="8"/>
            <color indexed="81"/>
            <rFont val="Tahoma"/>
            <family val="2"/>
          </rPr>
          <t>11/18: CHS expects meaningful improvement in gross margin rate and favorable SG&amp;A leverage due to positive comp (with dollars to be up due to small increases in occupancy and Holiday TV and print media campaigns).</t>
        </r>
      </text>
    </comment>
    <comment ref="BP33" authorId="5">
      <text>
        <r>
          <rPr>
            <b/>
            <sz val="8"/>
            <color indexed="81"/>
            <rFont val="Tahoma"/>
            <family val="2"/>
          </rPr>
          <t>lauraro:</t>
        </r>
        <r>
          <rPr>
            <sz val="8"/>
            <color indexed="81"/>
            <rFont val="Tahoma"/>
            <family val="2"/>
          </rPr>
          <t xml:space="preserve">
11/10: SG&amp;A expenses on a dollar basis to be up with the contemplation of $3 million in incremental marketing spend along with costs associated to operate 69 net new boutiques and outlets over the fourth quarter last year</t>
        </r>
      </text>
    </comment>
    <comment ref="BR33" authorId="11">
      <text>
        <r>
          <rPr>
            <b/>
            <sz val="8"/>
            <color indexed="81"/>
            <rFont val="Tahoma"/>
            <family val="2"/>
          </rPr>
          <t>marchant:</t>
        </r>
        <r>
          <rPr>
            <sz val="8"/>
            <color indexed="81"/>
            <rFont val="Tahoma"/>
            <family val="2"/>
          </rPr>
          <t xml:space="preserve">
8/10: store &amp; direct operating exp up in 2H similar to 1H; marketing spend +$8-10M in 2H vs. LY (Chs TV, WHBM prospecting and Soma media) with 2/3 of marketing in 3Q</t>
        </r>
      </text>
    </comment>
    <comment ref="BT33" authorId="5">
      <text>
        <r>
          <rPr>
            <b/>
            <sz val="8"/>
            <color indexed="81"/>
            <rFont val="Tahoma"/>
            <family val="2"/>
          </rPr>
          <t>lauraro:</t>
        </r>
        <r>
          <rPr>
            <sz val="8"/>
            <color indexed="81"/>
            <rFont val="Tahoma"/>
            <family val="2"/>
          </rPr>
          <t xml:space="preserve">
- Due to strong leverage of store expenses and the inclusion of Boston Proper partially offset by incremental marketing related to our Diane Keaton campaign in the Chico's brand.
- Marketing expenses as a percent of sales excluding Boston Proper were +50bps vs LY. We calculate $29.4M, Boston Proper's marketing expenses were ~$9M. Total marketing expenses $38.4M.</t>
        </r>
      </text>
    </comment>
    <comment ref="BU33" authorId="5">
      <text>
        <r>
          <rPr>
            <b/>
            <sz val="8"/>
            <color indexed="81"/>
            <rFont val="Tahoma"/>
            <family val="2"/>
          </rPr>
          <t>lauraro:</t>
        </r>
        <r>
          <rPr>
            <sz val="8"/>
            <color indexed="81"/>
            <rFont val="Tahoma"/>
            <family val="2"/>
          </rPr>
          <t xml:space="preserve">
expect flat to 50bps lvg vs LY. Do not anticipate any material nonrecurring items in 4Q
Includes catalog costs for BP</t>
        </r>
      </text>
    </comment>
    <comment ref="BV33" authorId="5">
      <text>
        <r>
          <rPr>
            <b/>
            <sz val="8"/>
            <color indexed="81"/>
            <rFont val="Tahoma"/>
            <family val="2"/>
          </rPr>
          <t>lauraro:</t>
        </r>
        <r>
          <rPr>
            <sz val="8"/>
            <color indexed="81"/>
            <rFont val="Tahoma"/>
            <family val="2"/>
          </rPr>
          <t xml:space="preserve">
15% SG&amp;A growth</t>
        </r>
      </text>
    </comment>
    <comment ref="BX33" authorId="7">
      <text>
        <r>
          <rPr>
            <b/>
            <sz val="8"/>
            <color indexed="81"/>
            <rFont val="Tahoma"/>
            <family val="2"/>
          </rPr>
          <t>casselau:</t>
        </r>
        <r>
          <rPr>
            <sz val="8"/>
            <color indexed="81"/>
            <rFont val="Tahoma"/>
            <family val="2"/>
          </rPr>
          <t xml:space="preserve">
excludes $1.836M in non-recurring acquistion and integration costs related to the BP acquisition</t>
        </r>
      </text>
    </comment>
    <comment ref="BY33" authorId="7">
      <text>
        <r>
          <rPr>
            <b/>
            <sz val="8"/>
            <color indexed="81"/>
            <rFont val="Tahoma"/>
            <family val="2"/>
          </rPr>
          <t>casselau:</t>
        </r>
        <r>
          <rPr>
            <sz val="8"/>
            <color indexed="81"/>
            <rFont val="Tahoma"/>
            <family val="2"/>
          </rPr>
          <t xml:space="preserve"> 2/28/13 reflects</t>
        </r>
        <r>
          <rPr>
            <sz val="8"/>
            <color indexed="81"/>
            <rFont val="Tahoma"/>
            <family val="2"/>
          </rPr>
          <t xml:space="preserve"> sales leverage on marketing and store expenses, partially offset by incentive compensation</t>
        </r>
      </text>
    </comment>
    <comment ref="CC33" authorId="7">
      <text>
        <r>
          <rPr>
            <b/>
            <sz val="8"/>
            <color indexed="81"/>
            <rFont val="Tahoma"/>
            <family val="2"/>
          </rPr>
          <t>casselau:</t>
        </r>
        <r>
          <rPr>
            <sz val="8"/>
            <color indexed="81"/>
            <rFont val="Tahoma"/>
            <family val="2"/>
          </rPr>
          <t xml:space="preserve">
2/27/14: primarily reflects sales deleverage of store and marketing expenses and the impact of inv. spending on strategic initiatives, partially offset by lower incentive comp</t>
        </r>
      </text>
    </comment>
    <comment ref="CG33" authorId="7">
      <text>
        <r>
          <rPr>
            <b/>
            <sz val="9"/>
            <color indexed="81"/>
            <rFont val="Tahoma"/>
            <family val="2"/>
          </rPr>
          <t>casselau:</t>
        </r>
        <r>
          <rPr>
            <sz val="9"/>
            <color indexed="81"/>
            <rFont val="Tahoma"/>
            <family val="2"/>
          </rPr>
          <t xml:space="preserve">
2/26/15: primarily reflects sales leverage of store expenses and support center costs, partially offset by the impact of investment spending on strategic initiatives </t>
        </r>
      </text>
    </comment>
    <comment ref="CH33" authorId="7">
      <text>
        <r>
          <rPr>
            <b/>
            <sz val="9"/>
            <color indexed="81"/>
            <rFont val="Tahoma"/>
            <family val="2"/>
          </rPr>
          <t>casselau:
2/25/15: +3.6% growth excluding strategic initiatives ($6M)</t>
        </r>
        <r>
          <rPr>
            <sz val="9"/>
            <color indexed="81"/>
            <rFont val="Tahoma"/>
            <family val="2"/>
          </rPr>
          <t xml:space="preserve">
11/25/14: expect dollar growth in line with square footage growth(~5%) plus ~$6M in incremental strategic initiative expenses</t>
        </r>
      </text>
    </comment>
    <comment ref="CJ33" authorId="7">
      <text>
        <r>
          <rPr>
            <b/>
            <sz val="9"/>
            <color indexed="81"/>
            <rFont val="Tahoma"/>
            <family val="2"/>
          </rPr>
          <t>casselau:</t>
        </r>
        <r>
          <rPr>
            <sz val="9"/>
            <color indexed="81"/>
            <rFont val="Tahoma"/>
            <family val="2"/>
          </rPr>
          <t xml:space="preserve">
2/26/16: excludes $9.1M in restructuring and strategic charges, primarily reflecting CEO transition costs and the sale of Boston Proper</t>
        </r>
      </text>
    </comment>
    <comment ref="CK33" authorId="7">
      <text>
        <r>
          <rPr>
            <b/>
            <sz val="9"/>
            <color indexed="81"/>
            <rFont val="Tahoma"/>
            <family val="2"/>
          </rPr>
          <t xml:space="preserve">casselau:
</t>
        </r>
        <r>
          <rPr>
            <sz val="9"/>
            <color indexed="81"/>
            <rFont val="Tahoma"/>
            <family val="2"/>
          </rPr>
          <t>2/26/16: primarily reflects sales deleverage as well as an increase in marketing and store occupancy costs</t>
        </r>
        <r>
          <rPr>
            <b/>
            <sz val="9"/>
            <color indexed="81"/>
            <rFont val="Tahoma"/>
            <family val="2"/>
          </rPr>
          <t xml:space="preserve"> (SG&amp;A dollars $11M lower ex BP)</t>
        </r>
      </text>
    </comment>
    <comment ref="CL33" authorId="7">
      <text>
        <r>
          <rPr>
            <b/>
            <sz val="9"/>
            <color indexed="81"/>
            <rFont val="Tahoma"/>
            <family val="2"/>
          </rPr>
          <t xml:space="preserve">casselau:
11/24/15: </t>
        </r>
        <r>
          <rPr>
            <sz val="9"/>
            <color indexed="81"/>
            <rFont val="Tahoma"/>
            <family val="2"/>
          </rPr>
          <t xml:space="preserve">we would expect SG&amp;A to be up modestly over last year, primarily resulting from increased store occupancy costs and a moderate increase in incentive compensation; I think as we get into looking at marginal SG&amp;A growth in Q4, it's much more about store occupancy. Though it's more moderate, any incentive
compensation would be more than what we paid last year, so that as well will be just a little bit of the increase; per Todd: would hope to do a little bit better than $4-5M increase y/y
</t>
        </r>
        <r>
          <rPr>
            <sz val="9"/>
            <color indexed="81"/>
            <rFont val="Tahoma"/>
            <family val="2"/>
          </rPr>
          <t xml:space="preserve">
6/9/15: per Todd +1.5% dollar growth a "reasonable place to start, maybe a touch higher"</t>
        </r>
      </text>
    </comment>
    <comment ref="CN33" authorId="8">
      <text>
        <r>
          <rPr>
            <b/>
            <sz val="9"/>
            <color indexed="81"/>
            <rFont val="Tahoma"/>
            <family val="2"/>
          </rPr>
          <t>Cassel, Lauren (Research):</t>
        </r>
        <r>
          <rPr>
            <sz val="9"/>
            <color indexed="81"/>
            <rFont val="Tahoma"/>
            <family val="2"/>
          </rPr>
          <t xml:space="preserve">
2/22/17: the $13.6M decrease is primarily due to a reduction in unproductive marketing spend and improvements in store labor productivity, partially offset by an increase in incentive compensation</t>
        </r>
      </text>
    </comment>
    <comment ref="CO33" authorId="7">
      <text>
        <r>
          <rPr>
            <b/>
            <sz val="9"/>
            <color indexed="81"/>
            <rFont val="Tahoma"/>
            <family val="2"/>
          </rPr>
          <t xml:space="preserve">casselau:
8/30/16: guidance: GM decline is expected to be offset by a decline in SG&amp;A as a percent of sales, resulting from the previously announced cost reduction and operating efficiency initiatives
</t>
        </r>
        <r>
          <rPr>
            <sz val="9"/>
            <color indexed="81"/>
            <rFont val="Tahoma"/>
            <family val="2"/>
          </rPr>
          <t xml:space="preserve">
2/25/16: more ability to leverage SG&amp;A in 4Q</t>
        </r>
      </text>
    </comment>
    <comment ref="CP33" authorId="8">
      <text>
        <r>
          <rPr>
            <b/>
            <sz val="9"/>
            <color indexed="81"/>
            <rFont val="Tahoma"/>
            <family val="2"/>
          </rPr>
          <t>Cassel, Lauren (Research):</t>
        </r>
        <r>
          <rPr>
            <sz val="9"/>
            <color indexed="81"/>
            <rFont val="Tahoma"/>
            <family val="2"/>
          </rPr>
          <t xml:space="preserve">
11/22/16: Expect a decrease in SG&amp;A as a percent of sales; however, the reduction in marketing spend will be at a lower level than recognized in the third quarter; First, store expense savings will be moderated as our associates will be focused on delivering our most amazing personal service.
And second, we expect marketing expenses in Q4 to be generally higher than Q3 due to holiday marketing campaigns.</t>
        </r>
      </text>
    </comment>
    <comment ref="CS33" authorId="20">
      <text>
        <r>
          <rPr>
            <b/>
            <sz val="9"/>
            <color indexed="81"/>
            <rFont val="Tahoma"/>
            <family val="2"/>
          </rPr>
          <t>De Courreges, Edouard (Research):</t>
        </r>
        <r>
          <rPr>
            <sz val="9"/>
            <color indexed="81"/>
            <rFont val="Tahoma"/>
            <family val="2"/>
          </rPr>
          <t xml:space="preserve">
2/28/18: SG&amp;A in the fourth quarter
reflects a $13 million decline in store-related costs and marketing, primarily offset by the impact of the 53(rd) week.
</t>
        </r>
      </text>
    </comment>
    <comment ref="CT33" authorId="8">
      <text>
        <r>
          <rPr>
            <b/>
            <sz val="9"/>
            <color indexed="81"/>
            <rFont val="Tahoma"/>
            <family val="2"/>
          </rPr>
          <t>Cassel, Lauren (Research):</t>
        </r>
        <r>
          <rPr>
            <sz val="9"/>
            <color indexed="81"/>
            <rFont val="Tahoma"/>
            <family val="2"/>
          </rPr>
          <t xml:space="preserve">
1/8/18:expectss approximately flat SG&amp;A expenses vs. LY
11/21/17: expects fourth quarter SG&amp;A expenses to decrease compared to last year, largely offset by costs from the 53rd week
8/30/17: We still anticipate another $25 million of initiative savings in the second half, primarily from our supply chain initiatives and non-merchandise procurement negotiations.</t>
        </r>
      </text>
    </comment>
    <comment ref="BH34" authorId="4">
      <text>
        <r>
          <rPr>
            <b/>
            <sz val="8"/>
            <color indexed="81"/>
            <rFont val="Tahoma"/>
            <family val="2"/>
          </rPr>
          <t>mm98285:</t>
        </r>
        <r>
          <rPr>
            <sz val="8"/>
            <color indexed="81"/>
            <rFont val="Tahoma"/>
            <family val="2"/>
          </rPr>
          <t xml:space="preserve">
3//09: $46-$54mm savings ($37-$43M in SG&amp;A, $9-$11M in GM)
11/08: savings include $32mm (or $8mm per quarter) + incremental $18mm ($5mm in 3Q and $13mm in 4Q)</t>
        </r>
      </text>
    </comment>
    <comment ref="BL34" authorId="11">
      <text>
        <r>
          <rPr>
            <b/>
            <sz val="8"/>
            <color indexed="81"/>
            <rFont val="Tahoma"/>
            <family val="2"/>
          </rPr>
          <t>marchant:</t>
        </r>
        <r>
          <rPr>
            <sz val="8"/>
            <color indexed="81"/>
            <rFont val="Tahoma"/>
            <family val="2"/>
          </rPr>
          <t xml:space="preserve">
3/10: saved $31.1M stores, $7.6M marketing, $3.3M benefits, $22.3M national store support center (total SG&amp;A save $64.3M)</t>
        </r>
      </text>
    </comment>
    <comment ref="BM34" authorId="4">
      <text>
        <r>
          <rPr>
            <b/>
            <sz val="8"/>
            <color indexed="81"/>
            <rFont val="Tahoma"/>
            <family val="2"/>
          </rPr>
          <t>mm98285:</t>
        </r>
        <r>
          <rPr>
            <sz val="8"/>
            <color indexed="81"/>
            <rFont val="Tahoma"/>
            <family val="2"/>
          </rPr>
          <t xml:space="preserve">
3/09: expect $35-$40mm in expense savings in 2009 primarily in SG&amp;A ($15mm from 11% headcount reduction, with $10mm of that in SG&amp;A)</t>
        </r>
      </text>
    </comment>
    <comment ref="BP34" authorId="19">
      <text>
        <r>
          <rPr>
            <b/>
            <sz val="8"/>
            <color indexed="81"/>
            <rFont val="Tahoma"/>
            <family val="2"/>
          </rPr>
          <t>2/24/10:</t>
        </r>
        <r>
          <rPr>
            <sz val="8"/>
            <color indexed="81"/>
            <rFont val="Tahoma"/>
            <family val="2"/>
          </rPr>
          <t xml:space="preserve">
Going to be Up
We expect our 2000 SG&amp;A rate will reflect leverage provided by our positive comp.  However, we do expect to higher spend. </t>
        </r>
      </text>
    </comment>
    <comment ref="BU34" authorId="5">
      <text>
        <r>
          <rPr>
            <b/>
            <sz val="8"/>
            <color indexed="81"/>
            <rFont val="Tahoma"/>
            <family val="2"/>
          </rPr>
          <t>lauraro:</t>
        </r>
        <r>
          <rPr>
            <sz val="8"/>
            <color indexed="81"/>
            <rFont val="Tahoma"/>
            <family val="2"/>
          </rPr>
          <t xml:space="preserve">
3/11: Analyst Day reit 150bps lvg
2/11: Exp 150bps of leverage resulting from a positive comp and continued strong expense control. However, store and direct operating dollars will show the impact of the expected 100 to 110 increase in net new stores, plus marketing expenses planned up about $8 million compared to 2010.</t>
        </r>
      </text>
    </comment>
    <comment ref="BV34" authorId="5">
      <text>
        <r>
          <rPr>
            <b/>
            <sz val="8"/>
            <color indexed="81"/>
            <rFont val="Tahoma"/>
            <family val="2"/>
          </rPr>
          <t>lauraro:</t>
        </r>
        <r>
          <rPr>
            <sz val="8"/>
            <color indexed="81"/>
            <rFont val="Tahoma"/>
            <family val="2"/>
          </rPr>
          <t xml:space="preserve">
2/11: SG&amp;A dollars expected to increase at a rate slower than that of net sales, but expects SG&amp;A as % of net sales to decrease by ~150bps.</t>
        </r>
      </text>
    </comment>
    <comment ref="BY34" authorId="5">
      <text>
        <r>
          <rPr>
            <b/>
            <sz val="8"/>
            <color indexed="81"/>
            <rFont val="Tahoma"/>
            <family val="2"/>
          </rPr>
          <t xml:space="preserve">11/20: </t>
        </r>
        <r>
          <rPr>
            <sz val="8"/>
            <color indexed="81"/>
            <rFont val="Tahoma"/>
            <family val="2"/>
          </rPr>
          <t>reiterated below</t>
        </r>
        <r>
          <rPr>
            <b/>
            <sz val="8"/>
            <color indexed="81"/>
            <rFont val="Tahoma"/>
            <family val="2"/>
          </rPr>
          <t xml:space="preserve">
8/22/12:  </t>
        </r>
        <r>
          <rPr>
            <sz val="8"/>
            <color indexed="81"/>
            <rFont val="Tahoma"/>
            <family val="2"/>
          </rPr>
          <t>down ~50bps vs. 2011; one-time acquisition and integration costs for BP of ~$4M pre-tax</t>
        </r>
        <r>
          <rPr>
            <b/>
            <sz val="8"/>
            <color indexed="81"/>
            <rFont val="Tahoma"/>
            <family val="2"/>
          </rPr>
          <t xml:space="preserve">
lauraro:</t>
        </r>
        <r>
          <rPr>
            <sz val="8"/>
            <color indexed="81"/>
            <rFont val="Tahoma"/>
            <family val="2"/>
          </rPr>
          <t xml:space="preserve">
</t>
        </r>
        <r>
          <rPr>
            <b/>
            <sz val="8"/>
            <color indexed="81"/>
            <rFont val="Tahoma"/>
            <family val="2"/>
          </rPr>
          <t xml:space="preserve">5/16/12: </t>
        </r>
        <r>
          <rPr>
            <sz val="8"/>
            <color indexed="81"/>
            <rFont val="Tahoma"/>
            <family val="2"/>
          </rPr>
          <t>SG&amp;A rate down 25-75bps reflecting leverage on store expenses from comp sales increases and the inclusion of Boston Proper</t>
        </r>
        <r>
          <rPr>
            <sz val="8"/>
            <color indexed="81"/>
            <rFont val="Tahoma"/>
            <family val="2"/>
          </rPr>
          <t xml:space="preserve">
</t>
        </r>
        <r>
          <rPr>
            <b/>
            <sz val="8"/>
            <color indexed="81"/>
            <rFont val="Tahoma"/>
            <family val="2"/>
          </rPr>
          <t>2/22/12:</t>
        </r>
        <r>
          <rPr>
            <sz val="8"/>
            <color indexed="81"/>
            <rFont val="Tahoma"/>
            <family val="2"/>
          </rPr>
          <t xml:space="preserve"> down ~50bps we generally expect SG&amp;A leverage in all quarters but 1Q leverage somewhat lower than the remainder of the year as we launch incremental TV advertising for White House Black Market.</t>
        </r>
      </text>
    </comment>
    <comment ref="CF34" authorId="15">
      <text>
        <r>
          <rPr>
            <b/>
            <sz val="9"/>
            <color indexed="81"/>
            <rFont val="Tahoma"/>
            <family val="2"/>
          </rPr>
          <t>Baglione, Gregory  (Research):</t>
        </r>
        <r>
          <rPr>
            <sz val="9"/>
            <color indexed="81"/>
            <rFont val="Tahoma"/>
            <family val="2"/>
          </rPr>
          <t xml:space="preserve">
8/26/15: Excluding BP, SG&amp;A would have been 30 bps lower y/y in 2014  and flat vs. 20 bps of delverage ytd in 2015</t>
        </r>
      </text>
    </comment>
    <comment ref="CG34" authorId="7">
      <text>
        <r>
          <rPr>
            <b/>
            <sz val="8"/>
            <color indexed="81"/>
            <rFont val="Tahoma"/>
            <family val="2"/>
          </rPr>
          <t>2/26/16: 46.9% ex Boston Proper 
11/25/15: $20M of strategic SG&amp;A investment</t>
        </r>
        <r>
          <rPr>
            <sz val="8"/>
            <color indexed="81"/>
            <rFont val="Tahoma"/>
            <family val="2"/>
          </rPr>
          <t xml:space="preserve">
5/29/14: roughly $25M impact from incremental inv.
2/27/14: adding  100 bps of non-comparable expense to our 2014 SG&amp;A on top of the 20 basis in FY13 </t>
        </r>
      </text>
    </comment>
    <comment ref="CJ34" authorId="7">
      <text>
        <r>
          <rPr>
            <b/>
            <sz val="9"/>
            <color indexed="81"/>
            <rFont val="Tahoma"/>
            <family val="2"/>
          </rPr>
          <t>casselau:</t>
        </r>
        <r>
          <rPr>
            <sz val="9"/>
            <color indexed="81"/>
            <rFont val="Tahoma"/>
            <family val="2"/>
          </rPr>
          <t xml:space="preserve">
2/26/15: $38M in savings from restructuring; store operating expenses 70-75% (ocucpancy/personnel); marketing ~15%; HQ expense 10-12% (depreciation/software fees)</t>
        </r>
      </text>
    </comment>
    <comment ref="CK34" authorId="7">
      <text>
        <r>
          <rPr>
            <b/>
            <sz val="9"/>
            <color indexed="81"/>
            <rFont val="Tahoma"/>
            <family val="2"/>
          </rPr>
          <t>2/26/16: 48.0% ex Boston Proper; occupancy majority of the SG&amp;A increase this year
8/26/15:</t>
        </r>
        <r>
          <rPr>
            <sz val="9"/>
            <color indexed="81"/>
            <rFont val="Tahoma"/>
            <family val="2"/>
          </rPr>
          <t xml:space="preserve"> Excluding BP, SG&amp;A would have been 30 bps lower y/y in 2014  and flat vs. 20 bps of delverage ytd 
 in 2015</t>
        </r>
        <r>
          <rPr>
            <b/>
            <sz val="9"/>
            <color indexed="81"/>
            <rFont val="Tahoma"/>
            <family val="2"/>
          </rPr>
          <t xml:space="preserve">
5/27/15:</t>
        </r>
        <r>
          <rPr>
            <sz val="9"/>
            <color indexed="81"/>
            <rFont val="Tahoma"/>
            <family val="2"/>
          </rPr>
          <t xml:space="preserve"> Expect slight deleverage in SG&amp;A costs, driven primarily by 109 new stores opened last year, ~40 in FY15, and a return to targeted levels of incentive comp.  More pressure on leverage earlier in year, as more cost savings take effect and wrap around on new stores from last year, should turn towards more of a leverage situation in the back half...gradual improvement throughout year.</t>
        </r>
        <r>
          <rPr>
            <b/>
            <sz val="9"/>
            <color indexed="81"/>
            <rFont val="Tahoma"/>
            <family val="2"/>
          </rPr>
          <t xml:space="preserve">
casselau:
2/26/15: </t>
        </r>
        <r>
          <rPr>
            <sz val="9"/>
            <color indexed="81"/>
            <rFont val="Tahoma"/>
            <family val="2"/>
          </rPr>
          <t>expect slight deleverage driven by new stores and more normalized incentive comp; elimination of ~240 positions expected to result in ~$38M annual savings
11/25/14: majority of strategic initiative spending will now become part of the base; if they hit performance metrics there will be a return to historical incentive compensation levels
Expectation is to manage SG&amp;A to offset the headwinds of incentive comp and occupancy costs resulting in SG&amp;A growth that is in line with sales.</t>
        </r>
      </text>
    </comment>
    <comment ref="CN34" authorId="8">
      <text>
        <r>
          <rPr>
            <b/>
            <sz val="9"/>
            <color indexed="81"/>
            <rFont val="Tahoma"/>
            <family val="2"/>
          </rPr>
          <t xml:space="preserve">Cassel, Lauren (Research):
2/22/17: $20M of savings due to marketing realignment expense optimization intiative
8/30/16: </t>
        </r>
        <r>
          <rPr>
            <sz val="9"/>
            <color indexed="81"/>
            <rFont val="Tahoma"/>
            <family val="2"/>
          </rPr>
          <t>In combination with the previously announced initiatives,</t>
        </r>
        <r>
          <rPr>
            <b/>
            <sz val="9"/>
            <color indexed="81"/>
            <rFont val="Tahoma"/>
            <family val="2"/>
          </rPr>
          <t xml:space="preserve"> the Company is estimating a reduction in future annualized costs between $90M and $110M. The annualized savings from these organizational redesigns will begin mid-Q3 this year.</t>
        </r>
        <r>
          <rPr>
            <sz val="9"/>
            <color indexed="81"/>
            <rFont val="Tahoma"/>
            <family val="2"/>
          </rPr>
          <t xml:space="preserve"> We continue to expect our marketing and non-merchandise procurement spend initiatives to reduce SG&amp;A by $35 million to $45 million, with </t>
        </r>
        <r>
          <rPr>
            <b/>
            <sz val="9"/>
            <color indexed="81"/>
            <rFont val="Tahoma"/>
            <family val="2"/>
          </rPr>
          <t>approximately $15 million to be realized this year.</t>
        </r>
        <r>
          <rPr>
            <sz val="9"/>
            <color indexed="81"/>
            <rFont val="Tahoma"/>
            <family val="2"/>
          </rPr>
          <t xml:space="preserve"> We should begin to realize the $30 million to $40 million in expected annual savings from our supply chain efficiency initiatives in the second half of 2017; *60% of $25M headcount reduction in SG&amp;A = $15M annualized savings = $3.75M per quarter
5/26/16: Combined, the marketing realignment and new initiatives are estimated to generate $65 million to $85 million in annual savings. </t>
        </r>
        <r>
          <rPr>
            <b/>
            <sz val="9"/>
            <color indexed="81"/>
            <rFont val="Tahoma"/>
            <family val="2"/>
          </rPr>
          <t>The Company anticipates generating $15 million of these costs savings in fiscal 2016</t>
        </r>
      </text>
    </comment>
    <comment ref="CO34" authorId="7">
      <text>
        <r>
          <rPr>
            <b/>
            <sz val="9"/>
            <color indexed="81"/>
            <rFont val="Tahoma"/>
            <family val="2"/>
          </rPr>
          <t>casselau:
11/22/16: We are now expecting to save $20 million in marketing expenses this fiscal year for a total of $30 million on an annualized basis which represents a $5 million increase over the savings targets that we discussed previously.
5/26/16: expect slight SG&amp;A deleverage but expect total SG&amp;A dollars to decline vs. LY given cost savings</t>
        </r>
        <r>
          <rPr>
            <sz val="9"/>
            <color indexed="81"/>
            <rFont val="Tahoma"/>
            <family val="2"/>
          </rPr>
          <t xml:space="preserve">
The Company expects to achieve merchandise margin expansion and slight SG&amp;A leverage, both of which we expect to be offset by a return to targeted levels of incentive compensation, </t>
        </r>
        <r>
          <rPr>
            <b/>
            <sz val="9"/>
            <color indexed="81"/>
            <rFont val="Tahoma"/>
            <family val="2"/>
          </rPr>
          <t>resulting in flat gross margin and SG&amp;A leverage ex BP</t>
        </r>
      </text>
    </comment>
    <comment ref="CS34" authorId="8">
      <text>
        <r>
          <rPr>
            <b/>
            <sz val="9"/>
            <color indexed="81"/>
            <rFont val="Tahoma"/>
            <family val="2"/>
          </rPr>
          <t>Cassel, Lauren (Research):
8/30/17: guidance: expect SG&amp;A dollars down -$50-60M
5/24/17: guidance:</t>
        </r>
        <r>
          <rPr>
            <sz val="9"/>
            <color indexed="81"/>
            <rFont val="Tahoma"/>
            <family val="2"/>
          </rPr>
          <t xml:space="preserve"> approximately flat SG&amp;A leverage
</t>
        </r>
        <r>
          <rPr>
            <b/>
            <sz val="9"/>
            <color indexed="81"/>
            <rFont val="Tahoma"/>
            <family val="2"/>
          </rPr>
          <t xml:space="preserve">2/22/17: guidance: </t>
        </r>
        <r>
          <rPr>
            <sz val="9"/>
            <color indexed="81"/>
            <rFont val="Tahoma"/>
            <family val="2"/>
          </rPr>
          <t>planning modest SG&amp;A leverage (10-20 bps per Todd) (cost savings offset by a return to target levels of incentive compensation and return to a normalized level of technology investment) - expect to realize $50M in savings between gross margin and SG&amp;A ($15M from organizational redesign and $10M marketing savings (mostly in 1H); $15M from non merchandise procurement (2H) and $10M in COGS from supply chain initiatives (starting in 2H17 and into 1H18)</t>
        </r>
      </text>
    </comment>
    <comment ref="CW34" authorId="20">
      <text>
        <r>
          <rPr>
            <b/>
            <sz val="9"/>
            <color indexed="81"/>
            <rFont val="Tahoma"/>
            <family val="2"/>
          </rPr>
          <t>De Courreges, Edouard (Research):</t>
        </r>
        <r>
          <rPr>
            <sz val="9"/>
            <color indexed="81"/>
            <rFont val="Tahoma"/>
            <family val="2"/>
          </rPr>
          <t xml:space="preserve">
2/28/18: Guide for flat SGA dollars y/y due to increased marketing spend in 1Q/3Q</t>
        </r>
      </text>
    </comment>
    <comment ref="AZ38" authorId="4">
      <text>
        <r>
          <rPr>
            <b/>
            <sz val="8"/>
            <color indexed="81"/>
            <rFont val="Tahoma"/>
            <family val="2"/>
          </rPr>
          <t>mm98285:</t>
        </r>
        <r>
          <rPr>
            <sz val="8"/>
            <color indexed="81"/>
            <rFont val="Tahoma"/>
            <family val="2"/>
          </rPr>
          <t xml:space="preserve">
store op exp include all direct exp including personnel, occupancy and supplies incurred to operate each store, costs necessary to support the operation of each store including district and regional mgmt exp and other brand specific store support functions</t>
        </r>
      </text>
    </comment>
    <comment ref="BT38" authorId="4">
      <text>
        <r>
          <rPr>
            <b/>
            <sz val="8"/>
            <color indexed="81"/>
            <rFont val="Tahoma"/>
            <family val="2"/>
          </rPr>
          <t>mm98285:</t>
        </r>
        <r>
          <rPr>
            <sz val="8"/>
            <color indexed="81"/>
            <rFont val="Tahoma"/>
            <family val="2"/>
          </rPr>
          <t xml:space="preserve">
store op exp include all direct exp including personnel, occupancy and supplies incurred to operate each store, costs necessary to support the operation of each store including district and regional mgmt exp and other brand specific store support functions</t>
        </r>
      </text>
    </comment>
    <comment ref="BH40" authorId="4">
      <text>
        <r>
          <rPr>
            <b/>
            <sz val="8"/>
            <color indexed="81"/>
            <rFont val="Tahoma"/>
            <family val="2"/>
          </rPr>
          <t>mm98285:</t>
        </r>
        <r>
          <rPr>
            <sz val="8"/>
            <color indexed="81"/>
            <rFont val="Tahoma"/>
            <family val="2"/>
          </rPr>
          <t xml:space="preserve">
includes $2.2mm for Soma closings (55 bps) </t>
        </r>
      </text>
    </comment>
    <comment ref="BI40" authorId="4">
      <text>
        <r>
          <rPr>
            <b/>
            <sz val="8"/>
            <color indexed="81"/>
            <rFont val="Tahoma"/>
            <family val="2"/>
          </rPr>
          <t>mm98285:</t>
        </r>
        <r>
          <rPr>
            <sz val="8"/>
            <color indexed="81"/>
            <rFont val="Tahoma"/>
            <family val="2"/>
          </rPr>
          <t xml:space="preserve">
+increased occupancy &amp; personnel costs given delevg on -17.5% comp
+larger size of stores
+mix effect of smaller concepts becoming larger % of total sales</t>
        </r>
      </text>
    </comment>
    <comment ref="BJ40" authorId="4">
      <text>
        <r>
          <rPr>
            <b/>
            <sz val="8"/>
            <color indexed="81"/>
            <rFont val="Tahoma"/>
            <family val="2"/>
          </rPr>
          <t>mm98285:</t>
        </r>
        <r>
          <rPr>
            <sz val="8"/>
            <color indexed="81"/>
            <rFont val="Tahoma"/>
            <family val="2"/>
          </rPr>
          <t xml:space="preserve">
1/08: assume dollar growth = to average sq. ft growth minus 6-7% (based on 2007 run rate) or ~14-15%</t>
        </r>
      </text>
    </comment>
    <comment ref="BM40" authorId="4">
      <text>
        <r>
          <rPr>
            <b/>
            <sz val="8"/>
            <color indexed="81"/>
            <rFont val="Tahoma"/>
            <family val="2"/>
          </rPr>
          <t>mm98285:</t>
        </r>
        <r>
          <rPr>
            <sz val="8"/>
            <color indexed="81"/>
            <rFont val="Tahoma"/>
            <family val="2"/>
          </rPr>
          <t xml:space="preserve">
5/09: Decline due to ongoing store-level cost cut initiatives despite higher occupancy incl. increm'tal op. cost from new '08 stores that have yet to anniv. grand opening dates.  Store op. exp's incl. $2.4M charge (~$0.01 per share) from combination of accelerated depreciation &amp; impairment charge as result of intensive store by store review process   </t>
        </r>
      </text>
    </comment>
    <comment ref="BT40" authorId="5">
      <text>
        <r>
          <rPr>
            <b/>
            <sz val="8"/>
            <color indexed="81"/>
            <rFont val="Tahoma"/>
            <family val="2"/>
          </rPr>
          <t xml:space="preserve">5/18/11: </t>
        </r>
        <r>
          <rPr>
            <sz val="8"/>
            <color indexed="81"/>
            <rFont val="Tahoma"/>
            <family val="2"/>
          </rPr>
          <t>Store and direct operating expenses increased by $12.3 million over last year's first quarter primarily due to increased occupancy expense and store labor costs associated with 85 net new stores over last year, accompanied by increased credit card fees due to higher sales volume compared to last year. However, expressed as a percentage of net sales, store and direct operating expenses decreased 130 basis points due to the leverage associated with the comparable store sales increase.</t>
        </r>
      </text>
    </comment>
    <comment ref="BU40" authorId="5">
      <text>
        <r>
          <rPr>
            <b/>
            <sz val="8"/>
            <color indexed="81"/>
            <rFont val="Tahoma"/>
            <family val="2"/>
          </rPr>
          <t xml:space="preserve">5/18/11: </t>
        </r>
        <r>
          <rPr>
            <sz val="8"/>
            <color indexed="81"/>
            <rFont val="Tahoma"/>
            <family val="2"/>
          </rPr>
          <t>Store and direct operating expenses increased by $12.3 million over last year's first quarter primarily due to increased occupancy expense and store labor costs associated with 85 net new stores over last year, accompanied by increased credit card fees due to higher sales volume compared to last year. However, expressed as a percentage of net sales, store and direct operating expenses decreased 130 basis points due to the leverage associated with the comparable store sales increase.</t>
        </r>
      </text>
    </comment>
    <comment ref="BX40" authorId="29">
      <text>
        <r>
          <rPr>
            <b/>
            <sz val="8"/>
            <color indexed="81"/>
            <rFont val="Tahoma"/>
            <family val="2"/>
          </rPr>
          <t>kimberlg:</t>
        </r>
        <r>
          <rPr>
            <sz val="8"/>
            <color indexed="81"/>
            <rFont val="Tahoma"/>
            <family val="2"/>
          </rPr>
          <t xml:space="preserve">
assume 6.3% expense growth on sq ft growth plus 4% from BP acq plus 2% inflation</t>
        </r>
      </text>
    </comment>
    <comment ref="BE41" authorId="4">
      <text>
        <r>
          <rPr>
            <b/>
            <sz val="8"/>
            <color indexed="81"/>
            <rFont val="Tahoma"/>
            <family val="2"/>
          </rPr>
          <t>mm98285:</t>
        </r>
        <r>
          <rPr>
            <sz val="8"/>
            <color indexed="81"/>
            <rFont val="Tahoma"/>
            <family val="2"/>
          </rPr>
          <t xml:space="preserve">
+380 bps due to incrsed occup &amp; personnel costs given larger store size, increased investment in store payroll, mix effect of smaller div becoming larger portion of store base, &amp; from delvg on neg. comp, &amp; to a lesser degree store operating exp given store level promo &amp; outreach events across all brands</t>
        </r>
      </text>
    </comment>
    <comment ref="BI41" authorId="4">
      <text>
        <r>
          <rPr>
            <b/>
            <sz val="8"/>
            <color indexed="81"/>
            <rFont val="Tahoma"/>
            <family val="2"/>
          </rPr>
          <t>mm98285:</t>
        </r>
        <r>
          <rPr>
            <sz val="8"/>
            <color indexed="81"/>
            <rFont val="Tahoma"/>
            <family val="2"/>
          </rPr>
          <t xml:space="preserve">
1) higher occup. (invm't in larger stores)
2) higher personnel costs as payroll did not flex in direct proportion to -15.9% comp 
3) expense deleverage given -15.9% comp 
4) to a lesser extent: mix effect of smaller brands Soma &amp; WHIBM (which have higher store operating costs as % of sales) becoming larger portion of store base</t>
        </r>
      </text>
    </comment>
    <comment ref="BJ41" authorId="4">
      <text>
        <r>
          <rPr>
            <b/>
            <sz val="8"/>
            <color indexed="81"/>
            <rFont val="Tahoma"/>
            <family val="2"/>
          </rPr>
          <t>mm98285:</t>
        </r>
        <r>
          <rPr>
            <sz val="8"/>
            <color indexed="81"/>
            <rFont val="Tahoma"/>
            <family val="2"/>
          </rPr>
          <t xml:space="preserve">
1/08: assume dollar growth = to average sq. ft growth minus 6-7% (based on 2007 run rate) or ~11-12%</t>
        </r>
      </text>
    </comment>
    <comment ref="BM41" authorId="4">
      <text>
        <r>
          <rPr>
            <b/>
            <sz val="8"/>
            <color indexed="81"/>
            <rFont val="Tahoma"/>
            <family val="2"/>
          </rPr>
          <t>mm98285:</t>
        </r>
        <r>
          <rPr>
            <sz val="8"/>
            <color indexed="81"/>
            <rFont val="Tahoma"/>
            <family val="2"/>
          </rPr>
          <t xml:space="preserve">
decline due to on-going store level cost reduction strategies including payroll, supplies and shipping costs as well as over $600K in rent concessions in 2Q. 
</t>
        </r>
      </text>
    </comment>
    <comment ref="BQ41" authorId="11">
      <text>
        <r>
          <rPr>
            <b/>
            <sz val="8"/>
            <color indexed="81"/>
            <rFont val="Tahoma"/>
            <family val="2"/>
          </rPr>
          <t>marchant:</t>
        </r>
        <r>
          <rPr>
            <sz val="8"/>
            <color indexed="81"/>
            <rFont val="Tahoma"/>
            <family val="2"/>
          </rPr>
          <t xml:space="preserve">
increased occupancy expense, store labor costs, and higher credit card fees associated with ~50 net new stores vs. LY. As % of sales -200 bps primarily due to leverage from a greater comp increase</t>
        </r>
      </text>
    </comment>
    <comment ref="BX41" authorId="29">
      <text>
        <r>
          <rPr>
            <b/>
            <sz val="8"/>
            <color indexed="81"/>
            <rFont val="Tahoma"/>
            <family val="2"/>
          </rPr>
          <t>kimberlg:</t>
        </r>
        <r>
          <rPr>
            <sz val="8"/>
            <color indexed="81"/>
            <rFont val="Tahoma"/>
            <family val="2"/>
          </rPr>
          <t xml:space="preserve">
assume 6.3% expense growth on sq ft growth plus 4% from BP acq plus 2% inflation</t>
        </r>
      </text>
    </comment>
    <comment ref="BE42" authorId="4">
      <text>
        <r>
          <rPr>
            <b/>
            <sz val="8"/>
            <color indexed="81"/>
            <rFont val="Tahoma"/>
            <family val="2"/>
          </rPr>
          <t>mm98285:</t>
        </r>
        <r>
          <rPr>
            <sz val="8"/>
            <color indexed="81"/>
            <rFont val="Tahoma"/>
            <family val="2"/>
          </rPr>
          <t xml:space="preserve">
1) increased occup &amp; personnel costs given larger stores, 2) increased investment in store payroll to improve service levels, 3) the mix effect, 4) deleverage given -9.3% comp, &amp; 5) add'l store level promotion &amp; outreach events across all brands</t>
        </r>
      </text>
    </comment>
    <comment ref="BI42" authorId="4">
      <text>
        <r>
          <rPr>
            <b/>
            <sz val="8"/>
            <color indexed="81"/>
            <rFont val="Tahoma"/>
            <family val="2"/>
          </rPr>
          <t>mm98285:</t>
        </r>
        <r>
          <rPr>
            <sz val="8"/>
            <color indexed="81"/>
            <rFont val="Tahoma"/>
            <family val="2"/>
          </rPr>
          <t xml:space="preserve">
+increased occupancy and to a lesser extent, increased personnel costs as a % of sales, as selling payroll did not flex in direct proportion to decrease in comps. The % was further impacted by deleverage on neg. comp and to a lesser extent, the mix effect of WH|BM &amp; Soma (which have a higher operating cost structure) becoming a larger portion of store base.</t>
        </r>
      </text>
    </comment>
    <comment ref="BJ42" authorId="4">
      <text>
        <r>
          <rPr>
            <b/>
            <sz val="8"/>
            <color indexed="81"/>
            <rFont val="Tahoma"/>
            <family val="2"/>
          </rPr>
          <t>mm98285:</t>
        </r>
        <r>
          <rPr>
            <sz val="8"/>
            <color indexed="81"/>
            <rFont val="Tahoma"/>
            <family val="2"/>
          </rPr>
          <t xml:space="preserve">
1/08: assume dollar growth = to average sq. ft growth minus 6-7% (based on 2007 run rate) or ~8-9%</t>
        </r>
      </text>
    </comment>
    <comment ref="BL42" authorId="4">
      <text>
        <r>
          <rPr>
            <b/>
            <sz val="8"/>
            <color indexed="81"/>
            <rFont val="Tahoma"/>
            <family val="2"/>
          </rPr>
          <t>mm98285:</t>
        </r>
        <r>
          <rPr>
            <sz val="8"/>
            <color indexed="81"/>
            <rFont val="Tahoma"/>
            <family val="2"/>
          </rPr>
          <t xml:space="preserve">
8/09: expect down ~$1M</t>
        </r>
      </text>
    </comment>
    <comment ref="BM42" authorId="18">
      <text>
        <r>
          <rPr>
            <b/>
            <sz val="8"/>
            <color indexed="81"/>
            <rFont val="Tahoma"/>
            <family val="2"/>
          </rPr>
          <t>11/18:</t>
        </r>
        <r>
          <rPr>
            <sz val="8"/>
            <color indexed="81"/>
            <rFont val="Tahoma"/>
            <family val="2"/>
          </rPr>
          <t xml:space="preserve">
Store operating expenses decreased a favorable ~-480 bps primarily as a result of leverage resulting from improved comparable store sales and store
level cost reduction strategies.</t>
        </r>
      </text>
    </comment>
    <comment ref="BP42" authorId="5">
      <text>
        <r>
          <rPr>
            <b/>
            <sz val="8"/>
            <color indexed="81"/>
            <rFont val="Tahoma"/>
            <family val="2"/>
          </rPr>
          <t>lauraro:</t>
        </r>
        <r>
          <rPr>
            <sz val="8"/>
            <color indexed="81"/>
            <rFont val="Tahoma"/>
            <family val="2"/>
          </rPr>
          <t xml:space="preserve">
Store and direct operating expenses include store and DTC operational expenses, and reflect such items as personnel, occupancy, credit card fees,
depreciation and supplies incurred to operate each of our stores and the DTC channel.</t>
        </r>
      </text>
    </comment>
    <comment ref="BQ42" authorId="5">
      <text>
        <r>
          <rPr>
            <b/>
            <sz val="8"/>
            <color indexed="81"/>
            <rFont val="Tahoma"/>
            <family val="2"/>
          </rPr>
          <t>lauraro:</t>
        </r>
        <r>
          <rPr>
            <sz val="8"/>
            <color indexed="81"/>
            <rFont val="Tahoma"/>
            <family val="2"/>
          </rPr>
          <t xml:space="preserve">
increased by $4.6 million over last year's third quarter primarily due to increased occupancy expense and store labor costs associated with 64 net new stores over last year, accompanied by increased in-store promotions and higher credit card fees due to higher sales volume compared to last year. However, expressed as a percentage of net sales, store and direct operating expenses decreased 190 basis points due to the leverage associated with improved comparable store sales</t>
        </r>
      </text>
    </comment>
    <comment ref="BR42" authorId="11">
      <text>
        <r>
          <rPr>
            <b/>
            <sz val="8"/>
            <color indexed="81"/>
            <rFont val="Tahoma"/>
            <family val="2"/>
          </rPr>
          <t>marchant:</t>
        </r>
        <r>
          <rPr>
            <sz val="8"/>
            <color indexed="81"/>
            <rFont val="Tahoma"/>
            <family val="2"/>
          </rPr>
          <t xml:space="preserve">
10/10: 2H similar to 1H (~5% growth) with higher in 3Q given lion share of store openings</t>
        </r>
      </text>
    </comment>
    <comment ref="BX42" authorId="29">
      <text>
        <r>
          <rPr>
            <b/>
            <sz val="8"/>
            <color indexed="81"/>
            <rFont val="Tahoma"/>
            <family val="2"/>
          </rPr>
          <t>kimberlg:</t>
        </r>
        <r>
          <rPr>
            <sz val="8"/>
            <color indexed="81"/>
            <rFont val="Tahoma"/>
            <family val="2"/>
          </rPr>
          <t xml:space="preserve">
assume 6.3% expense growth on sq ft growth plus 2% from BP acq plus 2% inflation</t>
        </r>
      </text>
    </comment>
    <comment ref="BE43" authorId="4">
      <text>
        <r>
          <rPr>
            <b/>
            <sz val="8"/>
            <color indexed="81"/>
            <rFont val="Tahoma"/>
            <family val="2"/>
          </rPr>
          <t>mm98285:</t>
        </r>
        <r>
          <rPr>
            <sz val="8"/>
            <color indexed="81"/>
            <rFont val="Tahoma"/>
            <family val="2"/>
          </rPr>
          <t xml:space="preserve">
~530bps due to increased occupancy costs (given investment in larger sized stores, new &amp; expanded stores), the mix effect of smaller stores becoming a larger portion of the co.’s stores base and from the deleverage given -15.7% comp, combined w/the reduction in sales associated w/the extra week LY.</t>
        </r>
      </text>
    </comment>
    <comment ref="BI43" authorId="4">
      <text>
        <r>
          <rPr>
            <b/>
            <sz val="8"/>
            <color indexed="81"/>
            <rFont val="Tahoma"/>
            <family val="2"/>
          </rPr>
          <t>mm98285:</t>
        </r>
        <r>
          <rPr>
            <sz val="8"/>
            <color indexed="81"/>
            <rFont val="Tahoma"/>
            <family val="2"/>
          </rPr>
          <t xml:space="preserve">
deleverage on -13% comp &amp; to lesser extent increased personnel costs as % of sales, as selling payroll did not flex in direct proportion to comp decline; partially offset by supplies &amp; shipping costs decrease across all brands.
</t>
        </r>
      </text>
    </comment>
    <comment ref="BJ43" authorId="4">
      <text>
        <r>
          <rPr>
            <b/>
            <sz val="8"/>
            <color indexed="81"/>
            <rFont val="Tahoma"/>
            <family val="2"/>
          </rPr>
          <t>mm98285:</t>
        </r>
        <r>
          <rPr>
            <sz val="8"/>
            <color indexed="81"/>
            <rFont val="Tahoma"/>
            <family val="2"/>
          </rPr>
          <t xml:space="preserve">
1/08: assume dollar growth = to average sq. ft growth minus 6-7% (based on 2007 run rate) or ~4-5%</t>
        </r>
      </text>
    </comment>
    <comment ref="BL43" authorId="21">
      <text>
        <r>
          <rPr>
            <b/>
            <sz val="8"/>
            <color indexed="81"/>
            <rFont val="Tahoma"/>
            <family val="2"/>
          </rPr>
          <t>kg51925:</t>
        </r>
        <r>
          <rPr>
            <sz val="8"/>
            <color indexed="81"/>
            <rFont val="Tahoma"/>
            <family val="2"/>
          </rPr>
          <t xml:space="preserve">
11/18/09 expect some growth in occupancy, but SPIRIT scheduling system rolled out Sept/Oct to improve payroll productivity
$160mm "about right, maybe a bit less"</t>
        </r>
      </text>
    </comment>
    <comment ref="BX43" authorId="29">
      <text>
        <r>
          <rPr>
            <b/>
            <sz val="8"/>
            <color indexed="81"/>
            <rFont val="Tahoma"/>
            <family val="2"/>
          </rPr>
          <t>kimberlg:</t>
        </r>
        <r>
          <rPr>
            <sz val="8"/>
            <color indexed="81"/>
            <rFont val="Tahoma"/>
            <family val="2"/>
          </rPr>
          <t xml:space="preserve">
assume 6.3% expense growth on sq ft growth plus 2% inflation plus 2% for variable expenses in extra week</t>
        </r>
      </text>
    </comment>
    <comment ref="BY43" authorId="5">
      <text>
        <r>
          <rPr>
            <b/>
            <sz val="8"/>
            <color indexed="81"/>
            <rFont val="Tahoma"/>
            <family val="2"/>
          </rPr>
          <t>lauraro:</t>
        </r>
        <r>
          <rPr>
            <sz val="8"/>
            <color indexed="81"/>
            <rFont val="Tahoma"/>
            <family val="2"/>
          </rPr>
          <t xml:space="preserve">
34.4%</t>
        </r>
      </text>
    </comment>
    <comment ref="BE44" authorId="4">
      <text>
        <r>
          <rPr>
            <b/>
            <sz val="8"/>
            <color indexed="81"/>
            <rFont val="Tahoma"/>
            <family val="2"/>
          </rPr>
          <t>mm98285:</t>
        </r>
        <r>
          <rPr>
            <sz val="8"/>
            <color indexed="81"/>
            <rFont val="Tahoma"/>
            <family val="2"/>
          </rPr>
          <t xml:space="preserve">
+primarily from increased personnel &amp; occup exp across all three brans given investment in larger stores, increased store payroll, mix effect of smaller div becoming larger % and delev of neg. comp</t>
        </r>
      </text>
    </comment>
    <comment ref="BJ44" authorId="4">
      <text>
        <r>
          <rPr>
            <b/>
            <sz val="8"/>
            <color indexed="81"/>
            <rFont val="Tahoma"/>
            <family val="2"/>
          </rPr>
          <t>mm98285:</t>
        </r>
        <r>
          <rPr>
            <sz val="8"/>
            <color indexed="81"/>
            <rFont val="Tahoma"/>
            <family val="2"/>
          </rPr>
          <t xml:space="preserve">
1/08: assume dollar growth = to average sq. ft growth minus 6-7% (based on 2007 run rate) or ~9-10%</t>
        </r>
      </text>
    </comment>
    <comment ref="BL44" authorId="4">
      <text>
        <r>
          <rPr>
            <b/>
            <sz val="8"/>
            <color indexed="81"/>
            <rFont val="Tahoma"/>
            <family val="2"/>
          </rPr>
          <t>mm98285:</t>
        </r>
        <r>
          <rPr>
            <sz val="8"/>
            <color indexed="81"/>
            <rFont val="Tahoma"/>
            <family val="2"/>
          </rPr>
          <t xml:space="preserve">
11/08: assume they get another ~$20mm in savings</t>
        </r>
      </text>
    </comment>
    <comment ref="BP44" authorId="21">
      <text>
        <r>
          <rPr>
            <b/>
            <sz val="8"/>
            <color indexed="81"/>
            <rFont val="Tahoma"/>
            <family val="2"/>
          </rPr>
          <t>kg51925:</t>
        </r>
        <r>
          <rPr>
            <sz val="8"/>
            <color indexed="81"/>
            <rFont val="Tahoma"/>
            <family val="2"/>
          </rPr>
          <t xml:space="preserve">
2/24/10 - opening new stores, so higher rent expense. Store labor &amp; mgmt is balance of expense. If comp +5-6%, then might grow this piece 2% through payroll and scheduling mgmt, then add some for new store growth. Need $30mm of the $40mm in saves to come out of store P/R. </t>
        </r>
      </text>
    </comment>
    <comment ref="BI48" authorId="4">
      <text>
        <r>
          <rPr>
            <b/>
            <sz val="8"/>
            <color indexed="81"/>
            <rFont val="Tahoma"/>
            <family val="2"/>
          </rPr>
          <t>mm98285:</t>
        </r>
        <r>
          <rPr>
            <sz val="8"/>
            <color indexed="81"/>
            <rFont val="Tahoma"/>
            <family val="2"/>
          </rPr>
          <t xml:space="preserve">
delevg associated with -17.5% comp and increased marketing spend for Soma and consumer research for Chico's</t>
        </r>
      </text>
    </comment>
    <comment ref="BM48" authorId="4">
      <text>
        <r>
          <rPr>
            <b/>
            <sz val="8"/>
            <color indexed="81"/>
            <rFont val="Tahoma"/>
            <family val="2"/>
          </rPr>
          <t>mm98285:</t>
        </r>
        <r>
          <rPr>
            <sz val="8"/>
            <color indexed="81"/>
            <rFont val="Tahoma"/>
            <family val="2"/>
          </rPr>
          <t xml:space="preserve">
5/09: Decrease due to on-going cost cut initiatives incl. planned reduction in direct mail circ. (predominately to prospects) &amp; production costs savings vs. LY.  (1Q's -21.9% decline is not expected to be sustained through '09 as CHS has planned a 5% reduction in '09 marketing expenses vs. '08, with greater savings expected in 1H09).  </t>
        </r>
      </text>
    </comment>
    <comment ref="BP48" authorId="19">
      <text>
        <r>
          <rPr>
            <b/>
            <sz val="8"/>
            <color indexed="81"/>
            <rFont val="Tahoma"/>
            <family val="2"/>
          </rPr>
          <t>oc48540:</t>
        </r>
        <r>
          <rPr>
            <sz val="8"/>
            <color indexed="81"/>
            <rFont val="Tahoma"/>
            <family val="2"/>
          </rPr>
          <t xml:space="preserve">
11/18:  Cut 1H of LY (to get ready for TV spend) so probably higher vs. 1H, 2H likely at same range of 2H of LY
2/24/10 Bob thinks 1Q10 ~$29</t>
        </r>
      </text>
    </comment>
    <comment ref="BT48" authorId="5">
      <text>
        <r>
          <rPr>
            <b/>
            <sz val="8"/>
            <color indexed="81"/>
            <rFont val="Tahoma"/>
            <family val="2"/>
          </rPr>
          <t xml:space="preserve">5/18/11: </t>
        </r>
        <r>
          <rPr>
            <sz val="8"/>
            <color indexed="81"/>
            <rFont val="Tahoma"/>
            <family val="2"/>
          </rPr>
          <t>Marketing expenses increased $1.8 million over last year's first quarter primarily due to incremental television advertising for the Soma brand as well as increased e-marketing initiatives for all three brands.</t>
        </r>
        <r>
          <rPr>
            <sz val="8"/>
            <color indexed="81"/>
            <rFont val="Tahoma"/>
            <family val="2"/>
          </rPr>
          <t xml:space="preserve">
</t>
        </r>
      </text>
    </comment>
    <comment ref="BX48" authorId="29">
      <text>
        <r>
          <rPr>
            <b/>
            <sz val="8"/>
            <color indexed="81"/>
            <rFont val="Tahoma"/>
            <family val="2"/>
          </rPr>
          <t>kimberlg:</t>
        </r>
        <r>
          <rPr>
            <sz val="8"/>
            <color indexed="81"/>
            <rFont val="Tahoma"/>
            <family val="2"/>
          </rPr>
          <t xml:space="preserve">
</t>
        </r>
        <r>
          <rPr>
            <b/>
            <sz val="8"/>
            <color indexed="81"/>
            <rFont val="Tahoma"/>
            <family val="2"/>
          </rPr>
          <t xml:space="preserve">5/16/12: </t>
        </r>
        <r>
          <rPr>
            <sz val="8"/>
            <color indexed="81"/>
            <rFont val="Tahoma"/>
            <family val="2"/>
          </rPr>
          <t>marketing expenses as a percent of sales, excluding Boston Proper, were up 30 basis points compared to last year (note: LY internally 5.7%, not 5.8% of sales, so +30bps = 6.0%) and Boston Proper's marketing expenses were approximately $11M</t>
        </r>
        <r>
          <rPr>
            <sz val="8"/>
            <color indexed="81"/>
            <rFont val="Tahoma"/>
            <family val="2"/>
          </rPr>
          <t xml:space="preserve">
12/11: assume +$2M CHS and +$3M BP acq</t>
        </r>
      </text>
    </comment>
    <comment ref="BI49" authorId="4">
      <text>
        <r>
          <rPr>
            <b/>
            <sz val="8"/>
            <color indexed="81"/>
            <rFont val="Tahoma"/>
            <family val="2"/>
          </rPr>
          <t>mm98285:</t>
        </r>
        <r>
          <rPr>
            <sz val="8"/>
            <color indexed="81"/>
            <rFont val="Tahoma"/>
            <family val="2"/>
          </rPr>
          <t xml:space="preserve">
+deleverage given -15.9% comp 
+higher marketing spend for Soma, Chico's focus groups &amp; consumer research for all brands</t>
        </r>
      </text>
    </comment>
    <comment ref="BM49" authorId="4">
      <text>
        <r>
          <rPr>
            <b/>
            <sz val="8"/>
            <color indexed="81"/>
            <rFont val="Tahoma"/>
            <family val="2"/>
          </rPr>
          <t>mm98285:</t>
        </r>
        <r>
          <rPr>
            <sz val="8"/>
            <color indexed="81"/>
            <rFont val="Tahoma"/>
            <family val="2"/>
          </rPr>
          <t xml:space="preserve">
reduced direct mail advertising in 2Q vs. LY</t>
        </r>
      </text>
    </comment>
    <comment ref="BP49" authorId="10">
      <text>
        <r>
          <rPr>
            <b/>
            <sz val="8"/>
            <color indexed="81"/>
            <rFont val="Tahoma"/>
            <family val="2"/>
          </rPr>
          <t>KG51925:</t>
        </r>
        <r>
          <rPr>
            <sz val="8"/>
            <color indexed="81"/>
            <rFont val="Tahoma"/>
            <family val="2"/>
          </rPr>
          <t xml:space="preserve">
5/19/10 guided for +$3-4mm on conf call, but Bob told us after call that it would be $7mm higher</t>
        </r>
      </text>
    </comment>
    <comment ref="BQ49" authorId="11">
      <text>
        <r>
          <rPr>
            <b/>
            <sz val="8"/>
            <color indexed="81"/>
            <rFont val="Tahoma"/>
            <family val="2"/>
          </rPr>
          <t>marchant:</t>
        </r>
        <r>
          <rPr>
            <sz val="8"/>
            <color indexed="81"/>
            <rFont val="Tahoma"/>
            <family val="2"/>
          </rPr>
          <t xml:space="preserve">
increased spending on TV, online and print media campaigns; but as % of sales, marketing expenses were flat due mainly to leverage from greater comp increase</t>
        </r>
      </text>
    </comment>
    <comment ref="BX49" authorId="29">
      <text>
        <r>
          <rPr>
            <b/>
            <sz val="8"/>
            <color indexed="81"/>
            <rFont val="Tahoma"/>
            <family val="2"/>
          </rPr>
          <t xml:space="preserve">8/22/12: </t>
        </r>
        <r>
          <rPr>
            <sz val="8"/>
            <color indexed="81"/>
            <rFont val="Tahoma"/>
            <family val="2"/>
          </rPr>
          <t>marketing expenses ~11M in 2Q</t>
        </r>
        <r>
          <rPr>
            <b/>
            <sz val="8"/>
            <color indexed="81"/>
            <rFont val="Tahoma"/>
            <family val="2"/>
          </rPr>
          <t xml:space="preserve">
kimberlg:</t>
        </r>
        <r>
          <rPr>
            <sz val="8"/>
            <color indexed="81"/>
            <rFont val="Tahoma"/>
            <family val="2"/>
          </rPr>
          <t xml:space="preserve">
assume +$2M CHS and +$3M BP acq</t>
        </r>
      </text>
    </comment>
    <comment ref="BD50" authorId="4">
      <text>
        <r>
          <rPr>
            <b/>
            <sz val="8"/>
            <color indexed="81"/>
            <rFont val="Tahoma"/>
            <family val="2"/>
          </rPr>
          <t>mm98285:</t>
        </r>
        <r>
          <rPr>
            <sz val="8"/>
            <color indexed="81"/>
            <rFont val="Tahoma"/>
            <family val="2"/>
          </rPr>
          <t xml:space="preserve">
prior $25.511</t>
        </r>
      </text>
    </comment>
    <comment ref="BE50" authorId="4">
      <text>
        <r>
          <rPr>
            <b/>
            <sz val="8"/>
            <color indexed="81"/>
            <rFont val="Tahoma"/>
            <family val="2"/>
          </rPr>
          <t>mm98285:</t>
        </r>
        <r>
          <rPr>
            <sz val="8"/>
            <color indexed="81"/>
            <rFont val="Tahoma"/>
            <family val="2"/>
          </rPr>
          <t xml:space="preserve">
12/07: planned increase in marketing to protect &amp; enhance market share &amp; highlight Fall/Holiday product &amp; also extensive tv ads in 4 markets to support Soma</t>
        </r>
      </text>
    </comment>
    <comment ref="BI50" authorId="4">
      <text>
        <r>
          <rPr>
            <b/>
            <sz val="8"/>
            <color indexed="81"/>
            <rFont val="Tahoma"/>
            <family val="2"/>
          </rPr>
          <t>mm98285:</t>
        </r>
        <r>
          <rPr>
            <sz val="8"/>
            <color indexed="81"/>
            <rFont val="Tahoma"/>
            <family val="2"/>
          </rPr>
          <t xml:space="preserve">
11/08: decrease due to on-going cost reduction initiatives and increased efficiencies.</t>
        </r>
      </text>
    </comment>
    <comment ref="BL50" authorId="4">
      <text>
        <r>
          <rPr>
            <b/>
            <sz val="8"/>
            <color indexed="81"/>
            <rFont val="Tahoma"/>
            <family val="2"/>
          </rPr>
          <t>mm98285:</t>
        </r>
        <r>
          <rPr>
            <sz val="8"/>
            <color indexed="81"/>
            <rFont val="Tahoma"/>
            <family val="2"/>
          </rPr>
          <t xml:space="preserve">
8/09: expect +$4-$5M or +18%
5/09: expect +$3-4m in 3Q adding TV (1st time since Aug 2006) and increased prospecting and reactivation efforts</t>
        </r>
      </text>
    </comment>
    <comment ref="BM50" authorId="4">
      <text>
        <r>
          <rPr>
            <sz val="8"/>
            <color indexed="81"/>
            <rFont val="Tahoma"/>
            <family val="2"/>
          </rPr>
          <t>11/18:
Marketing increased by $2.9M primarily due to increases in print and broadcast advertisement associated with expanded
national marketing campaigns designed to more effectively target
purchasing during the Fall and Holiday shopping seasons.</t>
        </r>
        <r>
          <rPr>
            <b/>
            <sz val="8"/>
            <color indexed="81"/>
            <rFont val="Tahoma"/>
            <family val="2"/>
          </rPr>
          <t xml:space="preserve">
</t>
        </r>
        <r>
          <rPr>
            <sz val="8"/>
            <color indexed="81"/>
            <rFont val="Tahoma"/>
            <family val="2"/>
          </rPr>
          <t xml:space="preserve">
5/09: CHS will resume TV ads in 3Q09 (first time since Aug. '06) as well as increased prospecting efforts and reactivation of lapsed customer</t>
        </r>
      </text>
    </comment>
    <comment ref="BN50" authorId="4">
      <text>
        <r>
          <rPr>
            <b/>
            <sz val="8"/>
            <color indexed="81"/>
            <rFont val="Tahoma"/>
            <family val="2"/>
          </rPr>
          <t>mm98285:</t>
        </r>
        <r>
          <rPr>
            <sz val="8"/>
            <color indexed="81"/>
            <rFont val="Tahoma"/>
            <family val="2"/>
          </rPr>
          <t xml:space="preserve">
8/09: expect +18%</t>
        </r>
      </text>
    </comment>
    <comment ref="BP50" authorId="5">
      <text>
        <r>
          <rPr>
            <sz val="8"/>
            <color indexed="81"/>
            <rFont val="Tahoma"/>
            <family val="2"/>
          </rPr>
          <t>Marketing expenses include marketing programs such as direct marketing efforts, national advertising expenses via various media and related support costs.</t>
        </r>
      </text>
    </comment>
    <comment ref="BQ50" authorId="5">
      <text>
        <r>
          <rPr>
            <b/>
            <sz val="8"/>
            <color indexed="81"/>
            <rFont val="Tahoma"/>
            <family val="2"/>
          </rPr>
          <t>lauraro:</t>
        </r>
        <r>
          <rPr>
            <sz val="8"/>
            <color indexed="81"/>
            <rFont val="Tahoma"/>
            <family val="2"/>
          </rPr>
          <t xml:space="preserve">
Marketing expenses increased $7.0 million, as planned, over last year's third quarter primarily due to increased television ads, including ads for the Soma brand, as well as increased online and print media campaigns across all three brands.</t>
        </r>
      </text>
    </comment>
    <comment ref="BT50" authorId="5">
      <text>
        <r>
          <rPr>
            <b/>
            <sz val="8"/>
            <color indexed="81"/>
            <rFont val="Tahoma"/>
            <family val="2"/>
          </rPr>
          <t>lauraro:</t>
        </r>
        <r>
          <rPr>
            <sz val="8"/>
            <color indexed="81"/>
            <rFont val="Tahoma"/>
            <family val="2"/>
          </rPr>
          <t xml:space="preserve">
+$7 million = reflecting higher TV and e-marketing expenses as well as $3 million for
Boston Proper</t>
        </r>
      </text>
    </comment>
    <comment ref="BE51" authorId="4">
      <text>
        <r>
          <rPr>
            <b/>
            <sz val="8"/>
            <color indexed="81"/>
            <rFont val="Tahoma"/>
            <family val="2"/>
          </rPr>
          <t>mm98285:</t>
        </r>
        <r>
          <rPr>
            <sz val="8"/>
            <color indexed="81"/>
            <rFont val="Tahoma"/>
            <family val="2"/>
          </rPr>
          <t xml:space="preserve">
~190bps primarily due to the planned increase in marketing spend in an effort to protect and enhance market share &amp; highlight Fall &amp; Holiday product offerings.   &amp; also extensive tv ads in 4 markets to support Soma</t>
        </r>
      </text>
    </comment>
    <comment ref="BH51" authorId="4">
      <text>
        <r>
          <rPr>
            <b/>
            <sz val="8"/>
            <color indexed="81"/>
            <rFont val="Tahoma"/>
            <family val="2"/>
          </rPr>
          <t>mm98285:</t>
        </r>
        <r>
          <rPr>
            <sz val="8"/>
            <color indexed="81"/>
            <rFont val="Tahoma"/>
            <family val="2"/>
          </rPr>
          <t xml:space="preserve">
11/08: down $8mm</t>
        </r>
      </text>
    </comment>
    <comment ref="BI51" authorId="4">
      <text>
        <r>
          <rPr>
            <b/>
            <sz val="8"/>
            <color indexed="81"/>
            <rFont val="Tahoma"/>
            <family val="2"/>
          </rPr>
          <t>mm98285:</t>
        </r>
        <r>
          <rPr>
            <sz val="8"/>
            <color indexed="81"/>
            <rFont val="Tahoma"/>
            <family val="2"/>
          </rPr>
          <t xml:space="preserve">
decline primarily due to on-going cost reduction initiatives &amp; increased efficiencies implemented </t>
        </r>
      </text>
    </comment>
    <comment ref="BL51" authorId="4">
      <text>
        <r>
          <rPr>
            <b/>
            <sz val="8"/>
            <color indexed="81"/>
            <rFont val="Tahoma"/>
            <family val="2"/>
          </rPr>
          <t>mm98285:</t>
        </r>
        <r>
          <rPr>
            <sz val="8"/>
            <color indexed="81"/>
            <rFont val="Tahoma"/>
            <family val="2"/>
          </rPr>
          <t xml:space="preserve">
8/09: expect up $2M excluding incremental TV</t>
        </r>
      </text>
    </comment>
    <comment ref="BP51" authorId="5">
      <text>
        <r>
          <rPr>
            <b/>
            <sz val="8"/>
            <color indexed="81"/>
            <rFont val="Tahoma"/>
            <family val="2"/>
          </rPr>
          <t>lauraro:</t>
        </r>
        <r>
          <rPr>
            <sz val="8"/>
            <color indexed="81"/>
            <rFont val="Tahoma"/>
            <family val="2"/>
          </rPr>
          <t xml:space="preserve">
increased mktng $ in 4Q</t>
        </r>
      </text>
    </comment>
    <comment ref="BT51" authorId="5">
      <text>
        <r>
          <rPr>
            <b/>
            <sz val="8"/>
            <color indexed="81"/>
            <rFont val="Tahoma"/>
            <family val="2"/>
          </rPr>
          <t>lauraro:</t>
        </r>
        <r>
          <rPr>
            <sz val="8"/>
            <color indexed="81"/>
            <rFont val="Tahoma"/>
            <family val="2"/>
          </rPr>
          <t xml:space="preserve">
2/22: mktng grew 50bps as % of sales ex BP</t>
        </r>
      </text>
    </comment>
    <comment ref="BX51" authorId="5">
      <text>
        <r>
          <rPr>
            <b/>
            <sz val="8"/>
            <color indexed="81"/>
            <rFont val="Tahoma"/>
            <family val="2"/>
          </rPr>
          <t>lauraro:</t>
        </r>
        <r>
          <rPr>
            <sz val="8"/>
            <color indexed="81"/>
            <rFont val="Tahoma"/>
            <family val="2"/>
          </rPr>
          <t xml:space="preserve">
Anniversarying higher marketing expense
36.5M</t>
        </r>
      </text>
    </comment>
    <comment ref="BH52" authorId="4">
      <text>
        <r>
          <rPr>
            <b/>
            <sz val="8"/>
            <color indexed="81"/>
            <rFont val="Tahoma"/>
            <family val="2"/>
          </rPr>
          <t>mm98285:</t>
        </r>
        <r>
          <rPr>
            <sz val="8"/>
            <color indexed="81"/>
            <rFont val="Tahoma"/>
            <family val="2"/>
          </rPr>
          <t xml:space="preserve">
8/08: expect down ~$10mm
1/08: expect flat marketing $s in 2008
3/08: Kent thinks could be down</t>
        </r>
      </text>
    </comment>
    <comment ref="BI52" authorId="4">
      <text>
        <r>
          <rPr>
            <b/>
            <sz val="8"/>
            <color indexed="81"/>
            <rFont val="Tahoma"/>
            <family val="2"/>
          </rPr>
          <t>mm98285:</t>
        </r>
        <r>
          <rPr>
            <sz val="8"/>
            <color indexed="81"/>
            <rFont val="Tahoma"/>
            <family val="2"/>
          </rPr>
          <t xml:space="preserve">
2007 10K guided to 3.9-4.2%</t>
        </r>
      </text>
    </comment>
    <comment ref="BN52" authorId="4">
      <text>
        <r>
          <rPr>
            <b/>
            <sz val="8"/>
            <color indexed="81"/>
            <rFont val="Tahoma"/>
            <family val="2"/>
          </rPr>
          <t>mm98285:</t>
        </r>
        <r>
          <rPr>
            <sz val="8"/>
            <color indexed="81"/>
            <rFont val="Tahoma"/>
            <family val="2"/>
          </rPr>
          <t xml:space="preserve">
3/09: expect down 5% with majority of savings in 1H</t>
        </r>
      </text>
    </comment>
    <comment ref="BP52" authorId="21">
      <text>
        <r>
          <rPr>
            <b/>
            <sz val="8"/>
            <color indexed="81"/>
            <rFont val="Tahoma"/>
            <family val="2"/>
          </rPr>
          <t>5/19/10:</t>
        </r>
        <r>
          <rPr>
            <sz val="8"/>
            <color indexed="81"/>
            <rFont val="Tahoma"/>
            <family val="2"/>
          </rPr>
          <t xml:space="preserve"> for year should be $95mm- ish but won't go over $100mm </t>
        </r>
        <r>
          <rPr>
            <b/>
            <sz val="8"/>
            <color indexed="81"/>
            <rFont val="Tahoma"/>
            <family val="2"/>
          </rPr>
          <t xml:space="preserve">
2/24/10: </t>
        </r>
        <r>
          <rPr>
            <sz val="8"/>
            <color indexed="81"/>
            <rFont val="Tahoma"/>
            <family val="2"/>
          </rPr>
          <t>Targeted additional marketing spend of $18-$20 million which will be rated toward the spring season (more so 1st  quarter than second quarter due to Spring TV Print media campaigns). Also,  increasing efforts in customer acquisition and research management with MDTC for 2010.  Thus an additional $4-5mm over last year will be spent on items such as paid search and other customer acquisition initiatives.</t>
        </r>
        <r>
          <rPr>
            <b/>
            <sz val="8"/>
            <color indexed="81"/>
            <rFont val="Tahoma"/>
            <family val="2"/>
          </rPr>
          <t xml:space="preserve">
kg51925:</t>
        </r>
        <r>
          <rPr>
            <sz val="8"/>
            <color indexed="81"/>
            <rFont val="Tahoma"/>
            <family val="2"/>
          </rPr>
          <t xml:space="preserve">
expect up in 2010, up a lot in 1H10, flattish in 2H10</t>
        </r>
      </text>
    </comment>
    <comment ref="BT52" authorId="5">
      <text>
        <r>
          <rPr>
            <b/>
            <sz val="8"/>
            <color indexed="81"/>
            <rFont val="Tahoma"/>
            <family val="2"/>
          </rPr>
          <t>lauraro:</t>
        </r>
        <r>
          <rPr>
            <sz val="8"/>
            <color indexed="81"/>
            <rFont val="Tahoma"/>
            <family val="2"/>
          </rPr>
          <t xml:space="preserve">
$8M incremental marketing spend</t>
        </r>
      </text>
    </comment>
    <comment ref="BU52" authorId="5">
      <text>
        <r>
          <rPr>
            <b/>
            <sz val="8"/>
            <color indexed="81"/>
            <rFont val="Tahoma"/>
            <family val="2"/>
          </rPr>
          <t>lauraro:</t>
        </r>
        <r>
          <rPr>
            <sz val="8"/>
            <color indexed="81"/>
            <rFont val="Tahoma"/>
            <family val="2"/>
          </rPr>
          <t xml:space="preserve">
3/1/11: Expect 30-40bps lvg</t>
        </r>
      </text>
    </comment>
    <comment ref="AZ54" authorId="4">
      <text>
        <r>
          <rPr>
            <b/>
            <sz val="8"/>
            <color indexed="81"/>
            <rFont val="Tahoma"/>
            <family val="2"/>
          </rPr>
          <t>mm98285:</t>
        </r>
        <r>
          <rPr>
            <sz val="8"/>
            <color indexed="81"/>
            <rFont val="Tahoma"/>
            <family val="2"/>
          </rPr>
          <t xml:space="preserve">
Shared services expenses consist of the corporate level functions including executive management, human resources, management information systems and finance, among others.</t>
        </r>
      </text>
    </comment>
    <comment ref="BI56" authorId="4">
      <text>
        <r>
          <rPr>
            <b/>
            <sz val="8"/>
            <color indexed="81"/>
            <rFont val="Tahoma"/>
            <family val="2"/>
          </rPr>
          <t>mm98285:</t>
        </r>
        <r>
          <rPr>
            <sz val="8"/>
            <color indexed="81"/>
            <rFont val="Tahoma"/>
            <family val="2"/>
          </rPr>
          <t xml:space="preserve">
delevg given -17.5% comp and to a lesser extent increased tech costs</t>
        </r>
      </text>
    </comment>
    <comment ref="BM56" authorId="4">
      <text>
        <r>
          <rPr>
            <b/>
            <sz val="8"/>
            <color indexed="81"/>
            <rFont val="Tahoma"/>
            <family val="2"/>
          </rPr>
          <t>mm98285:</t>
        </r>
        <r>
          <rPr>
            <sz val="8"/>
            <color indexed="81"/>
            <rFont val="Tahoma"/>
            <family val="2"/>
          </rPr>
          <t xml:space="preserve">
5/09: Decrease due primarily to continued rationalization of its corp exp. structure &amp; workforce reduction in Jan. '09.  Mgmt also accrued for potential incentive compensation in 1Q09</t>
        </r>
      </text>
    </comment>
    <comment ref="BX56" authorId="5">
      <text>
        <r>
          <rPr>
            <b/>
            <sz val="8"/>
            <color indexed="81"/>
            <rFont val="Tahoma"/>
            <family val="2"/>
          </rPr>
          <t>lauraro:</t>
        </r>
        <r>
          <rPr>
            <sz val="8"/>
            <color indexed="81"/>
            <rFont val="Tahoma"/>
            <family val="2"/>
          </rPr>
          <t xml:space="preserve">
Little bit of leverage in the next year or two: leverage from sales mostly offset by investment spending e.g. eComm projects, ?international?</t>
        </r>
      </text>
    </comment>
    <comment ref="BE57" authorId="4">
      <text>
        <r>
          <rPr>
            <b/>
            <sz val="8"/>
            <color indexed="81"/>
            <rFont val="Tahoma"/>
            <family val="2"/>
          </rPr>
          <t>mm98285:</t>
        </r>
        <r>
          <rPr>
            <sz val="8"/>
            <color indexed="81"/>
            <rFont val="Tahoma"/>
            <family val="2"/>
          </rPr>
          <t xml:space="preserve">
+100 bps given increased relocation, recruitment, tech &amp; marekting support costs &amp; from delvge assocaited with neg. comps, partially offset by reduction in incentive comp &amp; stock-based comp</t>
        </r>
      </text>
    </comment>
    <comment ref="BI57" authorId="4">
      <text>
        <r>
          <rPr>
            <b/>
            <sz val="8"/>
            <color indexed="81"/>
            <rFont val="Tahoma"/>
            <family val="2"/>
          </rPr>
          <t>mm98285:</t>
        </r>
        <r>
          <rPr>
            <sz val="8"/>
            <color indexed="81"/>
            <rFont val="Tahoma"/>
            <family val="2"/>
          </rPr>
          <t xml:space="preserve">
+deleverage on -15.9% comp 
+increased technology costs (to a lesser extent)</t>
        </r>
      </text>
    </comment>
    <comment ref="BL57" authorId="4">
      <text>
        <r>
          <rPr>
            <b/>
            <sz val="8"/>
            <color indexed="81"/>
            <rFont val="Tahoma"/>
            <family val="2"/>
          </rPr>
          <t>mm98285:</t>
        </r>
        <r>
          <rPr>
            <sz val="8"/>
            <color indexed="81"/>
            <rFont val="Tahoma"/>
            <family val="2"/>
          </rPr>
          <t xml:space="preserve">
6/09: expect $2.5-$3M per quarter incentive comp starting in 2Q</t>
        </r>
      </text>
    </comment>
    <comment ref="BM57" authorId="4">
      <text>
        <r>
          <rPr>
            <b/>
            <sz val="8"/>
            <color indexed="81"/>
            <rFont val="Tahoma"/>
            <family val="2"/>
          </rPr>
          <t>mm98285:</t>
        </r>
        <r>
          <rPr>
            <sz val="8"/>
            <color indexed="81"/>
            <rFont val="Tahoma"/>
            <family val="2"/>
          </rPr>
          <t xml:space="preserve">
decrease given expense control efforts offset by ~$4M of incremental perf based comp accruals</t>
        </r>
      </text>
    </comment>
    <comment ref="BT57" authorId="5">
      <text>
        <r>
          <rPr>
            <b/>
            <sz val="8"/>
            <color indexed="81"/>
            <rFont val="Tahoma"/>
            <family val="2"/>
          </rPr>
          <t>lauraro:</t>
        </r>
        <r>
          <rPr>
            <sz val="8"/>
            <color indexed="81"/>
            <rFont val="Tahoma"/>
            <family val="2"/>
          </rPr>
          <t xml:space="preserve">
8/17/11: higher performance-based comp. Expect it to continue.</t>
        </r>
      </text>
    </comment>
    <comment ref="BD58" authorId="4">
      <text>
        <r>
          <rPr>
            <b/>
            <sz val="8"/>
            <color indexed="81"/>
            <rFont val="Tahoma"/>
            <family val="2"/>
          </rPr>
          <t>mm98285:</t>
        </r>
        <r>
          <rPr>
            <sz val="8"/>
            <color indexed="81"/>
            <rFont val="Tahoma"/>
            <family val="2"/>
          </rPr>
          <t xml:space="preserve">
prior $31.962</t>
        </r>
      </text>
    </comment>
    <comment ref="BE58" authorId="4">
      <text>
        <r>
          <rPr>
            <b/>
            <sz val="8"/>
            <color indexed="81"/>
            <rFont val="Tahoma"/>
            <family val="2"/>
          </rPr>
          <t>mm98285:</t>
        </r>
        <r>
          <rPr>
            <sz val="8"/>
            <color indexed="81"/>
            <rFont val="Tahoma"/>
            <family val="2"/>
          </rPr>
          <t xml:space="preserve">
12/07:1) +personnel relocation &amp; recruitment costs, severance, technology &amp; marketing support costs, &amp; 2) delvg given -9.3% comp, offset partially by 3) reduction in stock-based comp</t>
        </r>
      </text>
    </comment>
    <comment ref="BI58" authorId="4">
      <text>
        <r>
          <rPr>
            <b/>
            <sz val="8"/>
            <color indexed="81"/>
            <rFont val="Tahoma"/>
            <family val="2"/>
          </rPr>
          <t>mm98285:</t>
        </r>
        <r>
          <rPr>
            <sz val="8"/>
            <color indexed="81"/>
            <rFont val="Tahoma"/>
            <family val="2"/>
          </rPr>
          <t xml:space="preserve">
11/08: decrease due to on-going cost reduction initiatives </t>
        </r>
      </text>
    </comment>
    <comment ref="BJ58" authorId="4">
      <text>
        <r>
          <rPr>
            <b/>
            <sz val="8"/>
            <color indexed="81"/>
            <rFont val="Tahoma"/>
            <family val="2"/>
          </rPr>
          <t>mm98285:</t>
        </r>
        <r>
          <rPr>
            <sz val="8"/>
            <color indexed="81"/>
            <rFont val="Tahoma"/>
            <family val="2"/>
          </rPr>
          <t xml:space="preserve">
8/08: assume $2.5mm restatement in LY's numbers (shift of $2.5mm from shared services to marketing in both 3Q and 4Q)</t>
        </r>
      </text>
    </comment>
    <comment ref="BM58" authorId="18">
      <text>
        <r>
          <rPr>
            <sz val="8"/>
            <color indexed="81"/>
            <rFont val="Tahoma"/>
            <family val="2"/>
          </rPr>
          <t>11/18:Shared service expenses increased by $4.4M due primarily to the increase in performance-based compensation accruals.</t>
        </r>
      </text>
    </comment>
    <comment ref="BN58" authorId="4">
      <text>
        <r>
          <rPr>
            <b/>
            <sz val="8"/>
            <color indexed="81"/>
            <rFont val="Tahoma"/>
            <family val="2"/>
          </rPr>
          <t>mm98285:</t>
        </r>
        <r>
          <rPr>
            <sz val="8"/>
            <color indexed="81"/>
            <rFont val="Tahoma"/>
            <family val="2"/>
          </rPr>
          <t xml:space="preserve">
8/09: shared services +DD given accruals for performance based compensation </t>
        </r>
      </text>
    </comment>
    <comment ref="BP58" authorId="5">
      <text>
        <r>
          <rPr>
            <b/>
            <sz val="8"/>
            <color indexed="81"/>
            <rFont val="Tahoma"/>
            <family val="2"/>
          </rPr>
          <t>lauraro:</t>
        </r>
        <r>
          <rPr>
            <sz val="8"/>
            <color indexed="81"/>
            <rFont val="Tahoma"/>
            <family val="2"/>
          </rPr>
          <t xml:space="preserve">
National Store Support Center ("NSSC") expenses consist of the corporate level functions including executive management, human resources, management information systems and finance, among others.</t>
        </r>
      </text>
    </comment>
    <comment ref="BQ58" authorId="5">
      <text>
        <r>
          <rPr>
            <b/>
            <sz val="8"/>
            <color indexed="81"/>
            <rFont val="Tahoma"/>
            <family val="2"/>
          </rPr>
          <t>lauraro:</t>
        </r>
        <r>
          <rPr>
            <sz val="8"/>
            <color indexed="81"/>
            <rFont val="Tahoma"/>
            <family val="2"/>
          </rPr>
          <t xml:space="preserve">
In dollars, NSSC expenses decreased over the prior period due to lower performance-based compensation accruals and effective expense control. Expressed as a percentage of net sales, NSSC expenses decreased in the third quarter by ~80bps, assisted by the leverage associated with improved comparable store sales.</t>
        </r>
      </text>
    </comment>
    <comment ref="BE59" authorId="4">
      <text>
        <r>
          <rPr>
            <b/>
            <sz val="8"/>
            <color indexed="81"/>
            <rFont val="Tahoma"/>
            <family val="2"/>
          </rPr>
          <t>mm98285:</t>
        </r>
        <r>
          <rPr>
            <sz val="8"/>
            <color indexed="81"/>
            <rFont val="Tahoma"/>
            <family val="2"/>
          </rPr>
          <t xml:space="preserve">
+240bps mainly due to increased personnel relocation &amp; recruitment costs, technology and marketing support costs &amp; the deleverage from -15.7% comp combined w/the reduction in sales associated w/the extra week LY.</t>
        </r>
      </text>
    </comment>
    <comment ref="BI59" authorId="4">
      <text>
        <r>
          <rPr>
            <b/>
            <sz val="8"/>
            <color indexed="81"/>
            <rFont val="Tahoma"/>
            <family val="2"/>
          </rPr>
          <t>mm98285:</t>
        </r>
        <r>
          <rPr>
            <sz val="8"/>
            <color indexed="81"/>
            <rFont val="Tahoma"/>
            <family val="2"/>
          </rPr>
          <t xml:space="preserve">
decline primarily due to on-going cost reduction initiatives implemented
</t>
        </r>
      </text>
    </comment>
    <comment ref="BJ59" authorId="4">
      <text>
        <r>
          <rPr>
            <b/>
            <sz val="8"/>
            <color indexed="81"/>
            <rFont val="Tahoma"/>
            <family val="2"/>
          </rPr>
          <t>mm98285:</t>
        </r>
        <r>
          <rPr>
            <sz val="8"/>
            <color indexed="81"/>
            <rFont val="Tahoma"/>
            <family val="2"/>
          </rPr>
          <t xml:space="preserve">
8/08: assume $2.5mm restatement in LY's numbers (shift of $2.5mm from shared services to marketing in both 3Q and 4Q)</t>
        </r>
      </text>
    </comment>
    <comment ref="BX59" authorId="5">
      <text>
        <r>
          <rPr>
            <b/>
            <sz val="8"/>
            <color indexed="81"/>
            <rFont val="Tahoma"/>
            <family val="2"/>
          </rPr>
          <t>lauraro:</t>
        </r>
        <r>
          <rPr>
            <sz val="8"/>
            <color indexed="81"/>
            <rFont val="Tahoma"/>
            <family val="2"/>
          </rPr>
          <t xml:space="preserve">
39.5M</t>
        </r>
      </text>
    </comment>
    <comment ref="BH60" authorId="21">
      <text>
        <r>
          <rPr>
            <b/>
            <sz val="8"/>
            <color indexed="81"/>
            <rFont val="Tahoma"/>
            <family val="2"/>
          </rPr>
          <t>kg51925:</t>
        </r>
        <r>
          <rPr>
            <sz val="8"/>
            <color indexed="81"/>
            <rFont val="Tahoma"/>
            <family val="2"/>
          </rPr>
          <t xml:space="preserve">
per Kent, should be "down" ex any incentive comp that may be given (if perf impvs)</t>
        </r>
      </text>
    </comment>
    <comment ref="BP60" authorId="21">
      <text>
        <r>
          <rPr>
            <b/>
            <sz val="8"/>
            <color indexed="81"/>
            <rFont val="Tahoma"/>
            <family val="2"/>
          </rPr>
          <t xml:space="preserve">5/19/10: </t>
        </r>
        <r>
          <rPr>
            <sz val="8"/>
            <color indexed="81"/>
            <rFont val="Tahoma"/>
            <family val="2"/>
          </rPr>
          <t>est $120mm-ish, should be smoother by qtr</t>
        </r>
        <r>
          <rPr>
            <b/>
            <sz val="8"/>
            <color indexed="81"/>
            <rFont val="Tahoma"/>
            <family val="2"/>
          </rPr>
          <t xml:space="preserve">
kg51925:</t>
        </r>
        <r>
          <rPr>
            <sz val="8"/>
            <color indexed="81"/>
            <rFont val="Tahoma"/>
            <family val="2"/>
          </rPr>
          <t xml:space="preserve">
winding down IT implementation, so their payroll will be eliminated
and DC install done so lower costs. Bottom line, of the $40mm in savings, expect $10mm in shared svcs.</t>
        </r>
      </text>
    </comment>
    <comment ref="AZ67" authorId="4">
      <text>
        <r>
          <rPr>
            <b/>
            <sz val="8"/>
            <color indexed="81"/>
            <rFont val="Tahoma"/>
            <family val="2"/>
          </rPr>
          <t>mm98285:</t>
        </r>
        <r>
          <rPr>
            <sz val="8"/>
            <color indexed="81"/>
            <rFont val="Tahoma"/>
            <family val="2"/>
          </rPr>
          <t xml:space="preserve">
3/07: $2.9 in SG&amp;A, $1.1 in GM
options exp increased $2.6mm net of tax over LY</t>
        </r>
      </text>
    </comment>
    <comment ref="AO74" authorId="1">
      <text>
        <r>
          <rPr>
            <b/>
            <sz val="8"/>
            <color indexed="81"/>
            <rFont val="Tahoma"/>
            <family val="2"/>
          </rPr>
          <t>dliu:</t>
        </r>
        <r>
          <rPr>
            <sz val="8"/>
            <color indexed="81"/>
            <rFont val="Tahoma"/>
            <family val="2"/>
          </rPr>
          <t xml:space="preserve">
2.7</t>
        </r>
      </text>
    </comment>
    <comment ref="AS75" authorId="23">
      <text>
        <r>
          <rPr>
            <b/>
            <sz val="8"/>
            <color indexed="81"/>
            <rFont val="Tahoma"/>
            <family val="2"/>
          </rPr>
          <t>MS:</t>
        </r>
        <r>
          <rPr>
            <sz val="8"/>
            <color indexed="81"/>
            <rFont val="Tahoma"/>
            <family val="2"/>
          </rPr>
          <t xml:space="preserve">
2.8</t>
        </r>
      </text>
    </comment>
    <comment ref="AV75" authorId="2">
      <text>
        <r>
          <rPr>
            <b/>
            <sz val="8"/>
            <color indexed="81"/>
            <rFont val="Tahoma"/>
            <family val="2"/>
          </rPr>
          <t>Morry Brown:</t>
        </r>
        <r>
          <rPr>
            <sz val="8"/>
            <color indexed="81"/>
            <rFont val="Tahoma"/>
            <family val="2"/>
          </rPr>
          <t xml:space="preserve">
11.0 est</t>
        </r>
      </text>
    </comment>
    <comment ref="AN76" authorId="22">
      <text>
        <r>
          <rPr>
            <b/>
            <sz val="10"/>
            <color indexed="81"/>
            <rFont val="Tahoma"/>
            <family val="2"/>
          </rPr>
          <t>kgreenbe:</t>
        </r>
        <r>
          <rPr>
            <sz val="10"/>
            <color indexed="81"/>
            <rFont val="Tahoma"/>
            <family val="2"/>
          </rPr>
          <t xml:space="preserve">
8/4/03 had $5.5m before WHBM acquisition. 1Q03 Depc'n was $448m, but will shut DC and HQ. Est $400 per quarter 2003.</t>
        </r>
      </text>
    </comment>
    <comment ref="AV76" authorId="2">
      <text>
        <r>
          <rPr>
            <b/>
            <sz val="8"/>
            <color indexed="81"/>
            <rFont val="Tahoma"/>
            <family val="2"/>
          </rPr>
          <t>Morry Brown:</t>
        </r>
        <r>
          <rPr>
            <sz val="8"/>
            <color indexed="81"/>
            <rFont val="Tahoma"/>
            <family val="2"/>
          </rPr>
          <t xml:space="preserve">
guided to 13 million</t>
        </r>
      </text>
    </comment>
    <comment ref="AN77" authorId="22">
      <text>
        <r>
          <rPr>
            <b/>
            <sz val="10"/>
            <color indexed="81"/>
            <rFont val="Tahoma"/>
            <family val="2"/>
          </rPr>
          <t>kgreenbe:</t>
        </r>
        <r>
          <rPr>
            <sz val="10"/>
            <color indexed="81"/>
            <rFont val="Tahoma"/>
            <family val="2"/>
          </rPr>
          <t xml:space="preserve">
8/4/03 had $5.8m before WHBM acquisition. 1Q03 Depc'n was $448m, but will shut DC and HQ. Est $400 per quarter 2003.</t>
        </r>
      </text>
    </comment>
    <comment ref="AR77" authorId="21">
      <text>
        <r>
          <rPr>
            <b/>
            <sz val="8"/>
            <color indexed="81"/>
            <rFont val="Tahoma"/>
            <family val="2"/>
          </rPr>
          <t>kg51925:</t>
        </r>
        <r>
          <rPr>
            <sz val="8"/>
            <color indexed="81"/>
            <rFont val="Tahoma"/>
            <family val="2"/>
          </rPr>
          <t xml:space="preserve">
really $7.6mm excl $4.1mm rent expense charge ($3.4mm catchup for prior periods and 
$0.7mm in 2004)</t>
        </r>
      </text>
    </comment>
    <comment ref="AN78" authorId="1">
      <text>
        <r>
          <rPr>
            <b/>
            <sz val="8"/>
            <color indexed="81"/>
            <rFont val="Tahoma"/>
            <family val="2"/>
          </rPr>
          <t>dliu:</t>
        </r>
        <r>
          <rPr>
            <sz val="8"/>
            <color indexed="81"/>
            <rFont val="Tahoma"/>
            <family val="2"/>
          </rPr>
          <t xml:space="preserve">
co. guided to 40% growth over LY, so 1.4*15mm = $21 mm</t>
        </r>
      </text>
    </comment>
    <comment ref="BD78" authorId="4">
      <text>
        <r>
          <rPr>
            <b/>
            <sz val="8"/>
            <color indexed="81"/>
            <rFont val="Tahoma"/>
            <family val="2"/>
          </rPr>
          <t>mm98285:</t>
        </r>
        <r>
          <rPr>
            <sz val="8"/>
            <color indexed="81"/>
            <rFont val="Tahoma"/>
            <family val="2"/>
          </rPr>
          <t xml:space="preserve">
need depreciation guidance </t>
        </r>
      </text>
    </comment>
    <comment ref="BH78" authorId="4">
      <text>
        <r>
          <rPr>
            <b/>
            <sz val="8"/>
            <color indexed="81"/>
            <rFont val="Tahoma"/>
            <family val="2"/>
          </rPr>
          <t>mm98285:</t>
        </r>
        <r>
          <rPr>
            <sz val="8"/>
            <color indexed="81"/>
            <rFont val="Tahoma"/>
            <family val="2"/>
          </rPr>
          <t xml:space="preserve">
11/08: $96-$67mm
8/08: expect just under $100mm</t>
        </r>
      </text>
    </comment>
    <comment ref="BL78" authorId="4">
      <text>
        <r>
          <rPr>
            <b/>
            <sz val="8"/>
            <color indexed="81"/>
            <rFont val="Tahoma"/>
            <family val="2"/>
          </rPr>
          <t>mm98285:</t>
        </r>
        <r>
          <rPr>
            <sz val="8"/>
            <color indexed="81"/>
            <rFont val="Tahoma"/>
            <family val="2"/>
          </rPr>
          <t xml:space="preserve">
8/09: expect 2H depreciation $45-$46M for FY: $91M
12/08: expect $90-$91mm for 2009</t>
        </r>
      </text>
    </comment>
    <comment ref="BP78" authorId="19">
      <text>
        <r>
          <rPr>
            <b/>
            <sz val="8"/>
            <color indexed="81"/>
            <rFont val="Tahoma"/>
            <family val="2"/>
          </rPr>
          <t>oc48540:</t>
        </r>
        <r>
          <rPr>
            <sz val="8"/>
            <color indexed="81"/>
            <rFont val="Tahoma"/>
            <family val="2"/>
          </rPr>
          <t xml:space="preserve">
3/2/10 analyst day:
Expect ~$117mm</t>
        </r>
      </text>
    </comment>
    <comment ref="CJ78" authorId="7">
      <text>
        <r>
          <rPr>
            <b/>
            <sz val="9"/>
            <color indexed="81"/>
            <rFont val="Tahoma"/>
            <family val="2"/>
          </rPr>
          <t>casselau:</t>
        </r>
        <r>
          <rPr>
            <sz val="9"/>
            <color indexed="81"/>
            <rFont val="Tahoma"/>
            <family val="2"/>
          </rPr>
          <t xml:space="preserve">
2/26/15: per Todd +$4-6M</t>
        </r>
      </text>
    </comment>
    <comment ref="CN78" authorId="7">
      <text>
        <r>
          <rPr>
            <b/>
            <sz val="9"/>
            <color indexed="81"/>
            <rFont val="Tahoma"/>
            <family val="2"/>
          </rPr>
          <t>casselau:</t>
        </r>
        <r>
          <rPr>
            <sz val="9"/>
            <color indexed="81"/>
            <rFont val="Tahoma"/>
            <family val="2"/>
          </rPr>
          <t xml:space="preserve">
per Todd $114M</t>
        </r>
      </text>
    </comment>
    <comment ref="BE84" authorId="3">
      <text>
        <r>
          <rPr>
            <b/>
            <sz val="8"/>
            <color indexed="81"/>
            <rFont val="Tahoma"/>
            <family val="2"/>
          </rPr>
          <t>MB33100:</t>
        </r>
        <r>
          <rPr>
            <sz val="8"/>
            <color indexed="81"/>
            <rFont val="Tahoma"/>
            <family val="2"/>
          </rPr>
          <t xml:space="preserve">
8/06: expect decline in op mgn in 1H and slight increase in 2H… down for full year</t>
        </r>
      </text>
    </comment>
    <comment ref="CK84" authorId="7">
      <text>
        <r>
          <rPr>
            <b/>
            <sz val="9"/>
            <color indexed="81"/>
            <rFont val="Tahoma"/>
            <family val="2"/>
          </rPr>
          <t>10.7% ex Boston Proper</t>
        </r>
      </text>
    </comment>
    <comment ref="CS84" authorId="8">
      <text>
        <r>
          <rPr>
            <b/>
            <sz val="9"/>
            <color indexed="81"/>
            <rFont val="Tahoma"/>
            <family val="2"/>
          </rPr>
          <t>Cassel, Lauren (Research):</t>
        </r>
        <r>
          <rPr>
            <sz val="9"/>
            <color indexed="81"/>
            <rFont val="Tahoma"/>
            <family val="2"/>
          </rPr>
          <t xml:space="preserve">
Recognized $15M of savings in 1Q and expect $35M in savings over the next 3 quarters</t>
        </r>
      </text>
    </comment>
    <comment ref="CV84" authorId="20">
      <text>
        <r>
          <rPr>
            <b/>
            <sz val="9"/>
            <color indexed="81"/>
            <rFont val="Tahoma"/>
            <family val="2"/>
          </rPr>
          <t>De Courreges, Edouard (Research):</t>
        </r>
        <r>
          <rPr>
            <sz val="9"/>
            <color indexed="81"/>
            <rFont val="Tahoma"/>
            <family val="2"/>
          </rPr>
          <t xml:space="preserve">
2/27/18: CHS expects 1Q and 3Q EBIT to be slightly lower y/y</t>
        </r>
      </text>
    </comment>
    <comment ref="BE85" authorId="3">
      <text>
        <r>
          <rPr>
            <b/>
            <sz val="8"/>
            <color indexed="81"/>
            <rFont val="Tahoma"/>
            <family val="2"/>
          </rPr>
          <t>MB33100:</t>
        </r>
        <r>
          <rPr>
            <sz val="8"/>
            <color indexed="81"/>
            <rFont val="Tahoma"/>
            <family val="2"/>
          </rPr>
          <t xml:space="preserve">
8/06: expect decline in op mgn in 1H and slight increase in 2H… down for full year</t>
        </r>
      </text>
    </comment>
    <comment ref="CK85" authorId="7">
      <text>
        <r>
          <rPr>
            <b/>
            <sz val="9"/>
            <color indexed="81"/>
            <rFont val="Tahoma"/>
            <family val="2"/>
          </rPr>
          <t>9.3% ex Boston Proper</t>
        </r>
      </text>
    </comment>
    <comment ref="CS85" authorId="8">
      <text>
        <r>
          <rPr>
            <b/>
            <sz val="9"/>
            <color indexed="81"/>
            <rFont val="Tahoma"/>
            <family val="2"/>
          </rPr>
          <t>Cassel, Lauren (Research):</t>
        </r>
        <r>
          <rPr>
            <sz val="9"/>
            <color indexed="81"/>
            <rFont val="Tahoma"/>
            <family val="2"/>
          </rPr>
          <t xml:space="preserve">
Recognized $15M of savings in 1Q and expect $35M in savings over the next 3 quarters</t>
        </r>
      </text>
    </comment>
    <comment ref="BA86" authorId="4">
      <text>
        <r>
          <rPr>
            <b/>
            <sz val="8"/>
            <color indexed="81"/>
            <rFont val="Tahoma"/>
            <family val="2"/>
          </rPr>
          <t>mm98285:</t>
        </r>
        <r>
          <rPr>
            <sz val="8"/>
            <color indexed="81"/>
            <rFont val="Tahoma"/>
            <family val="2"/>
          </rPr>
          <t xml:space="preserve">
8/06: expect 17-19%</t>
        </r>
      </text>
    </comment>
    <comment ref="BE86" authorId="3">
      <text>
        <r>
          <rPr>
            <b/>
            <sz val="8"/>
            <color indexed="81"/>
            <rFont val="Tahoma"/>
            <family val="2"/>
          </rPr>
          <t>MB33100:</t>
        </r>
        <r>
          <rPr>
            <sz val="8"/>
            <color indexed="81"/>
            <rFont val="Tahoma"/>
            <family val="2"/>
          </rPr>
          <t xml:space="preserve">
8/06: expect decline in op mgn in 1H and slight increase in 2H… down for full year</t>
        </r>
      </text>
    </comment>
    <comment ref="CK86" authorId="13">
      <text>
        <r>
          <rPr>
            <b/>
            <sz val="9"/>
            <color indexed="81"/>
            <rFont val="Tahoma"/>
            <family val="2"/>
          </rPr>
          <t xml:space="preserve">4.5% ex Boston Proper
</t>
        </r>
        <r>
          <rPr>
            <sz val="9"/>
            <color indexed="81"/>
            <rFont val="Tahoma"/>
            <family val="2"/>
          </rPr>
          <t xml:space="preserve">
11/24/15: YTD operating margin would have been 100 bps higher ex-Boston Proper</t>
        </r>
      </text>
    </comment>
    <comment ref="CS86" authorId="8">
      <text>
        <r>
          <rPr>
            <b/>
            <sz val="9"/>
            <color indexed="81"/>
            <rFont val="Tahoma"/>
            <family val="2"/>
          </rPr>
          <t>Cassel, Lauren (Research):</t>
        </r>
        <r>
          <rPr>
            <sz val="9"/>
            <color indexed="81"/>
            <rFont val="Tahoma"/>
            <family val="2"/>
          </rPr>
          <t xml:space="preserve">
Recognized $15M of savings in 1Q and expect $35M in savings over the next 3 quarters</t>
        </r>
      </text>
    </comment>
    <comment ref="CV86" authorId="20">
      <text>
        <r>
          <rPr>
            <b/>
            <sz val="9"/>
            <color indexed="81"/>
            <rFont val="Tahoma"/>
            <family val="2"/>
          </rPr>
          <t>De Courreges, Edouard (Research):</t>
        </r>
        <r>
          <rPr>
            <sz val="9"/>
            <color indexed="81"/>
            <rFont val="Tahoma"/>
            <family val="2"/>
          </rPr>
          <t xml:space="preserve">
2/27/18: CHS expects 1Q and 3Q EBIT to be slightly lower y/y</t>
        </r>
      </text>
    </comment>
    <comment ref="BA87" authorId="4">
      <text>
        <r>
          <rPr>
            <b/>
            <sz val="8"/>
            <color indexed="81"/>
            <rFont val="Tahoma"/>
            <family val="2"/>
          </rPr>
          <t>mm98285:</t>
        </r>
        <r>
          <rPr>
            <sz val="8"/>
            <color indexed="81"/>
            <rFont val="Tahoma"/>
            <family val="2"/>
          </rPr>
          <t xml:space="preserve">
8/06: 14-16%</t>
        </r>
      </text>
    </comment>
    <comment ref="BE87" authorId="3">
      <text>
        <r>
          <rPr>
            <b/>
            <sz val="8"/>
            <color indexed="81"/>
            <rFont val="Tahoma"/>
            <family val="2"/>
          </rPr>
          <t>MB33100:</t>
        </r>
        <r>
          <rPr>
            <sz val="8"/>
            <color indexed="81"/>
            <rFont val="Tahoma"/>
            <family val="2"/>
          </rPr>
          <t xml:space="preserve">
8/06: expect decline in op mgn in 1H and slight increase in 2H… down for full year</t>
        </r>
      </text>
    </comment>
    <comment ref="CO87" authorId="8">
      <text>
        <r>
          <rPr>
            <b/>
            <sz val="9"/>
            <color indexed="81"/>
            <rFont val="Tahoma"/>
            <family val="2"/>
          </rPr>
          <t>Cassel, Lauren (Research):</t>
        </r>
        <r>
          <rPr>
            <sz val="9"/>
            <color indexed="81"/>
            <rFont val="Tahoma"/>
            <family val="2"/>
          </rPr>
          <t xml:space="preserve">
11/22/16: SG&amp;A savings from our cost reduction and operating efficiency initiative should roughly offset this gross margin pressure, resulting in an approximately flat operating margin rate compared to last year.</t>
        </r>
      </text>
    </comment>
    <comment ref="CS87" authorId="8">
      <text>
        <r>
          <rPr>
            <b/>
            <sz val="9"/>
            <color indexed="81"/>
            <rFont val="Tahoma"/>
            <family val="2"/>
          </rPr>
          <t>Cassel, Lauren (Research):</t>
        </r>
        <r>
          <rPr>
            <sz val="9"/>
            <color indexed="81"/>
            <rFont val="Tahoma"/>
            <family val="2"/>
          </rPr>
          <t xml:space="preserve">
Recognized $15M of savings in 1Q and expect $35M in savings over the next 3 quarters</t>
        </r>
      </text>
    </comment>
    <comment ref="BA88" authorId="4">
      <text>
        <r>
          <rPr>
            <b/>
            <sz val="8"/>
            <color indexed="81"/>
            <rFont val="Tahoma"/>
            <family val="2"/>
          </rPr>
          <t>mm98285:</t>
        </r>
        <r>
          <rPr>
            <sz val="8"/>
            <color indexed="81"/>
            <rFont val="Tahoma"/>
            <family val="2"/>
          </rPr>
          <t xml:space="preserve">
8/06: 17-19%</t>
        </r>
      </text>
    </comment>
    <comment ref="BE88" authorId="3">
      <text>
        <r>
          <rPr>
            <b/>
            <sz val="8"/>
            <color indexed="81"/>
            <rFont val="Tahoma"/>
            <family val="2"/>
          </rPr>
          <t>MB33100:</t>
        </r>
        <r>
          <rPr>
            <sz val="8"/>
            <color indexed="81"/>
            <rFont val="Tahoma"/>
            <family val="2"/>
          </rPr>
          <t xml:space="preserve">
8/06 expect 16-18% op mgn for 2007</t>
        </r>
      </text>
    </comment>
    <comment ref="BQ88" authorId="19">
      <text>
        <r>
          <rPr>
            <b/>
            <sz val="8"/>
            <color indexed="81"/>
            <rFont val="Tahoma"/>
            <family val="2"/>
          </rPr>
          <t>oc48540:</t>
        </r>
        <r>
          <rPr>
            <sz val="8"/>
            <color indexed="81"/>
            <rFont val="Tahoma"/>
            <family val="2"/>
          </rPr>
          <t xml:space="preserve">
2/24: ~12-13% range ties to $1 per share</t>
        </r>
      </text>
    </comment>
    <comment ref="BY88" authorId="7">
      <text>
        <r>
          <rPr>
            <b/>
            <sz val="8"/>
            <color indexed="81"/>
            <rFont val="Tahoma"/>
            <family val="2"/>
          </rPr>
          <t>casselau:</t>
        </r>
        <r>
          <rPr>
            <sz val="8"/>
            <color indexed="81"/>
            <rFont val="Tahoma"/>
            <family val="2"/>
          </rPr>
          <t xml:space="preserve">
8/22/12: "continue to march towards a mid-teens OM"</t>
        </r>
      </text>
    </comment>
    <comment ref="CO88" authorId="7">
      <text>
        <r>
          <rPr>
            <b/>
            <sz val="9"/>
            <color indexed="81"/>
            <rFont val="Tahoma"/>
            <family val="2"/>
          </rPr>
          <t>casselau:</t>
        </r>
        <r>
          <rPr>
            <sz val="9"/>
            <color indexed="81"/>
            <rFont val="Tahoma"/>
            <family val="2"/>
          </rPr>
          <t xml:space="preserve">
2/26/15: The absence of Boston Proper is expected to</t>
        </r>
        <r>
          <rPr>
            <b/>
            <sz val="9"/>
            <color indexed="81"/>
            <rFont val="Tahoma"/>
            <family val="2"/>
          </rPr>
          <t xml:space="preserve"> </t>
        </r>
        <r>
          <rPr>
            <sz val="9"/>
            <color indexed="81"/>
            <rFont val="Tahoma"/>
            <family val="2"/>
          </rPr>
          <t>benefit fiscal 2016 EBIT margin by ~100 bps and EPS by ~9c</t>
        </r>
        <r>
          <rPr>
            <b/>
            <sz val="9"/>
            <color indexed="81"/>
            <rFont val="Tahoma"/>
            <family val="2"/>
          </rPr>
          <t xml:space="preserve"> </t>
        </r>
      </text>
    </comment>
    <comment ref="CS88" authorId="8">
      <text>
        <r>
          <rPr>
            <b/>
            <sz val="9"/>
            <color indexed="81"/>
            <rFont val="Tahoma"/>
            <family val="2"/>
          </rPr>
          <t>Cassel, Lauren (Research):</t>
        </r>
        <r>
          <rPr>
            <sz val="9"/>
            <color indexed="81"/>
            <rFont val="Tahoma"/>
            <family val="2"/>
          </rPr>
          <t xml:space="preserve">
2/22/17: guidance: expect steady imprvement in EBIT margin that will advance its progress towards DD EBIT margin in 2019</t>
        </r>
      </text>
    </comment>
    <comment ref="BH94" authorId="4">
      <text>
        <r>
          <rPr>
            <b/>
            <sz val="8"/>
            <color indexed="81"/>
            <rFont val="Tahoma"/>
            <family val="2"/>
          </rPr>
          <t>mm98285:</t>
        </r>
        <r>
          <rPr>
            <sz val="8"/>
            <color indexed="81"/>
            <rFont val="Tahoma"/>
            <family val="2"/>
          </rPr>
          <t xml:space="preserve">
increase in interest income earned on note receivable recorded in connection to its land sale in 2007 offset by lower interest rates on other interest bearing investments</t>
        </r>
      </text>
    </comment>
    <comment ref="AV95" authorId="2">
      <text>
        <r>
          <rPr>
            <b/>
            <sz val="8"/>
            <color indexed="81"/>
            <rFont val="Tahoma"/>
            <family val="2"/>
          </rPr>
          <t>Morry Brown:</t>
        </r>
        <r>
          <rPr>
            <sz val="8"/>
            <color indexed="81"/>
            <rFont val="Tahoma"/>
            <family val="2"/>
          </rPr>
          <t xml:space="preserve">
1.5 est</t>
        </r>
      </text>
    </comment>
    <comment ref="BA95" authorId="4">
      <text>
        <r>
          <rPr>
            <b/>
            <sz val="8"/>
            <color indexed="81"/>
            <rFont val="Tahoma"/>
            <family val="2"/>
          </rPr>
          <t>mm98285:</t>
        </r>
        <r>
          <rPr>
            <sz val="8"/>
            <color indexed="81"/>
            <rFont val="Tahoma"/>
            <family val="2"/>
          </rPr>
          <t xml:space="preserve">
5/06: expect flattish</t>
        </r>
      </text>
    </comment>
    <comment ref="BH95" authorId="4">
      <text>
        <r>
          <rPr>
            <b/>
            <sz val="8"/>
            <color indexed="81"/>
            <rFont val="Tahoma"/>
            <family val="2"/>
          </rPr>
          <t>mm98285:</t>
        </r>
        <r>
          <rPr>
            <sz val="8"/>
            <color indexed="81"/>
            <rFont val="Tahoma"/>
            <family val="2"/>
          </rPr>
          <t xml:space="preserve">
Interest income decreased as % of sales by ~20 bps primarily due to a decrease in marketable securities and lower interest rates, offset, in part, by interest income from the $25.8mm note receivable</t>
        </r>
      </text>
    </comment>
    <comment ref="BL95" authorId="4">
      <text>
        <r>
          <rPr>
            <b/>
            <sz val="8"/>
            <color indexed="81"/>
            <rFont val="Tahoma"/>
            <family val="2"/>
          </rPr>
          <t>mm98285:</t>
        </r>
        <r>
          <rPr>
            <sz val="8"/>
            <color indexed="81"/>
            <rFont val="Tahoma"/>
            <family val="2"/>
          </rPr>
          <t xml:space="preserve">
5/09: expect $0.8 (according to Bob) expect interest income to decline YOY in same way it did in 1Q reflecting comparative drop in interest rates but not a lessening in invested cash. </t>
        </r>
      </text>
    </comment>
    <comment ref="AN96" authorId="22">
      <text>
        <r>
          <rPr>
            <b/>
            <sz val="10"/>
            <color indexed="81"/>
            <rFont val="Tahoma"/>
            <family val="2"/>
          </rPr>
          <t>kgreenbe:</t>
        </r>
        <r>
          <rPr>
            <sz val="10"/>
            <color indexed="81"/>
            <rFont val="Tahoma"/>
            <family val="2"/>
          </rPr>
          <t xml:space="preserve">
8/4/03 had 0.3m before pay for WHBM acquisition $90m. Lowered to 0.1m</t>
        </r>
      </text>
    </comment>
    <comment ref="AV96" authorId="2">
      <text>
        <r>
          <rPr>
            <b/>
            <sz val="8"/>
            <color indexed="81"/>
            <rFont val="Tahoma"/>
            <family val="2"/>
          </rPr>
          <t>Morry Brown:</t>
        </r>
        <r>
          <rPr>
            <sz val="8"/>
            <color indexed="81"/>
            <rFont val="Tahoma"/>
            <family val="2"/>
          </rPr>
          <t xml:space="preserve">
2.2</t>
        </r>
      </text>
    </comment>
    <comment ref="BA96" authorId="4">
      <text>
        <r>
          <rPr>
            <b/>
            <sz val="8"/>
            <color indexed="81"/>
            <rFont val="Tahoma"/>
            <family val="2"/>
          </rPr>
          <t>mm98285:</t>
        </r>
        <r>
          <rPr>
            <sz val="8"/>
            <color indexed="81"/>
            <rFont val="Tahoma"/>
            <family val="2"/>
          </rPr>
          <t xml:space="preserve">
5/06: expect small to moderate decline (due to repurch. of $100M of stock and $100 authorization for future repurch.)</t>
        </r>
      </text>
    </comment>
    <comment ref="BL96" authorId="4">
      <text>
        <r>
          <rPr>
            <b/>
            <sz val="8"/>
            <color indexed="81"/>
            <rFont val="Tahoma"/>
            <family val="2"/>
          </rPr>
          <t>mm98285:</t>
        </r>
        <r>
          <rPr>
            <sz val="8"/>
            <color indexed="81"/>
            <rFont val="Tahoma"/>
            <family val="2"/>
          </rPr>
          <t xml:space="preserve">
8/09: Net interest $800K-$1M</t>
        </r>
      </text>
    </comment>
    <comment ref="AN97" authorId="22">
      <text>
        <r>
          <rPr>
            <b/>
            <sz val="10"/>
            <color indexed="81"/>
            <rFont val="Tahoma"/>
            <family val="2"/>
          </rPr>
          <t>kgreenbe:</t>
        </r>
        <r>
          <rPr>
            <sz val="10"/>
            <color indexed="81"/>
            <rFont val="Tahoma"/>
            <family val="2"/>
          </rPr>
          <t xml:space="preserve">
8/4/03 had 0.3m before pay for WHBM acquisition $90m. Lowered to 0.1m</t>
        </r>
      </text>
    </comment>
    <comment ref="BA97" authorId="4">
      <text>
        <r>
          <rPr>
            <b/>
            <sz val="8"/>
            <color indexed="81"/>
            <rFont val="Tahoma"/>
            <family val="2"/>
          </rPr>
          <t>mm98285:</t>
        </r>
        <r>
          <rPr>
            <sz val="8"/>
            <color indexed="81"/>
            <rFont val="Tahoma"/>
            <family val="2"/>
          </rPr>
          <t xml:space="preserve">
5/06: expect small to moderate decline (due to repurch. of $100M of stock and $100 authorization for future repurch.)</t>
        </r>
      </text>
    </comment>
    <comment ref="BL97" authorId="18">
      <text>
        <r>
          <rPr>
            <b/>
            <sz val="8"/>
            <color indexed="81"/>
            <rFont val="Tahoma"/>
            <family val="2"/>
          </rPr>
          <t>ol36766:</t>
        </r>
        <r>
          <rPr>
            <sz val="8"/>
            <color indexed="81"/>
            <rFont val="Tahoma"/>
            <family val="2"/>
          </rPr>
          <t xml:space="preserve">
11/18: The company expects declines in interest income (vs. LY)
and a 38% tax rate.</t>
        </r>
      </text>
    </comment>
    <comment ref="BP98" authorId="19">
      <text>
        <r>
          <rPr>
            <b/>
            <sz val="8"/>
            <color indexed="81"/>
            <rFont val="Tahoma"/>
            <family val="2"/>
          </rPr>
          <t>oc48540:</t>
        </r>
        <r>
          <rPr>
            <sz val="8"/>
            <color indexed="81"/>
            <rFont val="Tahoma"/>
            <family val="2"/>
          </rPr>
          <t xml:space="preserve">
2/24/10:
 interest income will be flat year over year reflecting the continued pressure of interest rates not lessening of invested cash.  </t>
        </r>
      </text>
    </comment>
    <comment ref="BM114" authorId="4">
      <text>
        <r>
          <rPr>
            <b/>
            <sz val="8"/>
            <color indexed="81"/>
            <rFont val="Tahoma"/>
            <family val="2"/>
          </rPr>
          <t>mm98285:</t>
        </r>
        <r>
          <rPr>
            <sz val="8"/>
            <color indexed="81"/>
            <rFont val="Tahoma"/>
            <family val="2"/>
          </rPr>
          <t xml:space="preserve">
pay 38.5% tax on operating income + $0.5mm interest income (other part of interest income in non taxable)</t>
        </r>
      </text>
    </comment>
    <comment ref="BU114" authorId="5">
      <text>
        <r>
          <rPr>
            <b/>
            <sz val="8"/>
            <color indexed="81"/>
            <rFont val="Tahoma"/>
            <family val="2"/>
          </rPr>
          <t>lauraro:</t>
        </r>
        <r>
          <rPr>
            <sz val="8"/>
            <color indexed="81"/>
            <rFont val="Tahoma"/>
            <family val="2"/>
          </rPr>
          <t xml:space="preserve">
3/1/11: Over the course of the last five years our tax rate's been at 37% or below that. So might want to consider something a little bit less than 38%.
2/11 Exp 38%</t>
        </r>
      </text>
    </comment>
    <comment ref="CK114" authorId="7">
      <text>
        <r>
          <rPr>
            <b/>
            <sz val="9"/>
            <color indexed="81"/>
            <rFont val="Tahoma"/>
            <family val="2"/>
          </rPr>
          <t>casselau:</t>
        </r>
        <r>
          <rPr>
            <sz val="9"/>
            <color indexed="81"/>
            <rFont val="Tahoma"/>
            <family val="2"/>
          </rPr>
          <t xml:space="preserve">
2/25/16: Assumed to get to the adjusted Boston Proper EPS numbers</t>
        </r>
      </text>
    </comment>
    <comment ref="CS114" authorId="8">
      <text>
        <r>
          <rPr>
            <b/>
            <sz val="9"/>
            <color indexed="81"/>
            <rFont val="Tahoma"/>
            <family val="2"/>
          </rPr>
          <t>Cassel, Lauren (Research):</t>
        </r>
        <r>
          <rPr>
            <sz val="9"/>
            <color indexed="81"/>
            <rFont val="Tahoma"/>
            <family val="2"/>
          </rPr>
          <t xml:space="preserve">
3/24/17: This 30 basis point increase primarily reflects the negative impact of adopting the new employee share-based payment accounting standard (the "Standard"). Excluding the 50 basis point increase related to the Standard, the effective tax rate for the first quarter of 2017 would have been 37.7% compared to 37.9% in last year's first quarter.</t>
        </r>
      </text>
    </comment>
    <comment ref="CW114" authorId="20">
      <text>
        <r>
          <rPr>
            <b/>
            <sz val="9"/>
            <color indexed="81"/>
            <rFont val="Tahoma"/>
            <family val="2"/>
          </rPr>
          <t>De Courreges, Edouard (Research):</t>
        </r>
        <r>
          <rPr>
            <sz val="9"/>
            <color indexed="81"/>
            <rFont val="Tahoma"/>
            <family val="2"/>
          </rPr>
          <t>Assume 14% benefit from new tax bill (35-21) less 4% from loss of tax deductions</t>
        </r>
      </text>
    </comment>
    <comment ref="AZ115" authorId="4">
      <text>
        <r>
          <rPr>
            <b/>
            <sz val="8"/>
            <color indexed="81"/>
            <rFont val="Tahoma"/>
            <family val="2"/>
          </rPr>
          <t>mm98285:</t>
        </r>
        <r>
          <rPr>
            <sz val="8"/>
            <color indexed="81"/>
            <rFont val="Tahoma"/>
            <family val="2"/>
          </rPr>
          <t xml:space="preserve">
31.084 prior to restate</t>
        </r>
      </text>
    </comment>
    <comment ref="BA115" authorId="4">
      <text>
        <r>
          <rPr>
            <b/>
            <sz val="8"/>
            <color indexed="81"/>
            <rFont val="Tahoma"/>
            <family val="2"/>
          </rPr>
          <t>mm98285:</t>
        </r>
        <r>
          <rPr>
            <sz val="8"/>
            <color indexed="81"/>
            <rFont val="Tahoma"/>
            <family val="2"/>
          </rPr>
          <t xml:space="preserve">
5/06: expect to be relatively flattish</t>
        </r>
      </text>
    </comment>
    <comment ref="BM115" authorId="4">
      <text>
        <r>
          <rPr>
            <b/>
            <sz val="8"/>
            <color indexed="81"/>
            <rFont val="Tahoma"/>
            <family val="2"/>
          </rPr>
          <t>mm98285:</t>
        </r>
        <r>
          <rPr>
            <sz val="8"/>
            <color indexed="81"/>
            <rFont val="Tahoma"/>
            <family val="2"/>
          </rPr>
          <t xml:space="preserve">
5/09: expect tax rate of 36-38% range
pay 38.5% tax on operating income + $0.5mm interest income (other part of interest income in non taxable)</t>
        </r>
      </text>
    </comment>
    <comment ref="BQ115" authorId="11">
      <text>
        <r>
          <rPr>
            <b/>
            <sz val="8"/>
            <color indexed="81"/>
            <rFont val="Tahoma"/>
            <family val="2"/>
          </rPr>
          <t>marchant:</t>
        </r>
        <r>
          <rPr>
            <sz val="8"/>
            <color indexed="81"/>
            <rFont val="Tahoma"/>
            <family val="2"/>
          </rPr>
          <t xml:space="preserve">
favorable state settlements and state refund claims</t>
        </r>
      </text>
    </comment>
    <comment ref="BU115" authorId="5">
      <text>
        <r>
          <rPr>
            <b/>
            <sz val="8"/>
            <color indexed="81"/>
            <rFont val="Tahoma"/>
            <family val="2"/>
          </rPr>
          <t xml:space="preserve">5/18/11: </t>
        </r>
        <r>
          <rPr>
            <sz val="8"/>
            <color indexed="81"/>
            <rFont val="Tahoma"/>
            <family val="2"/>
          </rPr>
          <t>Bw 37% and 38%</t>
        </r>
        <r>
          <rPr>
            <sz val="8"/>
            <color indexed="81"/>
            <rFont val="Tahoma"/>
            <family val="2"/>
          </rPr>
          <t xml:space="preserve">
3/1/11: Over the course of the last five years our tax rate's been at 37% or below that. So might want to consider something a little bit less than 38%.
2/11 Exp 38%</t>
        </r>
      </text>
    </comment>
    <comment ref="BY115" authorId="5">
      <text>
        <r>
          <rPr>
            <b/>
            <sz val="8"/>
            <color indexed="81"/>
            <rFont val="Tahoma"/>
            <family val="2"/>
          </rPr>
          <t>lauraro:</t>
        </r>
        <r>
          <rPr>
            <sz val="8"/>
            <color indexed="81"/>
            <rFont val="Tahoma"/>
            <family val="2"/>
          </rPr>
          <t xml:space="preserve">
</t>
        </r>
        <r>
          <rPr>
            <b/>
            <sz val="8"/>
            <color indexed="81"/>
            <rFont val="Tahoma"/>
            <family val="2"/>
          </rPr>
          <t xml:space="preserve">5/16/12: </t>
        </r>
        <r>
          <rPr>
            <sz val="8"/>
            <color indexed="81"/>
            <rFont val="Tahoma"/>
            <family val="2"/>
          </rPr>
          <t>our second-quarter sales growth, gross margin rate and expense leverage should be directionally consistent with our full-year planning assumptions</t>
        </r>
      </text>
    </comment>
    <comment ref="CG115" authorId="7">
      <text>
        <r>
          <rPr>
            <b/>
            <sz val="9"/>
            <color indexed="81"/>
            <rFont val="Tahoma"/>
            <family val="2"/>
          </rPr>
          <t>casselau:</t>
        </r>
        <r>
          <rPr>
            <sz val="9"/>
            <color indexed="81"/>
            <rFont val="Tahoma"/>
            <family val="2"/>
          </rPr>
          <t xml:space="preserve">
primarily reflects favorable state tax settlements</t>
        </r>
      </text>
    </comment>
    <comment ref="CK115" authorId="7">
      <text>
        <r>
          <rPr>
            <b/>
            <sz val="9"/>
            <color indexed="81"/>
            <rFont val="Tahoma"/>
            <family val="2"/>
          </rPr>
          <t>casselau:</t>
        </r>
        <r>
          <rPr>
            <sz val="9"/>
            <color indexed="81"/>
            <rFont val="Tahoma"/>
            <family val="2"/>
          </rPr>
          <t xml:space="preserve">
2/25/16: Assumed to get to the adjusted Boston Proper EPS numbers</t>
        </r>
      </text>
    </comment>
    <comment ref="CS115" authorId="8">
      <text>
        <r>
          <rPr>
            <b/>
            <sz val="9"/>
            <color indexed="81"/>
            <rFont val="Tahoma"/>
            <family val="2"/>
          </rPr>
          <t>Cassel, Lauren (Research):
8/30/17: The reduction in effective tax rate of 290 basis points primarily related to favorable federal and state settlements.</t>
        </r>
        <r>
          <rPr>
            <sz val="9"/>
            <color indexed="81"/>
            <rFont val="Tahoma"/>
            <family val="2"/>
          </rPr>
          <t xml:space="preserve">
38% across all quarters per Todd</t>
        </r>
      </text>
    </comment>
    <comment ref="AZ116" authorId="4">
      <text>
        <r>
          <rPr>
            <b/>
            <sz val="8"/>
            <color indexed="81"/>
            <rFont val="Tahoma"/>
            <family val="2"/>
          </rPr>
          <t>mm98285:</t>
        </r>
        <r>
          <rPr>
            <sz val="8"/>
            <color indexed="81"/>
            <rFont val="Tahoma"/>
            <family val="2"/>
          </rPr>
          <t xml:space="preserve">
$24.332 prior to restatement</t>
        </r>
      </text>
    </comment>
    <comment ref="BA116" authorId="4">
      <text>
        <r>
          <rPr>
            <b/>
            <sz val="8"/>
            <color indexed="81"/>
            <rFont val="Tahoma"/>
            <family val="2"/>
          </rPr>
          <t>mm98285:</t>
        </r>
        <r>
          <rPr>
            <sz val="8"/>
            <color indexed="81"/>
            <rFont val="Tahoma"/>
            <family val="2"/>
          </rPr>
          <t xml:space="preserve">
5/06: expect to be relatively flattish</t>
        </r>
      </text>
    </comment>
    <comment ref="BD116" authorId="4">
      <text>
        <r>
          <rPr>
            <b/>
            <sz val="8"/>
            <color indexed="81"/>
            <rFont val="Tahoma"/>
            <family val="2"/>
          </rPr>
          <t>mm98285:</t>
        </r>
        <r>
          <rPr>
            <sz val="8"/>
            <color indexed="81"/>
            <rFont val="Tahoma"/>
            <family val="2"/>
          </rPr>
          <t xml:space="preserve">
12/07: add back tax on $6.833 gain on sale of Lucy (to be included in FC)</t>
        </r>
      </text>
    </comment>
    <comment ref="BM116" authorId="4">
      <text>
        <r>
          <rPr>
            <b/>
            <sz val="8"/>
            <color indexed="81"/>
            <rFont val="Tahoma"/>
            <family val="2"/>
          </rPr>
          <t>mm98285:</t>
        </r>
        <r>
          <rPr>
            <sz val="8"/>
            <color indexed="81"/>
            <rFont val="Tahoma"/>
            <family val="2"/>
          </rPr>
          <t xml:space="preserve">
5/09: expect tax rate of 36-38% range
pay 38.5% tax on operating income + $0.5mm interest income (other part of interest income in non taxable)</t>
        </r>
      </text>
    </comment>
    <comment ref="BQ116" authorId="5">
      <text>
        <r>
          <rPr>
            <b/>
            <sz val="8"/>
            <color indexed="81"/>
            <rFont val="Tahoma"/>
            <family val="2"/>
          </rPr>
          <t>lauraro:</t>
        </r>
        <r>
          <rPr>
            <sz val="8"/>
            <color indexed="81"/>
            <rFont val="Tahoma"/>
            <family val="2"/>
          </rPr>
          <t xml:space="preserve">
11/10: Our lower effective
tax rate in the current quarter came from a favorable state tax audit settlement which should not be expected or projected in
the future results.</t>
        </r>
      </text>
    </comment>
    <comment ref="BT116" authorId="5">
      <text>
        <r>
          <rPr>
            <b/>
            <sz val="8"/>
            <color indexed="81"/>
            <rFont val="Tahoma"/>
            <family val="2"/>
          </rPr>
          <t>lauraro:</t>
        </r>
        <r>
          <rPr>
            <sz val="8"/>
            <color indexed="81"/>
            <rFont val="Tahoma"/>
            <family val="2"/>
          </rPr>
          <t xml:space="preserve">
Excluding the impact of certain non-deductible Boston Proper acquisition and integration costs the 3Q 11 tax rate would have been 36.7%</t>
        </r>
      </text>
    </comment>
    <comment ref="BU116" authorId="5">
      <text>
        <r>
          <rPr>
            <b/>
            <sz val="8"/>
            <color indexed="81"/>
            <rFont val="Tahoma"/>
            <family val="2"/>
          </rPr>
          <t xml:space="preserve">8/17/11: </t>
        </r>
        <r>
          <rPr>
            <sz val="8"/>
            <color indexed="81"/>
            <rFont val="Tahoma"/>
            <family val="2"/>
          </rPr>
          <t>Bw 37% and 38% for the year</t>
        </r>
        <r>
          <rPr>
            <b/>
            <sz val="8"/>
            <color indexed="81"/>
            <rFont val="Tahoma"/>
            <family val="2"/>
          </rPr>
          <t xml:space="preserve">
5/18/11: </t>
        </r>
        <r>
          <rPr>
            <sz val="8"/>
            <color indexed="81"/>
            <rFont val="Tahoma"/>
            <family val="2"/>
          </rPr>
          <t>Bw 37% and 38%</t>
        </r>
        <r>
          <rPr>
            <sz val="8"/>
            <color indexed="81"/>
            <rFont val="Tahoma"/>
            <family val="2"/>
          </rPr>
          <t xml:space="preserve">
3/1/11: Over the course of the last five years our tax rate's been at 37% or below that. So might want to consider something a little bit less than 38%.
2/11 Exp 38%</t>
        </r>
      </text>
    </comment>
    <comment ref="CK116" authorId="7">
      <text>
        <r>
          <rPr>
            <b/>
            <sz val="9"/>
            <color indexed="81"/>
            <rFont val="Tahoma"/>
            <family val="2"/>
          </rPr>
          <t>casselau:</t>
        </r>
        <r>
          <rPr>
            <sz val="9"/>
            <color indexed="81"/>
            <rFont val="Tahoma"/>
            <family val="2"/>
          </rPr>
          <t xml:space="preserve">
11/24/15: Excluding the net tax benefits related to the plan to exit Boston Proper and the tax impact of restructuring and strategic charges, the 2015 third quarter effective tax rate would have been 37.0% compared to an effective tax rate of 37.4% for the same period last year.</t>
        </r>
      </text>
    </comment>
    <comment ref="CO116" authorId="8">
      <text>
        <r>
          <rPr>
            <b/>
            <sz val="9"/>
            <color indexed="81"/>
            <rFont val="Tahoma"/>
            <family val="2"/>
          </rPr>
          <t>Cassel, Lauren (Research):</t>
        </r>
        <r>
          <rPr>
            <sz val="9"/>
            <color indexed="81"/>
            <rFont val="Tahoma"/>
            <family val="2"/>
          </rPr>
          <t xml:space="preserve">
11/21/16: For the third quarter, the effective tax rate of 22.9% reflected an additional tax benefit on the disposition of Boston Proper's stock and the recognition of additional income tax credits. Excluding the additional tax benefit, the effective tax rate for the third quarter of 2016 would have been 36.2% compared to 37.0% in the same period last year.</t>
        </r>
      </text>
    </comment>
    <comment ref="CS116" authorId="8">
      <text>
        <r>
          <rPr>
            <b/>
            <sz val="9"/>
            <color indexed="81"/>
            <rFont val="Tahoma"/>
            <family val="2"/>
          </rPr>
          <t>Cassel, Lauren (Research):
11/21/17: The third quarter effective tax rate of 32.9% includes a 430 basis point tax benefit related to income tax credits.</t>
        </r>
        <r>
          <rPr>
            <sz val="9"/>
            <color indexed="81"/>
            <rFont val="Tahoma"/>
            <family val="2"/>
          </rPr>
          <t xml:space="preserve">
38% across all quarters per Todd</t>
        </r>
      </text>
    </comment>
    <comment ref="BA117" authorId="4">
      <text>
        <r>
          <rPr>
            <b/>
            <sz val="8"/>
            <color indexed="81"/>
            <rFont val="Tahoma"/>
            <family val="2"/>
          </rPr>
          <t>mm98285:</t>
        </r>
        <r>
          <rPr>
            <sz val="8"/>
            <color indexed="81"/>
            <rFont val="Tahoma"/>
            <family val="2"/>
          </rPr>
          <t xml:space="preserve">
5/06: expect to be relatively flattish</t>
        </r>
      </text>
    </comment>
    <comment ref="BM117" authorId="4">
      <text>
        <r>
          <rPr>
            <sz val="8"/>
            <color indexed="81"/>
            <rFont val="Tahoma"/>
            <family val="2"/>
          </rPr>
          <t>11/18: The company expects declines in interest income (vs. LY)
and a 38% tax rate.</t>
        </r>
        <r>
          <rPr>
            <b/>
            <sz val="8"/>
            <color indexed="81"/>
            <rFont val="Tahoma"/>
            <family val="2"/>
          </rPr>
          <t xml:space="preserve">
mm98285:</t>
        </r>
        <r>
          <rPr>
            <sz val="8"/>
            <color indexed="81"/>
            <rFont val="Tahoma"/>
            <family val="2"/>
          </rPr>
          <t xml:space="preserve">
pay 38.5% tax on operating income + $0.5mm interest income (other part of interest income in non taxable)</t>
        </r>
      </text>
    </comment>
    <comment ref="BQ117" authorId="5">
      <text>
        <r>
          <rPr>
            <b/>
            <sz val="8"/>
            <color indexed="81"/>
            <rFont val="Tahoma"/>
            <family val="2"/>
          </rPr>
          <t>lauraro:</t>
        </r>
        <r>
          <rPr>
            <sz val="8"/>
            <color indexed="81"/>
            <rFont val="Tahoma"/>
            <family val="2"/>
          </rPr>
          <t xml:space="preserve">
11/10: tax rate for the quarter to be in the vicinity of about 37.5%</t>
        </r>
      </text>
    </comment>
    <comment ref="BT117" authorId="5">
      <text>
        <r>
          <rPr>
            <b/>
            <sz val="8"/>
            <color indexed="81"/>
            <rFont val="Tahoma"/>
            <family val="2"/>
          </rPr>
          <t>lauraro:</t>
        </r>
        <r>
          <rPr>
            <sz val="8"/>
            <color indexed="81"/>
            <rFont val="Tahoma"/>
            <family val="2"/>
          </rPr>
          <t xml:space="preserve">
Excluding tax impact of acquisition costs</t>
        </r>
      </text>
    </comment>
    <comment ref="BU117" authorId="5">
      <text>
        <r>
          <rPr>
            <b/>
            <sz val="8"/>
            <color indexed="81"/>
            <rFont val="Tahoma"/>
            <family val="2"/>
          </rPr>
          <t xml:space="preserve">11/22/11: </t>
        </r>
        <r>
          <rPr>
            <sz val="8"/>
            <color indexed="81"/>
            <rFont val="Tahoma"/>
            <family val="2"/>
          </rPr>
          <t>Exp 37.5%</t>
        </r>
        <r>
          <rPr>
            <b/>
            <sz val="8"/>
            <color indexed="81"/>
            <rFont val="Tahoma"/>
            <family val="2"/>
          </rPr>
          <t xml:space="preserve">
5/18/11: </t>
        </r>
        <r>
          <rPr>
            <sz val="8"/>
            <color indexed="81"/>
            <rFont val="Tahoma"/>
            <family val="2"/>
          </rPr>
          <t>Bw 37% and 38%</t>
        </r>
        <r>
          <rPr>
            <sz val="8"/>
            <color indexed="81"/>
            <rFont val="Tahoma"/>
            <family val="2"/>
          </rPr>
          <t xml:space="preserve">
3/1/11: Over the course of the last five years our tax rate's been at 37% or below that. So might want to consider something a little bit less than 38%.
2/11 Exp 38%</t>
        </r>
      </text>
    </comment>
    <comment ref="CK117" authorId="7">
      <text>
        <r>
          <rPr>
            <b/>
            <sz val="9"/>
            <color indexed="81"/>
            <rFont val="Tahoma"/>
            <family val="2"/>
          </rPr>
          <t>casselau:</t>
        </r>
        <r>
          <rPr>
            <sz val="9"/>
            <color indexed="81"/>
            <rFont val="Tahoma"/>
            <family val="2"/>
          </rPr>
          <t xml:space="preserve">
effective tax rate 14.8%</t>
        </r>
      </text>
    </comment>
    <comment ref="CS117" authorId="8">
      <text>
        <r>
          <rPr>
            <b/>
            <sz val="9"/>
            <color indexed="81"/>
            <rFont val="Tahoma"/>
            <family val="2"/>
          </rPr>
          <t>Cassel, Lauren (Research):</t>
        </r>
        <r>
          <rPr>
            <sz val="9"/>
            <color indexed="81"/>
            <rFont val="Tahoma"/>
            <family val="2"/>
          </rPr>
          <t xml:space="preserve">
2/27/18: The fourth quarter effective tax rate was 4.4% which included an approximate $10 million benefit resulting from the impact of U.S. tax reform. Excluding the impact of U.S. tax reform, the fourth quarter effective tax rate was 37.7% compared to 35.4% for last year's fourth quarter.
1/8/18:lower by 200 bps to account for new tax reform rates
38% across all quarters per Todd</t>
        </r>
      </text>
    </comment>
    <comment ref="BY118" authorId="5">
      <text>
        <r>
          <rPr>
            <b/>
            <sz val="8"/>
            <color indexed="81"/>
            <rFont val="Tahoma"/>
            <family val="2"/>
          </rPr>
          <t>11/20: reit 38%
8/22/12:</t>
        </r>
        <r>
          <rPr>
            <sz val="8"/>
            <color indexed="81"/>
            <rFont val="Tahoma"/>
            <family val="2"/>
          </rPr>
          <t xml:space="preserve"> reit. 38%</t>
        </r>
        <r>
          <rPr>
            <b/>
            <sz val="8"/>
            <color indexed="81"/>
            <rFont val="Tahoma"/>
            <family val="2"/>
          </rPr>
          <t xml:space="preserve">
lauraro:</t>
        </r>
        <r>
          <rPr>
            <sz val="8"/>
            <color indexed="81"/>
            <rFont val="Tahoma"/>
            <family val="2"/>
          </rPr>
          <t xml:space="preserve">
</t>
        </r>
        <r>
          <rPr>
            <b/>
            <sz val="8"/>
            <color indexed="81"/>
            <rFont val="Tahoma"/>
            <family val="2"/>
          </rPr>
          <t xml:space="preserve">5/16/12: </t>
        </r>
        <r>
          <rPr>
            <sz val="8"/>
            <color indexed="81"/>
            <rFont val="Tahoma"/>
            <family val="2"/>
          </rPr>
          <t>38%</t>
        </r>
        <r>
          <rPr>
            <sz val="8"/>
            <color indexed="81"/>
            <rFont val="Tahoma"/>
            <family val="2"/>
          </rPr>
          <t xml:space="preserve">
</t>
        </r>
        <r>
          <rPr>
            <b/>
            <sz val="8"/>
            <color indexed="81"/>
            <rFont val="Tahoma"/>
            <family val="2"/>
          </rPr>
          <t xml:space="preserve">2/22/12: </t>
        </r>
        <r>
          <rPr>
            <sz val="8"/>
            <color indexed="81"/>
            <rFont val="Tahoma"/>
            <family val="2"/>
          </rPr>
          <t>~38%</t>
        </r>
      </text>
    </comment>
    <comment ref="CK118" authorId="7">
      <text>
        <r>
          <rPr>
            <b/>
            <sz val="9"/>
            <color indexed="81"/>
            <rFont val="Tahoma"/>
            <family val="2"/>
          </rPr>
          <t>casselau:</t>
        </r>
        <r>
          <rPr>
            <sz val="9"/>
            <color indexed="81"/>
            <rFont val="Tahoma"/>
            <family val="2"/>
          </rPr>
          <t xml:space="preserve">
non-GAAP effective tax rate 36.8%</t>
        </r>
      </text>
    </comment>
    <comment ref="CO118" authorId="7">
      <text>
        <r>
          <rPr>
            <b/>
            <sz val="9"/>
            <color indexed="81"/>
            <rFont val="Tahoma"/>
            <family val="2"/>
          </rPr>
          <t>casselau:</t>
        </r>
        <r>
          <rPr>
            <sz val="9"/>
            <color indexed="81"/>
            <rFont val="Tahoma"/>
            <family val="2"/>
          </rPr>
          <t xml:space="preserve">
2/25/16: per Todd 38%</t>
        </r>
      </text>
    </comment>
    <comment ref="BP122" authorId="5">
      <text>
        <r>
          <rPr>
            <b/>
            <sz val="8"/>
            <color indexed="81"/>
            <rFont val="Tahoma"/>
            <family val="2"/>
          </rPr>
          <t>lauraro:</t>
        </r>
        <r>
          <rPr>
            <sz val="8"/>
            <color indexed="81"/>
            <rFont val="Tahoma"/>
            <family val="2"/>
          </rPr>
          <t xml:space="preserve">
- CHS deducts the value of dividends paid on unvested restricted stock (employee equity comp) from Net Income as part of our “diluted” EPS calc.  
- Usually doesn’t impact anything, but it caused a rounding issue for 2011. 
- Reconciliations in our 10-Q’s &amp; 10-K's listed under the Earnings Per Share Footnote</t>
        </r>
      </text>
    </comment>
    <comment ref="BT122" authorId="5">
      <text>
        <r>
          <rPr>
            <b/>
            <sz val="8"/>
            <color indexed="81"/>
            <rFont val="Tahoma"/>
            <family val="2"/>
          </rPr>
          <t>lauraro:</t>
        </r>
        <r>
          <rPr>
            <sz val="8"/>
            <color indexed="81"/>
            <rFont val="Tahoma"/>
            <family val="2"/>
          </rPr>
          <t xml:space="preserve">
- CHS deducts the value of dividends paid on unvested restricted stock (employee equity comp) from Net Income as part of our “diluted” EPS calc.  
- Usually doesn’t impact anything, but it caused a rounding issue for 2011. 
- Reconciliations in our 10-Q’s &amp; 10-K's listed under the Earnings Per Share Footnote</t>
        </r>
      </text>
    </comment>
    <comment ref="BX132" authorId="5">
      <text>
        <r>
          <rPr>
            <b/>
            <sz val="8"/>
            <color indexed="81"/>
            <rFont val="Tahoma"/>
            <family val="2"/>
          </rPr>
          <t>lauraro:</t>
        </r>
        <r>
          <rPr>
            <sz val="8"/>
            <color indexed="81"/>
            <rFont val="Tahoma"/>
            <family val="2"/>
          </rPr>
          <t xml:space="preserve">
-.933 is net income and dividends declared allocated to unvested restricted stock per the "two-class" method</t>
        </r>
      </text>
    </comment>
    <comment ref="CR134" authorId="8">
      <text>
        <r>
          <rPr>
            <b/>
            <sz val="9"/>
            <color indexed="81"/>
            <rFont val="Tahoma"/>
            <family val="2"/>
          </rPr>
          <t>Cassel, Lauren (Research):</t>
        </r>
        <r>
          <rPr>
            <sz val="9"/>
            <color indexed="81"/>
            <rFont val="Tahoma"/>
            <family val="2"/>
          </rPr>
          <t xml:space="preserve">
11/21/17: hurricanes negatively impacted EPS by $5M after-tax</t>
        </r>
      </text>
    </comment>
    <comment ref="CF135" authorId="7">
      <text>
        <r>
          <rPr>
            <b/>
            <sz val="9"/>
            <color indexed="81"/>
            <rFont val="Tahoma"/>
            <family val="2"/>
          </rPr>
          <t>casselau:</t>
        </r>
        <r>
          <rPr>
            <sz val="9"/>
            <color indexed="81"/>
            <rFont val="Tahoma"/>
            <family val="2"/>
          </rPr>
          <t xml:space="preserve">
2/25/16: ex BP $10.9M</t>
        </r>
      </text>
    </comment>
    <comment ref="BD141" authorId="4">
      <text>
        <r>
          <rPr>
            <b/>
            <sz val="8"/>
            <color indexed="81"/>
            <rFont val="Tahoma"/>
            <family val="2"/>
          </rPr>
          <t>mm98285:</t>
        </r>
        <r>
          <rPr>
            <sz val="8"/>
            <color indexed="81"/>
            <rFont val="Tahoma"/>
            <family val="2"/>
          </rPr>
          <t xml:space="preserve">
dicontinued ops (Fitigues)</t>
        </r>
      </text>
    </comment>
    <comment ref="BL141" authorId="4">
      <text>
        <r>
          <rPr>
            <b/>
            <sz val="8"/>
            <color indexed="81"/>
            <rFont val="Tahoma"/>
            <family val="2"/>
          </rPr>
          <t>mm98285:</t>
        </r>
        <r>
          <rPr>
            <sz val="8"/>
            <color indexed="81"/>
            <rFont val="Tahoma"/>
            <family val="2"/>
          </rPr>
          <t xml:space="preserve">
$8.058 pre-tax non cash impairment charge related to write off of development costs for software applications that reflect CHS's recent decision to dfeplah alaternative inventory planning and allocation software</t>
        </r>
      </text>
    </comment>
    <comment ref="BD142" authorId="4">
      <text>
        <r>
          <rPr>
            <b/>
            <sz val="8"/>
            <color indexed="81"/>
            <rFont val="Tahoma"/>
            <family val="2"/>
          </rPr>
          <t>mm98285:</t>
        </r>
        <r>
          <rPr>
            <sz val="8"/>
            <color indexed="81"/>
            <rFont val="Tahoma"/>
            <family val="2"/>
          </rPr>
          <t xml:space="preserve">
dicontinued ops (Fitigues)</t>
        </r>
      </text>
    </comment>
    <comment ref="BL142" authorId="4">
      <text>
        <r>
          <rPr>
            <b/>
            <sz val="8"/>
            <color indexed="81"/>
            <rFont val="Tahoma"/>
            <family val="2"/>
          </rPr>
          <t>mm98285:</t>
        </r>
        <r>
          <rPr>
            <sz val="8"/>
            <color indexed="81"/>
            <rFont val="Tahoma"/>
            <family val="2"/>
          </rPr>
          <t xml:space="preserve">
8/09: impairment charges ($4.986 before tax, $3.1 after tax) = $3.8M or $2.4M net of tax related to impaired portion of note receivable &amp; $1.2M or $0.7M net of tax related to underperforming stores</t>
        </r>
      </text>
    </comment>
    <comment ref="BD143" authorId="4">
      <text>
        <r>
          <rPr>
            <b/>
            <sz val="8"/>
            <color indexed="81"/>
            <rFont val="Tahoma"/>
            <family val="2"/>
          </rPr>
          <t>mm98285:</t>
        </r>
        <r>
          <rPr>
            <sz val="8"/>
            <color indexed="81"/>
            <rFont val="Tahoma"/>
            <family val="2"/>
          </rPr>
          <t xml:space="preserve">
12/07: includes $6.833 for gain on sale of Lucy</t>
        </r>
      </text>
    </comment>
    <comment ref="BH144" authorId="4">
      <text>
        <r>
          <rPr>
            <b/>
            <sz val="8"/>
            <color indexed="81"/>
            <rFont val="Tahoma"/>
            <family val="2"/>
          </rPr>
          <t>mm98285:</t>
        </r>
        <r>
          <rPr>
            <sz val="8"/>
            <color indexed="81"/>
            <rFont val="Tahoma"/>
            <family val="2"/>
          </rPr>
          <t xml:space="preserve">
$9.1mm non-cash impairment charges, net of tax benefit, or $0.05 per share, related to the write-off of fixed assets at certain underperforming stores; and
$6.6mm after-tax severance and workforce reduction costs or $0.04 per share, related to the previously disclosed cost reduction initiatives implemented by the Company and obligations under the former CEO's separation agreement.</t>
        </r>
      </text>
    </comment>
    <comment ref="AJ151" authorId="14">
      <text>
        <r>
          <rPr>
            <b/>
            <sz val="8"/>
            <color indexed="81"/>
            <rFont val="Tahoma"/>
            <family val="2"/>
          </rPr>
          <t>dong2:</t>
        </r>
        <r>
          <rPr>
            <sz val="8"/>
            <color indexed="81"/>
            <rFont val="Tahoma"/>
            <family val="2"/>
          </rPr>
          <t xml:space="preserve">
$0.37, then 0.38</t>
        </r>
      </text>
    </comment>
    <comment ref="AN151" authorId="1">
      <text>
        <r>
          <rPr>
            <b/>
            <sz val="8"/>
            <color indexed="81"/>
            <rFont val="Tahoma"/>
            <family val="2"/>
          </rPr>
          <t>dliu:</t>
        </r>
        <r>
          <rPr>
            <sz val="8"/>
            <color indexed="81"/>
            <rFont val="Tahoma"/>
            <family val="2"/>
          </rPr>
          <t xml:space="preserve">
0.28</t>
        </r>
      </text>
    </comment>
    <comment ref="AR151" authorId="1">
      <text>
        <r>
          <rPr>
            <b/>
            <sz val="8"/>
            <color indexed="81"/>
            <rFont val="Tahoma"/>
            <family val="2"/>
          </rPr>
          <t>dliu:</t>
        </r>
        <r>
          <rPr>
            <sz val="8"/>
            <color indexed="81"/>
            <rFont val="Tahoma"/>
            <family val="2"/>
          </rPr>
          <t xml:space="preserve">
0.36, 0.38</t>
        </r>
      </text>
    </comment>
    <comment ref="AV151" authorId="2">
      <text>
        <r>
          <rPr>
            <b/>
            <sz val="8"/>
            <color indexed="81"/>
            <rFont val="Tahoma"/>
            <family val="2"/>
          </rPr>
          <t>Morry Brown:</t>
        </r>
        <r>
          <rPr>
            <sz val="8"/>
            <color indexed="81"/>
            <rFont val="Tahoma"/>
            <family val="2"/>
          </rPr>
          <t xml:space="preserve">
0.25 est</t>
        </r>
      </text>
    </comment>
    <comment ref="BD151" authorId="4">
      <text>
        <r>
          <rPr>
            <b/>
            <sz val="8"/>
            <color indexed="81"/>
            <rFont val="Tahoma"/>
            <family val="2"/>
          </rPr>
          <t>mm98285:</t>
        </r>
        <r>
          <rPr>
            <sz val="8"/>
            <color indexed="81"/>
            <rFont val="Tahoma"/>
            <family val="2"/>
          </rPr>
          <t xml:space="preserve">
8/07: Soma had $(0.03) impact on EPS </t>
        </r>
      </text>
    </comment>
    <comment ref="BX151" authorId="5">
      <text>
        <r>
          <rPr>
            <b/>
            <sz val="8"/>
            <color indexed="81"/>
            <rFont val="Tahoma"/>
            <family val="2"/>
          </rPr>
          <t>lauraro:</t>
        </r>
        <r>
          <rPr>
            <sz val="8"/>
            <color indexed="81"/>
            <rFont val="Tahoma"/>
            <family val="2"/>
          </rPr>
          <t xml:space="preserve">
-.933 is net income and dividends declared allocated to unvested restricted stock per the "two-class" method</t>
        </r>
      </text>
    </comment>
    <comment ref="CV151" authorId="20">
      <text>
        <r>
          <rPr>
            <b/>
            <sz val="9"/>
            <color indexed="81"/>
            <rFont val="Tahoma"/>
            <family val="2"/>
          </rPr>
          <t>De Courreges, Edouard (Research):</t>
        </r>
        <r>
          <rPr>
            <sz val="9"/>
            <color indexed="81"/>
            <rFont val="Tahoma"/>
            <family val="2"/>
          </rPr>
          <t xml:space="preserve">
2/28/18: While we're planning SG&amp;A spending to be approximately flat to last year, we have planned increases in marketing investments across the 3 brands, primarily in the first and third quarters. As a result, we anticipate that first quarter results will be slightly below last year</t>
        </r>
      </text>
    </comment>
    <comment ref="AN152" authorId="1">
      <text>
        <r>
          <rPr>
            <b/>
            <sz val="8"/>
            <color indexed="81"/>
            <rFont val="Tahoma"/>
            <family val="2"/>
          </rPr>
          <t>dliu:</t>
        </r>
        <r>
          <rPr>
            <sz val="8"/>
            <color indexed="81"/>
            <rFont val="Tahoma"/>
            <family val="2"/>
          </rPr>
          <t xml:space="preserve">
0.24</t>
        </r>
      </text>
    </comment>
    <comment ref="AZ152" authorId="4">
      <text>
        <r>
          <rPr>
            <b/>
            <sz val="8"/>
            <color indexed="81"/>
            <rFont val="Tahoma"/>
            <family val="2"/>
          </rPr>
          <t>mm98285:</t>
        </r>
        <r>
          <rPr>
            <sz val="8"/>
            <color indexed="81"/>
            <rFont val="Tahoma"/>
            <family val="2"/>
          </rPr>
          <t xml:space="preserve">
5/06: expect 31c</t>
        </r>
      </text>
    </comment>
    <comment ref="BD152" authorId="4">
      <text>
        <r>
          <rPr>
            <b/>
            <sz val="8"/>
            <color indexed="81"/>
            <rFont val="Tahoma"/>
            <family val="2"/>
          </rPr>
          <t>mm98285:</t>
        </r>
        <r>
          <rPr>
            <sz val="8"/>
            <color indexed="81"/>
            <rFont val="Tahoma"/>
            <family val="2"/>
          </rPr>
          <t xml:space="preserve">
8/07: Soma had $(0.02) impact on EPS (-5c neg impact in 1H)</t>
        </r>
      </text>
    </comment>
    <comment ref="BH152" authorId="4">
      <text>
        <r>
          <rPr>
            <b/>
            <sz val="8"/>
            <color indexed="81"/>
            <rFont val="Tahoma"/>
            <family val="2"/>
          </rPr>
          <t>mm98285:</t>
        </r>
        <r>
          <rPr>
            <sz val="8"/>
            <color indexed="81"/>
            <rFont val="Tahoma"/>
            <family val="2"/>
          </rPr>
          <t xml:space="preserve">
8/08: expect less than $0.05</t>
        </r>
      </text>
    </comment>
    <comment ref="BL152" authorId="4">
      <text>
        <r>
          <rPr>
            <b/>
            <sz val="8"/>
            <color indexed="81"/>
            <rFont val="Tahoma"/>
            <family val="2"/>
          </rPr>
          <t>mm98285:</t>
        </r>
        <r>
          <rPr>
            <sz val="8"/>
            <color indexed="81"/>
            <rFont val="Tahoma"/>
            <family val="2"/>
          </rPr>
          <t xml:space="preserve">
8/09: expect $0.09-$0.10</t>
        </r>
      </text>
    </comment>
    <comment ref="CS152" authorId="8">
      <text>
        <r>
          <rPr>
            <b/>
            <sz val="9"/>
            <color indexed="81"/>
            <rFont val="Tahoma"/>
            <family val="2"/>
          </rPr>
          <t>Cassel, Lauren (Research):</t>
        </r>
        <r>
          <rPr>
            <sz val="9"/>
            <color indexed="81"/>
            <rFont val="Tahoma"/>
            <family val="2"/>
          </rPr>
          <t xml:space="preserve">
5/24/17: expect 2Q EPS to decline y/y </t>
        </r>
      </text>
    </comment>
    <comment ref="AF153" authorId="14">
      <text>
        <r>
          <rPr>
            <b/>
            <sz val="8"/>
            <color indexed="81"/>
            <rFont val="Tahoma"/>
            <family val="2"/>
          </rPr>
          <t>dong2:</t>
        </r>
        <r>
          <rPr>
            <sz val="8"/>
            <color indexed="81"/>
            <rFont val="Tahoma"/>
            <family val="2"/>
          </rPr>
          <t xml:space="preserve">
0.30, then 0.33</t>
        </r>
      </text>
    </comment>
    <comment ref="AJ153" authorId="14">
      <text>
        <r>
          <rPr>
            <b/>
            <sz val="8"/>
            <color indexed="81"/>
            <rFont val="Tahoma"/>
            <family val="2"/>
          </rPr>
          <t>dong2:</t>
        </r>
        <r>
          <rPr>
            <sz val="8"/>
            <color indexed="81"/>
            <rFont val="Tahoma"/>
            <family val="2"/>
          </rPr>
          <t xml:space="preserve">
0.16</t>
        </r>
      </text>
    </comment>
    <comment ref="AN153" authorId="27">
      <text>
        <r>
          <rPr>
            <sz val="8"/>
            <color indexed="81"/>
            <rFont val="Tahoma"/>
            <family val="2"/>
          </rPr>
          <t>had 0.24 but co announced $0.01-0.02 charge assoc. w/ discontinuation of pazo. 10/9: $0.22. 11/6: $0.24</t>
        </r>
      </text>
    </comment>
    <comment ref="AZ153" authorId="4">
      <text>
        <r>
          <rPr>
            <b/>
            <sz val="8"/>
            <color indexed="81"/>
            <rFont val="Tahoma"/>
            <family val="2"/>
          </rPr>
          <t>mm98285:</t>
        </r>
        <r>
          <rPr>
            <sz val="8"/>
            <color indexed="81"/>
            <rFont val="Tahoma"/>
            <family val="2"/>
          </rPr>
          <t xml:space="preserve">
11/2/06: expect 22-25c
8/06: expect 26-28c
5/06: expect 32-33c</t>
        </r>
      </text>
    </comment>
    <comment ref="BD153" authorId="4">
      <text>
        <r>
          <rPr>
            <b/>
            <sz val="8"/>
            <color indexed="81"/>
            <rFont val="Tahoma"/>
            <family val="2"/>
          </rPr>
          <t>mm98285:</t>
        </r>
        <r>
          <rPr>
            <sz val="8"/>
            <color indexed="81"/>
            <rFont val="Tahoma"/>
            <family val="2"/>
          </rPr>
          <t xml:space="preserve">
excludes $6.833 sale of Lucy (so have to add back tax benefit)
12/07: Soma had ~($0.03) impact on 3Q EPS or ($0.08) YTD
11/07: expect $0.10-$0.13 (incl $0.02 for lucy transaction)
8/07: expect down vs. LY
</t>
        </r>
      </text>
    </comment>
    <comment ref="BH153" authorId="25">
      <text>
        <r>
          <rPr>
            <b/>
            <sz val="8"/>
            <color indexed="81"/>
            <rFont val="Tahoma"/>
            <family val="2"/>
          </rPr>
          <t>TI23070:</t>
        </r>
        <r>
          <rPr>
            <sz val="8"/>
            <color indexed="81"/>
            <rFont val="Tahoma"/>
            <family val="2"/>
          </rPr>
          <t xml:space="preserve">
10/08: Withdrawn
9/4/08: Expect to be profitable in 2H08</t>
        </r>
      </text>
    </comment>
    <comment ref="BX153" authorId="7">
      <text>
        <r>
          <rPr>
            <b/>
            <sz val="8"/>
            <color indexed="81"/>
            <rFont val="Tahoma"/>
            <family val="2"/>
          </rPr>
          <t>casselau:</t>
        </r>
        <r>
          <rPr>
            <sz val="8"/>
            <color indexed="81"/>
            <rFont val="Tahoma"/>
            <family val="2"/>
          </rPr>
          <t xml:space="preserve">
11/20: excluding non-recurring acqusition and integration costs related to Boston Proper</t>
        </r>
      </text>
    </comment>
    <comment ref="CB153" authorId="7">
      <text>
        <r>
          <rPr>
            <b/>
            <sz val="8"/>
            <color indexed="81"/>
            <rFont val="Tahoma"/>
            <family val="2"/>
          </rPr>
          <t>casselau:</t>
        </r>
        <r>
          <rPr>
            <sz val="8"/>
            <color indexed="81"/>
            <rFont val="Tahoma"/>
            <family val="2"/>
          </rPr>
          <t xml:space="preserve">
11/27/13: excludes charges related to Boston Proper non-cash goodwill and trade name impairment charges of $64.3M after-tax, or $0.40/share</t>
        </r>
      </text>
    </comment>
    <comment ref="CF153" authorId="7">
      <text>
        <r>
          <rPr>
            <b/>
            <sz val="9"/>
            <color indexed="81"/>
            <rFont val="Tahoma"/>
            <family val="2"/>
          </rPr>
          <t>casselau:</t>
        </r>
        <r>
          <rPr>
            <sz val="9"/>
            <color indexed="81"/>
            <rFont val="Tahoma"/>
            <family val="2"/>
          </rPr>
          <t xml:space="preserve">
11/24/15: 19c excluding Boston Proper loss</t>
        </r>
      </text>
    </comment>
    <comment ref="CR153" authorId="8">
      <text>
        <r>
          <rPr>
            <b/>
            <sz val="9"/>
            <color indexed="81"/>
            <rFont val="Tahoma"/>
            <family val="2"/>
          </rPr>
          <t>Cassel, Lauren (Research):</t>
        </r>
        <r>
          <rPr>
            <sz val="9"/>
            <color indexed="81"/>
            <rFont val="Tahoma"/>
            <family val="2"/>
          </rPr>
          <t xml:space="preserve">
11/21/17: hurricanes negatively impacted EPS by 4c</t>
        </r>
      </text>
    </comment>
    <comment ref="AB154" authorId="14">
      <text>
        <r>
          <rPr>
            <b/>
            <sz val="8"/>
            <color indexed="81"/>
            <rFont val="Tahoma"/>
            <family val="2"/>
          </rPr>
          <t>dong2:</t>
        </r>
        <r>
          <rPr>
            <sz val="8"/>
            <color indexed="81"/>
            <rFont val="Tahoma"/>
            <family val="2"/>
          </rPr>
          <t xml:space="preserve">
2/5/02: A/c to co., 40-50% profit margin on the $5.3 mm in sales. Tax effected at 38% gives $1.3 mm, divided by 41.1 mm shares gives $0.03 in profit from additional week of sales. Excl these $0.03 from 4Q01 of $0.14, this would translate into an 80% increase in 4Q01 EPS ($0.20).</t>
        </r>
      </text>
    </comment>
    <comment ref="AF154" authorId="14">
      <text>
        <r>
          <rPr>
            <b/>
            <sz val="8"/>
            <color indexed="81"/>
            <rFont val="Tahoma"/>
            <family val="2"/>
          </rPr>
          <t>dong2:</t>
        </r>
        <r>
          <rPr>
            <sz val="8"/>
            <color indexed="81"/>
            <rFont val="Tahoma"/>
            <family val="2"/>
          </rPr>
          <t xml:space="preserve">
had $0.26, take down to $0.24. Had 0.27 b4 Dec comp rptd.
Post split: 2/5/02: had $0.19</t>
        </r>
      </text>
    </comment>
    <comment ref="AJ154" authorId="14">
      <text>
        <r>
          <rPr>
            <b/>
            <sz val="8"/>
            <color indexed="81"/>
            <rFont val="Tahoma"/>
            <family val="2"/>
          </rPr>
          <t>dong2:</t>
        </r>
        <r>
          <rPr>
            <sz val="8"/>
            <color indexed="81"/>
            <rFont val="Tahoma"/>
            <family val="2"/>
          </rPr>
          <t xml:space="preserve">
0.23, 0.16</t>
        </r>
      </text>
    </comment>
    <comment ref="AN154" authorId="1">
      <text>
        <r>
          <rPr>
            <b/>
            <sz val="8"/>
            <color indexed="81"/>
            <rFont val="Tahoma"/>
            <family val="2"/>
          </rPr>
          <t>dliu:</t>
        </r>
        <r>
          <rPr>
            <sz val="8"/>
            <color indexed="81"/>
            <rFont val="Tahoma"/>
            <family val="2"/>
          </rPr>
          <t xml:space="preserve">
0.27. $0.03 attributed to WHBM</t>
        </r>
      </text>
    </comment>
    <comment ref="AV154" authorId="3">
      <text>
        <r>
          <rPr>
            <b/>
            <sz val="8"/>
            <color indexed="81"/>
            <rFont val="Tahoma"/>
            <family val="2"/>
          </rPr>
          <t>MB33100:</t>
        </r>
        <r>
          <rPr>
            <sz val="8"/>
            <color indexed="81"/>
            <rFont val="Tahoma"/>
            <family val="2"/>
          </rPr>
          <t xml:space="preserve">
guidance of 24-25c on december sales call</t>
        </r>
      </text>
    </comment>
    <comment ref="AZ154" authorId="4">
      <text>
        <r>
          <rPr>
            <b/>
            <sz val="8"/>
            <color indexed="81"/>
            <rFont val="Tahoma"/>
            <family val="2"/>
          </rPr>
          <t>mm98285:</t>
        </r>
        <r>
          <rPr>
            <sz val="8"/>
            <color indexed="81"/>
            <rFont val="Tahoma"/>
            <family val="2"/>
          </rPr>
          <t xml:space="preserve">
12/07: 3-4c to EPS from extra week
2/07: includes $0.03 impairment charge for Fitigues closures in 1Q07
1/06: guid to 12-15c in Dec sales release
8/06: expect 25-27c
5/06: expect (at least) 30-31c</t>
        </r>
      </text>
    </comment>
    <comment ref="BD154" authorId="4">
      <text>
        <r>
          <rPr>
            <b/>
            <sz val="8"/>
            <color indexed="81"/>
            <rFont val="Tahoma"/>
            <family val="2"/>
          </rPr>
          <t>mm98285:</t>
        </r>
        <r>
          <rPr>
            <sz val="8"/>
            <color indexed="81"/>
            <rFont val="Tahoma"/>
            <family val="2"/>
          </rPr>
          <t xml:space="preserve">
1/08: lowered guid to $(0.13)-$(0.16)
12/07: 4Q could approach break even
11/07: expect 4Q EPS considerably below LY
8/07: expect to be up over LY's $0.10</t>
        </r>
      </text>
    </comment>
    <comment ref="BL154" authorId="4">
      <text>
        <r>
          <rPr>
            <b/>
            <sz val="8"/>
            <color indexed="81"/>
            <rFont val="Tahoma"/>
            <family val="2"/>
          </rPr>
          <t>mm98285:</t>
        </r>
        <r>
          <rPr>
            <sz val="8"/>
            <color indexed="81"/>
            <rFont val="Tahoma"/>
            <family val="2"/>
          </rPr>
          <t xml:space="preserve">
8/09: goal to not lose money in 4Q</t>
        </r>
      </text>
    </comment>
    <comment ref="BP154" authorId="5">
      <text>
        <r>
          <rPr>
            <b/>
            <sz val="8"/>
            <color indexed="81"/>
            <rFont val="Tahoma"/>
            <family val="2"/>
          </rPr>
          <t>lauraro:</t>
        </r>
        <r>
          <rPr>
            <sz val="8"/>
            <color indexed="81"/>
            <rFont val="Tahoma"/>
            <family val="2"/>
          </rPr>
          <t xml:space="preserve">
2/9: cons @$0.13
Cons @ $0.13</t>
        </r>
      </text>
    </comment>
    <comment ref="BX154" authorId="5">
      <text>
        <r>
          <rPr>
            <b/>
            <sz val="8"/>
            <color indexed="81"/>
            <rFont val="Tahoma"/>
            <family val="2"/>
          </rPr>
          <t>53rd week added $0.02</t>
        </r>
      </text>
    </comment>
    <comment ref="CB154" authorId="7">
      <text>
        <r>
          <rPr>
            <b/>
            <sz val="8"/>
            <color indexed="81"/>
            <rFont val="Tahoma"/>
            <family val="2"/>
          </rPr>
          <t>casselau:</t>
        </r>
        <r>
          <rPr>
            <sz val="8"/>
            <color indexed="81"/>
            <rFont val="Tahoma"/>
            <family val="2"/>
          </rPr>
          <t xml:space="preserve">
2/27/14: excludes $6.2M income tax charge related to the non-cash goodwill impairment recorded in 3Q13</t>
        </r>
        <r>
          <rPr>
            <sz val="8"/>
            <color indexed="81"/>
            <rFont val="Tahoma"/>
            <family val="2"/>
          </rPr>
          <t xml:space="preserve">
extra week 2c</t>
        </r>
      </text>
    </comment>
    <comment ref="CF154" authorId="7">
      <text>
        <r>
          <rPr>
            <b/>
            <sz val="9"/>
            <color indexed="81"/>
            <rFont val="Tahoma"/>
            <family val="2"/>
          </rPr>
          <t>casselau:</t>
        </r>
        <r>
          <rPr>
            <sz val="9"/>
            <color indexed="81"/>
            <rFont val="Tahoma"/>
            <family val="2"/>
          </rPr>
          <t xml:space="preserve">
7c ex BP</t>
        </r>
      </text>
    </comment>
    <comment ref="CR154" authorId="8">
      <text>
        <r>
          <rPr>
            <b/>
            <sz val="9"/>
            <color indexed="81"/>
            <rFont val="Tahoma"/>
            <family val="2"/>
          </rPr>
          <t>Cassel, Lauren (Research):</t>
        </r>
        <r>
          <rPr>
            <sz val="9"/>
            <color indexed="81"/>
            <rFont val="Tahoma"/>
            <family val="2"/>
          </rPr>
          <t xml:space="preserve">
2/28/18: Tax benefit of 8c
53rd week benefit of 3c ($4M after tax)
12/20/16: 53rd week added 2c in 2012</t>
        </r>
      </text>
    </comment>
    <comment ref="AF155" authorId="14">
      <text>
        <r>
          <rPr>
            <b/>
            <sz val="8"/>
            <color indexed="81"/>
            <rFont val="Tahoma"/>
            <family val="2"/>
          </rPr>
          <t>dong2:</t>
        </r>
        <r>
          <rPr>
            <sz val="8"/>
            <color indexed="81"/>
            <rFont val="Tahoma"/>
            <family val="2"/>
          </rPr>
          <t xml:space="preserve">
1.44
post-split: 2/5/02: had $0.97</t>
        </r>
      </text>
    </comment>
    <comment ref="AJ155" authorId="14">
      <text>
        <r>
          <rPr>
            <b/>
            <sz val="8"/>
            <color indexed="81"/>
            <rFont val="Tahoma"/>
            <family val="2"/>
          </rPr>
          <t>dong2:</t>
        </r>
        <r>
          <rPr>
            <sz val="8"/>
            <color indexed="81"/>
            <rFont val="Tahoma"/>
            <family val="2"/>
          </rPr>
          <t xml:space="preserve">
1.80
post-split had 1.21
4/8: had $1.26</t>
        </r>
      </text>
    </comment>
    <comment ref="AN155" authorId="1">
      <text>
        <r>
          <rPr>
            <b/>
            <sz val="8"/>
            <color indexed="81"/>
            <rFont val="Tahoma"/>
            <family val="2"/>
          </rPr>
          <t>dliu:</t>
        </r>
        <r>
          <rPr>
            <sz val="8"/>
            <color indexed="81"/>
            <rFont val="Tahoma"/>
            <family val="2"/>
          </rPr>
          <t xml:space="preserve">
0.94</t>
        </r>
      </text>
    </comment>
    <comment ref="AZ155" authorId="3">
      <text>
        <r>
          <rPr>
            <b/>
            <sz val="8"/>
            <color indexed="81"/>
            <rFont val="Tahoma"/>
            <family val="2"/>
          </rPr>
          <t>MB33100:</t>
        </r>
        <r>
          <rPr>
            <sz val="8"/>
            <color indexed="81"/>
            <rFont val="Tahoma"/>
            <family val="2"/>
          </rPr>
          <t xml:space="preserve">
4/07: Soma contributed $(0.07)
8/06: expect $1.10-$1.14 (incl 8c options)
5/06: expect +20% growth ex-options ($1.20-$1.24)
3/06:Guided to +25% EPS growth, ex options expense</t>
        </r>
      </text>
    </comment>
    <comment ref="BD155" authorId="4">
      <text>
        <r>
          <rPr>
            <b/>
            <sz val="8"/>
            <color indexed="81"/>
            <rFont val="Tahoma"/>
            <family val="2"/>
          </rPr>
          <t>mm98285:</t>
        </r>
        <r>
          <rPr>
            <sz val="8"/>
            <color indexed="81"/>
            <rFont val="Tahoma"/>
            <family val="2"/>
          </rPr>
          <t xml:space="preserve">
10K: Soma impacted EPS by $(0.12)
12/07: Soma expected to impact EPS by $(0.10)-$(0.11)
8/07: Soma expected to impact EPS by $(0.09)-$(0.11)
2/07: current consensus est of $1.10 appears reasonable if CHS achieves a +LSD comp in 2007  
8/06: expect $1.28-$1.36 (Soma expected to reduce EPS by -6-10c)</t>
        </r>
      </text>
    </comment>
    <comment ref="BP155" authorId="5">
      <text>
        <r>
          <rPr>
            <b/>
            <sz val="8"/>
            <color indexed="81"/>
            <rFont val="Tahoma"/>
            <family val="2"/>
          </rPr>
          <t>lauraro:</t>
        </r>
        <r>
          <rPr>
            <sz val="8"/>
            <color indexed="81"/>
            <rFont val="Tahoma"/>
            <family val="2"/>
          </rPr>
          <t xml:space="preserve">
2/13: Cons @$0.66</t>
        </r>
      </text>
    </comment>
    <comment ref="BX155" authorId="5">
      <text>
        <r>
          <rPr>
            <b/>
            <sz val="8"/>
            <color indexed="81"/>
            <rFont val="Tahoma"/>
            <family val="2"/>
          </rPr>
          <t>lauraro:</t>
        </r>
        <r>
          <rPr>
            <sz val="8"/>
            <color indexed="81"/>
            <rFont val="Tahoma"/>
            <family val="2"/>
          </rPr>
          <t xml:space="preserve">
</t>
        </r>
        <r>
          <rPr>
            <b/>
            <sz val="8"/>
            <color indexed="81"/>
            <rFont val="Tahoma"/>
            <family val="2"/>
          </rPr>
          <t xml:space="preserve">2/22/12: </t>
        </r>
        <r>
          <rPr>
            <sz val="8"/>
            <color indexed="81"/>
            <rFont val="Tahoma"/>
            <family val="2"/>
          </rPr>
          <t xml:space="preserve">we do not expect the 53rd week to have a material impact on our earnings and expense leverage ratios.
</t>
        </r>
      </text>
    </comment>
    <comment ref="CC155" authorId="7">
      <text>
        <r>
          <rPr>
            <b/>
            <sz val="8"/>
            <color indexed="81"/>
            <rFont val="Tahoma"/>
            <family val="2"/>
          </rPr>
          <t>casselau:</t>
        </r>
        <r>
          <rPr>
            <sz val="8"/>
            <color indexed="81"/>
            <rFont val="Tahoma"/>
            <family val="2"/>
          </rPr>
          <t xml:space="preserve">
2/28/13: guidance +mid-teens growth over "longer-term"</t>
        </r>
      </text>
    </comment>
    <comment ref="CF155" authorId="7">
      <text>
        <r>
          <rPr>
            <b/>
            <sz val="9"/>
            <color indexed="81"/>
            <rFont val="Tahoma"/>
            <family val="2"/>
          </rPr>
          <t>casselau:</t>
        </r>
        <r>
          <rPr>
            <sz val="9"/>
            <color indexed="81"/>
            <rFont val="Tahoma"/>
            <family val="2"/>
          </rPr>
          <t xml:space="preserve">
73c ex BP</t>
        </r>
      </text>
    </comment>
    <comment ref="CG155" authorId="7">
      <text>
        <r>
          <rPr>
            <b/>
            <sz val="8"/>
            <color indexed="81"/>
            <rFont val="Tahoma"/>
            <family val="2"/>
          </rPr>
          <t>casselau:</t>
        </r>
        <r>
          <rPr>
            <sz val="8"/>
            <color indexed="81"/>
            <rFont val="Tahoma"/>
            <family val="2"/>
          </rPr>
          <t xml:space="preserve">
2/27/14: ongoing goal is mid-teens EPS growth</t>
        </r>
      </text>
    </comment>
    <comment ref="CN155" authorId="7">
      <text>
        <r>
          <rPr>
            <b/>
            <sz val="9"/>
            <color indexed="81"/>
            <rFont val="Tahoma"/>
            <family val="2"/>
          </rPr>
          <t>casselau:</t>
        </r>
        <r>
          <rPr>
            <sz val="9"/>
            <color indexed="81"/>
            <rFont val="Tahoma"/>
            <family val="2"/>
          </rPr>
          <t xml:space="preserve">
2/26/15: The absence of Boston Proper is expected to benefit fiscal 2016 EBIT margin by ~100 bps and EPS by ~9c </t>
        </r>
      </text>
    </comment>
    <comment ref="CR155" authorId="7">
      <text>
        <r>
          <rPr>
            <b/>
            <sz val="9"/>
            <color indexed="81"/>
            <rFont val="Tahoma"/>
            <family val="2"/>
          </rPr>
          <t>casselau:</t>
        </r>
        <r>
          <rPr>
            <sz val="9"/>
            <color indexed="81"/>
            <rFont val="Tahoma"/>
            <family val="2"/>
          </rPr>
          <t xml:space="preserve">
2/26/15: The absence of Boston Proper is expected to benefit fiscal 2016 EBIT margin by ~100 bps and EPS by ~9c </t>
        </r>
      </text>
    </comment>
    <comment ref="BD163" authorId="4">
      <text>
        <r>
          <rPr>
            <b/>
            <sz val="8"/>
            <color indexed="81"/>
            <rFont val="Tahoma"/>
            <family val="2"/>
          </rPr>
          <t>mm98285:</t>
        </r>
        <r>
          <rPr>
            <sz val="8"/>
            <color indexed="81"/>
            <rFont val="Tahoma"/>
            <family val="2"/>
          </rPr>
          <t xml:space="preserve">
12/07: includes $0.02 for $6.833 gain on sale of Lucy</t>
        </r>
      </text>
    </comment>
    <comment ref="AZ171" authorId="3">
      <text>
        <r>
          <rPr>
            <b/>
            <sz val="8"/>
            <color indexed="81"/>
            <rFont val="Tahoma"/>
            <family val="2"/>
          </rPr>
          <t>MB33100:</t>
        </r>
        <r>
          <rPr>
            <sz val="8"/>
            <color indexed="81"/>
            <rFont val="Tahoma"/>
            <family val="2"/>
          </rPr>
          <t xml:space="preserve">
in march 2006, company approved a $100mm share repo (good through march 2007)</t>
        </r>
      </text>
    </comment>
    <comment ref="BT171" authorId="5">
      <text>
        <r>
          <rPr>
            <b/>
            <sz val="8"/>
            <color indexed="81"/>
            <rFont val="Tahoma"/>
            <family val="2"/>
          </rPr>
          <t xml:space="preserve">5/18/11: </t>
        </r>
        <r>
          <rPr>
            <sz val="8"/>
            <color indexed="81"/>
            <rFont val="Tahoma"/>
            <family val="2"/>
          </rPr>
          <t>During 1Q11, repo'ed 2.6M shares for $36.3M and has $145.4M remaining under the original $200 million authorization approved by the Board of Directors in August 2010.</t>
        </r>
        <r>
          <rPr>
            <sz val="8"/>
            <color indexed="81"/>
            <rFont val="Tahoma"/>
            <family val="2"/>
          </rPr>
          <t xml:space="preserve">
</t>
        </r>
        <r>
          <rPr>
            <b/>
            <sz val="8"/>
            <color indexed="81"/>
            <rFont val="Tahoma"/>
            <family val="2"/>
          </rPr>
          <t>2/11:</t>
        </r>
        <r>
          <rPr>
            <sz val="8"/>
            <color indexed="81"/>
            <rFont val="Tahoma"/>
            <family val="2"/>
          </rPr>
          <t xml:space="preserve"> Will keep our eye on the stock price for repurchases. Wished we had repurchased more in 4Q10.
Assume $180M share repo remaining through 2013, assume 3M share repo / qtr @ $15</t>
        </r>
      </text>
    </comment>
    <comment ref="BX171" authorId="5">
      <text>
        <r>
          <rPr>
            <b/>
            <sz val="8"/>
            <color indexed="81"/>
            <rFont val="Tahoma"/>
            <family val="2"/>
          </rPr>
          <t xml:space="preserve">lauraro:
Fully Diluted shares outstanding: </t>
        </r>
        <r>
          <rPr>
            <b/>
            <sz val="8"/>
            <color indexed="81"/>
            <rFont val="Tahoma"/>
            <family val="2"/>
          </rPr>
          <t>164.876</t>
        </r>
        <r>
          <rPr>
            <sz val="8"/>
            <color indexed="81"/>
            <rFont val="Tahoma"/>
            <family val="2"/>
          </rPr>
          <t xml:space="preserve">
</t>
        </r>
        <r>
          <rPr>
            <sz val="8"/>
            <color indexed="81"/>
            <rFont val="Tahoma"/>
            <family val="2"/>
          </rPr>
          <t>-.933 is net income and dividends declared allocated to unvested restricted stock per the "two-class" method (see press release). Fully diluted hare count changed to calculate the correct EPS using the "two-class" method.</t>
        </r>
        <r>
          <rPr>
            <sz val="8"/>
            <color indexed="81"/>
            <rFont val="Tahoma"/>
            <family val="2"/>
          </rPr>
          <t xml:space="preserve">
</t>
        </r>
        <r>
          <rPr>
            <b/>
            <sz val="8"/>
            <color indexed="81"/>
            <rFont val="Tahoma"/>
            <family val="2"/>
          </rPr>
          <t>5/16/12:</t>
        </r>
        <r>
          <rPr>
            <sz val="8"/>
            <color indexed="81"/>
            <rFont val="Tahoma"/>
            <family val="2"/>
          </rPr>
          <t xml:space="preserve"> As of today, we had $175 million available under our current share repurchase program</t>
        </r>
        <r>
          <rPr>
            <b/>
            <sz val="8"/>
            <color indexed="81"/>
            <rFont val="Tahoma"/>
            <family val="2"/>
          </rPr>
          <t xml:space="preserve">
2/22/12: </t>
        </r>
        <r>
          <rPr>
            <sz val="8"/>
            <color indexed="81"/>
            <rFont val="Tahoma"/>
            <family val="2"/>
          </rPr>
          <t>At the beginning of 2012 we have $175 million available under our current share repurchase program. We plan to continue to repurchase shares in a measured manner over time.</t>
        </r>
      </text>
    </comment>
    <comment ref="CB171" authorId="7">
      <text>
        <r>
          <rPr>
            <b/>
            <sz val="8"/>
            <color indexed="81"/>
            <rFont val="Tahoma"/>
            <family val="2"/>
          </rPr>
          <t xml:space="preserve">casselau:
5/29/13: </t>
        </r>
        <r>
          <rPr>
            <sz val="8"/>
            <color indexed="81"/>
            <rFont val="Tahoma"/>
            <family val="2"/>
          </rPr>
          <t>share repurchases of 3.4 million shares for $60 million; $240 remains under the program</t>
        </r>
        <r>
          <rPr>
            <b/>
            <sz val="8"/>
            <color indexed="81"/>
            <rFont val="Tahoma"/>
            <family val="2"/>
          </rPr>
          <t xml:space="preserve">
</t>
        </r>
        <r>
          <rPr>
            <sz val="8"/>
            <color indexed="81"/>
            <rFont val="Tahoma"/>
            <family val="2"/>
          </rPr>
          <t xml:space="preserve">2/28/12: BOD authorized the repurchase of up to $300M in stock, effective March 1, 2013. The program replaces the now cancelled November 2011 $200 million program in its entirety, which had $67.6 million remaining; During the fourth quarter of fiscal 2012, the Company repurchased 3.9 million shares for $70.1 million under its $200 million share repurchase program announced in November 2011
</t>
        </r>
      </text>
    </comment>
    <comment ref="CF171" authorId="7">
      <text>
        <r>
          <rPr>
            <b/>
            <sz val="9"/>
            <color indexed="81"/>
            <rFont val="Tahoma"/>
            <family val="2"/>
          </rPr>
          <t>casselau:</t>
        </r>
        <r>
          <rPr>
            <sz val="9"/>
            <color indexed="81"/>
            <rFont val="Tahoma"/>
            <family val="2"/>
          </rPr>
          <t xml:space="preserve">
no buybacks in 1Q14; $300M authorization remains</t>
        </r>
      </text>
    </comment>
    <comment ref="CJ171" authorId="7">
      <text>
        <r>
          <rPr>
            <b/>
            <sz val="9"/>
            <color indexed="81"/>
            <rFont val="Tahoma"/>
            <family val="2"/>
          </rPr>
          <t>casselau:</t>
        </r>
        <r>
          <rPr>
            <sz val="9"/>
            <color indexed="81"/>
            <rFont val="Tahoma"/>
            <family val="2"/>
          </rPr>
          <t xml:space="preserve">
2/26/15: announced $250M ASR to be financed through a combination of cash and debt (50%/50%); expect $145M shares
</t>
        </r>
      </text>
    </comment>
    <comment ref="CN171" authorId="8">
      <text>
        <r>
          <rPr>
            <b/>
            <sz val="9"/>
            <color indexed="81"/>
            <rFont val="Tahoma"/>
            <family val="2"/>
          </rPr>
          <t>Cassel, Lauren (Research):</t>
        </r>
        <r>
          <rPr>
            <sz val="9"/>
            <color indexed="81"/>
            <rFont val="Tahoma"/>
            <family val="2"/>
          </rPr>
          <t xml:space="preserve">
5/26/16: repurchased 3.2M shares for $36.6M unders its $300M share repo program; 223.4M remains</t>
        </r>
      </text>
    </comment>
    <comment ref="CR171" authorId="8">
      <text>
        <r>
          <rPr>
            <b/>
            <sz val="9"/>
            <color indexed="81"/>
            <rFont val="Tahoma"/>
            <family val="2"/>
          </rPr>
          <t>Cassel, Lauren (Research):</t>
        </r>
        <r>
          <rPr>
            <sz val="9"/>
            <color indexed="81"/>
            <rFont val="Tahoma"/>
            <family val="2"/>
          </rPr>
          <t xml:space="preserve">
5/24/17: repurchased 0.7M shares for $9.5M, at a weighted average of $13.65 per share. There is $154.1 M remaining for future repurchases under the program. </t>
        </r>
      </text>
    </comment>
    <comment ref="AZ172" authorId="3">
      <text>
        <r>
          <rPr>
            <b/>
            <sz val="8"/>
            <color indexed="81"/>
            <rFont val="Tahoma"/>
            <family val="2"/>
          </rPr>
          <t>MB33100:</t>
        </r>
        <r>
          <rPr>
            <sz val="8"/>
            <color indexed="81"/>
            <rFont val="Tahoma"/>
            <family val="2"/>
          </rPr>
          <t xml:space="preserve">
As of 5/16/06 co repo's 3.1mm shares, 833,310 for $31.7mm in 1Q plus 2,246,200 for $68.3mm 4/29-5/16/06.
In march 2006, company approved a $100mm share repo (good through march 2007)</t>
        </r>
      </text>
    </comment>
    <comment ref="BL172" authorId="4">
      <text>
        <r>
          <rPr>
            <b/>
            <sz val="8"/>
            <color indexed="81"/>
            <rFont val="Tahoma"/>
            <family val="2"/>
          </rPr>
          <t>mm98285:</t>
        </r>
        <r>
          <rPr>
            <sz val="8"/>
            <color indexed="81"/>
            <rFont val="Tahoma"/>
            <family val="2"/>
          </rPr>
          <t xml:space="preserve">
5/09: given higher stock price assuming in-the-money options and restricted stock</t>
        </r>
      </text>
    </comment>
    <comment ref="BT172" authorId="5">
      <text>
        <r>
          <rPr>
            <b/>
            <sz val="8"/>
            <color indexed="81"/>
            <rFont val="Tahoma"/>
            <family val="2"/>
          </rPr>
          <t xml:space="preserve">lauraro:
8/17/11: </t>
        </r>
        <r>
          <rPr>
            <sz val="8"/>
            <color indexed="81"/>
            <rFont val="Tahoma"/>
            <family val="2"/>
          </rPr>
          <t>Repoed 4.3M shares for $61.2M and has $84.2M remaining under its current $200M authorization</t>
        </r>
        <r>
          <rPr>
            <sz val="8"/>
            <color indexed="81"/>
            <rFont val="Tahoma"/>
            <family val="2"/>
          </rPr>
          <t xml:space="preserve">
</t>
        </r>
        <r>
          <rPr>
            <b/>
            <sz val="8"/>
            <color indexed="81"/>
            <rFont val="Tahoma"/>
            <family val="2"/>
          </rPr>
          <t>From 10Q filed 5/25:</t>
        </r>
        <r>
          <rPr>
            <sz val="8"/>
            <color indexed="81"/>
            <rFont val="Tahoma"/>
            <family val="2"/>
          </rPr>
          <t xml:space="preserve"> Since May 19, 2011, in accordance with the share repurchase program, the Company repurchased ~1.2M shares of stock for $17.6M.</t>
        </r>
      </text>
    </comment>
    <comment ref="BX172" authorId="7">
      <text>
        <r>
          <rPr>
            <b/>
            <sz val="8"/>
            <color indexed="81"/>
            <rFont val="Tahoma"/>
            <family val="2"/>
          </rPr>
          <t>casselau:</t>
        </r>
        <r>
          <rPr>
            <sz val="8"/>
            <color indexed="81"/>
            <rFont val="Tahoma"/>
            <family val="2"/>
          </rPr>
          <t xml:space="preserve">
8/22/12: repurchase 1.8M shares at a cost of $25.6M or avg of 14.02/share; $149M remaining under repurchase program</t>
        </r>
      </text>
    </comment>
    <comment ref="CB172" authorId="7">
      <text>
        <r>
          <rPr>
            <b/>
            <sz val="8"/>
            <color indexed="81"/>
            <rFont val="Tahoma"/>
            <family val="2"/>
          </rPr>
          <t>casselau:</t>
        </r>
        <r>
          <rPr>
            <sz val="8"/>
            <color indexed="81"/>
            <rFont val="Tahoma"/>
            <family val="2"/>
          </rPr>
          <t xml:space="preserve">
8/28/13: repurchased 1.4M shares for $25M in 2Q; $215M remaining under repurchase program; includes dilutive effect of participating securities</t>
        </r>
      </text>
    </comment>
    <comment ref="CF172" authorId="7">
      <text>
        <r>
          <rPr>
            <b/>
            <sz val="9"/>
            <color indexed="81"/>
            <rFont val="Tahoma"/>
            <family val="2"/>
          </rPr>
          <t>casselau:</t>
        </r>
        <r>
          <rPr>
            <sz val="9"/>
            <color indexed="81"/>
            <rFont val="Tahoma"/>
            <family val="2"/>
          </rPr>
          <t xml:space="preserve">
8/27/14: repurchased 0.6M shares for $10M; $290M remains under program</t>
        </r>
      </text>
    </comment>
    <comment ref="CJ172" authorId="13">
      <text>
        <r>
          <rPr>
            <b/>
            <sz val="9"/>
            <color indexed="81"/>
            <rFont val="Tahoma"/>
            <family val="2"/>
          </rPr>
          <t xml:space="preserve">8/26/15: </t>
        </r>
        <r>
          <rPr>
            <sz val="9"/>
            <color indexed="81"/>
            <rFont val="Tahoma"/>
            <family val="2"/>
          </rPr>
          <t>received 3.9M additional shares upon the completion of the 1Q ASR
5/27/15: Expect 140mm</t>
        </r>
      </text>
    </comment>
    <comment ref="CN172" authorId="8">
      <text>
        <r>
          <rPr>
            <b/>
            <sz val="9"/>
            <color indexed="81"/>
            <rFont val="Tahoma"/>
            <family val="2"/>
          </rPr>
          <t>Cassel, Lauren (Research):</t>
        </r>
        <r>
          <rPr>
            <sz val="9"/>
            <color indexed="81"/>
            <rFont val="Tahoma"/>
            <family val="2"/>
          </rPr>
          <t xml:space="preserve">
8/30/16: Repurchased 1.7M shares for $19.7M at an average of $11.59 per share, under its $300.0 million share repurchase program announced in November 2015, with $203.7 million remaining under the program. </t>
        </r>
      </text>
    </comment>
    <comment ref="CR172" authorId="8">
      <text>
        <r>
          <rPr>
            <b/>
            <sz val="9"/>
            <color indexed="81"/>
            <rFont val="Tahoma"/>
            <family val="2"/>
          </rPr>
          <t>Cassel, Lauren (Research):</t>
        </r>
        <r>
          <rPr>
            <sz val="9"/>
            <color indexed="81"/>
            <rFont val="Tahoma"/>
            <family val="2"/>
          </rPr>
          <t xml:space="preserve">
8/30/17: repurchased 1.2M shares for $11.2M at a weighted average of $9.39 per share. There is $142.9 million remaining</t>
        </r>
      </text>
    </comment>
    <comment ref="AN173" authorId="22">
      <text>
        <r>
          <rPr>
            <b/>
            <sz val="10"/>
            <color indexed="81"/>
            <rFont val="Tahoma"/>
            <family val="2"/>
          </rPr>
          <t>kgreenbe:</t>
        </r>
        <r>
          <rPr>
            <sz val="10"/>
            <color indexed="81"/>
            <rFont val="Tahoma"/>
            <family val="2"/>
          </rPr>
          <t xml:space="preserve">
8/4/03 had 87.8m before WHBM acquisition. Co indicated purchase price includes 176k shares, so increase share count weighted by est Sept close of deal.</t>
        </r>
      </text>
    </comment>
    <comment ref="AZ173" authorId="3">
      <text>
        <r>
          <rPr>
            <b/>
            <sz val="8"/>
            <color indexed="81"/>
            <rFont val="Tahoma"/>
            <family val="2"/>
          </rPr>
          <t>MB33100:</t>
        </r>
        <r>
          <rPr>
            <sz val="8"/>
            <color indexed="81"/>
            <rFont val="Tahoma"/>
            <family val="2"/>
          </rPr>
          <t xml:space="preserve">
in march 2006, company approved a $100mm share repo (good through march 2007)</t>
        </r>
      </text>
    </comment>
    <comment ref="BL173" authorId="4">
      <text>
        <r>
          <rPr>
            <b/>
            <sz val="8"/>
            <color indexed="81"/>
            <rFont val="Tahoma"/>
            <family val="2"/>
          </rPr>
          <t>mm98285:</t>
        </r>
        <r>
          <rPr>
            <sz val="8"/>
            <color indexed="81"/>
            <rFont val="Tahoma"/>
            <family val="2"/>
          </rPr>
          <t xml:space="preserve">
8/09: expect 179</t>
        </r>
      </text>
    </comment>
    <comment ref="BP173" authorId="11">
      <text>
        <r>
          <rPr>
            <b/>
            <sz val="8"/>
            <color indexed="81"/>
            <rFont val="Tahoma"/>
            <family val="2"/>
          </rPr>
          <t xml:space="preserve">11/10:
</t>
        </r>
        <r>
          <rPr>
            <sz val="8"/>
            <color indexed="81"/>
            <rFont val="Tahoma"/>
            <family val="2"/>
          </rPr>
          <t xml:space="preserve">$18.3 million in cash went for share repurchase during the quarter (2.0963 M shares)
</t>
        </r>
        <r>
          <rPr>
            <b/>
            <sz val="8"/>
            <color indexed="81"/>
            <rFont val="Tahoma"/>
            <family val="2"/>
          </rPr>
          <t>marchant:</t>
        </r>
        <r>
          <rPr>
            <sz val="8"/>
            <color indexed="81"/>
            <rFont val="Tahoma"/>
            <family val="2"/>
          </rPr>
          <t xml:space="preserve">
8/10: new $200M auth thru 2013; assume repo evenly through period</t>
        </r>
      </text>
    </comment>
    <comment ref="BT173" authorId="5">
      <text>
        <r>
          <rPr>
            <b/>
            <sz val="8"/>
            <color indexed="81"/>
            <rFont val="Tahoma"/>
            <family val="2"/>
          </rPr>
          <t>lauraro:</t>
        </r>
        <r>
          <rPr>
            <sz val="8"/>
            <color indexed="81"/>
            <rFont val="Tahoma"/>
            <family val="2"/>
          </rPr>
          <t xml:space="preserve">
</t>
        </r>
        <r>
          <rPr>
            <b/>
            <sz val="8"/>
            <color indexed="81"/>
            <rFont val="Tahoma"/>
            <family val="2"/>
          </rPr>
          <t xml:space="preserve">11/22/11: </t>
        </r>
        <r>
          <rPr>
            <sz val="8"/>
            <color indexed="81"/>
            <rFont val="Tahoma"/>
            <family val="2"/>
          </rPr>
          <t>Board of Directors authorized the repurchase of up to $200 million of the Company's outstanding common stock, effective November 23, 2011.  This program replaces the now cancelled August 2010 $200 million program in its entirety that had $24.2 million remaining.
Repo'ed 4.7M shares for $60M
Since August 2010, we have repurchased 13.7 million common shares in the open market, at a cost of approximately $176M</t>
        </r>
      </text>
    </comment>
    <comment ref="BX173" authorId="7">
      <text>
        <r>
          <rPr>
            <b/>
            <sz val="8"/>
            <color indexed="81"/>
            <rFont val="Tahoma"/>
            <family val="2"/>
          </rPr>
          <t>casselau:</t>
        </r>
        <r>
          <rPr>
            <sz val="8"/>
            <color indexed="81"/>
            <rFont val="Tahoma"/>
            <family val="2"/>
          </rPr>
          <t xml:space="preserve">
11/20: the company repurchased 0.6M shares for $11.7M under its $200M share repurchase program</t>
        </r>
      </text>
    </comment>
    <comment ref="CB173" authorId="7">
      <text>
        <r>
          <rPr>
            <b/>
            <sz val="8"/>
            <color indexed="81"/>
            <rFont val="Tahoma"/>
            <family val="2"/>
          </rPr>
          <t>casselau:</t>
        </r>
        <r>
          <rPr>
            <sz val="8"/>
            <color indexed="81"/>
            <rFont val="Tahoma"/>
            <family val="2"/>
          </rPr>
          <t xml:space="preserve">
11/26/13: repurchased 2.1M shares for $35M; $180M remaining under the program
11/26/13: have repurchased 17% of shares outstanding in less than 4 years (3Q2010) = 12% change in share count = 5% of stock given away = 7.8M shares over 4 years</t>
        </r>
      </text>
    </comment>
    <comment ref="CJ173" authorId="7">
      <text>
        <r>
          <rPr>
            <b/>
            <sz val="9"/>
            <color indexed="81"/>
            <rFont val="Tahoma"/>
            <family val="2"/>
          </rPr>
          <t xml:space="preserve">casselau:
</t>
        </r>
        <r>
          <rPr>
            <sz val="9"/>
            <color indexed="81"/>
            <rFont val="Tahoma"/>
            <family val="2"/>
          </rPr>
          <t>11/24/15: repurchased $260M of stock YTD; new $300 million share repurchase authorization for the Company's common stock 
2/26/15: 141M guidance
8/2615: 137M for 3Q, 139M for 4Q.</t>
        </r>
      </text>
    </comment>
    <comment ref="CN173" authorId="8">
      <text>
        <r>
          <rPr>
            <b/>
            <sz val="9"/>
            <color indexed="81"/>
            <rFont val="Tahoma"/>
            <family val="2"/>
          </rPr>
          <t>Cassel, Lauren (Research):</t>
        </r>
        <r>
          <rPr>
            <sz val="9"/>
            <color indexed="81"/>
            <rFont val="Tahoma"/>
            <family val="2"/>
          </rPr>
          <t xml:space="preserve">
11/21/16: repurchased 1.7M shares for $20M (at avg of $12.13); $183.7M remains under the program</t>
        </r>
      </text>
    </comment>
    <comment ref="CR173" authorId="8">
      <text>
        <r>
          <rPr>
            <b/>
            <sz val="9"/>
            <color indexed="81"/>
            <rFont val="Tahoma"/>
            <family val="2"/>
          </rPr>
          <t>Cassel, Lauren (Research):</t>
        </r>
        <r>
          <rPr>
            <sz val="9"/>
            <color indexed="81"/>
            <rFont val="Tahoma"/>
            <family val="2"/>
          </rPr>
          <t xml:space="preserve">
11/21/17: repurchased 0.6 million shares for $5.0 million, at a weighted average of $8.18 per share. There is $137.9 million remaining for future share repurchases under the program. </t>
        </r>
      </text>
    </comment>
    <comment ref="AN174" authorId="22">
      <text>
        <r>
          <rPr>
            <b/>
            <sz val="10"/>
            <color indexed="81"/>
            <rFont val="Tahoma"/>
            <family val="2"/>
          </rPr>
          <t>kgreenbe:</t>
        </r>
        <r>
          <rPr>
            <sz val="10"/>
            <color indexed="81"/>
            <rFont val="Tahoma"/>
            <family val="2"/>
          </rPr>
          <t xml:space="preserve">
8/4/03 had 87.8m before WHBM acquisition. Co indicated purchase price includes 176k shares, so increase share count.</t>
        </r>
      </text>
    </comment>
    <comment ref="AZ174" authorId="3">
      <text>
        <r>
          <rPr>
            <b/>
            <sz val="8"/>
            <color indexed="81"/>
            <rFont val="Tahoma"/>
            <family val="2"/>
          </rPr>
          <t>MB33100:</t>
        </r>
        <r>
          <rPr>
            <sz val="8"/>
            <color indexed="81"/>
            <rFont val="Tahoma"/>
            <family val="2"/>
          </rPr>
          <t xml:space="preserve">
in march 2006, company approved a $100mm share repo (good through march 2007)</t>
        </r>
      </text>
    </comment>
    <comment ref="BP174" authorId="11">
      <text>
        <r>
          <rPr>
            <b/>
            <sz val="8"/>
            <color indexed="81"/>
            <rFont val="Tahoma"/>
            <family val="2"/>
          </rPr>
          <t>marchant:</t>
        </r>
        <r>
          <rPr>
            <sz val="8"/>
            <color indexed="81"/>
            <rFont val="Tahoma"/>
            <family val="2"/>
          </rPr>
          <t xml:space="preserve">
8/10: new $200M auth thru 2013; assume repo evenly through period</t>
        </r>
      </text>
    </comment>
    <comment ref="BT174" authorId="5">
      <text>
        <r>
          <rPr>
            <b/>
            <sz val="8"/>
            <color indexed="81"/>
            <rFont val="Tahoma"/>
            <family val="2"/>
          </rPr>
          <t>lauraro:</t>
        </r>
        <r>
          <rPr>
            <sz val="8"/>
            <color indexed="81"/>
            <rFont val="Tahoma"/>
            <family val="2"/>
          </rPr>
          <t xml:space="preserve">
Repo'ed 2.4M shares for $2.5M under its new $200M share repo program announced in November</t>
        </r>
      </text>
    </comment>
    <comment ref="BX174" authorId="7">
      <text>
        <r>
          <rPr>
            <b/>
            <sz val="8"/>
            <color indexed="81"/>
            <rFont val="Tahoma"/>
            <family val="2"/>
          </rPr>
          <t>casselau:</t>
        </r>
        <r>
          <rPr>
            <sz val="8"/>
            <color indexed="81"/>
            <rFont val="Tahoma"/>
            <family val="2"/>
          </rPr>
          <t xml:space="preserve">
2/28/12:During the fourth quarter of fiscal 2012, the Company repurchased 3.9 million shares for $70.1 million under its $200 million share repurchase program announced in November 2011
</t>
        </r>
      </text>
    </comment>
    <comment ref="CB174" authorId="7">
      <text>
        <r>
          <rPr>
            <b/>
            <sz val="8"/>
            <color indexed="81"/>
            <rFont val="Tahoma"/>
            <family val="2"/>
          </rPr>
          <t>casselau:</t>
        </r>
        <r>
          <rPr>
            <sz val="8"/>
            <color indexed="81"/>
            <rFont val="Tahoma"/>
            <family val="2"/>
          </rPr>
          <t xml:space="preserve">
12/19/13: repurchased 6.7M shares for $125M; approved new $300M share repurchase authorization</t>
        </r>
      </text>
    </comment>
    <comment ref="CF174" authorId="7">
      <text>
        <r>
          <rPr>
            <b/>
            <sz val="9"/>
            <color indexed="81"/>
            <rFont val="Tahoma"/>
            <family val="2"/>
          </rPr>
          <t>casselau:</t>
        </r>
        <r>
          <rPr>
            <sz val="9"/>
            <color indexed="81"/>
            <rFont val="Tahoma"/>
            <family val="2"/>
          </rPr>
          <t xml:space="preserve">
2/26/15: $290M remaining under buyback authorization</t>
        </r>
      </text>
    </comment>
    <comment ref="CJ174" authorId="7">
      <text>
        <r>
          <rPr>
            <b/>
            <sz val="9"/>
            <color indexed="81"/>
            <rFont val="Tahoma"/>
            <family val="2"/>
          </rPr>
          <t>casselau:
2/25/16: repurchased 3.7M share for $40M; $260M remains under the program</t>
        </r>
        <r>
          <rPr>
            <sz val="9"/>
            <color indexed="81"/>
            <rFont val="Tahoma"/>
            <family val="2"/>
          </rPr>
          <t xml:space="preserve">
11/24/15: 137M assuming no further share repurchases
8/2615: 137M for 3Q, 139M for 4Q.
5/27/15: expect 140mm
2/26/15: 141M guidance
</t>
        </r>
      </text>
    </comment>
    <comment ref="CN174" authorId="8">
      <text>
        <r>
          <rPr>
            <b/>
            <sz val="9"/>
            <color indexed="81"/>
            <rFont val="Tahoma"/>
            <family val="2"/>
          </rPr>
          <t>Cassel, Lauren (Research):</t>
        </r>
        <r>
          <rPr>
            <sz val="9"/>
            <color indexed="81"/>
            <rFont val="Tahoma"/>
            <family val="2"/>
          </rPr>
          <t xml:space="preserve">
2/22/17: repurchased 1.6M shares for $20M (avg $12.81/share); $163.6M remains under the program</t>
        </r>
      </text>
    </comment>
    <comment ref="CR174" authorId="20">
      <text>
        <r>
          <rPr>
            <b/>
            <sz val="9"/>
            <color indexed="81"/>
            <rFont val="Tahoma"/>
            <family val="2"/>
          </rPr>
          <t>De Courreges, Edouard (Research):</t>
        </r>
        <r>
          <rPr>
            <sz val="9"/>
            <color indexed="81"/>
            <rFont val="Tahoma"/>
            <family val="2"/>
          </rPr>
          <t xml:space="preserve">
 the Company repurchased 0.2 million shares for $1.7 million, at a weighted average of $8.66 per share </t>
        </r>
      </text>
    </comment>
    <comment ref="BL175" authorId="4">
      <text>
        <r>
          <rPr>
            <b/>
            <sz val="8"/>
            <color indexed="81"/>
            <rFont val="Tahoma"/>
            <family val="2"/>
          </rPr>
          <t>mm98285:</t>
        </r>
        <r>
          <rPr>
            <sz val="8"/>
            <color indexed="81"/>
            <rFont val="Tahoma"/>
            <family val="2"/>
          </rPr>
          <t xml:space="preserve">
8/09: 178</t>
        </r>
      </text>
    </comment>
    <comment ref="BX175" authorId="5">
      <text>
        <r>
          <rPr>
            <b/>
            <sz val="8"/>
            <color indexed="81"/>
            <rFont val="Tahoma"/>
            <family val="2"/>
          </rPr>
          <t xml:space="preserve">2/28/13: </t>
        </r>
        <r>
          <rPr>
            <sz val="8"/>
            <color indexed="81"/>
            <rFont val="Tahoma"/>
            <family val="2"/>
          </rPr>
          <t>During fiscal 2012, the Company repurchased a total of 6.3 million shares for $107.5 million</t>
        </r>
        <r>
          <rPr>
            <b/>
            <sz val="8"/>
            <color indexed="81"/>
            <rFont val="Tahoma"/>
            <family val="2"/>
          </rPr>
          <t xml:space="preserve">
11/20: ~165M
8/22/12: </t>
        </r>
        <r>
          <rPr>
            <sz val="8"/>
            <color indexed="81"/>
            <rFont val="Tahoma"/>
            <family val="2"/>
          </rPr>
          <t>~165M, excluding any potential future impact of share repurchases</t>
        </r>
        <r>
          <rPr>
            <b/>
            <sz val="8"/>
            <color indexed="81"/>
            <rFont val="Tahoma"/>
            <family val="2"/>
          </rPr>
          <t xml:space="preserve">
lauraro:</t>
        </r>
        <r>
          <rPr>
            <sz val="8"/>
            <color indexed="81"/>
            <rFont val="Tahoma"/>
            <family val="2"/>
          </rPr>
          <t xml:space="preserve">
</t>
        </r>
        <r>
          <rPr>
            <b/>
            <sz val="8"/>
            <color indexed="81"/>
            <rFont val="Tahoma"/>
            <family val="2"/>
          </rPr>
          <t xml:space="preserve">5/16/12: </t>
        </r>
        <r>
          <rPr>
            <sz val="8"/>
            <color indexed="81"/>
            <rFont val="Tahoma"/>
            <family val="2"/>
          </rPr>
          <t>166M excluding share repos</t>
        </r>
      </text>
    </comment>
    <comment ref="CB175" authorId="5">
      <text>
        <r>
          <rPr>
            <b/>
            <sz val="8"/>
            <color indexed="81"/>
            <rFont val="Tahoma"/>
            <family val="2"/>
          </rPr>
          <t xml:space="preserve">2/27/14: </t>
        </r>
        <r>
          <rPr>
            <sz val="8"/>
            <color indexed="81"/>
            <rFont val="Tahoma"/>
            <family val="2"/>
          </rPr>
          <t>for FY13, the company repurchased 13.8M shares for $245M</t>
        </r>
        <r>
          <rPr>
            <b/>
            <sz val="8"/>
            <color indexed="81"/>
            <rFont val="Tahoma"/>
            <family val="2"/>
          </rPr>
          <t xml:space="preserve">
8/22/13: </t>
        </r>
        <r>
          <rPr>
            <sz val="8"/>
            <color indexed="81"/>
            <rFont val="Tahoma"/>
            <family val="2"/>
          </rPr>
          <t>~165M, excluding any potential future impact of share repurchases</t>
        </r>
        <r>
          <rPr>
            <b/>
            <sz val="8"/>
            <color indexed="81"/>
            <rFont val="Tahoma"/>
            <family val="2"/>
          </rPr>
          <t xml:space="preserve">
lauraro:</t>
        </r>
        <r>
          <rPr>
            <sz val="8"/>
            <color indexed="81"/>
            <rFont val="Tahoma"/>
            <family val="2"/>
          </rPr>
          <t xml:space="preserve">
</t>
        </r>
        <r>
          <rPr>
            <b/>
            <sz val="8"/>
            <color indexed="81"/>
            <rFont val="Tahoma"/>
            <family val="2"/>
          </rPr>
          <t xml:space="preserve">5/16/12: </t>
        </r>
        <r>
          <rPr>
            <sz val="8"/>
            <color indexed="81"/>
            <rFont val="Tahoma"/>
            <family val="2"/>
          </rPr>
          <t>166M excluding share repos</t>
        </r>
      </text>
    </comment>
    <comment ref="CJ175" authorId="7">
      <text>
        <r>
          <rPr>
            <sz val="9"/>
            <color indexed="81"/>
            <rFont val="Tahoma"/>
            <family val="2"/>
          </rPr>
          <t>2/25/16: t</t>
        </r>
        <r>
          <rPr>
            <b/>
            <sz val="9"/>
            <color indexed="81"/>
            <rFont val="Tahoma"/>
            <family val="2"/>
          </rPr>
          <t>he company repurchased 18.3M shares for $290M in 2015</t>
        </r>
        <r>
          <rPr>
            <sz val="9"/>
            <color indexed="81"/>
            <rFont val="Tahoma"/>
            <family val="2"/>
          </rPr>
          <t xml:space="preserve">
11/24/15: expect 139M shares
8/2615: 137M for 3Q, 139M for 4Q.
5/27/15: expect 140mm</t>
        </r>
        <r>
          <rPr>
            <b/>
            <sz val="9"/>
            <color indexed="81"/>
            <rFont val="Tahoma"/>
            <family val="2"/>
          </rPr>
          <t xml:space="preserve">
casselau:</t>
        </r>
        <r>
          <rPr>
            <sz val="9"/>
            <color indexed="81"/>
            <rFont val="Tahoma"/>
            <family val="2"/>
          </rPr>
          <t xml:space="preserve">
11/24/15: 139M assuming no further share repurchases
2/26/15: 141M guidance
</t>
        </r>
      </text>
    </comment>
    <comment ref="CN175" authorId="7">
      <text>
        <r>
          <rPr>
            <b/>
            <sz val="9"/>
            <color indexed="81"/>
            <rFont val="Tahoma"/>
            <family val="2"/>
          </rPr>
          <t>casselau:
2/22/17: The company repurchased a total of 8.1M shares for $96.4M (avg $11.88/share)</t>
        </r>
        <r>
          <rPr>
            <sz val="9"/>
            <color indexed="81"/>
            <rFont val="Tahoma"/>
            <family val="2"/>
          </rPr>
          <t xml:space="preserve">
2/25/16: 135M share guidance</t>
        </r>
      </text>
    </comment>
    <comment ref="CR175" authorId="20">
      <text>
        <r>
          <rPr>
            <b/>
            <sz val="9"/>
            <color indexed="81"/>
            <rFont val="Tahoma"/>
            <family val="2"/>
          </rPr>
          <t>De Courreges, Edouard (Research):</t>
        </r>
        <r>
          <rPr>
            <sz val="9"/>
            <color indexed="81"/>
            <rFont val="Tahoma"/>
            <family val="2"/>
          </rPr>
          <t xml:space="preserve">
During fiscal 2017, the Company repurchased a total of 2.7 million shares for $27.4 million, at a weighted average of $10.16 per share. </t>
        </r>
      </text>
    </comment>
    <comment ref="BL202" authorId="19">
      <text>
        <r>
          <rPr>
            <b/>
            <sz val="8"/>
            <color indexed="81"/>
            <rFont val="Tahoma"/>
            <family val="2"/>
          </rPr>
          <t>oc48540:</t>
        </r>
        <r>
          <rPr>
            <sz val="8"/>
            <color indexed="81"/>
            <rFont val="Tahoma"/>
            <family val="2"/>
          </rPr>
          <t xml:space="preserve">
At November 25, 2009, there were 177,981,872 shares outstanding of Common Stock</t>
        </r>
      </text>
    </comment>
    <comment ref="BP206" authorId="19">
      <text>
        <r>
          <rPr>
            <sz val="8"/>
            <color indexed="81"/>
            <rFont val="Tahoma"/>
            <family val="2"/>
          </rPr>
          <t xml:space="preserve">2/24/10: 
Initiate a new cash dividend of $0.04 a share </t>
        </r>
      </text>
    </comment>
    <comment ref="BT206" authorId="5">
      <text>
        <r>
          <rPr>
            <b/>
            <sz val="8"/>
            <color indexed="81"/>
            <rFont val="Tahoma"/>
            <family val="2"/>
          </rPr>
          <t>lauraro:</t>
        </r>
        <r>
          <rPr>
            <sz val="8"/>
            <color indexed="81"/>
            <rFont val="Tahoma"/>
            <family val="2"/>
          </rPr>
          <t xml:space="preserve">
4/19: div declared payable on June 27, 2011 to Chico's FAS shareholders of record at the close of business on June 13, 2011</t>
        </r>
      </text>
    </comment>
    <comment ref="BX206" authorId="5">
      <text>
        <r>
          <rPr>
            <b/>
            <sz val="8"/>
            <color indexed="81"/>
            <rFont val="Tahoma"/>
            <family val="2"/>
          </rPr>
          <t>lauraro:</t>
        </r>
        <r>
          <rPr>
            <sz val="8"/>
            <color indexed="81"/>
            <rFont val="Tahoma"/>
            <family val="2"/>
          </rPr>
          <t xml:space="preserve">
3/1/12: CHS today announced that its Board of Directors has declared a quarterly cash dividend of $0.0525 per share on its common stock.  The dividend will be payable on March 26, 2012 to Chico's FAS shareholders of record at the close of business on March 12, 2012.  </t>
        </r>
      </text>
    </comment>
    <comment ref="CR206" authorId="8">
      <text>
        <r>
          <rPr>
            <b/>
            <sz val="9"/>
            <color indexed="81"/>
            <rFont val="Tahoma"/>
            <family val="2"/>
          </rPr>
          <t>Cassel, Lauren (Research):</t>
        </r>
        <r>
          <rPr>
            <sz val="9"/>
            <color indexed="81"/>
            <rFont val="Tahoma"/>
            <family val="2"/>
          </rPr>
          <t xml:space="preserve">
2/22/17: declared a quarterly cash dividend of $</t>
        </r>
        <r>
          <rPr>
            <b/>
            <sz val="9"/>
            <color indexed="81"/>
            <rFont val="Tahoma"/>
            <family val="2"/>
          </rPr>
          <t>0.0825</t>
        </r>
        <r>
          <rPr>
            <sz val="9"/>
            <color indexed="81"/>
            <rFont val="Tahoma"/>
            <family val="2"/>
          </rPr>
          <t xml:space="preserve"> per share of its common stock, a</t>
        </r>
        <r>
          <rPr>
            <b/>
            <sz val="9"/>
            <color indexed="81"/>
            <rFont val="Tahoma"/>
            <family val="2"/>
          </rPr>
          <t xml:space="preserve"> 3.1% increase</t>
        </r>
        <r>
          <rPr>
            <sz val="9"/>
            <color indexed="81"/>
            <rFont val="Tahoma"/>
            <family val="2"/>
          </rPr>
          <t xml:space="preserve"> over the March 2016 dividend rate. This represents the seventh annual increase since the dividend was established in 2010. The dividend is payable on March 27, 2017 to Chico's FAS shareholders of record at the close of business on March 13, 2017.</t>
        </r>
      </text>
    </comment>
    <comment ref="CV206" authorId="8">
      <text>
        <r>
          <rPr>
            <b/>
            <sz val="9"/>
            <color indexed="81"/>
            <rFont val="Tahoma"/>
            <family val="2"/>
          </rPr>
          <t>Cassel, Lauren (Research):</t>
        </r>
        <r>
          <rPr>
            <sz val="9"/>
            <color indexed="81"/>
            <rFont val="Tahoma"/>
            <family val="2"/>
          </rPr>
          <t xml:space="preserve">
2/21/18: Chico's FAS increases quarterly dividend by 3.0% to $0.085 from $0.0825 ($9.21)
• Payable 2-Apr-18; record 19-Mar-18.
</t>
        </r>
      </text>
    </comment>
    <comment ref="BP207" authorId="30">
      <text>
        <r>
          <rPr>
            <b/>
            <sz val="8"/>
            <color indexed="81"/>
            <rFont val="Tahoma"/>
            <family val="2"/>
          </rPr>
          <t>ns66486:</t>
        </r>
        <r>
          <rPr>
            <sz val="8"/>
            <color indexed="81"/>
            <rFont val="Tahoma"/>
            <family val="2"/>
          </rPr>
          <t xml:space="preserve">
4/20: declared cash dividend of $0.04 per share; payable on June 21 for shareholders of record June 7</t>
        </r>
      </text>
    </comment>
    <comment ref="BT207" authorId="5">
      <text>
        <r>
          <rPr>
            <b/>
            <sz val="8"/>
            <color indexed="81"/>
            <rFont val="Tahoma"/>
            <family val="2"/>
          </rPr>
          <t>lauraro:</t>
        </r>
        <r>
          <rPr>
            <sz val="8"/>
            <color indexed="81"/>
            <rFont val="Tahoma"/>
            <family val="2"/>
          </rPr>
          <t xml:space="preserve">
Chico's FAS Board of Directors also declared a regular quarterly cash dividend of $0.05 per share on its common stock. The dividend will be payable on September 26, 2011 to shareholders of record at the close of business on September 12, 2011.</t>
        </r>
      </text>
    </comment>
    <comment ref="BX207" authorId="5">
      <text>
        <r>
          <rPr>
            <b/>
            <sz val="8"/>
            <color indexed="81"/>
            <rFont val="Tahoma"/>
            <family val="2"/>
          </rPr>
          <t>lauraro:</t>
        </r>
        <r>
          <rPr>
            <sz val="8"/>
            <color indexed="81"/>
            <rFont val="Tahoma"/>
            <family val="2"/>
          </rPr>
          <t xml:space="preserve">
6/25/12: CHS today announced that its Board of Directors has declared a quarterly cash dividend of $0.0525 per share on its common stock.  The dividend will be payable on Sep 24, 2012 to Chico's FAS shareholders of record at the close of business on Sep 10, 2012.  </t>
        </r>
      </text>
    </comment>
    <comment ref="BP208" authorId="30">
      <text>
        <r>
          <rPr>
            <b/>
            <sz val="8"/>
            <color indexed="81"/>
            <rFont val="Tahoma"/>
            <family val="2"/>
          </rPr>
          <t>lauraro:</t>
        </r>
        <r>
          <rPr>
            <sz val="8"/>
            <color indexed="81"/>
            <rFont val="Tahoma"/>
            <family val="2"/>
          </rPr>
          <t xml:space="preserve">
12/10: declared cash dividend of $0.04 per share; payable on Dec 21 for shareholders of record Dec 7</t>
        </r>
      </text>
    </comment>
    <comment ref="BT208" authorId="5">
      <text>
        <r>
          <rPr>
            <b/>
            <sz val="8"/>
            <color indexed="81"/>
            <rFont val="Tahoma"/>
            <family val="2"/>
          </rPr>
          <t>lauraro:</t>
        </r>
        <r>
          <rPr>
            <sz val="8"/>
            <color indexed="81"/>
            <rFont val="Tahoma"/>
            <family val="2"/>
          </rPr>
          <t xml:space="preserve">
Chico's FAS Board of Directors also declared a regular quarterly cash dividend of $0.05 per share on its common stock. The dividend will be payable on December 19, 2011 to Chico's FAS shareholders of record at the close of business on December 5, 2011.</t>
        </r>
      </text>
    </comment>
    <comment ref="BX209" authorId="7">
      <text>
        <r>
          <rPr>
            <b/>
            <sz val="8"/>
            <color indexed="81"/>
            <rFont val="Tahoma"/>
            <family val="2"/>
          </rPr>
          <t>casselau:</t>
        </r>
        <r>
          <rPr>
            <sz val="8"/>
            <color indexed="81"/>
            <rFont val="Tahoma"/>
            <family val="2"/>
          </rPr>
          <t xml:space="preserve">
2/28/13: declares $0.055/share quarterly dividend, 4.8% increase from prior dividend of $0.525</t>
        </r>
      </text>
    </comment>
  </commentList>
</comments>
</file>

<file path=xl/comments6.xml><?xml version="1.0" encoding="utf-8"?>
<comments xmlns="http://schemas.openxmlformats.org/spreadsheetml/2006/main">
  <authors>
    <author>dong2</author>
    <author>kgreenbe</author>
    <author>kimberlg</author>
    <author>mm98285</author>
    <author>marchant</author>
    <author>lauraro</author>
    <author>Cassel, Lauren (Research)</author>
    <author>Baglione, Gregory  (Research)</author>
    <author>solejay</author>
    <author>SB</author>
    <author>Kimberly Greenberger</author>
    <author>oc48540</author>
    <author>casselau</author>
    <author>Lehman Brothers</author>
    <author>Morry Brown</author>
    <author>lr73192</author>
    <author>lehman</author>
    <author>dliu</author>
    <author>kg51925</author>
    <author>De Courreges, Edouard (Research)</author>
    <author>CREDIT SUISSE FIRST BOSTON</author>
    <author>MB33100</author>
  </authors>
  <commentList>
    <comment ref="K7" authorId="0">
      <text>
        <r>
          <rPr>
            <b/>
            <sz val="10"/>
            <color indexed="81"/>
            <rFont val="Tahoma"/>
            <family val="2"/>
          </rPr>
          <t>dong2:</t>
        </r>
        <r>
          <rPr>
            <sz val="10"/>
            <color indexed="81"/>
            <rFont val="Tahoma"/>
            <family val="2"/>
          </rPr>
          <t xml:space="preserve">
reducing by exactly the internet increase makes productivity too low, so reduce by 5 instead of 10.
8/4/03 had $669m before WHBM acquisition announced.</t>
        </r>
      </text>
    </comment>
    <comment ref="L7" authorId="1">
      <text>
        <r>
          <rPr>
            <b/>
            <sz val="10"/>
            <color indexed="81"/>
            <rFont val="Tahoma"/>
            <family val="2"/>
          </rPr>
          <t>kgreenbe:</t>
        </r>
        <r>
          <rPr>
            <sz val="10"/>
            <color indexed="81"/>
            <rFont val="Tahoma"/>
            <family val="2"/>
          </rPr>
          <t xml:space="preserve">
8/4/03 had $810mm before acquisition of WHBM. We estimate $105mm add'l rev comprised of 125 average stores opened X $830k per store. 11/24- $915 mm for retail sales, $35 for internet sales</t>
        </r>
      </text>
    </comment>
    <comment ref="M7" authorId="1">
      <text>
        <r>
          <rPr>
            <b/>
            <sz val="10"/>
            <color indexed="81"/>
            <rFont val="Tahoma"/>
            <family val="2"/>
          </rPr>
          <t>kgreenbe:</t>
        </r>
        <r>
          <rPr>
            <sz val="10"/>
            <color indexed="81"/>
            <rFont val="Tahoma"/>
            <family val="2"/>
          </rPr>
          <t xml:space="preserve">
8/4/03 had $955 before WHBM acquisition announcement
Assume $145mm WHBM revenue
Add $10mm est for Intimates</t>
        </r>
      </text>
    </comment>
    <comment ref="U7" authorId="2">
      <text>
        <r>
          <rPr>
            <b/>
            <sz val="8"/>
            <color indexed="81"/>
            <rFont val="Tahoma"/>
            <family val="2"/>
          </rPr>
          <t>kimberlg:</t>
        </r>
        <r>
          <rPr>
            <sz val="8"/>
            <color indexed="81"/>
            <rFont val="Tahoma"/>
            <family val="2"/>
          </rPr>
          <t xml:space="preserve">
subtract $30M from extra week LY</t>
        </r>
      </text>
    </comment>
    <comment ref="A11" authorId="3">
      <text>
        <r>
          <rPr>
            <b/>
            <sz val="10"/>
            <color indexed="81"/>
            <rFont val="Tahoma"/>
            <family val="2"/>
          </rPr>
          <t>mm98285:</t>
        </r>
        <r>
          <rPr>
            <sz val="10"/>
            <color indexed="81"/>
            <rFont val="Tahoma"/>
            <family val="2"/>
          </rPr>
          <t xml:space="preserve">
3/09: mgmt believes DTC business can reach 10% of sales over time</t>
        </r>
      </text>
    </comment>
    <comment ref="I11" authorId="0">
      <text>
        <r>
          <rPr>
            <b/>
            <sz val="8"/>
            <color indexed="81"/>
            <rFont val="Tahoma"/>
            <family val="2"/>
          </rPr>
          <t>dong2:</t>
        </r>
        <r>
          <rPr>
            <sz val="8"/>
            <color indexed="81"/>
            <rFont val="Tahoma"/>
            <family val="2"/>
          </rPr>
          <t xml:space="preserve">
co guidance 12-15</t>
        </r>
      </text>
    </comment>
    <comment ref="J11" authorId="0">
      <text>
        <r>
          <rPr>
            <b/>
            <sz val="8"/>
            <color indexed="81"/>
            <rFont val="Tahoma"/>
            <family val="2"/>
          </rPr>
          <t>dong2:</t>
        </r>
        <r>
          <rPr>
            <sz val="8"/>
            <color indexed="81"/>
            <rFont val="Tahoma"/>
            <family val="2"/>
          </rPr>
          <t xml:space="preserve">
co guidance 20-25</t>
        </r>
      </text>
    </comment>
    <comment ref="K11" authorId="0">
      <text>
        <r>
          <rPr>
            <b/>
            <sz val="8"/>
            <color indexed="81"/>
            <rFont val="Tahoma"/>
            <family val="2"/>
          </rPr>
          <t>dong2:</t>
        </r>
        <r>
          <rPr>
            <sz val="8"/>
            <color indexed="81"/>
            <rFont val="Tahoma"/>
            <family val="2"/>
          </rPr>
          <t xml:space="preserve">
had 20, co guidance 30-35
8/4/03 leave at $25 even after WHBM acquisition</t>
        </r>
      </text>
    </comment>
    <comment ref="L11" authorId="0">
      <text>
        <r>
          <rPr>
            <b/>
            <sz val="8"/>
            <color indexed="81"/>
            <rFont val="Tahoma"/>
            <family val="2"/>
          </rPr>
          <t>dong2:</t>
        </r>
        <r>
          <rPr>
            <sz val="8"/>
            <color indexed="81"/>
            <rFont val="Tahoma"/>
            <family val="2"/>
          </rPr>
          <t xml:space="preserve">
had 25
8/4/03 leave at $35m est after acquisition of WHBM announced.</t>
        </r>
      </text>
    </comment>
    <comment ref="M11" authorId="0">
      <text>
        <r>
          <rPr>
            <b/>
            <sz val="8"/>
            <color indexed="81"/>
            <rFont val="Tahoma"/>
            <family val="2"/>
          </rPr>
          <t>dong2:</t>
        </r>
        <r>
          <rPr>
            <sz val="8"/>
            <color indexed="81"/>
            <rFont val="Tahoma"/>
            <family val="2"/>
          </rPr>
          <t xml:space="preserve">
had 30</t>
        </r>
      </text>
    </comment>
    <comment ref="S11" authorId="4">
      <text>
        <r>
          <rPr>
            <sz val="8"/>
            <color indexed="81"/>
            <rFont val="Tahoma"/>
            <family val="2"/>
          </rPr>
          <t xml:space="preserve">11/22/2011: goal to get to 20% of total sales DTC +Boston Proper over the next 3 years 
</t>
        </r>
        <r>
          <rPr>
            <b/>
            <sz val="8"/>
            <color indexed="81"/>
            <rFont val="Tahoma"/>
            <family val="2"/>
          </rPr>
          <t>marchant:</t>
        </r>
        <r>
          <rPr>
            <sz val="8"/>
            <color indexed="81"/>
            <rFont val="Tahoma"/>
            <family val="2"/>
          </rPr>
          <t xml:space="preserve">
3/10: goal to get to 10% of sales in 2011</t>
        </r>
      </text>
    </comment>
    <comment ref="T11" authorId="5">
      <text>
        <r>
          <rPr>
            <b/>
            <sz val="8"/>
            <color indexed="81"/>
            <rFont val="Tahoma"/>
            <family val="2"/>
          </rPr>
          <t xml:space="preserve">lauraro:
</t>
        </r>
        <r>
          <rPr>
            <b/>
            <sz val="8"/>
            <color indexed="81"/>
            <rFont val="Tahoma"/>
            <family val="2"/>
          </rPr>
          <t xml:space="preserve">11/22/2011: </t>
        </r>
        <r>
          <rPr>
            <sz val="8"/>
            <color indexed="81"/>
            <rFont val="Tahoma"/>
            <family val="2"/>
          </rPr>
          <t xml:space="preserve">goal to get to 20% of total sales DTC +Boston Proper over the next 3 years </t>
        </r>
      </text>
    </comment>
    <comment ref="V11" authorId="6">
      <text>
        <r>
          <rPr>
            <b/>
            <sz val="9"/>
            <color indexed="81"/>
            <rFont val="Tahoma"/>
            <family val="2"/>
          </rPr>
          <t>Cassel, Lauren (Research):</t>
        </r>
        <r>
          <rPr>
            <sz val="9"/>
            <color indexed="81"/>
            <rFont val="Tahoma"/>
            <family val="2"/>
          </rPr>
          <t xml:space="preserve">
assume 17% of sales</t>
        </r>
      </text>
    </comment>
    <comment ref="W11" authorId="6">
      <text>
        <r>
          <rPr>
            <b/>
            <sz val="9"/>
            <color indexed="81"/>
            <rFont val="Tahoma"/>
            <family val="2"/>
          </rPr>
          <t>Cassel, Lauren (Research):</t>
        </r>
        <r>
          <rPr>
            <sz val="9"/>
            <color indexed="81"/>
            <rFont val="Tahoma"/>
            <family val="2"/>
          </rPr>
          <t xml:space="preserve">
assume 20% of sales</t>
        </r>
      </text>
    </comment>
    <comment ref="S13" authorId="5">
      <text>
        <r>
          <rPr>
            <b/>
            <sz val="8"/>
            <color indexed="81"/>
            <rFont val="Tahoma"/>
            <family val="2"/>
          </rPr>
          <t>lauraro:</t>
        </r>
        <r>
          <rPr>
            <sz val="8"/>
            <color indexed="81"/>
            <rFont val="Tahoma"/>
            <family val="2"/>
          </rPr>
          <t xml:space="preserve">
Only ~19 weeks this year</t>
        </r>
      </text>
    </comment>
    <comment ref="X13" authorId="7">
      <text>
        <r>
          <rPr>
            <b/>
            <sz val="9"/>
            <color indexed="81"/>
            <rFont val="Tahoma"/>
            <family val="2"/>
          </rPr>
          <t>Baglione, Gregory  (Research):</t>
        </r>
        <r>
          <rPr>
            <sz val="9"/>
            <color indexed="81"/>
            <rFont val="Tahoma"/>
            <family val="2"/>
          </rPr>
          <t xml:space="preserve">
8/26/15:
Reflects announced exit of BP.</t>
        </r>
      </text>
    </comment>
    <comment ref="Y13" authorId="7">
      <text>
        <r>
          <rPr>
            <b/>
            <sz val="9"/>
            <color indexed="81"/>
            <rFont val="Tahoma"/>
            <family val="2"/>
          </rPr>
          <t>Baglione, Gregory  (Research):</t>
        </r>
        <r>
          <rPr>
            <sz val="9"/>
            <color indexed="81"/>
            <rFont val="Tahoma"/>
            <family val="2"/>
          </rPr>
          <t xml:space="preserve">
8/26/15:
Reflects announced exit of BP.</t>
        </r>
      </text>
    </comment>
    <comment ref="U16" authorId="5">
      <text>
        <r>
          <rPr>
            <b/>
            <sz val="8"/>
            <color indexed="81"/>
            <rFont val="Tahoma"/>
            <family val="2"/>
          </rPr>
          <t>lauraro:</t>
        </r>
        <r>
          <rPr>
            <sz val="8"/>
            <color indexed="81"/>
            <rFont val="Tahoma"/>
            <family val="2"/>
          </rPr>
          <t xml:space="preserve">
7.6% ex extra week</t>
        </r>
      </text>
    </comment>
    <comment ref="V16" authorId="8">
      <text>
        <r>
          <rPr>
            <b/>
            <sz val="8"/>
            <color indexed="81"/>
            <rFont val="Tahoma"/>
            <family val="2"/>
          </rPr>
          <t>4Q12:</t>
        </r>
        <r>
          <rPr>
            <sz val="8"/>
            <color indexed="81"/>
            <rFont val="Tahoma"/>
            <family val="2"/>
          </rPr>
          <t xml:space="preserve">
goal is to grow top line by low DD %</t>
        </r>
      </text>
    </comment>
    <comment ref="Y18" authorId="6">
      <text>
        <r>
          <rPr>
            <b/>
            <sz val="9"/>
            <color indexed="81"/>
            <rFont val="Tahoma"/>
            <family val="2"/>
          </rPr>
          <t xml:space="preserve">Cassel, Lauren (Research):
8/30/17: Through 2020, more than 3/4 of our boutiques have lease actions that will allow us the opportunity to reconsider or renegotiate our lease terms. </t>
        </r>
        <r>
          <rPr>
            <sz val="9"/>
            <color indexed="81"/>
            <rFont val="Tahoma"/>
            <family val="2"/>
          </rPr>
          <t xml:space="preserve">
5/24/17: 60% of leases up for renewal over next 3 years</t>
        </r>
      </text>
    </comment>
    <comment ref="L19" authorId="1">
      <text>
        <r>
          <rPr>
            <b/>
            <sz val="10"/>
            <color indexed="81"/>
            <rFont val="Tahoma"/>
            <family val="2"/>
          </rPr>
          <t>kgreenbe:</t>
        </r>
        <r>
          <rPr>
            <sz val="10"/>
            <color indexed="81"/>
            <rFont val="Tahoma"/>
            <family val="2"/>
          </rPr>
          <t xml:space="preserve">
8/4/03 leave 
3/3/04: co. indicated 85-90 net new - I have 87 net new (93 open, 6 close). Mgmt indicated it plans to open at the high end of the planned WHBM range of 25-35, so I used 33
8/04: prob around 95 per charlie</t>
        </r>
      </text>
    </comment>
    <comment ref="M19" authorId="9">
      <text>
        <r>
          <rPr>
            <b/>
            <sz val="8"/>
            <color indexed="81"/>
            <rFont val="Tahoma"/>
            <family val="2"/>
          </rPr>
          <t>SB:</t>
        </r>
        <r>
          <rPr>
            <sz val="8"/>
            <color indexed="81"/>
            <rFont val="Tahoma"/>
            <family val="2"/>
          </rPr>
          <t xml:space="preserve">
11/30 had 102 estimate. Guided for 105-115 stores
4-05: Per 10-K, guided to "at least 110-120"</t>
        </r>
      </text>
    </comment>
    <comment ref="N19" authorId="10">
      <text>
        <r>
          <rPr>
            <b/>
            <sz val="8"/>
            <color indexed="81"/>
            <rFont val="Tahoma"/>
            <family val="2"/>
          </rPr>
          <t>Morry Brown:</t>
        </r>
        <r>
          <rPr>
            <sz val="8"/>
            <color indexed="81"/>
            <rFont val="Tahoma"/>
            <family val="2"/>
          </rPr>
          <t xml:space="preserve">
5/06: expect to open 140-150 new stores (excluding 11 Fitigues)
4/06: 10-k indicated 135-155 openings for 2006, EXCLUDING boutiques
11/29/05 mgmt increased 2006 store openings to 150 = 70 WHBM, 60 Chs, 20 Soma</t>
        </r>
      </text>
    </comment>
    <comment ref="O19" authorId="3">
      <text>
        <r>
          <rPr>
            <b/>
            <sz val="9"/>
            <color indexed="81"/>
            <rFont val="Tahoma"/>
            <family val="2"/>
          </rPr>
          <t>mm98285:</t>
        </r>
        <r>
          <rPr>
            <sz val="9"/>
            <color indexed="81"/>
            <rFont val="Tahoma"/>
            <family val="2"/>
          </rPr>
          <t xml:space="preserve">
12/07: 10Q 128-132 net new stores (50-55 relos/exp)
8/07: expects to open 130-140 net new stores (excl. 10 Fitigues closures)
2006 10K: expects to open 135-145 net new stores (excl. 10 fitigues closures) and expand/relo. 45-55 stores
5/06: plan to open 165-190 stores in 2007 and 40-60 exp./relo.</t>
        </r>
      </text>
    </comment>
    <comment ref="P19" authorId="3">
      <text>
        <r>
          <rPr>
            <b/>
            <sz val="10"/>
            <color indexed="81"/>
            <rFont val="Tahoma"/>
            <family val="2"/>
          </rPr>
          <t>mm98285:</t>
        </r>
        <r>
          <rPr>
            <sz val="10"/>
            <color indexed="81"/>
            <rFont val="Tahoma"/>
            <family val="2"/>
          </rPr>
          <t xml:space="preserve">
2Q 10Q: open ~35-40 net new stores and 31-33 relocations/expansions (17-20 Chico's stores and 18-20 WH|BM stores)
40-45 net stores
2007 10K: 35-40 
2/08: less than 60
12/07: expect 60-65 net new stores
2Q 10Q: 95-110 net new stores &amp; 30-50 relocations/expansions
2006 10K: expect to open 105-115 net new stores and 30-50 relo/expansions</t>
        </r>
      </text>
    </comment>
    <comment ref="Q19" authorId="3">
      <text>
        <r>
          <rPr>
            <b/>
            <sz val="10"/>
            <color indexed="81"/>
            <rFont val="Tahoma"/>
            <family val="2"/>
          </rPr>
          <t xml:space="preserve">lr73192:
</t>
        </r>
        <r>
          <rPr>
            <sz val="10"/>
            <color indexed="81"/>
            <rFont val="Tahoma"/>
            <family val="2"/>
          </rPr>
          <t xml:space="preserve">4/10: New store openings were 40, closings were 36, net 4. No specificity regarding breakdown the additional 10 openings / closings not previously referenced, so adding at summation line </t>
        </r>
        <r>
          <rPr>
            <b/>
            <sz val="10"/>
            <color indexed="81"/>
            <rFont val="Tahoma"/>
            <family val="2"/>
          </rPr>
          <t xml:space="preserve">
mm98285:</t>
        </r>
        <r>
          <rPr>
            <sz val="10"/>
            <color indexed="81"/>
            <rFont val="Tahoma"/>
            <family val="2"/>
          </rPr>
          <t xml:space="preserve">
9/09: 11 relocations/expansions
5/09: expect ~30 openings (including 8-9 Soma and 10 WHIMB) and 30-35 closures
10K: 10 net Chs closures, 4 net WHIBM openings, 6 net Soma openings &amp; 13 relocations/expansions 
3/09: expect to open 20-25 new stores (mostly WH &amp; Soma) and close 20-25 stores, with 10-15 relocations/expansions
2/08: expect to open "10 or so" stores</t>
        </r>
      </text>
    </comment>
    <comment ref="R19" authorId="11">
      <text>
        <r>
          <rPr>
            <b/>
            <sz val="10"/>
            <color indexed="81"/>
            <rFont val="Tahoma"/>
            <family val="2"/>
          </rPr>
          <t xml:space="preserve">12/10: </t>
        </r>
        <r>
          <rPr>
            <sz val="10"/>
            <color indexed="81"/>
            <rFont val="Tahoma"/>
            <family val="2"/>
          </rPr>
          <t xml:space="preserve">Currently, we expect 2010 sq. ft. +6%, reflecting 14-16 net openings of Chico's stores, 13-15 net openings of WH|BM stores, ~40 net openings of Soma stores (which does not include Soma "sister stores") and 14-16 relocations /expansions. </t>
        </r>
        <r>
          <rPr>
            <b/>
            <sz val="10"/>
            <color indexed="81"/>
            <rFont val="Tahoma"/>
            <family val="2"/>
          </rPr>
          <t xml:space="preserve">
lr73192:
</t>
        </r>
        <r>
          <rPr>
            <sz val="10"/>
            <color indexed="81"/>
            <rFont val="Tahoma"/>
            <family val="2"/>
          </rPr>
          <t>Per note from 3/2/2010, CHS plans to open 68 - 78 net stores in 2010; ~12 Chico's, 16-20 WH|BM, 40-46 Soma</t>
        </r>
        <r>
          <rPr>
            <b/>
            <sz val="10"/>
            <color indexed="81"/>
            <rFont val="Tahoma"/>
            <family val="2"/>
          </rPr>
          <t xml:space="preserve">
oc48540:</t>
        </r>
        <r>
          <rPr>
            <sz val="10"/>
            <color indexed="81"/>
            <rFont val="Tahoma"/>
            <family val="2"/>
          </rPr>
          <t xml:space="preserve">
2/24/10: +80 = Brand Chico’s expects to open 20 new outlet boutiques, White House | Black Market plans to open 13 to 15 new front line boutiques and 3 to 5 outlet boutiques, and the Soma Intimates division is planning about 40 new boutiques or store related projects.
</t>
        </r>
      </text>
    </comment>
    <comment ref="S19" authorId="5">
      <text>
        <r>
          <rPr>
            <b/>
            <sz val="8"/>
            <color indexed="81"/>
            <rFont val="Tahoma"/>
            <family val="2"/>
          </rPr>
          <t xml:space="preserve">10Q: </t>
        </r>
        <r>
          <rPr>
            <sz val="8"/>
            <color indexed="81"/>
            <rFont val="Tahoma"/>
            <family val="2"/>
          </rPr>
          <t>Currently, we expect our new stores in fiscal 2011 to increase approximately 9%, reflecting approximately 20-22 net openings of Chico's stores, 24-26 net openings of WH|BM stores, approximately 54-56 net openings of Soma stores and 25-27 relocations/expansions.</t>
        </r>
        <r>
          <rPr>
            <b/>
            <sz val="8"/>
            <color indexed="81"/>
            <rFont val="Tahoma"/>
            <family val="2"/>
          </rPr>
          <t xml:space="preserve">
5/18/11: </t>
        </r>
        <r>
          <rPr>
            <sz val="8"/>
            <color indexed="81"/>
            <rFont val="Tahoma"/>
            <family val="2"/>
          </rPr>
          <t>Over the next 3-4 years see oppty to open 150 more Chico's front-line and outlet stores (opened 10 in 1Q), 250+ WHBM focusing on front-line first, then outlets</t>
        </r>
        <r>
          <rPr>
            <sz val="8"/>
            <color indexed="81"/>
            <rFont val="Tahoma"/>
            <family val="2"/>
          </rPr>
          <t xml:space="preserve">
</t>
        </r>
        <r>
          <rPr>
            <b/>
            <sz val="8"/>
            <color indexed="81"/>
            <rFont val="Tahoma"/>
            <family val="2"/>
          </rPr>
          <t>3/1/11:</t>
        </r>
        <r>
          <rPr>
            <sz val="8"/>
            <color indexed="81"/>
            <rFont val="Tahoma"/>
            <family val="2"/>
          </rPr>
          <t xml:space="preserve"> </t>
        </r>
        <r>
          <rPr>
            <u/>
            <sz val="8"/>
            <color indexed="81"/>
            <rFont val="Tahoma"/>
            <family val="2"/>
          </rPr>
          <t>Chico's:</t>
        </r>
        <r>
          <rPr>
            <sz val="8"/>
            <color indexed="81"/>
            <rFont val="Tahoma"/>
            <family val="2"/>
          </rPr>
          <t xml:space="preserve"> +15 frontline, +20 outlet, +11-15 relocations
Soma: +50 new boutiques
</t>
        </r>
        <r>
          <rPr>
            <u/>
            <sz val="8"/>
            <color indexed="81"/>
            <rFont val="Tahoma"/>
            <family val="2"/>
          </rPr>
          <t>WHBM:</t>
        </r>
        <r>
          <rPr>
            <sz val="8"/>
            <color indexed="81"/>
            <rFont val="Tahoma"/>
            <family val="2"/>
          </rPr>
          <t xml:space="preserve"> +30 front line stores, +4 outlets
</t>
        </r>
        <r>
          <rPr>
            <b/>
            <sz val="8"/>
            <color indexed="81"/>
            <rFont val="Tahoma"/>
            <family val="2"/>
          </rPr>
          <t>Refurbs 2011:</t>
        </r>
        <r>
          <rPr>
            <sz val="8"/>
            <color indexed="81"/>
            <rFont val="Tahoma"/>
            <family val="2"/>
          </rPr>
          <t xml:space="preserve"> 70-100 Chico's (400 total over several years); 15-20 maybe 30 WHBM (100 total over several years); WHBM refurb costs less than $60K
</t>
        </r>
        <r>
          <rPr>
            <b/>
            <sz val="8"/>
            <color indexed="81"/>
            <rFont val="Tahoma"/>
            <family val="2"/>
          </rPr>
          <t>Lift:</t>
        </r>
        <r>
          <rPr>
            <sz val="8"/>
            <color indexed="81"/>
            <rFont val="Tahoma"/>
            <family val="2"/>
          </rPr>
          <t xml:space="preserve"> Chico's +6-8% post minor refurb; lil higher when we do a remodel
WHBM: lift closer to +10%</t>
        </r>
      </text>
    </comment>
    <comment ref="T19" authorId="5">
      <text>
        <r>
          <rPr>
            <b/>
            <sz val="8"/>
            <color indexed="81"/>
            <rFont val="Tahoma"/>
            <family val="2"/>
          </rPr>
          <t xml:space="preserve">8/22/12: </t>
        </r>
        <r>
          <rPr>
            <sz val="8"/>
            <color indexed="81"/>
            <rFont val="Tahoma"/>
            <family val="2"/>
          </rPr>
          <t>plan to grow store count by at least 120 stores per year; in 2012, outlet stores are a significant portion of our planned real estate growth for Chicos</t>
        </r>
        <r>
          <rPr>
            <b/>
            <sz val="8"/>
            <color indexed="81"/>
            <rFont val="Tahoma"/>
            <family val="2"/>
          </rPr>
          <t xml:space="preserve">
lauraro:</t>
        </r>
        <r>
          <rPr>
            <sz val="8"/>
            <color indexed="81"/>
            <rFont val="Tahoma"/>
            <family val="2"/>
          </rPr>
          <t xml:space="preserve">
</t>
        </r>
        <r>
          <rPr>
            <b/>
            <sz val="8"/>
            <color indexed="81"/>
            <rFont val="Tahoma"/>
            <family val="2"/>
          </rPr>
          <t xml:space="preserve">2/22/12: </t>
        </r>
        <r>
          <rPr>
            <sz val="8"/>
            <color indexed="81"/>
            <rFont val="Tahoma"/>
            <family val="2"/>
          </rPr>
          <t>135 gross new stores planned for 2012: 35 Chico's , 60 WHBM, 40 Soma (first BP test stores in early 2013).
Includes 40 outlets: 17  Chico's, 20 WHBM.
Total closures 20, primarily these closures will be oversized boutiques and rejected pop-up locations</t>
        </r>
        <r>
          <rPr>
            <sz val="8"/>
            <color indexed="81"/>
            <rFont val="Tahoma"/>
            <family val="2"/>
          </rPr>
          <t xml:space="preserve">
</t>
        </r>
        <r>
          <rPr>
            <b/>
            <sz val="8"/>
            <color indexed="81"/>
            <rFont val="Tahoma"/>
            <family val="2"/>
          </rPr>
          <t xml:space="preserve">10-K: </t>
        </r>
        <r>
          <rPr>
            <sz val="8"/>
            <color indexed="81"/>
            <rFont val="Tahoma"/>
            <family val="2"/>
          </rPr>
          <t>In fiscal 2012, we currently expect to open ~135 new stores and close ~20 stores. We expect 28-32 net openings of Chico's stores, 54-58 net openings of WH|BM stores and 28-32 net openings of Soma stores.</t>
        </r>
        <r>
          <rPr>
            <sz val="8"/>
            <color indexed="81"/>
            <rFont val="Tahoma"/>
            <family val="2"/>
          </rPr>
          <t xml:space="preserve">
</t>
        </r>
        <r>
          <rPr>
            <b/>
            <sz val="8"/>
            <color indexed="81"/>
            <rFont val="Tahoma"/>
            <family val="2"/>
          </rPr>
          <t>11/22/11:</t>
        </r>
        <r>
          <rPr>
            <sz val="8"/>
            <color indexed="81"/>
            <rFont val="Tahoma"/>
            <family val="2"/>
          </rPr>
          <t xml:space="preserve"> Expect to open ~100 stores/yr going forward
Expect to open Boston Proper stores in Jan 2013 (FY2012) / and 2013
</t>
        </r>
        <r>
          <rPr>
            <b/>
            <sz val="8"/>
            <color indexed="81"/>
            <rFont val="Tahoma"/>
            <family val="2"/>
          </rPr>
          <t>2/11</t>
        </r>
        <r>
          <rPr>
            <sz val="8"/>
            <color indexed="81"/>
            <rFont val="Tahoma"/>
            <family val="2"/>
          </rPr>
          <t xml:space="preserve"> Expect to continue to open net 100-110 stores going forward</t>
        </r>
      </text>
    </comment>
    <comment ref="U19" authorId="5">
      <text>
        <r>
          <rPr>
            <sz val="8"/>
            <color indexed="81"/>
            <rFont val="Tahoma"/>
            <family val="2"/>
          </rPr>
          <t xml:space="preserve">4Q12 call on FY13 =135-145, soma = 45.  See 2000 stores total one day
</t>
        </r>
        <r>
          <rPr>
            <b/>
            <sz val="8"/>
            <color indexed="81"/>
            <rFont val="Tahoma"/>
            <family val="2"/>
          </rPr>
          <t>11/22/11:</t>
        </r>
        <r>
          <rPr>
            <sz val="8"/>
            <color indexed="81"/>
            <rFont val="Tahoma"/>
            <family val="2"/>
          </rPr>
          <t xml:space="preserve"> Expect to open ~100 stores/yr going forward
Expect to open Boston Proper stores in Jan 2013 (FY2012) / and 2013</t>
        </r>
      </text>
    </comment>
    <comment ref="V19" authorId="12">
      <text>
        <r>
          <rPr>
            <b/>
            <sz val="8"/>
            <color indexed="81"/>
            <rFont val="Tahoma"/>
            <family val="2"/>
          </rPr>
          <t xml:space="preserve">casselau:
5/28/14: </t>
        </r>
        <r>
          <rPr>
            <sz val="8"/>
            <color indexed="81"/>
            <rFont val="Tahoma"/>
            <family val="2"/>
          </rPr>
          <t>now expect to open 107 new stores</t>
        </r>
        <r>
          <rPr>
            <b/>
            <sz val="8"/>
            <color indexed="81"/>
            <rFont val="Tahoma"/>
            <family val="2"/>
          </rPr>
          <t xml:space="preserve">
</t>
        </r>
        <r>
          <rPr>
            <sz val="8"/>
            <color indexed="81"/>
            <rFont val="Tahoma"/>
            <family val="2"/>
          </rPr>
          <t xml:space="preserve">2/27/14: 120-130 new stores; 40 Soma stores, 20 Boston Proper stores, 20 outlets, 10 international stores, and there is 15 Chico's and 25 White House/Black Market stores as well. </t>
        </r>
        <r>
          <rPr>
            <sz val="8"/>
            <color indexed="81"/>
            <rFont val="Tahoma"/>
            <family val="2"/>
          </rPr>
          <t xml:space="preserve">
11/26/13: opening 120 to 130 gross new stores, including approximately 10 international standalone stores for Chico's and White House/Black Market combined, and opening 15 to 20 new Boston Proper stores.</t>
        </r>
      </text>
    </comment>
    <comment ref="W19" authorId="12">
      <text>
        <r>
          <rPr>
            <b/>
            <sz val="9"/>
            <color indexed="81"/>
            <rFont val="Tahoma"/>
            <family val="2"/>
          </rPr>
          <t xml:space="preserve">casselau:
2/26/15: expects to open 40 new stores
11/25/14: 60-70 stores
</t>
        </r>
        <r>
          <rPr>
            <sz val="9"/>
            <color indexed="81"/>
            <rFont val="Tahoma"/>
            <family val="2"/>
          </rPr>
          <t>8/27/14: plan to open 70-80 stores
2/27/14: longer term, plan to open 120 stores a year</t>
        </r>
      </text>
    </comment>
    <comment ref="X19" authorId="12">
      <text>
        <r>
          <rPr>
            <b/>
            <sz val="9"/>
            <color indexed="81"/>
            <rFont val="Tahoma"/>
            <family val="2"/>
          </rPr>
          <t xml:space="preserve">casselau:
5/26/16: expect to open 15-20 new stores, primarily soma
2/26/16: We anticipate opening approximately 25 stores </t>
        </r>
        <r>
          <rPr>
            <sz val="9"/>
            <color indexed="81"/>
            <rFont val="Tahoma"/>
            <family val="2"/>
          </rPr>
          <t xml:space="preserve">
11/24/15: per Todd: 10 openings between Chico's and WHBM - Soma about 15</t>
        </r>
      </text>
    </comment>
    <comment ref="Y19" authorId="6">
      <text>
        <r>
          <rPr>
            <b/>
            <sz val="9"/>
            <color indexed="81"/>
            <rFont val="Tahoma"/>
            <family val="2"/>
          </rPr>
          <t>Cassel, Lauren (Research):</t>
        </r>
        <r>
          <rPr>
            <sz val="9"/>
            <color indexed="81"/>
            <rFont val="Tahoma"/>
            <family val="2"/>
          </rPr>
          <t xml:space="preserve">
2/22/17: Our estimate reflects our plans to open approximately 10 stores spread across each of our brands.
</t>
        </r>
      </text>
    </comment>
    <comment ref="A20" authorId="3">
      <text>
        <r>
          <rPr>
            <b/>
            <sz val="8"/>
            <color indexed="81"/>
            <rFont val="Tahoma"/>
            <family val="2"/>
          </rPr>
          <t>mm98285:</t>
        </r>
        <r>
          <rPr>
            <sz val="8"/>
            <color indexed="81"/>
            <rFont val="Tahoma"/>
            <family val="2"/>
          </rPr>
          <t xml:space="preserve">
10/10: can have total of 675-700 chs front line stores - based on analysis of small market stores (pop 100-200K doing $1.6-$1.7M) think they can haveanother 75-100 Chs
2007 10K 700-800 potential for Chico's and compariable or only slightly lower for WHBM</t>
        </r>
      </text>
    </comment>
    <comment ref="I20" authorId="1">
      <text>
        <r>
          <rPr>
            <b/>
            <sz val="10"/>
            <color indexed="81"/>
            <rFont val="Tahoma"/>
            <family val="2"/>
          </rPr>
          <t>kgreenbe:</t>
        </r>
        <r>
          <rPr>
            <sz val="10"/>
            <color indexed="81"/>
            <rFont val="Tahoma"/>
            <family val="2"/>
          </rPr>
          <t xml:space="preserve">
22 relos (chg. In sq. ft.)
30 remodels (no change in sq. ft.).
Most likely similar g.f.</t>
        </r>
      </text>
    </comment>
    <comment ref="J20" authorId="13">
      <text>
        <r>
          <rPr>
            <sz val="8"/>
            <color indexed="81"/>
            <rFont val="Tahoma"/>
            <family val="2"/>
          </rPr>
          <t>raised to 65 NET new stores based on co.'s guidance on 2Q conf, call on 8/29</t>
        </r>
      </text>
    </comment>
    <comment ref="L20" authorId="1">
      <text>
        <r>
          <rPr>
            <b/>
            <sz val="10"/>
            <color indexed="81"/>
            <rFont val="Tahoma"/>
            <family val="2"/>
          </rPr>
          <t>kgreenbe:</t>
        </r>
        <r>
          <rPr>
            <sz val="10"/>
            <color indexed="81"/>
            <rFont val="Tahoma"/>
            <family val="2"/>
          </rPr>
          <t xml:space="preserve">
8/4/03 leave Chico's store openings at 67 even after announced acquisition of WHBM. Co guided to 25% square footage growth in 2004.
9/9/03: The Company expects to open between 85 and 90 net new stores. Out of this total, approximately 45-50 are expected to be Chico's stores, approximately 25-30 are expected to be White House/Black Market stores, and the Company is planning to open 10 test stores under its new intimate apparel concept. The Company also plans to expand or relocate as many Chico's and White House/Black Market stores as possible during the year, including the conversion of the Pazo store locations to the Company's other formats
11/30 mgmt said 53 net new stores</t>
        </r>
      </text>
    </comment>
    <comment ref="M20" authorId="9">
      <text>
        <r>
          <rPr>
            <b/>
            <sz val="8"/>
            <color indexed="81"/>
            <rFont val="Tahoma"/>
            <family val="2"/>
          </rPr>
          <t xml:space="preserve">SB:
</t>
        </r>
        <r>
          <rPr>
            <sz val="8"/>
            <color indexed="81"/>
            <rFont val="Tahoma"/>
            <family val="2"/>
          </rPr>
          <t>10-k had +65-70, per 2Q conf call, +55</t>
        </r>
        <r>
          <rPr>
            <sz val="8"/>
            <color indexed="81"/>
            <rFont val="Tahoma"/>
            <family val="2"/>
          </rPr>
          <t xml:space="preserve">
11/30 had 62 est. Mgmt said 65-70 net new expected</t>
        </r>
      </text>
    </comment>
    <comment ref="N20" authorId="14">
      <text>
        <r>
          <rPr>
            <b/>
            <sz val="8"/>
            <color indexed="81"/>
            <rFont val="Tahoma"/>
            <family val="2"/>
          </rPr>
          <t>Morry Brown:</t>
        </r>
        <r>
          <rPr>
            <sz val="8"/>
            <color indexed="81"/>
            <rFont val="Tahoma"/>
            <family val="2"/>
          </rPr>
          <t xml:space="preserve">
5/06: plan to open 45-47 Chico's stores
4/06: 10-K indicated 45-55 Chico's openings
11/29/05 mgmt raised store openings to 150 = 70 WH, 60 Chs, 20 Soma
8/25/05 per 2Q call, mgmt indicated +105-120 (ex-Soma), with 60% CHS</t>
        </r>
      </text>
    </comment>
    <comment ref="O20" authorId="3">
      <text>
        <r>
          <rPr>
            <b/>
            <sz val="10"/>
            <color indexed="81"/>
            <rFont val="Tahoma"/>
            <family val="2"/>
          </rPr>
          <t>mm98285:</t>
        </r>
        <r>
          <rPr>
            <sz val="10"/>
            <color indexed="81"/>
            <rFont val="Tahoma"/>
            <family val="2"/>
          </rPr>
          <t xml:space="preserve">
12/07: 10Q 53-56 Chico's
2/07 &amp; 8/07: 55-60 net new Chico's
5/06: plans to open 45-50 Chico's stores in '07</t>
        </r>
      </text>
    </comment>
    <comment ref="P20" authorId="3">
      <text>
        <r>
          <rPr>
            <b/>
            <sz val="10"/>
            <color indexed="81"/>
            <rFont val="Tahoma"/>
            <family val="2"/>
          </rPr>
          <t>mm98285:</t>
        </r>
        <r>
          <rPr>
            <sz val="10"/>
            <color indexed="81"/>
            <rFont val="Tahoma"/>
            <family val="2"/>
          </rPr>
          <t xml:space="preserve">
2007 10K: 17-20 Chicos
12/07: 10Q 25-27 Chico's
2Q 10Q: 40-45 
2006 10K: 40-50 net new Chico's</t>
        </r>
      </text>
    </comment>
    <comment ref="Q20" authorId="3">
      <text>
        <r>
          <rPr>
            <b/>
            <sz val="10"/>
            <color indexed="81"/>
            <rFont val="Tahoma"/>
            <family val="2"/>
          </rPr>
          <t>mm98285:</t>
        </r>
        <r>
          <rPr>
            <sz val="10"/>
            <color indexed="81"/>
            <rFont val="Tahoma"/>
            <family val="2"/>
          </rPr>
          <t xml:space="preserve">
9/09: 18 net closures</t>
        </r>
      </text>
    </comment>
    <comment ref="R20" authorId="15">
      <text>
        <r>
          <rPr>
            <b/>
            <sz val="10"/>
            <color indexed="81"/>
            <rFont val="Tahoma"/>
            <family val="2"/>
          </rPr>
          <t>lr73192:</t>
        </r>
        <r>
          <rPr>
            <sz val="10"/>
            <color indexed="81"/>
            <rFont val="Tahoma"/>
            <family val="2"/>
          </rPr>
          <t xml:space="preserve">
Per note from 3/2/2010, CHS plans to open 68 - 78 net stores in 2010; ~12 Chico's, 16-20 WH|BM, 40-46 Soma
Assuming: 0 Chico's Company stores opened, 7 closed</t>
        </r>
      </text>
    </comment>
    <comment ref="S20" authorId="5">
      <text>
        <r>
          <rPr>
            <b/>
            <sz val="8"/>
            <color indexed="81"/>
            <rFont val="Tahoma"/>
            <family val="2"/>
          </rPr>
          <t xml:space="preserve">5/18/11: </t>
        </r>
        <r>
          <rPr>
            <sz val="8"/>
            <color indexed="81"/>
            <rFont val="Tahoma"/>
            <family val="2"/>
          </rPr>
          <t>Over the next 3-4 years see oppty to open 150 more Chico's front-line and outlet stores (opened 10 in 1Q), 250+ WHBM focusing on front-line first, then outlets</t>
        </r>
        <r>
          <rPr>
            <sz val="8"/>
            <color indexed="81"/>
            <rFont val="Tahoma"/>
            <family val="2"/>
          </rPr>
          <t xml:space="preserve">
</t>
        </r>
      </text>
    </comment>
    <comment ref="W20" authorId="12">
      <text>
        <r>
          <rPr>
            <b/>
            <sz val="9"/>
            <color indexed="81"/>
            <rFont val="Tahoma"/>
            <family val="2"/>
          </rPr>
          <t>casselau:
2/26/15: 14-16</t>
        </r>
        <r>
          <rPr>
            <sz val="9"/>
            <color indexed="81"/>
            <rFont val="Tahoma"/>
            <family val="2"/>
          </rPr>
          <t xml:space="preserve">
20-22 stores (including outlet)</t>
        </r>
      </text>
    </comment>
    <comment ref="A21" authorId="1">
      <text>
        <r>
          <rPr>
            <b/>
            <sz val="8"/>
            <color indexed="81"/>
            <rFont val="Tahoma"/>
            <family val="2"/>
          </rPr>
          <t>kgreenbe:</t>
        </r>
        <r>
          <rPr>
            <sz val="8"/>
            <color indexed="81"/>
            <rFont val="Tahoma"/>
            <family val="2"/>
          </rPr>
          <t xml:space="preserve">
10/10: goal for 100-125 (new MFO product)
7 outlets opened historically.</t>
        </r>
      </text>
    </comment>
    <comment ref="B21" authorId="1">
      <text>
        <r>
          <rPr>
            <b/>
            <sz val="9"/>
            <color indexed="81"/>
            <rFont val="Tahoma"/>
            <family val="2"/>
          </rPr>
          <t>kgreenbe:</t>
        </r>
        <r>
          <rPr>
            <sz val="9"/>
            <color indexed="81"/>
            <rFont val="Tahoma"/>
            <family val="2"/>
          </rPr>
          <t xml:space="preserve">
had 6 open at beginning of year per Charlie 8/8/01</t>
        </r>
      </text>
    </comment>
    <comment ref="C21" authorId="0">
      <text>
        <r>
          <rPr>
            <b/>
            <sz val="10"/>
            <color indexed="81"/>
            <rFont val="Tahoma"/>
            <family val="2"/>
          </rPr>
          <t>dong2:</t>
        </r>
        <r>
          <rPr>
            <sz val="10"/>
            <color indexed="81"/>
            <rFont val="Tahoma"/>
            <family val="2"/>
          </rPr>
          <t xml:space="preserve">
8/8: per co, had 9 outlets in 95. Had 6 in 94, so assume 3 were opened within 95</t>
        </r>
      </text>
    </comment>
    <comment ref="D21" authorId="1">
      <text>
        <r>
          <rPr>
            <b/>
            <sz val="10"/>
            <color indexed="81"/>
            <rFont val="Tahoma"/>
            <family val="2"/>
          </rPr>
          <t>kgreenbe:</t>
        </r>
        <r>
          <rPr>
            <sz val="10"/>
            <color indexed="81"/>
            <rFont val="Tahoma"/>
            <family val="2"/>
          </rPr>
          <t xml:space="preserve">
per co, had 8 outlets in 96</t>
        </r>
      </text>
    </comment>
    <comment ref="E21" authorId="1">
      <text>
        <r>
          <rPr>
            <b/>
            <sz val="10"/>
            <color indexed="81"/>
            <rFont val="Tahoma"/>
            <family val="2"/>
          </rPr>
          <t>kgreenbe:</t>
        </r>
        <r>
          <rPr>
            <sz val="10"/>
            <color indexed="81"/>
            <rFont val="Tahoma"/>
            <family val="2"/>
          </rPr>
          <t xml:space="preserve">
8/8/01 per co., 7 outlets in 97</t>
        </r>
      </text>
    </comment>
    <comment ref="H21" authorId="1">
      <text>
        <r>
          <rPr>
            <b/>
            <sz val="10"/>
            <color indexed="81"/>
            <rFont val="Tahoma"/>
            <family val="2"/>
          </rPr>
          <t>kgreenbe:</t>
        </r>
        <r>
          <rPr>
            <sz val="10"/>
            <color indexed="81"/>
            <rFont val="Tahoma"/>
            <family val="2"/>
          </rPr>
          <t xml:space="preserve">
at year end still w/ 7 outlets b/c 1 closed</t>
        </r>
      </text>
    </comment>
    <comment ref="I21" authorId="1">
      <text>
        <r>
          <rPr>
            <b/>
            <sz val="10"/>
            <color indexed="81"/>
            <rFont val="Tahoma"/>
            <family val="2"/>
          </rPr>
          <t>kgreenbe:</t>
        </r>
        <r>
          <rPr>
            <sz val="10"/>
            <color indexed="81"/>
            <rFont val="Tahoma"/>
            <family val="2"/>
          </rPr>
          <t xml:space="preserve">
8/1/01: co indicated that 2 outlets have been expanded TY and plan to open 1 more outlet in '01.
Should end year w/ 11 outlets, hopefully 14. Budget 12</t>
        </r>
      </text>
    </comment>
    <comment ref="J21" authorId="1">
      <text>
        <r>
          <rPr>
            <b/>
            <sz val="10"/>
            <color indexed="81"/>
            <rFont val="Tahoma"/>
            <family val="2"/>
          </rPr>
          <t>kgreenbe:</t>
        </r>
        <r>
          <rPr>
            <sz val="10"/>
            <color indexed="81"/>
            <rFont val="Tahoma"/>
            <family val="2"/>
          </rPr>
          <t xml:space="preserve">
8/1901: co. goal is to have 16-18 outlets open by year end '02. 8/30: on 2Q conf call co said plans to open 9 next year to end w. 20 by end 02. (not refl. In our model yet). 12/5: Co. officially guided to 9 outlets, included in 60-65 store opening plan.
12/3/02: on 3Q conf call, co. indicated it will open 6 in FY02 for a total of 17 at year-end.
3/4/03: confirm 17 at YE</t>
        </r>
      </text>
    </comment>
    <comment ref="O21" authorId="3">
      <text>
        <r>
          <rPr>
            <b/>
            <sz val="9"/>
            <color indexed="81"/>
            <rFont val="Tahoma"/>
            <family val="2"/>
          </rPr>
          <t>mm98285:</t>
        </r>
        <r>
          <rPr>
            <sz val="9"/>
            <color indexed="81"/>
            <rFont val="Tahoma"/>
            <family val="2"/>
          </rPr>
          <t xml:space="preserve">
2006 10K: expect to open 2-4 new Chico's outlet stores</t>
        </r>
      </text>
    </comment>
    <comment ref="R21" authorId="15">
      <text>
        <r>
          <rPr>
            <b/>
            <sz val="10"/>
            <color indexed="81"/>
            <rFont val="Tahoma"/>
            <family val="2"/>
          </rPr>
          <t>lr73192:</t>
        </r>
        <r>
          <rPr>
            <sz val="10"/>
            <color indexed="81"/>
            <rFont val="Tahoma"/>
            <family val="2"/>
          </rPr>
          <t xml:space="preserve">
4/10 Per note from 3/2/2010, CHS plans to open 68 - 78 net stores in 2010; ~12 Chico's, 16-20 WH|BM, 40-46 Soma
Assuming: 19 Chico's outlets opened, 0 closed</t>
        </r>
      </text>
    </comment>
    <comment ref="S21" authorId="4">
      <text>
        <r>
          <rPr>
            <b/>
            <sz val="8"/>
            <color indexed="81"/>
            <rFont val="Tahoma"/>
            <family val="2"/>
          </rPr>
          <t xml:space="preserve">5/18/11: </t>
        </r>
        <r>
          <rPr>
            <sz val="8"/>
            <color indexed="81"/>
            <rFont val="Tahoma"/>
            <family val="2"/>
          </rPr>
          <t>Over the next 3-4 years see oppty to open 150 more Chico's front-line and outlet stores (opened 10 in 1Q), 250+ WHBM focusing on front-line first, then outlets</t>
        </r>
        <r>
          <rPr>
            <sz val="8"/>
            <color indexed="81"/>
            <rFont val="Tahoma"/>
            <family val="2"/>
          </rPr>
          <t xml:space="preserve">
</t>
        </r>
        <r>
          <rPr>
            <b/>
            <sz val="8"/>
            <color indexed="81"/>
            <rFont val="Tahoma"/>
            <family val="2"/>
          </rPr>
          <t>3/10:</t>
        </r>
        <r>
          <rPr>
            <sz val="8"/>
            <color indexed="81"/>
            <rFont val="Tahoma"/>
            <family val="2"/>
          </rPr>
          <t xml:space="preserve"> +20-25 chs outlet</t>
        </r>
      </text>
    </comment>
    <comment ref="A24" authorId="3">
      <text>
        <r>
          <rPr>
            <b/>
            <sz val="8"/>
            <color indexed="81"/>
            <rFont val="Tahoma"/>
            <family val="2"/>
          </rPr>
          <t>mm98285:</t>
        </r>
        <r>
          <rPr>
            <sz val="8"/>
            <color indexed="81"/>
            <rFont val="Tahoma"/>
            <family val="2"/>
          </rPr>
          <t xml:space="preserve">
10/10: can have 450-500 WHIBM stores
2007 10K 700-800 potential for Chico's and compariable or only slightly lower for WHBM</t>
        </r>
      </text>
    </comment>
    <comment ref="K24" authorId="16">
      <text>
        <r>
          <rPr>
            <sz val="8"/>
            <color indexed="81"/>
            <rFont val="Tahoma"/>
            <family val="2"/>
          </rPr>
          <t>8/4/03: Includes 103 stores at time of announcement plus additional 8 stores expected to open in remainder of year. Co said could be 8-10 stores opened. Use bottom end.
12/2: acquired 107 WHBM stores at time of closing, and plan to open 7 more stores in FY03</t>
        </r>
      </text>
    </comment>
    <comment ref="L24" authorId="1">
      <text>
        <r>
          <rPr>
            <b/>
            <sz val="10"/>
            <color indexed="81"/>
            <rFont val="Tahoma"/>
            <family val="2"/>
          </rPr>
          <t>kgreenbe:</t>
        </r>
        <r>
          <rPr>
            <sz val="10"/>
            <color indexed="81"/>
            <rFont val="Tahoma"/>
            <family val="2"/>
          </rPr>
          <t xml:space="preserve">
8/4/03 Co announced acquisition of WHBM and said intend to open 25-30 stores in 2004 for total co. sq ft growth of 25%.
11/30 mgmt said will open 46 net new stores in 2004</t>
        </r>
      </text>
    </comment>
    <comment ref="M24" authorId="9">
      <text>
        <r>
          <rPr>
            <b/>
            <sz val="9"/>
            <color indexed="81"/>
            <rFont val="Tahoma"/>
            <family val="2"/>
          </rPr>
          <t>SB:</t>
        </r>
        <r>
          <rPr>
            <sz val="9"/>
            <color indexed="81"/>
            <rFont val="Tahoma"/>
            <family val="2"/>
          </rPr>
          <t xml:space="preserve">
4/07: opened 40 net WH|BM front-line stores and 4 net WH|BM outlet stores
8/25 2Q call indicated +45-50
10-k had 40-45 net new stores</t>
        </r>
      </text>
    </comment>
    <comment ref="N24" authorId="14">
      <text>
        <r>
          <rPr>
            <b/>
            <sz val="9"/>
            <color indexed="81"/>
            <rFont val="Tahoma"/>
            <family val="2"/>
          </rPr>
          <t>Morry Brown:</t>
        </r>
        <r>
          <rPr>
            <sz val="9"/>
            <color indexed="81"/>
            <rFont val="Tahoma"/>
            <family val="2"/>
          </rPr>
          <t xml:space="preserve">
4/07: 58 net WH|BM front-line stores, 8 WH|BM outlet stores
5/06: plan to open 63-67 WHBM stores in '06
4/06: 10-K indicates 65-70 WH|BM
11/29/05 mgmt raised store openings to 150 = 70 WH, 60 Chs, 20 Soma
8/25/05 per 2Q call, mgmt indicated +105-120 (ex-Soma), with 60% CHS</t>
        </r>
      </text>
    </comment>
    <comment ref="O24" authorId="3">
      <text>
        <r>
          <rPr>
            <b/>
            <sz val="10"/>
            <color indexed="81"/>
            <rFont val="Tahoma"/>
            <family val="2"/>
          </rPr>
          <t>mm98285:</t>
        </r>
        <r>
          <rPr>
            <sz val="10"/>
            <color indexed="81"/>
            <rFont val="Tahoma"/>
            <family val="2"/>
          </rPr>
          <t xml:space="preserve">
12/07: 10Q 57-59 WHIBM
2/07 &amp; 8/07: 55-60 net new WH|BM (incl 4-6 new outlet stores)
5/06: plan to open 60-70 new WH|BM stores in '07</t>
        </r>
      </text>
    </comment>
    <comment ref="P24" authorId="3">
      <text>
        <r>
          <rPr>
            <b/>
            <sz val="10"/>
            <color indexed="81"/>
            <rFont val="Tahoma"/>
            <family val="2"/>
          </rPr>
          <t>mm98285:</t>
        </r>
        <r>
          <rPr>
            <sz val="10"/>
            <color indexed="81"/>
            <rFont val="Tahoma"/>
            <family val="2"/>
          </rPr>
          <t xml:space="preserve">
2007 10K 18-20 openings minus 6-8 closings
12/07: 10Q 29-31 WHIBM
2Q 10Q: 50-55
2006 10K: 50-60 net new WH|BM 
</t>
        </r>
      </text>
    </comment>
    <comment ref="Q24" authorId="3">
      <text>
        <r>
          <rPr>
            <b/>
            <sz val="9"/>
            <color indexed="81"/>
            <rFont val="Tahoma"/>
            <family val="2"/>
          </rPr>
          <t>mm98285:
12/7: 3 net openings</t>
        </r>
        <r>
          <rPr>
            <sz val="9"/>
            <color indexed="81"/>
            <rFont val="Tahoma"/>
            <family val="2"/>
          </rPr>
          <t xml:space="preserve">
9/09: 2 net openings</t>
        </r>
      </text>
    </comment>
    <comment ref="R24" authorId="11">
      <text>
        <r>
          <rPr>
            <sz val="10"/>
            <color indexed="81"/>
            <rFont val="Tahoma"/>
            <family val="2"/>
          </rPr>
          <t xml:space="preserve">4/10 Per note from 3/2/2010, CHS plans to open 68 - 78 net stores in 2010; ~12 Chico's, 16-20 WH|BM, 40-46 Soma
Assuming: 14 WHBM frontline stores opened, 0 closed and 4 WHBM outlets opened, 0 closed
</t>
        </r>
        <r>
          <rPr>
            <b/>
            <sz val="10"/>
            <color indexed="81"/>
            <rFont val="Tahoma"/>
            <family val="2"/>
          </rPr>
          <t xml:space="preserve">
oc48540:</t>
        </r>
        <r>
          <rPr>
            <sz val="10"/>
            <color indexed="81"/>
            <rFont val="Tahoma"/>
            <family val="2"/>
          </rPr>
          <t xml:space="preserve">
2/24/10:  Thinks can grow +100 stores</t>
        </r>
      </text>
    </comment>
    <comment ref="S24" authorId="5">
      <text>
        <r>
          <rPr>
            <b/>
            <sz val="8"/>
            <color indexed="81"/>
            <rFont val="Tahoma"/>
            <family val="2"/>
          </rPr>
          <t>5/18/11:</t>
        </r>
        <r>
          <rPr>
            <sz val="8"/>
            <color indexed="81"/>
            <rFont val="Tahoma"/>
            <family val="2"/>
          </rPr>
          <t xml:space="preserve"> Over the next 3-4 years see oppty to open 150 more Chico's front-line and outlet stores (opened 10 in 1Q), 250+ WHBM focusing on front-line first, then outlets (think WHBM FL stores could be 500+ and outlets 125+)</t>
        </r>
        <r>
          <rPr>
            <sz val="8"/>
            <color indexed="81"/>
            <rFont val="Tahoma"/>
            <family val="2"/>
          </rPr>
          <t xml:space="preserve">
</t>
        </r>
        <r>
          <rPr>
            <b/>
            <sz val="8"/>
            <color indexed="81"/>
            <rFont val="Tahoma"/>
            <family val="2"/>
          </rPr>
          <t>2/11:</t>
        </r>
        <r>
          <rPr>
            <sz val="8"/>
            <color indexed="81"/>
            <rFont val="Tahoma"/>
            <family val="2"/>
          </rPr>
          <t xml:space="preserve"> Exp ~30 WHBM frontline</t>
        </r>
      </text>
    </comment>
    <comment ref="W24" authorId="12">
      <text>
        <r>
          <rPr>
            <b/>
            <sz val="9"/>
            <color indexed="81"/>
            <rFont val="Tahoma"/>
            <family val="2"/>
          </rPr>
          <t>casselau:
2/26/15: 10-12</t>
        </r>
        <r>
          <rPr>
            <sz val="9"/>
            <color indexed="81"/>
            <rFont val="Tahoma"/>
            <family val="2"/>
          </rPr>
          <t xml:space="preserve">
10-13 stores (including outlets)</t>
        </r>
      </text>
    </comment>
    <comment ref="A25" authorId="3">
      <text>
        <r>
          <rPr>
            <b/>
            <sz val="8"/>
            <color indexed="81"/>
            <rFont val="Tahoma"/>
            <family val="2"/>
          </rPr>
          <t>mm98285:</t>
        </r>
        <r>
          <rPr>
            <sz val="8"/>
            <color indexed="81"/>
            <rFont val="Tahoma"/>
            <family val="2"/>
          </rPr>
          <t xml:space="preserve">
3/10: 100-125
2007 10K 700-800 potential for Chico's and compariable or only slightly lower for WHBM</t>
        </r>
      </text>
    </comment>
    <comment ref="R25" authorId="15">
      <text>
        <r>
          <rPr>
            <b/>
            <sz val="8"/>
            <color indexed="81"/>
            <rFont val="Tahoma"/>
            <family val="2"/>
          </rPr>
          <t>lr73192:</t>
        </r>
        <r>
          <rPr>
            <sz val="8"/>
            <color indexed="81"/>
            <rFont val="Tahoma"/>
            <family val="2"/>
          </rPr>
          <t xml:space="preserve">
4/10 Per note from 3/2/2010, CHS plans to open 68 - 78 net stores in 2010; ~12 Chico's, 16-20 WH|BM, 40-46 Soma
Assuming: 14 WHBM frontline stores opened, 0 closed and 4 WHBM outlets opened, 0 closed</t>
        </r>
      </text>
    </comment>
    <comment ref="S25" authorId="4">
      <text>
        <r>
          <rPr>
            <b/>
            <sz val="8"/>
            <color indexed="81"/>
            <rFont val="Tahoma"/>
            <family val="2"/>
          </rPr>
          <t xml:space="preserve">5/18/11: </t>
        </r>
        <r>
          <rPr>
            <sz val="8"/>
            <color indexed="81"/>
            <rFont val="Tahoma"/>
            <family val="2"/>
          </rPr>
          <t>Over the next 3-4 years see oppty to open 150 more Chico's front-line and outlet stores (opened 10 in 1Q), 250+ WHBM focusing on front-line first, then outlets</t>
        </r>
        <r>
          <rPr>
            <b/>
            <sz val="8"/>
            <color indexed="81"/>
            <rFont val="Tahoma"/>
            <family val="2"/>
          </rPr>
          <t xml:space="preserve">
2/11: </t>
        </r>
        <r>
          <rPr>
            <sz val="8"/>
            <color indexed="81"/>
            <rFont val="Tahoma"/>
            <family val="2"/>
          </rPr>
          <t>Exp 2-3 WHBM outlets</t>
        </r>
        <r>
          <rPr>
            <b/>
            <sz val="8"/>
            <color indexed="81"/>
            <rFont val="Tahoma"/>
            <family val="2"/>
          </rPr>
          <t xml:space="preserve">
11/10:</t>
        </r>
        <r>
          <rPr>
            <sz val="8"/>
            <color indexed="81"/>
            <rFont val="Tahoma"/>
            <family val="2"/>
          </rPr>
          <t xml:space="preserve"> Due to bandwidth, postpone expansion until 2H11</t>
        </r>
        <r>
          <rPr>
            <b/>
            <sz val="8"/>
            <color indexed="81"/>
            <rFont val="Tahoma"/>
            <family val="2"/>
          </rPr>
          <t xml:space="preserve">
marchant:</t>
        </r>
        <r>
          <rPr>
            <sz val="8"/>
            <color indexed="81"/>
            <rFont val="Tahoma"/>
            <family val="2"/>
          </rPr>
          <t xml:space="preserve">
3/10: 15-18 WHBM outlet</t>
        </r>
      </text>
    </comment>
    <comment ref="U25" authorId="5">
      <text>
        <r>
          <rPr>
            <b/>
            <sz val="8"/>
            <color indexed="81"/>
            <rFont val="Tahoma"/>
            <family val="2"/>
          </rPr>
          <t>lauraro:</t>
        </r>
        <r>
          <rPr>
            <sz val="8"/>
            <color indexed="81"/>
            <rFont val="Tahoma"/>
            <family val="2"/>
          </rPr>
          <t xml:space="preserve">
WHBM likely a 2013 focus</t>
        </r>
      </text>
    </comment>
    <comment ref="A26" authorId="3">
      <text>
        <r>
          <rPr>
            <b/>
            <sz val="10"/>
            <color indexed="81"/>
            <rFont val="Tahoma"/>
            <family val="2"/>
          </rPr>
          <t>mm98285:</t>
        </r>
        <r>
          <rPr>
            <sz val="10"/>
            <color indexed="81"/>
            <rFont val="Tahoma"/>
            <family val="2"/>
          </rPr>
          <t xml:space="preserve">
10/10: can have 500-550 Soma stores + 75-85 Outlets
3/09: mgmt believes Soma could be 300-400 store chain with $600m-$1B in sales (need 100 stores for scale)</t>
        </r>
      </text>
    </comment>
    <comment ref="L26" authorId="1">
      <text>
        <r>
          <rPr>
            <b/>
            <sz val="10"/>
            <color indexed="81"/>
            <rFont val="Tahoma"/>
            <family val="2"/>
          </rPr>
          <t>kgreenbe:</t>
        </r>
        <r>
          <rPr>
            <sz val="10"/>
            <color indexed="81"/>
            <rFont val="Tahoma"/>
            <family val="2"/>
          </rPr>
          <t xml:space="preserve">
8/4/03 Co announced acquisition of WHBM and said intend to grow sq ft at 25%. We calculate 24% from co stores, outlets, &amp; WHBM. Plug add'l 1% w/ Intimates test concept.</t>
        </r>
      </text>
    </comment>
    <comment ref="M26" authorId="9">
      <text>
        <r>
          <rPr>
            <b/>
            <sz val="8"/>
            <color indexed="81"/>
            <rFont val="Tahoma"/>
            <family val="2"/>
          </rPr>
          <t>SB:</t>
        </r>
        <r>
          <rPr>
            <sz val="8"/>
            <color indexed="81"/>
            <rFont val="Tahoma"/>
            <family val="2"/>
          </rPr>
          <t xml:space="preserve">
2Q call indicated +5
10-k indicated +6</t>
        </r>
      </text>
    </comment>
    <comment ref="N26" authorId="14">
      <text>
        <r>
          <rPr>
            <b/>
            <sz val="8"/>
            <color indexed="81"/>
            <rFont val="Tahoma"/>
            <family val="2"/>
          </rPr>
          <t>Morry Brown:</t>
        </r>
        <r>
          <rPr>
            <sz val="8"/>
            <color indexed="81"/>
            <rFont val="Tahoma"/>
            <family val="2"/>
          </rPr>
          <t xml:space="preserve">
5/06: plan to open 33-36 Soma stores
4/06: 10-K indicates 25-30 SOMA openings plus 5-10 boutique openings
8/25/05 per 2Q call, mgmt indicated +20 Soma</t>
        </r>
      </text>
    </comment>
    <comment ref="O26" authorId="3">
      <text>
        <r>
          <rPr>
            <b/>
            <sz val="10"/>
            <color indexed="81"/>
            <rFont val="Tahoma"/>
            <family val="2"/>
          </rPr>
          <t>mm98285:</t>
        </r>
        <r>
          <rPr>
            <sz val="10"/>
            <color indexed="81"/>
            <rFont val="Tahoma"/>
            <family val="2"/>
          </rPr>
          <t xml:space="preserve">
12/07: 10-Q 17 Soma's
8/07: 18 new Soma
2/07: 20-25 net new Soma (incl. 1 new outlet store)
5/06: plan to open 55-65 Soma stores (incl full line and boutique stores)</t>
        </r>
      </text>
    </comment>
    <comment ref="P26" authorId="3">
      <text>
        <r>
          <rPr>
            <b/>
            <sz val="10"/>
            <color indexed="81"/>
            <rFont val="Tahoma"/>
            <family val="2"/>
          </rPr>
          <t>mm98285:</t>
        </r>
        <r>
          <rPr>
            <sz val="10"/>
            <color indexed="81"/>
            <rFont val="Tahoma"/>
            <family val="2"/>
          </rPr>
          <t xml:space="preserve">
2007 10K no new Soma's minus 4-6 closings
12/07: 10Q 6-7 
2Q 10Q: 5-10
2006 10K: 5-15 net new Soma </t>
        </r>
      </text>
    </comment>
    <comment ref="Q26" authorId="3">
      <text>
        <r>
          <rPr>
            <b/>
            <sz val="9"/>
            <color indexed="81"/>
            <rFont val="Tahoma"/>
            <family val="2"/>
          </rPr>
          <t>mm98285:
12/7: 6 net openings</t>
        </r>
        <r>
          <rPr>
            <sz val="9"/>
            <color indexed="81"/>
            <rFont val="Tahoma"/>
            <family val="2"/>
          </rPr>
          <t xml:space="preserve">
9/09: 7 net openings</t>
        </r>
      </text>
    </comment>
    <comment ref="R26" authorId="15">
      <text>
        <r>
          <rPr>
            <b/>
            <sz val="10"/>
            <color indexed="81"/>
            <rFont val="Tahoma"/>
            <family val="2"/>
          </rPr>
          <t>lr73192:</t>
        </r>
        <r>
          <rPr>
            <sz val="8"/>
            <color indexed="81"/>
            <rFont val="Tahoma"/>
            <family val="2"/>
          </rPr>
          <t xml:space="preserve">
10/10: open close to 40 Somas and 6 sister stores
</t>
        </r>
        <r>
          <rPr>
            <sz val="10"/>
            <color indexed="81"/>
            <rFont val="Tahoma"/>
            <family val="2"/>
          </rPr>
          <t>4/10 Per note from 3/2/2010, CHS plans to open 68 - 78 net stores in 2010; ~12 Chico's, 16-20 WH|BM, 40-46 Soma
Assuming: 40 Soma frontline stores opened, 0 closed and 3 Soma outlets opened, 0 closed</t>
        </r>
      </text>
    </comment>
    <comment ref="S26" authorId="4">
      <text>
        <r>
          <rPr>
            <b/>
            <sz val="8"/>
            <color indexed="81"/>
            <rFont val="Tahoma"/>
            <family val="2"/>
          </rPr>
          <t>marchant:</t>
        </r>
        <r>
          <rPr>
            <sz val="8"/>
            <color indexed="81"/>
            <rFont val="Tahoma"/>
            <family val="2"/>
          </rPr>
          <t xml:space="preserve">
10/10: expect 40 or more openings next year</t>
        </r>
      </text>
    </comment>
    <comment ref="U26" authorId="8">
      <text>
        <r>
          <rPr>
            <b/>
            <sz val="8"/>
            <color indexed="81"/>
            <rFont val="Tahoma"/>
            <family val="2"/>
          </rPr>
          <t>2/27/14: older stores comp at same rate as new stores
solejay:</t>
        </r>
        <r>
          <rPr>
            <sz val="8"/>
            <color indexed="81"/>
            <rFont val="Tahoma"/>
            <family val="2"/>
          </rPr>
          <t xml:space="preserve">
4Q12 call say opeing 45 Somas in 2013</t>
        </r>
      </text>
    </comment>
    <comment ref="V26" authorId="12">
      <text>
        <r>
          <rPr>
            <b/>
            <sz val="8"/>
            <color indexed="81"/>
            <rFont val="Tahoma"/>
            <family val="2"/>
          </rPr>
          <t>casselau:</t>
        </r>
        <r>
          <rPr>
            <sz val="8"/>
            <color indexed="81"/>
            <rFont val="Tahoma"/>
            <family val="2"/>
          </rPr>
          <t xml:space="preserve">
Three years or so Soma payback, where a Chico's or a White House store will give us back cash in a year to 18 months.</t>
        </r>
      </text>
    </comment>
    <comment ref="W26" authorId="12">
      <text>
        <r>
          <rPr>
            <b/>
            <sz val="9"/>
            <color indexed="81"/>
            <rFont val="Tahoma"/>
            <family val="2"/>
          </rPr>
          <t>casselau:
2/26/15: 12-14</t>
        </r>
        <r>
          <rPr>
            <sz val="9"/>
            <color indexed="81"/>
            <rFont val="Tahoma"/>
            <family val="2"/>
          </rPr>
          <t xml:space="preserve">
19-22 openings (including outlets)</t>
        </r>
      </text>
    </comment>
    <comment ref="N27" authorId="14">
      <text>
        <r>
          <rPr>
            <b/>
            <sz val="8"/>
            <color indexed="81"/>
            <rFont val="Tahoma"/>
            <family val="2"/>
          </rPr>
          <t>Morry Brown:</t>
        </r>
        <r>
          <rPr>
            <sz val="8"/>
            <color indexed="81"/>
            <rFont val="Tahoma"/>
            <family val="2"/>
          </rPr>
          <t xml:space="preserve">
4/06: 10-K indicates 25-30 SOMA openings… also 5-10 boutique openings
8/25/05 per 2Q call, mgmt indicated +20 Soma</t>
        </r>
      </text>
    </comment>
    <comment ref="O27" authorId="3">
      <text>
        <r>
          <rPr>
            <b/>
            <sz val="10"/>
            <color indexed="81"/>
            <rFont val="Tahoma"/>
            <family val="2"/>
          </rPr>
          <t>mm98285:</t>
        </r>
        <r>
          <rPr>
            <sz val="10"/>
            <color indexed="81"/>
            <rFont val="Tahoma"/>
            <family val="2"/>
          </rPr>
          <t xml:space="preserve">
2/07: 20-25 Soma 
5/06: plan to open 55-65 Soma stores (incl full line and boutique stores)</t>
        </r>
      </text>
    </comment>
    <comment ref="R27" authorId="15">
      <text>
        <r>
          <rPr>
            <b/>
            <sz val="10"/>
            <color indexed="81"/>
            <rFont val="Tahoma"/>
            <family val="2"/>
          </rPr>
          <t>lr73192:</t>
        </r>
        <r>
          <rPr>
            <sz val="8"/>
            <color indexed="81"/>
            <rFont val="Tahoma"/>
            <family val="2"/>
          </rPr>
          <t xml:space="preserve">
</t>
        </r>
        <r>
          <rPr>
            <sz val="10"/>
            <color indexed="81"/>
            <rFont val="Tahoma"/>
            <family val="2"/>
          </rPr>
          <t>4/10 Per note from 3/2/2010, CHS plans to open 68 - 78 net stores in 2010; ~12 Chico's, 16-20 WH|BM, 40-46 Soma
Assuming: 40 Soma frontline stores opened, 0 closed and 3 Soma outlets opened, 0 closed</t>
        </r>
      </text>
    </comment>
    <comment ref="U28" authorId="12">
      <text>
        <r>
          <rPr>
            <b/>
            <sz val="8"/>
            <color indexed="81"/>
            <rFont val="Tahoma"/>
            <family val="2"/>
          </rPr>
          <t>casselau:</t>
        </r>
        <r>
          <rPr>
            <sz val="8"/>
            <color indexed="81"/>
            <rFont val="Tahoma"/>
            <family val="2"/>
          </rPr>
          <t xml:space="preserve">
2/27/14: initial stores $800 sales/psf</t>
        </r>
      </text>
    </comment>
    <comment ref="V28" authorId="12">
      <text>
        <r>
          <rPr>
            <b/>
            <sz val="8"/>
            <color indexed="81"/>
            <rFont val="Tahoma"/>
            <family val="2"/>
          </rPr>
          <t>casselau:</t>
        </r>
        <r>
          <rPr>
            <sz val="8"/>
            <color indexed="81"/>
            <rFont val="Tahoma"/>
            <family val="2"/>
          </rPr>
          <t xml:space="preserve">
8/28/13: 15-20 in FY14</t>
        </r>
      </text>
    </comment>
    <comment ref="W28" authorId="12">
      <text>
        <r>
          <rPr>
            <b/>
            <sz val="9"/>
            <color indexed="81"/>
            <rFont val="Tahoma"/>
            <family val="2"/>
          </rPr>
          <t>casselau:
2/26/15: 3-5 stores</t>
        </r>
        <r>
          <rPr>
            <sz val="9"/>
            <color indexed="81"/>
            <rFont val="Tahoma"/>
            <family val="2"/>
          </rPr>
          <t xml:space="preserve">
4-6 stores
8/26/15:
Plans to close BP Stores ~20 at time of annoucement</t>
        </r>
      </text>
    </comment>
    <comment ref="X28" authorId="12">
      <text>
        <r>
          <rPr>
            <b/>
            <sz val="9"/>
            <color indexed="81"/>
            <rFont val="Tahoma"/>
            <family val="2"/>
          </rPr>
          <t>casselau:
2/26/15: 3-5 stores</t>
        </r>
        <r>
          <rPr>
            <sz val="9"/>
            <color indexed="81"/>
            <rFont val="Tahoma"/>
            <family val="2"/>
          </rPr>
          <t xml:space="preserve">
4-6 stores
8/26/15:
Plans to close BP Stores ~20 at time of annoucement</t>
        </r>
      </text>
    </comment>
    <comment ref="Y28" authorId="12">
      <text>
        <r>
          <rPr>
            <b/>
            <sz val="9"/>
            <color indexed="81"/>
            <rFont val="Tahoma"/>
            <family val="2"/>
          </rPr>
          <t>casselau:
2/26/15: 3-5 stores</t>
        </r>
        <r>
          <rPr>
            <sz val="9"/>
            <color indexed="81"/>
            <rFont val="Tahoma"/>
            <family val="2"/>
          </rPr>
          <t xml:space="preserve">
4-6 stores
8/26/15:
Plans to close BP Stores ~20 at time of annoucement</t>
        </r>
      </text>
    </comment>
    <comment ref="Z28" authorId="12">
      <text>
        <r>
          <rPr>
            <b/>
            <sz val="9"/>
            <color indexed="81"/>
            <rFont val="Tahoma"/>
            <family val="2"/>
          </rPr>
          <t>casselau:
2/26/15: 3-5 stores</t>
        </r>
        <r>
          <rPr>
            <sz val="9"/>
            <color indexed="81"/>
            <rFont val="Tahoma"/>
            <family val="2"/>
          </rPr>
          <t xml:space="preserve">
4-6 stores
8/26/15:
Plans to close BP Stores ~20 at time of annoucement</t>
        </r>
      </text>
    </comment>
    <comment ref="W29" authorId="12">
      <text>
        <r>
          <rPr>
            <b/>
            <sz val="9"/>
            <color indexed="81"/>
            <rFont val="Tahoma"/>
            <family val="2"/>
          </rPr>
          <t>casselau:</t>
        </r>
        <r>
          <rPr>
            <sz val="9"/>
            <color indexed="81"/>
            <rFont val="Tahoma"/>
            <family val="2"/>
          </rPr>
          <t xml:space="preserve">
Canada</t>
        </r>
      </text>
    </comment>
    <comment ref="N30" authorId="3">
      <text>
        <r>
          <rPr>
            <b/>
            <sz val="9"/>
            <color indexed="81"/>
            <rFont val="Tahoma"/>
            <family val="2"/>
          </rPr>
          <t>mm98285:</t>
        </r>
        <r>
          <rPr>
            <sz val="9"/>
            <color indexed="81"/>
            <rFont val="Tahoma"/>
            <family val="2"/>
          </rPr>
          <t xml:space="preserve">
4/07: acquired 12 stores and closed 2 stores
5/06: acquired stores (not included in the new store openings number)</t>
        </r>
        <r>
          <rPr>
            <sz val="8"/>
            <color indexed="81"/>
            <rFont val="Tahoma"/>
            <family val="2"/>
          </rPr>
          <t xml:space="preserve">
</t>
        </r>
      </text>
    </comment>
    <comment ref="O30" authorId="3">
      <text>
        <r>
          <rPr>
            <b/>
            <sz val="10"/>
            <color indexed="81"/>
            <rFont val="Tahoma"/>
            <family val="2"/>
          </rPr>
          <t>mm98285:</t>
        </r>
        <r>
          <rPr>
            <sz val="10"/>
            <color indexed="81"/>
            <rFont val="Tahoma"/>
            <family val="2"/>
          </rPr>
          <t xml:space="preserve">
2/07: closing Fitigues operatings in 1Q07
5/06: plan to open at least 5 Fitigues stores in 2007</t>
        </r>
      </text>
    </comment>
    <comment ref="L31" authorId="17">
      <text>
        <r>
          <rPr>
            <b/>
            <sz val="8"/>
            <color indexed="81"/>
            <rFont val="Tahoma"/>
            <family val="2"/>
          </rPr>
          <t>dliu:</t>
        </r>
        <r>
          <rPr>
            <sz val="8"/>
            <color indexed="81"/>
            <rFont val="Tahoma"/>
            <family val="2"/>
          </rPr>
          <t xml:space="preserve">
1 Pazo closed, rest converted</t>
        </r>
      </text>
    </comment>
    <comment ref="N31" authorId="18">
      <text>
        <r>
          <rPr>
            <b/>
            <sz val="8"/>
            <color indexed="81"/>
            <rFont val="Tahoma"/>
            <family val="2"/>
          </rPr>
          <t>kg51925:</t>
        </r>
        <r>
          <rPr>
            <sz val="8"/>
            <color indexed="81"/>
            <rFont val="Tahoma"/>
            <family val="2"/>
          </rPr>
          <t xml:space="preserve">
10-K indicates 6-8 Chico's store closings, 4-5 WHBM closings, and 1 Fitigures store closing expected in fiscal 2006</t>
        </r>
      </text>
    </comment>
    <comment ref="O31" authorId="3">
      <text>
        <r>
          <rPr>
            <b/>
            <sz val="9"/>
            <color indexed="81"/>
            <rFont val="Tahoma"/>
            <family val="2"/>
          </rPr>
          <t>mm98285:</t>
        </r>
        <r>
          <rPr>
            <sz val="9"/>
            <color indexed="81"/>
            <rFont val="Tahoma"/>
            <family val="2"/>
          </rPr>
          <t xml:space="preserve">
includes Chico's closures only, other divisions included in openings
2006 10K: expects to close 1-3 Chico's, 4-6 WHBM, 1-3 Soma </t>
        </r>
      </text>
    </comment>
    <comment ref="P31" authorId="3">
      <text>
        <r>
          <rPr>
            <b/>
            <sz val="8"/>
            <color indexed="81"/>
            <rFont val="Tahoma"/>
            <family val="2"/>
          </rPr>
          <t>mm98285:</t>
        </r>
        <r>
          <rPr>
            <sz val="8"/>
            <color indexed="81"/>
            <rFont val="Tahoma"/>
            <family val="2"/>
          </rPr>
          <t xml:space="preserve">
8-10 chicos
6-8 WHBM
4-6 Soma</t>
        </r>
      </text>
    </comment>
    <comment ref="Q31" authorId="3">
      <text>
        <r>
          <rPr>
            <b/>
            <sz val="10"/>
            <color indexed="81"/>
            <rFont val="Tahoma"/>
            <family val="2"/>
          </rPr>
          <t xml:space="preserve">lr73192:
</t>
        </r>
        <r>
          <rPr>
            <sz val="10"/>
            <color indexed="81"/>
            <rFont val="Tahoma"/>
            <family val="2"/>
          </rPr>
          <t xml:space="preserve">4/10: New store openings were 40, closings were 36, net 4. No specificity regarding breakdown the additional 10 openings / closings not previously referenced, so adding at summation line
</t>
        </r>
        <r>
          <rPr>
            <b/>
            <sz val="10"/>
            <color indexed="81"/>
            <rFont val="Tahoma"/>
            <family val="2"/>
          </rPr>
          <t>mm98285:</t>
        </r>
        <r>
          <rPr>
            <sz val="10"/>
            <color indexed="81"/>
            <rFont val="Tahoma"/>
            <family val="2"/>
          </rPr>
          <t xml:space="preserve">
30-35 stores per year over the next 3 years (2/3 Chs &amp; Soma, 1/3 WH)</t>
        </r>
      </text>
    </comment>
    <comment ref="R31" authorId="3">
      <text>
        <r>
          <rPr>
            <b/>
            <sz val="10"/>
            <color indexed="81"/>
            <rFont val="Tahoma"/>
            <family val="2"/>
          </rPr>
          <t>mm98285:</t>
        </r>
        <r>
          <rPr>
            <sz val="10"/>
            <color indexed="81"/>
            <rFont val="Tahoma"/>
            <family val="2"/>
          </rPr>
          <t xml:space="preserve">
10/10: expect 16 closures
30-35 stores per year over the next 3 years (75% CHs &amp; Soma, 25% WH)</t>
        </r>
      </text>
    </comment>
    <comment ref="S31" authorId="3">
      <text>
        <r>
          <rPr>
            <b/>
            <sz val="10"/>
            <color indexed="81"/>
            <rFont val="Tahoma"/>
            <family val="2"/>
          </rPr>
          <t xml:space="preserve">3/1/11: </t>
        </r>
        <r>
          <rPr>
            <sz val="10"/>
            <color indexed="81"/>
            <rFont val="Tahoma"/>
            <family val="2"/>
          </rPr>
          <t>20-30 closures</t>
        </r>
        <r>
          <rPr>
            <b/>
            <sz val="10"/>
            <color indexed="81"/>
            <rFont val="Tahoma"/>
            <family val="2"/>
          </rPr>
          <t xml:space="preserve">
mm98285:</t>
        </r>
        <r>
          <rPr>
            <sz val="10"/>
            <color indexed="81"/>
            <rFont val="Tahoma"/>
            <family val="2"/>
          </rPr>
          <t xml:space="preserve">
10/10: Bob says expect more closures in 2011 vs. 2010 based on leases up for renewal but not sure how many
30-35 stores per year over the next 3 years (75% CHs &amp; Soma, 25% WH)</t>
        </r>
      </text>
    </comment>
    <comment ref="T31" authorId="3">
      <text>
        <r>
          <rPr>
            <b/>
            <sz val="10"/>
            <color indexed="81"/>
            <rFont val="Tahoma"/>
            <family val="2"/>
          </rPr>
          <t>mm98285:</t>
        </r>
        <r>
          <rPr>
            <sz val="10"/>
            <color indexed="81"/>
            <rFont val="Tahoma"/>
            <family val="2"/>
          </rPr>
          <t xml:space="preserve">
30-35 stores per year over the next 3 years (75% CHs &amp; Soma, 25% WH)</t>
        </r>
      </text>
    </comment>
    <comment ref="W31" authorId="12">
      <text>
        <r>
          <rPr>
            <b/>
            <sz val="9"/>
            <color indexed="81"/>
            <rFont val="Tahoma"/>
            <family val="2"/>
          </rPr>
          <t xml:space="preserve">casselau:
11/24/15: </t>
        </r>
        <r>
          <rPr>
            <sz val="9"/>
            <color indexed="81"/>
            <rFont val="Tahoma"/>
            <family val="2"/>
          </rPr>
          <t xml:space="preserve">Also, 70 to 75 stores across our brands will close this year including the 20
Boston Proper stores. We've already closed 33 stores Company-wide through the third quarter
</t>
        </r>
        <r>
          <rPr>
            <b/>
            <sz val="9"/>
            <color indexed="81"/>
            <rFont val="Tahoma"/>
            <family val="2"/>
          </rPr>
          <t xml:space="preserve">
5/27/15: now expect to close 45-50 stores</t>
        </r>
        <r>
          <rPr>
            <sz val="9"/>
            <color indexed="81"/>
            <rFont val="Tahoma"/>
            <family val="2"/>
          </rPr>
          <t xml:space="preserve">
2/26/15: expects to close 120 stores (35 in FY15) from FY15-FY17 ($55M expense savings)</t>
        </r>
      </text>
    </comment>
    <comment ref="X31" authorId="12">
      <text>
        <r>
          <rPr>
            <b/>
            <sz val="9"/>
            <color indexed="81"/>
            <rFont val="Tahoma"/>
            <family val="2"/>
          </rPr>
          <t xml:space="preserve">casselau:
8/30/16: now expect to close 35 stores this year as they have pushed some closures into next year to best optimize lease expirations 
2/25/16: expect to close an additional 50 stores in our efforts to continue our capital allocation and cost reduction initiatives. </t>
        </r>
        <r>
          <rPr>
            <sz val="9"/>
            <color indexed="81"/>
            <rFont val="Tahoma"/>
            <family val="2"/>
          </rPr>
          <t xml:space="preserve">
2/26/15: expects to close 120 stores from FY15-FY17 ($55M expense savings)</t>
        </r>
      </text>
    </comment>
    <comment ref="Y31" authorId="12">
      <text>
        <r>
          <rPr>
            <b/>
            <sz val="9"/>
            <color indexed="81"/>
            <rFont val="Tahoma"/>
            <family val="2"/>
          </rPr>
          <t xml:space="preserve">casselau:
2/22/17: And FY17 we're planning to close approximately 50 stores what taking advantage of select short-term extensions when terms of favorable. As we've stated before the closures will primarily be in the Chico's and White House Black Market brands.
8/30/16: </t>
        </r>
        <r>
          <rPr>
            <sz val="9"/>
            <color indexed="81"/>
            <rFont val="Tahoma"/>
            <family val="2"/>
          </rPr>
          <t>However, we still estimate our total store closures through 2017 to be approximately 155.</t>
        </r>
        <r>
          <rPr>
            <b/>
            <sz val="9"/>
            <color indexed="81"/>
            <rFont val="Tahoma"/>
            <family val="2"/>
          </rPr>
          <t xml:space="preserve">
11/24/15: </t>
        </r>
        <r>
          <rPr>
            <sz val="9"/>
            <color indexed="81"/>
            <rFont val="Tahoma"/>
            <family val="2"/>
          </rPr>
          <t>As a result of this ongoing evaluation
we have identified additional stores to close before the end of 2017, bringing the total to 170 to 175 store closures for the three years of 2015 to
2017.</t>
        </r>
        <r>
          <rPr>
            <b/>
            <sz val="9"/>
            <color indexed="81"/>
            <rFont val="Tahoma"/>
            <family val="2"/>
          </rPr>
          <t xml:space="preserve">
</t>
        </r>
        <r>
          <rPr>
            <sz val="9"/>
            <color indexed="81"/>
            <rFont val="Tahoma"/>
            <family val="2"/>
          </rPr>
          <t>5/27/15: expect to close 135-140 stores over next three years
2/26/15: expects to close 120 stores from FY15-FY17 ($55M expense savings)</t>
        </r>
      </text>
    </comment>
    <comment ref="Z31" authorId="19">
      <text>
        <r>
          <rPr>
            <b/>
            <sz val="9"/>
            <color indexed="81"/>
            <rFont val="Tahoma"/>
            <family val="2"/>
          </rPr>
          <t>De Courreges, Edouard (Research):</t>
        </r>
        <r>
          <rPr>
            <sz val="9"/>
            <color indexed="81"/>
            <rFont val="Tahoma"/>
            <family val="2"/>
          </rPr>
          <t xml:space="preserve">
2/28/18: guide to close ~50 stores next year, more evenly distributed between brands than before</t>
        </r>
      </text>
    </comment>
    <comment ref="Q32" authorId="11">
      <text>
        <r>
          <rPr>
            <b/>
            <sz val="8"/>
            <color indexed="81"/>
            <rFont val="Tahoma"/>
            <family val="2"/>
          </rPr>
          <t xml:space="preserve">12/7: </t>
        </r>
        <r>
          <rPr>
            <sz val="8"/>
            <color indexed="81"/>
            <rFont val="Tahoma"/>
            <family val="2"/>
          </rPr>
          <t xml:space="preserve">CHS currently expects its overall square footage in fiscal 2009 to be flat or decrease slightly compared to the end of fiscal 2008, reflecting the net effect of approximately 18 net closures of Chico’s stores, 3 net openings of WH|BM stores, 6 net openings of Soma stores and 10 relocations/expansions across all brands. </t>
        </r>
      </text>
    </comment>
    <comment ref="R32" authorId="15">
      <text>
        <r>
          <rPr>
            <b/>
            <sz val="10"/>
            <color indexed="81"/>
            <rFont val="Tahoma"/>
            <family val="2"/>
          </rPr>
          <t>lr73192:</t>
        </r>
        <r>
          <rPr>
            <sz val="10"/>
            <color indexed="81"/>
            <rFont val="Tahoma"/>
            <family val="2"/>
          </rPr>
          <t xml:space="preserve">
4/10: Assuming: 0 Chico's Company stores opened, 7 closed, 19 outlets opened, 0 closed</t>
        </r>
      </text>
    </comment>
    <comment ref="U32" authorId="12">
      <text>
        <r>
          <rPr>
            <b/>
            <sz val="8"/>
            <color indexed="81"/>
            <rFont val="Tahoma"/>
            <family val="2"/>
          </rPr>
          <t>casselau:</t>
        </r>
        <r>
          <rPr>
            <sz val="8"/>
            <color indexed="81"/>
            <rFont val="Tahoma"/>
            <family val="2"/>
          </rPr>
          <t xml:space="preserve">
closed 1 outlet</t>
        </r>
      </text>
    </comment>
    <comment ref="R34" authorId="15">
      <text>
        <r>
          <rPr>
            <b/>
            <sz val="8"/>
            <color indexed="81"/>
            <rFont val="Tahoma"/>
            <family val="2"/>
          </rPr>
          <t>lr73192:</t>
        </r>
        <r>
          <rPr>
            <sz val="8"/>
            <color indexed="81"/>
            <rFont val="Tahoma"/>
            <family val="2"/>
          </rPr>
          <t xml:space="preserve">
4/10 Per note from 3/2/2010, CHS plans to open 68 - 78 net stores in 2010; ~12 Chico's, 16-20 WH|BM, 40-46 Soma
Assuming: 14 WHBM frontline stores opened, 0 closed and 4 WHBM outlets opened, 0 closed</t>
        </r>
      </text>
    </comment>
    <comment ref="R36" authorId="15">
      <text>
        <r>
          <rPr>
            <b/>
            <sz val="10"/>
            <color indexed="81"/>
            <rFont val="Tahoma"/>
            <family val="2"/>
          </rPr>
          <t>lr73192:</t>
        </r>
        <r>
          <rPr>
            <sz val="8"/>
            <color indexed="81"/>
            <rFont val="Tahoma"/>
            <family val="2"/>
          </rPr>
          <t xml:space="preserve">
</t>
        </r>
        <r>
          <rPr>
            <sz val="10"/>
            <color indexed="81"/>
            <rFont val="Tahoma"/>
            <family val="2"/>
          </rPr>
          <t>4/10 Per note from 3/2/2010, CHS plans to open 68 - 78 net stores in 2010; ~12 Chico's, 16-20 WH|BM, 40-46 Soma
Assuming: 40 Soma frontline stores opened, 0 closed and 3 Soma outlets opened, 0 closed</t>
        </r>
      </text>
    </comment>
    <comment ref="A40" authorId="4">
      <text>
        <r>
          <rPr>
            <b/>
            <sz val="8"/>
            <color indexed="81"/>
            <rFont val="Tahoma"/>
            <family val="2"/>
          </rPr>
          <t>marchant:</t>
        </r>
        <r>
          <rPr>
            <sz val="8"/>
            <color indexed="81"/>
            <rFont val="Tahoma"/>
            <family val="2"/>
          </rPr>
          <t xml:space="preserve">
3/10: potential 1800-1920</t>
        </r>
      </text>
    </comment>
    <comment ref="C40" authorId="0">
      <text>
        <r>
          <rPr>
            <b/>
            <sz val="9"/>
            <color indexed="81"/>
            <rFont val="Tahoma"/>
            <family val="2"/>
          </rPr>
          <t>dong2:</t>
        </r>
        <r>
          <rPr>
            <sz val="9"/>
            <color indexed="81"/>
            <rFont val="Tahoma"/>
            <family val="2"/>
          </rPr>
          <t xml:space="preserve">
in 10-k, says as of Mar 15, there were 114 co. stores and 9 outlets</t>
        </r>
      </text>
    </comment>
    <comment ref="O40" authorId="3">
      <text>
        <r>
          <rPr>
            <b/>
            <sz val="8"/>
            <color indexed="81"/>
            <rFont val="Tahoma"/>
            <family val="2"/>
          </rPr>
          <t>mm98285:</t>
        </r>
        <r>
          <rPr>
            <sz val="8"/>
            <color indexed="81"/>
            <rFont val="Tahoma"/>
            <family val="2"/>
          </rPr>
          <t xml:space="preserve">
INCLUDES 37 OUTLETS</t>
        </r>
      </text>
    </comment>
    <comment ref="R40" authorId="5">
      <text>
        <r>
          <rPr>
            <b/>
            <sz val="8"/>
            <color indexed="81"/>
            <rFont val="Tahoma"/>
            <family val="2"/>
          </rPr>
          <t>lauraro:</t>
        </r>
        <r>
          <rPr>
            <sz val="8"/>
            <color indexed="81"/>
            <rFont val="Tahoma"/>
            <family val="2"/>
          </rPr>
          <t xml:space="preserve">
</t>
        </r>
        <r>
          <rPr>
            <b/>
            <sz val="8"/>
            <color indexed="81"/>
            <rFont val="Tahoma"/>
            <family val="2"/>
          </rPr>
          <t xml:space="preserve">12/10: </t>
        </r>
        <r>
          <rPr>
            <sz val="8"/>
            <color indexed="81"/>
            <rFont val="Tahoma"/>
            <family val="2"/>
          </rPr>
          <t>Currently, we expect 2010 sq. ft. +6%, reflecting 14-16 net openings of Chico's stores, 13-15 net openings of WH|BM stores, ~40 net openings of Soma stores (which does not include Soma "sister stores") and 14-16 relocations /expansions</t>
        </r>
      </text>
    </comment>
    <comment ref="S40" authorId="5">
      <text>
        <r>
          <rPr>
            <b/>
            <sz val="8"/>
            <color indexed="81"/>
            <rFont val="Tahoma"/>
            <family val="2"/>
          </rPr>
          <t>lauraro:</t>
        </r>
        <r>
          <rPr>
            <sz val="8"/>
            <color indexed="81"/>
            <rFont val="Tahoma"/>
            <family val="2"/>
          </rPr>
          <t xml:space="preserve">
</t>
        </r>
        <r>
          <rPr>
            <b/>
            <sz val="8"/>
            <color indexed="81"/>
            <rFont val="Tahoma"/>
            <family val="2"/>
          </rPr>
          <t xml:space="preserve">11/22/11: </t>
        </r>
        <r>
          <rPr>
            <sz val="8"/>
            <color indexed="81"/>
            <rFont val="Tahoma"/>
            <family val="2"/>
          </rPr>
          <t>Think we can have more than 2,000 stores in the US (just the 3 original brands) and then add Boston Proper: +~75 Chico's front-line store potential, +~75 Chico's outlet, +300 WHBM between both outlets and front-line, +another few hundred Soma</t>
        </r>
      </text>
    </comment>
    <comment ref="U40" authorId="12">
      <text>
        <r>
          <rPr>
            <b/>
            <sz val="9"/>
            <color indexed="81"/>
            <rFont val="Tahoma"/>
            <family val="2"/>
          </rPr>
          <t>casselau:</t>
        </r>
        <r>
          <rPr>
            <sz val="9"/>
            <color indexed="81"/>
            <rFont val="Tahoma"/>
            <family val="2"/>
          </rPr>
          <t xml:space="preserve">
Soma stores have 3yr payback period vs. Chico's and WHBM 12-18 months </t>
        </r>
      </text>
    </comment>
    <comment ref="W40" authorId="7">
      <text>
        <r>
          <rPr>
            <b/>
            <sz val="9"/>
            <color indexed="81"/>
            <rFont val="Tahoma"/>
            <family val="2"/>
          </rPr>
          <t>Baglione, Gregory  (Research):</t>
        </r>
        <r>
          <rPr>
            <sz val="9"/>
            <color indexed="81"/>
            <rFont val="Tahoma"/>
            <family val="2"/>
          </rPr>
          <t xml:space="preserve">
Baglione, Gregory  (Research):
8/26/15:
Expect to close 160-165 stores over the next three years, 70-75 by 2015 y/e, 20 have come thus far in 2Q</t>
        </r>
      </text>
    </comment>
    <comment ref="X40" authorId="7">
      <text>
        <r>
          <rPr>
            <b/>
            <sz val="9"/>
            <color indexed="81"/>
            <rFont val="Tahoma"/>
            <family val="2"/>
          </rPr>
          <t>Baglione, Gregory  (Research):</t>
        </r>
        <r>
          <rPr>
            <sz val="9"/>
            <color indexed="81"/>
            <rFont val="Tahoma"/>
            <family val="2"/>
          </rPr>
          <t xml:space="preserve">
8/26/15:
Expect to close 160-165 stores over the next three years, 70-75 by 2015 y/e, 20 have come thus far in 2Q</t>
        </r>
      </text>
    </comment>
    <comment ref="A41" authorId="10">
      <text>
        <r>
          <rPr>
            <b/>
            <sz val="8"/>
            <color indexed="81"/>
            <rFont val="Tahoma"/>
            <family val="2"/>
          </rPr>
          <t>Morry Brown:</t>
        </r>
        <r>
          <rPr>
            <sz val="8"/>
            <color indexed="81"/>
            <rFont val="Tahoma"/>
            <family val="2"/>
          </rPr>
          <t xml:space="preserve">
4/06: per 10-K, they think Chico's can have 700-850 stores nationally.  Think that WHBM can have "very comparable" number as Chico's. Premature to evaluate Soma, but should be "successful in most places where" chico's is successful.</t>
        </r>
      </text>
    </comment>
    <comment ref="L41" authorId="3">
      <text>
        <r>
          <rPr>
            <b/>
            <sz val="8"/>
            <color indexed="81"/>
            <rFont val="Tahoma"/>
            <family val="2"/>
          </rPr>
          <t>mm98285:</t>
        </r>
        <r>
          <rPr>
            <sz val="8"/>
            <color indexed="81"/>
            <rFont val="Tahoma"/>
            <family val="2"/>
          </rPr>
          <t xml:space="preserve">
25 outlets
12 franchise</t>
        </r>
      </text>
    </comment>
    <comment ref="M41" authorId="18">
      <text>
        <r>
          <rPr>
            <b/>
            <sz val="8"/>
            <color indexed="81"/>
            <rFont val="Tahoma"/>
            <family val="2"/>
          </rPr>
          <t>kg51925:</t>
        </r>
        <r>
          <rPr>
            <sz val="8"/>
            <color indexed="81"/>
            <rFont val="Tahoma"/>
            <family val="2"/>
          </rPr>
          <t xml:space="preserve">
499 Chico's front line stores plus 31 outlets plus 14 franchised stores</t>
        </r>
      </text>
    </comment>
    <comment ref="N41" authorId="3">
      <text>
        <r>
          <rPr>
            <b/>
            <sz val="9"/>
            <color indexed="81"/>
            <rFont val="Tahoma"/>
            <family val="2"/>
          </rPr>
          <t>mm98285:</t>
        </r>
        <r>
          <rPr>
            <sz val="9"/>
            <color indexed="81"/>
            <rFont val="Tahoma"/>
            <family val="2"/>
          </rPr>
          <t xml:space="preserve">
4/07: includes 34 outlet stores and 13 franchise stores</t>
        </r>
      </text>
    </comment>
    <comment ref="O41" authorId="3">
      <text>
        <r>
          <rPr>
            <b/>
            <sz val="8"/>
            <color indexed="81"/>
            <rFont val="Tahoma"/>
            <family val="2"/>
          </rPr>
          <t>mm98285:</t>
        </r>
        <r>
          <rPr>
            <sz val="8"/>
            <color indexed="81"/>
            <rFont val="Tahoma"/>
            <family val="2"/>
          </rPr>
          <t xml:space="preserve">
37 outlets</t>
        </r>
      </text>
    </comment>
    <comment ref="P41" authorId="3">
      <text>
        <r>
          <rPr>
            <b/>
            <sz val="10"/>
            <color indexed="81"/>
            <rFont val="Tahoma"/>
            <family val="2"/>
          </rPr>
          <t>mm98285:</t>
        </r>
        <r>
          <rPr>
            <sz val="10"/>
            <color indexed="81"/>
            <rFont val="Tahoma"/>
            <family val="2"/>
          </rPr>
          <t xml:space="preserve">
377 Specialty Centers
159 Malls
83 Street
41 Outlets</t>
        </r>
      </text>
    </comment>
    <comment ref="V41" authorId="5">
      <text>
        <r>
          <rPr>
            <b/>
            <sz val="8"/>
            <color indexed="81"/>
            <rFont val="Tahoma"/>
            <family val="2"/>
          </rPr>
          <t>lauraro:</t>
        </r>
        <r>
          <rPr>
            <sz val="8"/>
            <color indexed="81"/>
            <rFont val="Tahoma"/>
            <family val="2"/>
          </rPr>
          <t xml:space="preserve">
2/22/12: Chico's front-line and outlet 800-850 store potential</t>
        </r>
      </text>
    </comment>
    <comment ref="W41" authorId="5">
      <text>
        <r>
          <rPr>
            <b/>
            <sz val="8"/>
            <color indexed="81"/>
            <rFont val="Tahoma"/>
            <family val="2"/>
          </rPr>
          <t>lauraro:</t>
        </r>
        <r>
          <rPr>
            <sz val="8"/>
            <color indexed="81"/>
            <rFont val="Tahoma"/>
            <family val="2"/>
          </rPr>
          <t xml:space="preserve">
2/22/12: Chico's front-line and outlet 800-850 store potential</t>
        </r>
      </text>
    </comment>
    <comment ref="AA41" authorId="12">
      <text>
        <r>
          <rPr>
            <b/>
            <sz val="9"/>
            <color indexed="81"/>
            <rFont val="Tahoma"/>
            <family val="2"/>
          </rPr>
          <t>casselau:</t>
        </r>
        <r>
          <rPr>
            <sz val="9"/>
            <color indexed="81"/>
            <rFont val="Tahoma"/>
            <family val="2"/>
          </rPr>
          <t xml:space="preserve">
11/25/14:  700+ front-line stores</t>
        </r>
      </text>
    </comment>
    <comment ref="AB41" authorId="12">
      <text>
        <r>
          <rPr>
            <b/>
            <sz val="9"/>
            <color indexed="81"/>
            <rFont val="Tahoma"/>
            <family val="2"/>
          </rPr>
          <t>casselau:</t>
        </r>
        <r>
          <rPr>
            <sz val="9"/>
            <color indexed="81"/>
            <rFont val="Tahoma"/>
            <family val="2"/>
          </rPr>
          <t xml:space="preserve">
11/25/14:  700+ front-line stores</t>
        </r>
      </text>
    </comment>
    <comment ref="AC41" authorId="12">
      <text>
        <r>
          <rPr>
            <b/>
            <sz val="9"/>
            <color indexed="81"/>
            <rFont val="Tahoma"/>
            <family val="2"/>
          </rPr>
          <t>casselau:</t>
        </r>
        <r>
          <rPr>
            <sz val="9"/>
            <color indexed="81"/>
            <rFont val="Tahoma"/>
            <family val="2"/>
          </rPr>
          <t xml:space="preserve">
11/25/14:  700+ front-line stores</t>
        </r>
      </text>
    </comment>
    <comment ref="AD41" authorId="12">
      <text>
        <r>
          <rPr>
            <b/>
            <sz val="9"/>
            <color indexed="81"/>
            <rFont val="Tahoma"/>
            <family val="2"/>
          </rPr>
          <t>casselau:</t>
        </r>
        <r>
          <rPr>
            <sz val="9"/>
            <color indexed="81"/>
            <rFont val="Tahoma"/>
            <family val="2"/>
          </rPr>
          <t xml:space="preserve">
11/25/14:  700+ front-line stores</t>
        </r>
      </text>
    </comment>
    <comment ref="R42" authorId="4">
      <text>
        <r>
          <rPr>
            <b/>
            <sz val="8"/>
            <color indexed="81"/>
            <rFont val="Tahoma"/>
            <family val="2"/>
          </rPr>
          <t xml:space="preserve">11/10: </t>
        </r>
        <r>
          <rPr>
            <sz val="8"/>
            <color indexed="81"/>
            <rFont val="Tahoma"/>
            <family val="2"/>
          </rPr>
          <t>Goal of 100-125+ over next 3 years</t>
        </r>
        <r>
          <rPr>
            <b/>
            <sz val="8"/>
            <color indexed="81"/>
            <rFont val="Tahoma"/>
            <family val="2"/>
          </rPr>
          <t xml:space="preserve">
marchant:</t>
        </r>
        <r>
          <rPr>
            <sz val="8"/>
            <color indexed="81"/>
            <rFont val="Tahoma"/>
            <family val="2"/>
          </rPr>
          <t xml:space="preserve">
10/10: expect 62 outlets eo 2010</t>
        </r>
      </text>
    </comment>
    <comment ref="V42" authorId="5">
      <text>
        <r>
          <rPr>
            <b/>
            <sz val="8"/>
            <color indexed="81"/>
            <rFont val="Tahoma"/>
            <family val="2"/>
          </rPr>
          <t>lauraro:</t>
        </r>
        <r>
          <rPr>
            <sz val="8"/>
            <color indexed="81"/>
            <rFont val="Tahoma"/>
            <family val="2"/>
          </rPr>
          <t xml:space="preserve">
2/22/12: Chico's front-line and outlet 800-850 store potential</t>
        </r>
      </text>
    </comment>
    <comment ref="W42" authorId="5">
      <text>
        <r>
          <rPr>
            <b/>
            <sz val="8"/>
            <color indexed="81"/>
            <rFont val="Tahoma"/>
            <family val="2"/>
          </rPr>
          <t>lauraro:</t>
        </r>
        <r>
          <rPr>
            <sz val="8"/>
            <color indexed="81"/>
            <rFont val="Tahoma"/>
            <family val="2"/>
          </rPr>
          <t xml:space="preserve">
2/22/12: Chico's front-line and outlet 800-850 store potential</t>
        </r>
      </text>
    </comment>
    <comment ref="AA42" authorId="12">
      <text>
        <r>
          <rPr>
            <b/>
            <sz val="9"/>
            <color indexed="81"/>
            <rFont val="Tahoma"/>
            <family val="2"/>
          </rPr>
          <t>casselau:</t>
        </r>
        <r>
          <rPr>
            <sz val="9"/>
            <color indexed="81"/>
            <rFont val="Tahoma"/>
            <family val="2"/>
          </rPr>
          <t xml:space="preserve">
11/25/14:  125-150 outlet stores</t>
        </r>
      </text>
    </comment>
    <comment ref="AB42" authorId="12">
      <text>
        <r>
          <rPr>
            <b/>
            <sz val="9"/>
            <color indexed="81"/>
            <rFont val="Tahoma"/>
            <family val="2"/>
          </rPr>
          <t>casselau:</t>
        </r>
        <r>
          <rPr>
            <sz val="9"/>
            <color indexed="81"/>
            <rFont val="Tahoma"/>
            <family val="2"/>
          </rPr>
          <t xml:space="preserve">
11/25/14:  125-150 outlet stores</t>
        </r>
      </text>
    </comment>
    <comment ref="AC42" authorId="12">
      <text>
        <r>
          <rPr>
            <b/>
            <sz val="9"/>
            <color indexed="81"/>
            <rFont val="Tahoma"/>
            <family val="2"/>
          </rPr>
          <t>casselau:</t>
        </r>
        <r>
          <rPr>
            <sz val="9"/>
            <color indexed="81"/>
            <rFont val="Tahoma"/>
            <family val="2"/>
          </rPr>
          <t xml:space="preserve">
11/25/14:  125-150 outlet stores</t>
        </r>
      </text>
    </comment>
    <comment ref="AD42" authorId="12">
      <text>
        <r>
          <rPr>
            <b/>
            <sz val="9"/>
            <color indexed="81"/>
            <rFont val="Tahoma"/>
            <family val="2"/>
          </rPr>
          <t>casselau:</t>
        </r>
        <r>
          <rPr>
            <sz val="9"/>
            <color indexed="81"/>
            <rFont val="Tahoma"/>
            <family val="2"/>
          </rPr>
          <t xml:space="preserve">
11/25/14:  125-150 outlet stores</t>
        </r>
      </text>
    </comment>
    <comment ref="L44" authorId="3">
      <text>
        <r>
          <rPr>
            <b/>
            <sz val="8"/>
            <color indexed="81"/>
            <rFont val="Tahoma"/>
            <family val="2"/>
          </rPr>
          <t>mm98285:</t>
        </r>
        <r>
          <rPr>
            <sz val="8"/>
            <color indexed="81"/>
            <rFont val="Tahoma"/>
            <family val="2"/>
          </rPr>
          <t xml:space="preserve">
4 outlet</t>
        </r>
      </text>
    </comment>
    <comment ref="M44" authorId="18">
      <text>
        <r>
          <rPr>
            <b/>
            <sz val="8"/>
            <color indexed="81"/>
            <rFont val="Tahoma"/>
            <family val="2"/>
          </rPr>
          <t>kg51925:</t>
        </r>
        <r>
          <rPr>
            <sz val="8"/>
            <color indexed="81"/>
            <rFont val="Tahoma"/>
            <family val="2"/>
          </rPr>
          <t xml:space="preserve">
196 front line plus 8 outlet</t>
        </r>
      </text>
    </comment>
    <comment ref="N44" authorId="3">
      <text>
        <r>
          <rPr>
            <b/>
            <sz val="9"/>
            <color indexed="81"/>
            <rFont val="Tahoma"/>
            <family val="2"/>
          </rPr>
          <t>mm98285:</t>
        </r>
        <r>
          <rPr>
            <sz val="9"/>
            <color indexed="81"/>
            <rFont val="Tahoma"/>
            <family val="2"/>
          </rPr>
          <t xml:space="preserve">
4/07: includes 16 outlet stores</t>
        </r>
      </text>
    </comment>
    <comment ref="O44" authorId="3">
      <text>
        <r>
          <rPr>
            <b/>
            <sz val="8"/>
            <color indexed="81"/>
            <rFont val="Tahoma"/>
            <family val="2"/>
          </rPr>
          <t>mm98285:</t>
        </r>
        <r>
          <rPr>
            <sz val="8"/>
            <color indexed="81"/>
            <rFont val="Tahoma"/>
            <family val="2"/>
          </rPr>
          <t xml:space="preserve">
INCLUDES 19 OUTLETS</t>
        </r>
      </text>
    </comment>
    <comment ref="P44" authorId="3">
      <text>
        <r>
          <rPr>
            <b/>
            <sz val="10"/>
            <color indexed="81"/>
            <rFont val="Tahoma"/>
            <family val="2"/>
          </rPr>
          <t>mm98285:</t>
        </r>
        <r>
          <rPr>
            <sz val="10"/>
            <color indexed="81"/>
            <rFont val="Tahoma"/>
            <family val="2"/>
          </rPr>
          <t xml:space="preserve">
183 Specialty Centers
125 Malls
20 Street
17 Outlet</t>
        </r>
      </text>
    </comment>
    <comment ref="S44" authorId="5">
      <text>
        <r>
          <rPr>
            <b/>
            <sz val="8"/>
            <color indexed="81"/>
            <rFont val="Tahoma"/>
            <family val="2"/>
          </rPr>
          <t>5/18/11:</t>
        </r>
        <r>
          <rPr>
            <sz val="8"/>
            <color indexed="81"/>
            <rFont val="Tahoma"/>
            <family val="2"/>
          </rPr>
          <t xml:space="preserve">
Think WHBM FL stores could be 500+ and outlets 125+</t>
        </r>
      </text>
    </comment>
    <comment ref="V44" authorId="5">
      <text>
        <r>
          <rPr>
            <b/>
            <sz val="8"/>
            <color indexed="81"/>
            <rFont val="Tahoma"/>
            <family val="2"/>
          </rPr>
          <t>lauraro:</t>
        </r>
        <r>
          <rPr>
            <sz val="8"/>
            <color indexed="81"/>
            <rFont val="Tahoma"/>
            <family val="2"/>
          </rPr>
          <t xml:space="preserve">
2/22/12: WHBM front-line and outlet 600-700 store potential</t>
        </r>
      </text>
    </comment>
    <comment ref="W44" authorId="5">
      <text>
        <r>
          <rPr>
            <b/>
            <sz val="8"/>
            <color indexed="81"/>
            <rFont val="Tahoma"/>
            <family val="2"/>
          </rPr>
          <t>lauraro:</t>
        </r>
        <r>
          <rPr>
            <sz val="8"/>
            <color indexed="81"/>
            <rFont val="Tahoma"/>
            <family val="2"/>
          </rPr>
          <t xml:space="preserve">
2/22/12: WHBM front-line and outlet 600-700 store potential</t>
        </r>
      </text>
    </comment>
    <comment ref="AA44" authorId="12">
      <text>
        <r>
          <rPr>
            <b/>
            <sz val="9"/>
            <color indexed="81"/>
            <rFont val="Tahoma"/>
            <family val="2"/>
          </rPr>
          <t>casselau:</t>
        </r>
        <r>
          <rPr>
            <sz val="9"/>
            <color indexed="81"/>
            <rFont val="Tahoma"/>
            <family val="2"/>
          </rPr>
          <t xml:space="preserve">
11/25/14:  400-500 front-line stores</t>
        </r>
      </text>
    </comment>
    <comment ref="AB44" authorId="12">
      <text>
        <r>
          <rPr>
            <b/>
            <sz val="9"/>
            <color indexed="81"/>
            <rFont val="Tahoma"/>
            <family val="2"/>
          </rPr>
          <t>casselau:</t>
        </r>
        <r>
          <rPr>
            <sz val="9"/>
            <color indexed="81"/>
            <rFont val="Tahoma"/>
            <family val="2"/>
          </rPr>
          <t xml:space="preserve">
11/25/14:  400-500 front-line stores</t>
        </r>
      </text>
    </comment>
    <comment ref="AC44" authorId="12">
      <text>
        <r>
          <rPr>
            <b/>
            <sz val="9"/>
            <color indexed="81"/>
            <rFont val="Tahoma"/>
            <family val="2"/>
          </rPr>
          <t>casselau:</t>
        </r>
        <r>
          <rPr>
            <sz val="9"/>
            <color indexed="81"/>
            <rFont val="Tahoma"/>
            <family val="2"/>
          </rPr>
          <t xml:space="preserve">
11/25/14:  400-500 front-line stores</t>
        </r>
      </text>
    </comment>
    <comment ref="AD44" authorId="12">
      <text>
        <r>
          <rPr>
            <b/>
            <sz val="9"/>
            <color indexed="81"/>
            <rFont val="Tahoma"/>
            <family val="2"/>
          </rPr>
          <t>casselau:</t>
        </r>
        <r>
          <rPr>
            <sz val="9"/>
            <color indexed="81"/>
            <rFont val="Tahoma"/>
            <family val="2"/>
          </rPr>
          <t xml:space="preserve">
11/25/14:  400-500 front-line stores</t>
        </r>
      </text>
    </comment>
    <comment ref="S45" authorId="5">
      <text>
        <r>
          <rPr>
            <b/>
            <sz val="8"/>
            <color indexed="81"/>
            <rFont val="Tahoma"/>
            <family val="2"/>
          </rPr>
          <t xml:space="preserve">5/18/11:
</t>
        </r>
        <r>
          <rPr>
            <sz val="8"/>
            <color indexed="81"/>
            <rFont val="Tahoma"/>
            <family val="2"/>
          </rPr>
          <t>Think WHBM FL stores could be 500+ and outlets 125+</t>
        </r>
        <r>
          <rPr>
            <sz val="8"/>
            <color indexed="81"/>
            <rFont val="Tahoma"/>
            <family val="2"/>
          </rPr>
          <t xml:space="preserve">
</t>
        </r>
      </text>
    </comment>
    <comment ref="V45" authorId="5">
      <text>
        <r>
          <rPr>
            <b/>
            <sz val="8"/>
            <color indexed="81"/>
            <rFont val="Tahoma"/>
            <family val="2"/>
          </rPr>
          <t>lauraro:</t>
        </r>
        <r>
          <rPr>
            <sz val="8"/>
            <color indexed="81"/>
            <rFont val="Tahoma"/>
            <family val="2"/>
          </rPr>
          <t xml:space="preserve">
2/22/12:  WHBM front-line and outlet 600-700 store potential</t>
        </r>
      </text>
    </comment>
    <comment ref="W45" authorId="5">
      <text>
        <r>
          <rPr>
            <b/>
            <sz val="8"/>
            <color indexed="81"/>
            <rFont val="Tahoma"/>
            <family val="2"/>
          </rPr>
          <t>lauraro:</t>
        </r>
        <r>
          <rPr>
            <sz val="8"/>
            <color indexed="81"/>
            <rFont val="Tahoma"/>
            <family val="2"/>
          </rPr>
          <t xml:space="preserve">
2/22/12:  WHBM front-line and outlet 600-700 store potential</t>
        </r>
      </text>
    </comment>
    <comment ref="AA45" authorId="12">
      <text>
        <r>
          <rPr>
            <b/>
            <sz val="9"/>
            <color indexed="81"/>
            <rFont val="Tahoma"/>
            <family val="2"/>
          </rPr>
          <t>casselau:</t>
        </r>
        <r>
          <rPr>
            <sz val="9"/>
            <color indexed="81"/>
            <rFont val="Tahoma"/>
            <family val="2"/>
          </rPr>
          <t xml:space="preserve">
11/25/14: 100-125 outlets</t>
        </r>
      </text>
    </comment>
    <comment ref="AB45" authorId="12">
      <text>
        <r>
          <rPr>
            <b/>
            <sz val="9"/>
            <color indexed="81"/>
            <rFont val="Tahoma"/>
            <family val="2"/>
          </rPr>
          <t>casselau:</t>
        </r>
        <r>
          <rPr>
            <sz val="9"/>
            <color indexed="81"/>
            <rFont val="Tahoma"/>
            <family val="2"/>
          </rPr>
          <t xml:space="preserve">
11/25/14: 100-125 outlets</t>
        </r>
      </text>
    </comment>
    <comment ref="AC45" authorId="12">
      <text>
        <r>
          <rPr>
            <b/>
            <sz val="9"/>
            <color indexed="81"/>
            <rFont val="Tahoma"/>
            <family val="2"/>
          </rPr>
          <t>casselau:</t>
        </r>
        <r>
          <rPr>
            <sz val="9"/>
            <color indexed="81"/>
            <rFont val="Tahoma"/>
            <family val="2"/>
          </rPr>
          <t xml:space="preserve">
11/25/14: 100-125 outlets</t>
        </r>
      </text>
    </comment>
    <comment ref="AD45" authorId="12">
      <text>
        <r>
          <rPr>
            <b/>
            <sz val="9"/>
            <color indexed="81"/>
            <rFont val="Tahoma"/>
            <family val="2"/>
          </rPr>
          <t>casselau:</t>
        </r>
        <r>
          <rPr>
            <sz val="9"/>
            <color indexed="81"/>
            <rFont val="Tahoma"/>
            <family val="2"/>
          </rPr>
          <t xml:space="preserve">
11/25/14: 100-125 outlets</t>
        </r>
      </text>
    </comment>
    <comment ref="A46" authorId="3">
      <text>
        <r>
          <rPr>
            <b/>
            <sz val="9"/>
            <color indexed="81"/>
            <rFont val="Tahoma"/>
            <family val="2"/>
          </rPr>
          <t>mm98285:</t>
        </r>
        <r>
          <rPr>
            <sz val="9"/>
            <color indexed="81"/>
            <rFont val="Tahoma"/>
            <family val="2"/>
          </rPr>
          <t xml:space="preserve">
6/08: critical mass currently believed to be at least 100 stores</t>
        </r>
      </text>
    </comment>
    <comment ref="O46" authorId="3">
      <text>
        <r>
          <rPr>
            <b/>
            <sz val="8"/>
            <color indexed="81"/>
            <rFont val="Tahoma"/>
            <family val="2"/>
          </rPr>
          <t>mm98285:</t>
        </r>
        <r>
          <rPr>
            <sz val="8"/>
            <color indexed="81"/>
            <rFont val="Tahoma"/>
            <family val="2"/>
          </rPr>
          <t xml:space="preserve">
INCLUDES 1 OUTLET, 68 front line</t>
        </r>
      </text>
    </comment>
    <comment ref="P46" authorId="3">
      <text>
        <r>
          <rPr>
            <sz val="10"/>
            <color indexed="81"/>
            <rFont val="Tahoma"/>
            <family val="2"/>
          </rPr>
          <t>70 front line; 1 outlet</t>
        </r>
        <r>
          <rPr>
            <b/>
            <sz val="10"/>
            <color indexed="81"/>
            <rFont val="Tahoma"/>
            <family val="2"/>
          </rPr>
          <t xml:space="preserve">
mm98285:</t>
        </r>
        <r>
          <rPr>
            <sz val="10"/>
            <color indexed="81"/>
            <rFont val="Tahoma"/>
            <family val="2"/>
          </rPr>
          <t xml:space="preserve">
32 Specialty Centers
36 Malls
2 Street
1 Outlet</t>
        </r>
      </text>
    </comment>
    <comment ref="Q46" authorId="4">
      <text>
        <r>
          <rPr>
            <b/>
            <sz val="8"/>
            <color indexed="81"/>
            <rFont val="Tahoma"/>
            <family val="2"/>
          </rPr>
          <t>marchant:</t>
        </r>
        <r>
          <rPr>
            <sz val="8"/>
            <color indexed="81"/>
            <rFont val="Tahoma"/>
            <family val="2"/>
          </rPr>
          <t xml:space="preserve">
83 front-line
4 outlets</t>
        </r>
      </text>
    </comment>
    <comment ref="R46" authorId="5">
      <text>
        <r>
          <rPr>
            <b/>
            <sz val="8"/>
            <color indexed="81"/>
            <rFont val="Tahoma"/>
            <family val="2"/>
          </rPr>
          <t>Soma FL 120
Soma Outlet 8</t>
        </r>
        <r>
          <rPr>
            <sz val="8"/>
            <color indexed="81"/>
            <rFont val="Tahoma"/>
            <family val="2"/>
          </rPr>
          <t xml:space="preserve">
</t>
        </r>
      </text>
    </comment>
    <comment ref="S46" authorId="5">
      <text>
        <r>
          <rPr>
            <b/>
            <sz val="8"/>
            <color indexed="81"/>
            <rFont val="Tahoma"/>
            <family val="2"/>
          </rPr>
          <t xml:space="preserve">2/23/12: </t>
        </r>
        <r>
          <rPr>
            <sz val="8"/>
            <color indexed="81"/>
            <rFont val="Tahoma"/>
            <family val="2"/>
          </rPr>
          <t>79 are pop-ups</t>
        </r>
        <r>
          <rPr>
            <b/>
            <sz val="8"/>
            <color indexed="81"/>
            <rFont val="Tahoma"/>
            <family val="2"/>
          </rPr>
          <t xml:space="preserve">
5/18/11: </t>
        </r>
        <r>
          <rPr>
            <sz val="8"/>
            <color indexed="81"/>
            <rFont val="Tahoma"/>
            <family val="2"/>
          </rPr>
          <t>Soma should have ~180 boutiques and sufficient scale to allow us to leverage our sourcing cost and brand overhead</t>
        </r>
        <r>
          <rPr>
            <sz val="8"/>
            <color indexed="81"/>
            <rFont val="Tahoma"/>
            <family val="2"/>
          </rPr>
          <t xml:space="preserve">
</t>
        </r>
      </text>
    </comment>
    <comment ref="V46" authorId="5">
      <text>
        <r>
          <rPr>
            <b/>
            <sz val="8"/>
            <color indexed="81"/>
            <rFont val="Tahoma"/>
            <family val="2"/>
          </rPr>
          <t>lauraro:</t>
        </r>
        <r>
          <rPr>
            <sz val="8"/>
            <color indexed="81"/>
            <rFont val="Tahoma"/>
            <family val="2"/>
          </rPr>
          <t xml:space="preserve">
2/22/12:  Soma front-line and outlet at least 600</t>
        </r>
      </text>
    </comment>
    <comment ref="W46" authorId="5">
      <text>
        <r>
          <rPr>
            <b/>
            <sz val="8"/>
            <color indexed="81"/>
            <rFont val="Tahoma"/>
            <family val="2"/>
          </rPr>
          <t>lauraro:</t>
        </r>
        <r>
          <rPr>
            <sz val="8"/>
            <color indexed="81"/>
            <rFont val="Tahoma"/>
            <family val="2"/>
          </rPr>
          <t xml:space="preserve">
2/22/12:  Soma front-line and outlet at least 600</t>
        </r>
      </text>
    </comment>
    <comment ref="AA46" authorId="12">
      <text>
        <r>
          <rPr>
            <b/>
            <sz val="9"/>
            <color indexed="81"/>
            <rFont val="Tahoma"/>
            <family val="2"/>
          </rPr>
          <t>casselau:</t>
        </r>
        <r>
          <rPr>
            <sz val="9"/>
            <color indexed="81"/>
            <rFont val="Tahoma"/>
            <family val="2"/>
          </rPr>
          <t xml:space="preserve">
11/25/14: 600+ full-line</t>
        </r>
      </text>
    </comment>
    <comment ref="AB46" authorId="12">
      <text>
        <r>
          <rPr>
            <b/>
            <sz val="9"/>
            <color indexed="81"/>
            <rFont val="Tahoma"/>
            <family val="2"/>
          </rPr>
          <t>casselau:</t>
        </r>
        <r>
          <rPr>
            <sz val="9"/>
            <color indexed="81"/>
            <rFont val="Tahoma"/>
            <family val="2"/>
          </rPr>
          <t xml:space="preserve">
11/25/14: 600+ full-line</t>
        </r>
      </text>
    </comment>
    <comment ref="AC46" authorId="12">
      <text>
        <r>
          <rPr>
            <b/>
            <sz val="9"/>
            <color indexed="81"/>
            <rFont val="Tahoma"/>
            <family val="2"/>
          </rPr>
          <t>casselau:</t>
        </r>
        <r>
          <rPr>
            <sz val="9"/>
            <color indexed="81"/>
            <rFont val="Tahoma"/>
            <family val="2"/>
          </rPr>
          <t xml:space="preserve">
11/25/14: 600+ full-line</t>
        </r>
      </text>
    </comment>
    <comment ref="AD46" authorId="12">
      <text>
        <r>
          <rPr>
            <b/>
            <sz val="9"/>
            <color indexed="81"/>
            <rFont val="Tahoma"/>
            <family val="2"/>
          </rPr>
          <t>casselau:</t>
        </r>
        <r>
          <rPr>
            <sz val="9"/>
            <color indexed="81"/>
            <rFont val="Tahoma"/>
            <family val="2"/>
          </rPr>
          <t xml:space="preserve">
11/25/14: 600+ full-line</t>
        </r>
      </text>
    </comment>
    <comment ref="N47" authorId="3">
      <text>
        <r>
          <rPr>
            <b/>
            <sz val="9"/>
            <color indexed="81"/>
            <rFont val="Tahoma"/>
            <family val="2"/>
          </rPr>
          <t>mm98285:</t>
        </r>
        <r>
          <rPr>
            <sz val="9"/>
            <color indexed="81"/>
            <rFont val="Tahoma"/>
            <family val="2"/>
          </rPr>
          <t xml:space="preserve">
4/07: includes 1 outlet store</t>
        </r>
      </text>
    </comment>
    <comment ref="S48" authorId="5">
      <text>
        <r>
          <rPr>
            <b/>
            <sz val="8"/>
            <color indexed="81"/>
            <rFont val="Tahoma"/>
            <family val="2"/>
          </rPr>
          <t xml:space="preserve">2/23/12: </t>
        </r>
        <r>
          <rPr>
            <sz val="8"/>
            <color indexed="81"/>
            <rFont val="Tahoma"/>
            <family val="2"/>
          </rPr>
          <t>79 are pop-ups</t>
        </r>
        <r>
          <rPr>
            <b/>
            <sz val="8"/>
            <color indexed="81"/>
            <rFont val="Tahoma"/>
            <family val="2"/>
          </rPr>
          <t xml:space="preserve">
5/18/11: </t>
        </r>
        <r>
          <rPr>
            <sz val="8"/>
            <color indexed="81"/>
            <rFont val="Tahoma"/>
            <family val="2"/>
          </rPr>
          <t>Soma should have ~180 boutiques and sufficient scale to allow us to leverage our sourcing cost and brand overhead</t>
        </r>
        <r>
          <rPr>
            <sz val="8"/>
            <color indexed="81"/>
            <rFont val="Tahoma"/>
            <family val="2"/>
          </rPr>
          <t xml:space="preserve">
</t>
        </r>
      </text>
    </comment>
    <comment ref="B65" authorId="0">
      <text>
        <r>
          <rPr>
            <b/>
            <sz val="10"/>
            <color indexed="81"/>
            <rFont val="Tahoma"/>
            <family val="2"/>
          </rPr>
          <t>dong2:</t>
        </r>
        <r>
          <rPr>
            <sz val="10"/>
            <color indexed="81"/>
            <rFont val="Tahoma"/>
            <family val="2"/>
          </rPr>
          <t xml:space="preserve">
in 1994 10-K, co. stores averaged approx. 1,270 selling sq. ft. (1,588 gross sq. ft.), while outlets averaged 1,735 selling sq. ft. (2,169 gross)</t>
        </r>
      </text>
    </comment>
    <comment ref="C65" authorId="0">
      <text>
        <r>
          <rPr>
            <b/>
            <sz val="10"/>
            <color indexed="81"/>
            <rFont val="Tahoma"/>
            <family val="2"/>
          </rPr>
          <t>dong2:</t>
        </r>
        <r>
          <rPr>
            <sz val="10"/>
            <color indexed="81"/>
            <rFont val="Tahoma"/>
            <family val="2"/>
          </rPr>
          <t xml:space="preserve">
in 1995, stores avg'd 1250 selling sq. ft., outlets 1735 selling sq. ft.</t>
        </r>
      </text>
    </comment>
    <comment ref="D65" authorId="0">
      <text>
        <r>
          <rPr>
            <b/>
            <sz val="10"/>
            <color indexed="81"/>
            <rFont val="Tahoma"/>
            <family val="2"/>
          </rPr>
          <t>dong2:</t>
        </r>
        <r>
          <rPr>
            <sz val="10"/>
            <color indexed="81"/>
            <rFont val="Tahoma"/>
            <family val="2"/>
          </rPr>
          <t xml:space="preserve">
in 1996, stores avg'd 1250 selling sq. ft., outlets 1735 selling sq. ft.</t>
        </r>
      </text>
    </comment>
    <comment ref="K65" authorId="17">
      <text>
        <r>
          <rPr>
            <b/>
            <sz val="10"/>
            <color indexed="81"/>
            <rFont val="Tahoma"/>
            <family val="2"/>
          </rPr>
          <t>dliu:</t>
        </r>
        <r>
          <rPr>
            <sz val="10"/>
            <color indexed="81"/>
            <rFont val="Tahoma"/>
            <family val="2"/>
          </rPr>
          <t xml:space="preserve">
assume 25 out of 50 stores are expansions by 1,000 square feet
8/4/03 had 1.087mm before acquisition of WHBM announced</t>
        </r>
      </text>
    </comment>
    <comment ref="L65" authorId="17">
      <text>
        <r>
          <rPr>
            <b/>
            <sz val="10"/>
            <color indexed="81"/>
            <rFont val="Tahoma"/>
            <family val="2"/>
          </rPr>
          <t>dliu:</t>
        </r>
        <r>
          <rPr>
            <sz val="10"/>
            <color indexed="81"/>
            <rFont val="Tahoma"/>
            <family val="2"/>
          </rPr>
          <t xml:space="preserve">
assume 25 out of 50 stores are expansions by 1,000 square feet
added 25 remodels 5/7/03
8/4/03 had 1.087mm before acquisition of WHBM announced.
9/10/03 increased expansion sq feet to 1,500 and 30 stores to get to 20% sq ft growth per CFO.
</t>
        </r>
        <r>
          <rPr>
            <b/>
            <sz val="10"/>
            <color indexed="81"/>
            <rFont val="Tahoma"/>
            <family val="2"/>
          </rPr>
          <t>8/04: planing on remodeling or expanding 50 stores in 2004 b/t Chico's and WHBM. LY in 2003 was prob around 35 Chico's.</t>
        </r>
      </text>
    </comment>
    <comment ref="N65" authorId="18">
      <text>
        <r>
          <rPr>
            <b/>
            <sz val="8"/>
            <color indexed="81"/>
            <rFont val="Tahoma"/>
            <family val="2"/>
          </rPr>
          <t>kg51925:</t>
        </r>
        <r>
          <rPr>
            <sz val="8"/>
            <color indexed="81"/>
            <rFont val="Tahoma"/>
            <family val="2"/>
          </rPr>
          <t xml:space="preserve">
3/1/06 includes 50 store expansions at +2,000 sq ft each plus 10-20 Soma boutiques in large Chico's stores = 1,100-1,200 sq ft each</t>
        </r>
      </text>
    </comment>
    <comment ref="O65" authorId="18">
      <text>
        <r>
          <rPr>
            <b/>
            <sz val="9"/>
            <color indexed="81"/>
            <rFont val="Tahoma"/>
            <family val="2"/>
          </rPr>
          <t>kg51925:</t>
        </r>
        <r>
          <rPr>
            <sz val="9"/>
            <color indexed="81"/>
            <rFont val="Tahoma"/>
            <family val="2"/>
          </rPr>
          <t xml:space="preserve">
4/07: 3/1/06 includes 50 store expansions at +2,000 sq ft each
3/1/06 includes 50 store expansions at +2,000 sq ft each plus 10-20 Soma boutiques in large Chico's stores = 1,100-1,200 sq ft each</t>
        </r>
      </text>
    </comment>
    <comment ref="P65" authorId="18">
      <text>
        <r>
          <rPr>
            <b/>
            <sz val="9"/>
            <color indexed="81"/>
            <rFont val="Tahoma"/>
            <family val="2"/>
          </rPr>
          <t>kg51925:</t>
        </r>
        <r>
          <rPr>
            <sz val="9"/>
            <color indexed="81"/>
            <rFont val="Tahoma"/>
            <family val="2"/>
          </rPr>
          <t xml:space="preserve">
2Q 10Q: 30-50 store exp/relo
4/07: 3/1/06 includes 50 store expansions at +2,000 sq ft each
3/1/06 includes 50 store expansions at +2,000 sq ft each plus 10-20 Soma boutiques in large Chico's stores = 1,100-1,200 sq ft each</t>
        </r>
      </text>
    </comment>
    <comment ref="L66" authorId="1">
      <text>
        <r>
          <rPr>
            <b/>
            <sz val="10"/>
            <color indexed="81"/>
            <rFont val="Tahoma"/>
            <family val="2"/>
          </rPr>
          <t>kgreenbe:</t>
        </r>
        <r>
          <rPr>
            <sz val="10"/>
            <color indexed="81"/>
            <rFont val="Tahoma"/>
            <family val="2"/>
          </rPr>
          <t xml:space="preserve">
9/10/03 CFO indicated that square footage would only grow 20% in 2004, contrary to July 2003 guidance upon WHBM acquisition announcement that they would grow 25% going forward.</t>
        </r>
      </text>
    </comment>
    <comment ref="N66" authorId="3">
      <text>
        <r>
          <rPr>
            <b/>
            <sz val="8"/>
            <color indexed="81"/>
            <rFont val="Tahoma"/>
            <family val="2"/>
          </rPr>
          <t>mm98285:</t>
        </r>
        <r>
          <rPr>
            <sz val="8"/>
            <color indexed="81"/>
            <rFont val="Tahoma"/>
            <family val="2"/>
          </rPr>
          <t xml:space="preserve">
5/06: expect ~30% sq. footage growth</t>
        </r>
      </text>
    </comment>
    <comment ref="O66" authorId="3">
      <text>
        <r>
          <rPr>
            <b/>
            <sz val="10"/>
            <color indexed="81"/>
            <rFont val="Tahoma"/>
            <family val="2"/>
          </rPr>
          <t>mm98285:</t>
        </r>
        <r>
          <rPr>
            <sz val="10"/>
            <color indexed="81"/>
            <rFont val="Tahoma"/>
            <family val="2"/>
          </rPr>
          <t xml:space="preserve">
2/07: expect 22-24% growth
5/06: expect ~25% sq ft. growth</t>
        </r>
      </text>
    </comment>
    <comment ref="P66" authorId="3">
      <text>
        <r>
          <rPr>
            <b/>
            <sz val="10"/>
            <color indexed="81"/>
            <rFont val="Tahoma"/>
            <family val="2"/>
          </rPr>
          <t>mm98285:</t>
        </r>
        <r>
          <rPr>
            <sz val="10"/>
            <color indexed="81"/>
            <rFont val="Tahoma"/>
            <family val="2"/>
          </rPr>
          <t xml:space="preserve">
8/08: 7-8%
6/08: expect 8-9%
2007 10K 5-8% sq ft growth
12/07: per 3Q 10-Q - expect 10% growth in 2008
8/07: expect 12-15% growth
2/07: expect 15% growth</t>
        </r>
      </text>
    </comment>
    <comment ref="Q66" authorId="3">
      <text>
        <r>
          <rPr>
            <b/>
            <sz val="10"/>
            <color indexed="81"/>
            <rFont val="Tahoma"/>
            <family val="2"/>
          </rPr>
          <t>mm98285:</t>
        </r>
        <r>
          <rPr>
            <sz val="10"/>
            <color indexed="81"/>
            <rFont val="Tahoma"/>
            <family val="2"/>
          </rPr>
          <t xml:space="preserve">
2Q10Q: down slightly
10K: expect ~flat
9/15/08: 2Q 10Q: 2-4% sq ft growth
2007 10K 4-7% sq ft growth
12/07 3Q 10-Q indicated "10% range" growth expected in 2009
8/07: expect 10% growth</t>
        </r>
      </text>
    </comment>
    <comment ref="R66" authorId="4">
      <text>
        <r>
          <rPr>
            <b/>
            <sz val="8"/>
            <color indexed="81"/>
            <rFont val="Tahoma"/>
            <family val="2"/>
          </rPr>
          <t xml:space="preserve">12/10:
</t>
        </r>
        <r>
          <rPr>
            <sz val="8"/>
            <color indexed="81"/>
            <rFont val="Tahoma"/>
            <family val="2"/>
          </rPr>
          <t xml:space="preserve">Currently, we expect 2010 sq. ft. +6%, reflecting 14-16 net openings of Chico's stores, 13-15 net openings of WH|BM stores, ~40 net openings of Soma stores (which does not include Soma "sister stores") and 14-16 relocations/expansions. 
</t>
        </r>
        <r>
          <rPr>
            <b/>
            <sz val="8"/>
            <color indexed="81"/>
            <rFont val="Tahoma"/>
            <family val="2"/>
          </rPr>
          <t>marchant:</t>
        </r>
        <r>
          <rPr>
            <sz val="8"/>
            <color indexed="81"/>
            <rFont val="Tahoma"/>
            <family val="2"/>
          </rPr>
          <t xml:space="preserve">
10/10: 5.5% growth</t>
        </r>
      </text>
    </comment>
    <comment ref="S66" authorId="4">
      <text>
        <r>
          <rPr>
            <b/>
            <sz val="8"/>
            <color indexed="81"/>
            <rFont val="Tahoma"/>
            <family val="2"/>
          </rPr>
          <t xml:space="preserve">11/22/11: </t>
        </r>
        <r>
          <rPr>
            <sz val="8"/>
            <color indexed="81"/>
            <rFont val="Tahoma"/>
            <family val="2"/>
          </rPr>
          <t>~8%</t>
        </r>
        <r>
          <rPr>
            <b/>
            <sz val="8"/>
            <color indexed="81"/>
            <rFont val="Tahoma"/>
            <family val="2"/>
          </rPr>
          <t xml:space="preserve">
3/11: </t>
        </r>
        <r>
          <rPr>
            <sz val="8"/>
            <color indexed="81"/>
            <rFont val="Tahoma"/>
            <family val="2"/>
          </rPr>
          <t>Exp +HSD</t>
        </r>
        <r>
          <rPr>
            <b/>
            <sz val="8"/>
            <color indexed="81"/>
            <rFont val="Tahoma"/>
            <family val="2"/>
          </rPr>
          <t xml:space="preserve">
marchant:</t>
        </r>
        <r>
          <rPr>
            <sz val="8"/>
            <color indexed="81"/>
            <rFont val="Tahoma"/>
            <family val="2"/>
          </rPr>
          <t xml:space="preserve">
10/10: 6%+ net growth</t>
        </r>
      </text>
    </comment>
    <comment ref="T66" authorId="5">
      <text>
        <r>
          <rPr>
            <b/>
            <sz val="8"/>
            <color indexed="81"/>
            <rFont val="Tahoma"/>
            <family val="2"/>
          </rPr>
          <t>lauraro:</t>
        </r>
        <r>
          <rPr>
            <sz val="8"/>
            <color indexed="81"/>
            <rFont val="Tahoma"/>
            <family val="2"/>
          </rPr>
          <t xml:space="preserve">
</t>
        </r>
        <r>
          <rPr>
            <b/>
            <sz val="8"/>
            <color indexed="81"/>
            <rFont val="Tahoma"/>
            <family val="2"/>
          </rPr>
          <t xml:space="preserve">5/16/12: </t>
        </r>
        <r>
          <rPr>
            <sz val="8"/>
            <color indexed="81"/>
            <rFont val="Tahoma"/>
            <family val="2"/>
          </rPr>
          <t>Sales +mid-high teens% to ~$2.5-$2.6Bn, comp +MSD, ~9% sq ftge and ~$30M 53rd week sales</t>
        </r>
      </text>
    </comment>
    <comment ref="A68" authorId="20">
      <text>
        <r>
          <rPr>
            <sz val="8"/>
            <color indexed="81"/>
            <rFont val="Tahoma"/>
            <family val="2"/>
          </rPr>
          <t>s/b ending gross sf divided by ending store count</t>
        </r>
      </text>
    </comment>
    <comment ref="T74" authorId="8">
      <text>
        <r>
          <rPr>
            <b/>
            <sz val="8"/>
            <color indexed="81"/>
            <rFont val="Tahoma"/>
            <family val="2"/>
          </rPr>
          <t>solejay:</t>
        </r>
        <r>
          <rPr>
            <sz val="8"/>
            <color indexed="81"/>
            <rFont val="Tahoma"/>
            <family val="2"/>
          </rPr>
          <t xml:space="preserve">
includes DTC</t>
        </r>
      </text>
    </comment>
    <comment ref="U74" authorId="8">
      <text>
        <r>
          <rPr>
            <b/>
            <sz val="8"/>
            <color indexed="81"/>
            <rFont val="Tahoma"/>
            <family val="2"/>
          </rPr>
          <t>solejay:</t>
        </r>
        <r>
          <rPr>
            <sz val="8"/>
            <color indexed="81"/>
            <rFont val="Tahoma"/>
            <family val="2"/>
          </rPr>
          <t xml:space="preserve">
includes DTC</t>
        </r>
      </text>
    </comment>
    <comment ref="V74" authorId="8">
      <text>
        <r>
          <rPr>
            <b/>
            <sz val="8"/>
            <color indexed="81"/>
            <rFont val="Tahoma"/>
            <family val="2"/>
          </rPr>
          <t>solejay:</t>
        </r>
        <r>
          <rPr>
            <sz val="8"/>
            <color indexed="81"/>
            <rFont val="Tahoma"/>
            <family val="2"/>
          </rPr>
          <t xml:space="preserve">
includes DTC</t>
        </r>
      </text>
    </comment>
    <comment ref="W74" authorId="8">
      <text>
        <r>
          <rPr>
            <b/>
            <sz val="8"/>
            <color indexed="81"/>
            <rFont val="Tahoma"/>
            <family val="2"/>
          </rPr>
          <t>solejay:</t>
        </r>
        <r>
          <rPr>
            <sz val="8"/>
            <color indexed="81"/>
            <rFont val="Tahoma"/>
            <family val="2"/>
          </rPr>
          <t xml:space="preserve">
includes DTC</t>
        </r>
      </text>
    </comment>
    <comment ref="X74" authorId="8">
      <text>
        <r>
          <rPr>
            <b/>
            <sz val="8"/>
            <color indexed="81"/>
            <rFont val="Tahoma"/>
            <family val="2"/>
          </rPr>
          <t>solejay:</t>
        </r>
        <r>
          <rPr>
            <sz val="8"/>
            <color indexed="81"/>
            <rFont val="Tahoma"/>
            <family val="2"/>
          </rPr>
          <t xml:space="preserve">
includes DTC</t>
        </r>
      </text>
    </comment>
    <comment ref="Y74" authorId="8">
      <text>
        <r>
          <rPr>
            <b/>
            <sz val="8"/>
            <color indexed="81"/>
            <rFont val="Tahoma"/>
            <family val="2"/>
          </rPr>
          <t>solejay:</t>
        </r>
        <r>
          <rPr>
            <sz val="8"/>
            <color indexed="81"/>
            <rFont val="Tahoma"/>
            <family val="2"/>
          </rPr>
          <t xml:space="preserve">
includes DTC</t>
        </r>
      </text>
    </comment>
    <comment ref="Z74" authorId="8">
      <text>
        <r>
          <rPr>
            <b/>
            <sz val="8"/>
            <color indexed="81"/>
            <rFont val="Tahoma"/>
            <family val="2"/>
          </rPr>
          <t>solejay:</t>
        </r>
        <r>
          <rPr>
            <sz val="8"/>
            <color indexed="81"/>
            <rFont val="Tahoma"/>
            <family val="2"/>
          </rPr>
          <t xml:space="preserve">
includes DTC</t>
        </r>
      </text>
    </comment>
    <comment ref="AA74" authorId="8">
      <text>
        <r>
          <rPr>
            <b/>
            <sz val="8"/>
            <color indexed="81"/>
            <rFont val="Tahoma"/>
            <family val="2"/>
          </rPr>
          <t>solejay:</t>
        </r>
        <r>
          <rPr>
            <sz val="8"/>
            <color indexed="81"/>
            <rFont val="Tahoma"/>
            <family val="2"/>
          </rPr>
          <t xml:space="preserve">
includes DTC</t>
        </r>
      </text>
    </comment>
    <comment ref="AB74" authorId="8">
      <text>
        <r>
          <rPr>
            <b/>
            <sz val="8"/>
            <color indexed="81"/>
            <rFont val="Tahoma"/>
            <family val="2"/>
          </rPr>
          <t>solejay:</t>
        </r>
        <r>
          <rPr>
            <sz val="8"/>
            <color indexed="81"/>
            <rFont val="Tahoma"/>
            <family val="2"/>
          </rPr>
          <t xml:space="preserve">
includes DTC</t>
        </r>
      </text>
    </comment>
    <comment ref="AC74" authorId="8">
      <text>
        <r>
          <rPr>
            <b/>
            <sz val="8"/>
            <color indexed="81"/>
            <rFont val="Tahoma"/>
            <family val="2"/>
          </rPr>
          <t>solejay:</t>
        </r>
        <r>
          <rPr>
            <sz val="8"/>
            <color indexed="81"/>
            <rFont val="Tahoma"/>
            <family val="2"/>
          </rPr>
          <t xml:space="preserve">
includes DTC</t>
        </r>
      </text>
    </comment>
    <comment ref="AD74" authorId="8">
      <text>
        <r>
          <rPr>
            <b/>
            <sz val="8"/>
            <color indexed="81"/>
            <rFont val="Tahoma"/>
            <family val="2"/>
          </rPr>
          <t>solejay:</t>
        </r>
        <r>
          <rPr>
            <sz val="8"/>
            <color indexed="81"/>
            <rFont val="Tahoma"/>
            <family val="2"/>
          </rPr>
          <t xml:space="preserve">
includes DTC</t>
        </r>
      </text>
    </comment>
    <comment ref="A77" authorId="3">
      <text>
        <r>
          <rPr>
            <b/>
            <sz val="8"/>
            <color indexed="81"/>
            <rFont val="Tahoma"/>
            <family val="2"/>
          </rPr>
          <t>mm98285:</t>
        </r>
        <r>
          <rPr>
            <sz val="8"/>
            <color indexed="81"/>
            <rFont val="Tahoma"/>
            <family val="2"/>
          </rPr>
          <t xml:space="preserve">
2007 10K non-selling space generally amounts to 25-28% of the gross leased space</t>
        </r>
      </text>
    </comment>
    <comment ref="I78" authorId="1">
      <text>
        <r>
          <rPr>
            <b/>
            <sz val="10"/>
            <color indexed="81"/>
            <rFont val="Tahoma"/>
            <family val="2"/>
          </rPr>
          <t>kgreenbe:</t>
        </r>
        <r>
          <rPr>
            <sz val="10"/>
            <color indexed="81"/>
            <rFont val="Tahoma"/>
            <family val="2"/>
          </rPr>
          <t xml:space="preserve">
6/19/01 mgmt presentation states will increase new stores to 2,000 selling sq. ft. (2,500 gross)</t>
        </r>
      </text>
    </comment>
    <comment ref="J78" authorId="13">
      <text>
        <r>
          <rPr>
            <b/>
            <sz val="8"/>
            <color indexed="81"/>
            <rFont val="Tahoma"/>
            <family val="2"/>
          </rPr>
          <t>Lehman Brothers:</t>
        </r>
        <r>
          <rPr>
            <sz val="8"/>
            <color indexed="81"/>
            <rFont val="Tahoma"/>
            <family val="2"/>
          </rPr>
          <t xml:space="preserve">
most comfortable size will be 2,500 selling, want to get there eventually</t>
        </r>
      </text>
    </comment>
    <comment ref="L78" authorId="1">
      <text>
        <r>
          <rPr>
            <b/>
            <sz val="10"/>
            <color indexed="81"/>
            <rFont val="Tahoma"/>
            <family val="2"/>
          </rPr>
          <t>kgreenbe:</t>
        </r>
        <r>
          <rPr>
            <sz val="10"/>
            <color indexed="81"/>
            <rFont val="Tahoma"/>
            <family val="2"/>
          </rPr>
          <t xml:space="preserve">
9/10/03 CFO indicated new Chico's stores would gross 2,600 sq ft.</t>
        </r>
      </text>
    </comment>
    <comment ref="N78" authorId="21">
      <text>
        <r>
          <rPr>
            <b/>
            <sz val="8"/>
            <color indexed="81"/>
            <rFont val="Tahoma"/>
            <family val="2"/>
          </rPr>
          <t>MB33100:</t>
        </r>
        <r>
          <rPr>
            <sz val="8"/>
            <color indexed="81"/>
            <rFont val="Tahoma"/>
            <family val="2"/>
          </rPr>
          <t xml:space="preserve">
5/06: new store size 3,200-3,400 selling sq ft
4/06 per 10-k, company plans to open Chicos of ~2,800-3,500 selling sq ft</t>
        </r>
      </text>
    </comment>
    <comment ref="O78" authorId="3">
      <text>
        <r>
          <rPr>
            <b/>
            <sz val="9"/>
            <color indexed="81"/>
            <rFont val="Tahoma"/>
            <family val="2"/>
          </rPr>
          <t>mm98285:</t>
        </r>
        <r>
          <rPr>
            <sz val="9"/>
            <color indexed="81"/>
            <rFont val="Tahoma"/>
            <family val="2"/>
          </rPr>
          <t xml:space="preserve">
2006 10K: targeting stores 3,000-3,500 selling sq ft</t>
        </r>
      </text>
    </comment>
    <comment ref="P78" authorId="3">
      <text>
        <r>
          <rPr>
            <b/>
            <sz val="9"/>
            <color indexed="81"/>
            <rFont val="Tahoma"/>
            <family val="2"/>
          </rPr>
          <t>mm98285:</t>
        </r>
        <r>
          <rPr>
            <sz val="9"/>
            <color indexed="81"/>
            <rFont val="Tahoma"/>
            <family val="2"/>
          </rPr>
          <t xml:space="preserve">
2007 10K: targeting stores 3,000-3,500 selling sq ft
avg: 2,541 selling sq ft</t>
        </r>
      </text>
    </comment>
    <comment ref="S78" authorId="4">
      <text>
        <r>
          <rPr>
            <b/>
            <sz val="8"/>
            <color indexed="81"/>
            <rFont val="Tahoma"/>
            <family val="2"/>
          </rPr>
          <t xml:space="preserve">3/1/11: </t>
        </r>
        <r>
          <rPr>
            <sz val="8"/>
            <color indexed="81"/>
            <rFont val="Tahoma"/>
            <family val="2"/>
          </rPr>
          <t>3500 gross sq. ft.</t>
        </r>
        <r>
          <rPr>
            <b/>
            <sz val="8"/>
            <color indexed="81"/>
            <rFont val="Tahoma"/>
            <family val="2"/>
          </rPr>
          <t xml:space="preserve">
marchant:</t>
        </r>
        <r>
          <rPr>
            <sz val="8"/>
            <color indexed="81"/>
            <rFont val="Tahoma"/>
            <family val="2"/>
          </rPr>
          <t xml:space="preserve">
3/10: target size 3200</t>
        </r>
      </text>
    </comment>
    <comment ref="K79" authorId="17">
      <text>
        <r>
          <rPr>
            <b/>
            <sz val="10"/>
            <color indexed="81"/>
            <rFont val="Tahoma"/>
            <family val="2"/>
          </rPr>
          <t>dliu:</t>
        </r>
        <r>
          <rPr>
            <sz val="10"/>
            <color indexed="81"/>
            <rFont val="Tahoma"/>
            <family val="2"/>
          </rPr>
          <t xml:space="preserve">
2600net</t>
        </r>
      </text>
    </comment>
    <comment ref="K80" authorId="1">
      <text>
        <r>
          <rPr>
            <b/>
            <sz val="10"/>
            <color indexed="81"/>
            <rFont val="Tahoma"/>
            <family val="2"/>
          </rPr>
          <t>kgreenbe:</t>
        </r>
        <r>
          <rPr>
            <sz val="10"/>
            <color indexed="81"/>
            <rFont val="Tahoma"/>
            <family val="2"/>
          </rPr>
          <t xml:space="preserve">
8/4/03 mgmt indicated that WHBM stores could be slightly larger going forward.</t>
        </r>
      </text>
    </comment>
    <comment ref="L80" authorId="1">
      <text>
        <r>
          <rPr>
            <b/>
            <sz val="10"/>
            <color indexed="81"/>
            <rFont val="Tahoma"/>
            <family val="2"/>
          </rPr>
          <t>kgreenbe:</t>
        </r>
        <r>
          <rPr>
            <sz val="10"/>
            <color indexed="81"/>
            <rFont val="Tahoma"/>
            <family val="2"/>
          </rPr>
          <t xml:space="preserve">
8/4/03 mgmt indicated that WHBM stores could be slightly larger that 1,460 going forward. KG est 1,800 8/4/03. On 9/10/03 KG updated to 1,900 as CFO indicated 1800-2000 sq ft gross.</t>
        </r>
      </text>
    </comment>
    <comment ref="M80" authorId="1">
      <text>
        <r>
          <rPr>
            <b/>
            <sz val="10"/>
            <color indexed="81"/>
            <rFont val="Tahoma"/>
            <family val="2"/>
          </rPr>
          <t>kgreenbe:</t>
        </r>
        <r>
          <rPr>
            <sz val="10"/>
            <color indexed="81"/>
            <rFont val="Tahoma"/>
            <family val="2"/>
          </rPr>
          <t xml:space="preserve">
8/4/03 mgmt indicated that WHBM stores could be slightly larger that 1,460 going forward. KG est 1,800</t>
        </r>
      </text>
    </comment>
    <comment ref="N80" authorId="1">
      <text>
        <r>
          <rPr>
            <b/>
            <sz val="10"/>
            <color indexed="81"/>
            <rFont val="Tahoma"/>
            <family val="2"/>
          </rPr>
          <t>Morry Brown:</t>
        </r>
        <r>
          <rPr>
            <sz val="10"/>
            <color indexed="81"/>
            <rFont val="Tahoma"/>
            <family val="2"/>
          </rPr>
          <t xml:space="preserve">
5/06: new store size 2,300-2,500 selling sq ft
4/06 10-k indicated WH|BM in range of 2,000-2,800 selling sq ft</t>
        </r>
      </text>
    </comment>
    <comment ref="O80" authorId="1">
      <text>
        <r>
          <rPr>
            <b/>
            <sz val="10"/>
            <color indexed="81"/>
            <rFont val="Tahoma"/>
            <family val="2"/>
          </rPr>
          <t>Morry Brown:</t>
        </r>
        <r>
          <rPr>
            <sz val="10"/>
            <color indexed="81"/>
            <rFont val="Tahoma"/>
            <family val="2"/>
          </rPr>
          <t xml:space="preserve">
2006 10K: targeting stores 2,200-3,000 selling sq. ft. 
4/06 10-k indicated WH|BM in range of 2,000-2,800 selling sq ft</t>
        </r>
      </text>
    </comment>
    <comment ref="P80" authorId="1">
      <text>
        <r>
          <rPr>
            <b/>
            <sz val="10"/>
            <color indexed="81"/>
            <rFont val="Tahoma"/>
            <family val="2"/>
          </rPr>
          <t>Morry Brown:</t>
        </r>
        <r>
          <rPr>
            <sz val="10"/>
            <color indexed="81"/>
            <rFont val="Tahoma"/>
            <family val="2"/>
          </rPr>
          <t xml:space="preserve">
2007 10K: targeting 2,200-3,000 selling sq ft
4/06 10-k indicated WH|BM in range of 2,000-2,800 selling sq ft</t>
        </r>
      </text>
    </comment>
    <comment ref="Q80" authorId="1">
      <text>
        <r>
          <rPr>
            <b/>
            <sz val="10"/>
            <color indexed="81"/>
            <rFont val="Tahoma"/>
            <family val="2"/>
          </rPr>
          <t>Morry Brown:</t>
        </r>
        <r>
          <rPr>
            <sz val="10"/>
            <color indexed="81"/>
            <rFont val="Tahoma"/>
            <family val="2"/>
          </rPr>
          <t xml:space="preserve">
4/06 10-k indicated WH|BM in range of 2,000-2,800 selling sq ft</t>
        </r>
      </text>
    </comment>
    <comment ref="S80" authorId="4">
      <text>
        <r>
          <rPr>
            <b/>
            <sz val="8"/>
            <color indexed="81"/>
            <rFont val="Tahoma"/>
            <family val="2"/>
          </rPr>
          <t xml:space="preserve">3/1/11: </t>
        </r>
        <r>
          <rPr>
            <sz val="8"/>
            <color indexed="81"/>
            <rFont val="Tahoma"/>
            <family val="2"/>
          </rPr>
          <t>3000 gross sq ft</t>
        </r>
        <r>
          <rPr>
            <b/>
            <sz val="8"/>
            <color indexed="81"/>
            <rFont val="Tahoma"/>
            <family val="2"/>
          </rPr>
          <t xml:space="preserve">
marchant:</t>
        </r>
        <r>
          <rPr>
            <sz val="8"/>
            <color indexed="81"/>
            <rFont val="Tahoma"/>
            <family val="2"/>
          </rPr>
          <t xml:space="preserve">
target size: 2700</t>
        </r>
      </text>
    </comment>
    <comment ref="L81" authorId="1">
      <text>
        <r>
          <rPr>
            <b/>
            <sz val="10"/>
            <color indexed="81"/>
            <rFont val="Tahoma"/>
            <family val="2"/>
          </rPr>
          <t>kgreenbe:</t>
        </r>
        <r>
          <rPr>
            <sz val="10"/>
            <color indexed="81"/>
            <rFont val="Tahoma"/>
            <family val="2"/>
          </rPr>
          <t xml:space="preserve">
8/4/03 KG estimates 1,400 sq ft for new Intimates test concept. KG changed to 2,400 on 9/10 per CFO.</t>
        </r>
      </text>
    </comment>
    <comment ref="M81" authorId="1">
      <text>
        <r>
          <rPr>
            <b/>
            <sz val="10"/>
            <color indexed="81"/>
            <rFont val="Tahoma"/>
            <family val="2"/>
          </rPr>
          <t>kgreenbe:</t>
        </r>
        <r>
          <rPr>
            <sz val="10"/>
            <color indexed="81"/>
            <rFont val="Tahoma"/>
            <family val="2"/>
          </rPr>
          <t xml:space="preserve">
8/4/03 KG estimates 1,400 sq ft for new Intimates test concept. KG changed to 2,400 on 9/10 per CFO.</t>
        </r>
      </text>
    </comment>
    <comment ref="N81" authorId="1">
      <text>
        <r>
          <rPr>
            <b/>
            <sz val="10"/>
            <color indexed="81"/>
            <rFont val="Tahoma"/>
            <family val="2"/>
          </rPr>
          <t>Morry Brown:</t>
        </r>
        <r>
          <rPr>
            <sz val="10"/>
            <color indexed="81"/>
            <rFont val="Tahoma"/>
            <family val="2"/>
          </rPr>
          <t xml:space="preserve">
5/06: new store size 2,000-2,300 selling sq ft
4/06 10-k indicated Soma in range of 2,000-2,700 selling sq ft</t>
        </r>
      </text>
    </comment>
    <comment ref="O81" authorId="1">
      <text>
        <r>
          <rPr>
            <b/>
            <sz val="10"/>
            <color indexed="81"/>
            <rFont val="Tahoma"/>
            <family val="2"/>
          </rPr>
          <t>Morry Brown:</t>
        </r>
        <r>
          <rPr>
            <sz val="10"/>
            <color indexed="81"/>
            <rFont val="Tahoma"/>
            <family val="2"/>
          </rPr>
          <t xml:space="preserve">
2006 10K: target stores 1,100-2,300 selling sq ft.
4/06 10-k indicated Soma in range of 2,000-2,700 selling sq ft</t>
        </r>
      </text>
    </comment>
    <comment ref="P81" authorId="1">
      <text>
        <r>
          <rPr>
            <b/>
            <sz val="10"/>
            <color indexed="81"/>
            <rFont val="Tahoma"/>
            <family val="2"/>
          </rPr>
          <t>Morry Brown:</t>
        </r>
        <r>
          <rPr>
            <sz val="10"/>
            <color indexed="81"/>
            <rFont val="Tahoma"/>
            <family val="2"/>
          </rPr>
          <t xml:space="preserve">
2007 10K: current soma stores range from 950-3,100 selling sq ft (targeting 1,100-2,300)
4/06 10-k indicated Soma in range of 2,000-2,700 selling sq ft</t>
        </r>
      </text>
    </comment>
    <comment ref="Q81" authorId="1">
      <text>
        <r>
          <rPr>
            <b/>
            <sz val="10"/>
            <color indexed="81"/>
            <rFont val="Tahoma"/>
            <family val="2"/>
          </rPr>
          <t>Morry Brown:</t>
        </r>
        <r>
          <rPr>
            <sz val="10"/>
            <color indexed="81"/>
            <rFont val="Tahoma"/>
            <family val="2"/>
          </rPr>
          <t xml:space="preserve">
4/06 10-k indicated Soma in range of 2,000-2,700 selling sq ft</t>
        </r>
      </text>
    </comment>
    <comment ref="R81" authorId="4">
      <text>
        <r>
          <rPr>
            <b/>
            <sz val="8"/>
            <color indexed="81"/>
            <rFont val="Tahoma"/>
            <family val="2"/>
          </rPr>
          <t>marchant:</t>
        </r>
        <r>
          <rPr>
            <sz val="8"/>
            <color indexed="81"/>
            <rFont val="Tahoma"/>
            <family val="2"/>
          </rPr>
          <t xml:space="preserve">
pop ups 2,200-2,300 gross sq ft</t>
        </r>
      </text>
    </comment>
    <comment ref="S81" authorId="5">
      <text>
        <r>
          <rPr>
            <b/>
            <sz val="8"/>
            <color indexed="81"/>
            <rFont val="Tahoma"/>
            <family val="2"/>
          </rPr>
          <t>lauraro:</t>
        </r>
        <r>
          <rPr>
            <sz val="8"/>
            <color indexed="81"/>
            <rFont val="Tahoma"/>
            <family val="2"/>
          </rPr>
          <t xml:space="preserve">
3/1/11: 2200 gross sq ft</t>
        </r>
      </text>
    </comment>
    <comment ref="N82" authorId="21">
      <text>
        <r>
          <rPr>
            <b/>
            <sz val="8"/>
            <color indexed="81"/>
            <rFont val="Tahoma"/>
            <family val="2"/>
          </rPr>
          <t>MB33100:</t>
        </r>
        <r>
          <rPr>
            <sz val="8"/>
            <color indexed="81"/>
            <rFont val="Tahoma"/>
            <family val="2"/>
          </rPr>
          <t xml:space="preserve">
5/06: new store size 1,100 selling sq ft
4/06 per 10-k expect boutiques 1100-1200</t>
        </r>
      </text>
    </comment>
    <comment ref="O85" authorId="3">
      <text>
        <r>
          <rPr>
            <b/>
            <sz val="8"/>
            <color indexed="81"/>
            <rFont val="Tahoma"/>
            <family val="2"/>
          </rPr>
          <t>mm98285:</t>
        </r>
        <r>
          <rPr>
            <sz val="8"/>
            <color indexed="81"/>
            <rFont val="Tahoma"/>
            <family val="2"/>
          </rPr>
          <t xml:space="preserve">
5/06: mgmt indicated still evaluating proper Fitigues size but prob. will be neare the smaller sizs of early WHBM and Chico's stores</t>
        </r>
      </text>
    </comment>
    <comment ref="S87" authorId="2">
      <text>
        <r>
          <rPr>
            <b/>
            <sz val="8"/>
            <color indexed="81"/>
            <rFont val="Tahoma"/>
            <family val="2"/>
          </rPr>
          <t>kimberlg:</t>
        </r>
        <r>
          <rPr>
            <sz val="8"/>
            <color indexed="81"/>
            <rFont val="Tahoma"/>
            <family val="2"/>
          </rPr>
          <t xml:space="preserve">
actual 67.6% when adjusting for store closures. stores were closed at year end, so square footage counted for half the year, but generated full year of sales </t>
        </r>
      </text>
    </comment>
    <comment ref="U87" authorId="2">
      <text>
        <r>
          <rPr>
            <b/>
            <sz val="8"/>
            <color indexed="81"/>
            <rFont val="Tahoma"/>
            <family val="2"/>
          </rPr>
          <t>kimberlg:</t>
        </r>
        <r>
          <rPr>
            <sz val="8"/>
            <color indexed="81"/>
            <rFont val="Tahoma"/>
            <family val="2"/>
          </rPr>
          <t xml:space="preserve">
77% yields $2309M sales, then subtract $30M from extra week LY to get $2289M</t>
        </r>
      </text>
    </comment>
  </commentList>
</comments>
</file>

<file path=xl/comments7.xml><?xml version="1.0" encoding="utf-8"?>
<comments xmlns="http://schemas.openxmlformats.org/spreadsheetml/2006/main">
  <authors>
    <author>mm98285</author>
    <author>solejay</author>
    <author>casselau</author>
    <author>dong2</author>
    <author>kg51925</author>
    <author>lauraro</author>
    <author>Cassel, Lauren (Research)</author>
    <author>dliu</author>
    <author>jwyatt</author>
    <author>duol</author>
    <author>Kimberly Greenberger</author>
    <author>marchant</author>
  </authors>
  <commentList>
    <comment ref="O8" authorId="0">
      <text>
        <r>
          <rPr>
            <b/>
            <sz val="8"/>
            <color indexed="81"/>
            <rFont val="Tahoma"/>
            <family val="2"/>
          </rPr>
          <t>mm98285:</t>
        </r>
        <r>
          <rPr>
            <sz val="8"/>
            <color indexed="81"/>
            <rFont val="Tahoma"/>
            <family val="2"/>
          </rPr>
          <t xml:space="preserve">
5/06: expect flat to +LSD comp at Chico's div. and +HSD comp at WHBM for the year</t>
        </r>
      </text>
    </comment>
    <comment ref="V8" authorId="1">
      <text>
        <r>
          <rPr>
            <b/>
            <sz val="8"/>
            <color indexed="81"/>
            <rFont val="Tahoma"/>
            <family val="2"/>
          </rPr>
          <t>4Q12:</t>
        </r>
        <r>
          <rPr>
            <sz val="8"/>
            <color indexed="81"/>
            <rFont val="Tahoma"/>
            <family val="2"/>
          </rPr>
          <t xml:space="preserve">
goal is to grow top line by low DD %</t>
        </r>
      </text>
    </comment>
    <comment ref="W8" authorId="2">
      <text>
        <r>
          <rPr>
            <b/>
            <sz val="9"/>
            <color indexed="81"/>
            <rFont val="Tahoma"/>
            <family val="2"/>
          </rPr>
          <t>casselau:</t>
        </r>
        <r>
          <rPr>
            <sz val="9"/>
            <color indexed="81"/>
            <rFont val="Tahoma"/>
            <family val="2"/>
          </rPr>
          <t xml:space="preserve">
ex Boston Proper</t>
        </r>
      </text>
    </comment>
    <comment ref="Y11" authorId="2">
      <text>
        <r>
          <rPr>
            <b/>
            <sz val="9"/>
            <color indexed="81"/>
            <rFont val="Tahoma"/>
            <family val="2"/>
          </rPr>
          <t xml:space="preserve">casselau:
8/30/16: $90-110M in annualized savings - $40-50M in COGS; $50-60M in SG&amp;A
5/26/16: Combined, the marketing realignment and new initiatives are estimated to generate $65 million to $85 million in annual savings. The Company anticipates generating $15 million of these costs savings in fiscal 2016, and expects these initiatives to be fully implemented during 2017 -- $30-40M in COGS; #35-45M in SG&amp;A
</t>
        </r>
        <r>
          <rPr>
            <sz val="9"/>
            <color indexed="81"/>
            <rFont val="Tahoma"/>
            <family val="2"/>
          </rPr>
          <t>5/27/15: 135-140 store closures should drive $65M in cumulative savings
2/26/15: 120 store closures should drive $55M in cumulative savings</t>
        </r>
      </text>
    </comment>
    <comment ref="K12" authorId="3">
      <text>
        <r>
          <rPr>
            <b/>
            <sz val="8"/>
            <color indexed="81"/>
            <rFont val="Tahoma"/>
            <family val="2"/>
          </rPr>
          <t>dong2:</t>
        </r>
        <r>
          <rPr>
            <sz val="8"/>
            <color indexed="81"/>
            <rFont val="Tahoma"/>
            <family val="2"/>
          </rPr>
          <t xml:space="preserve">
negative lvg from DC coming on line = 30 bps vs. 2002E GM 60.5%</t>
        </r>
      </text>
    </comment>
    <comment ref="L12" authorId="4">
      <text>
        <r>
          <rPr>
            <b/>
            <sz val="8"/>
            <color indexed="81"/>
            <rFont val="Tahoma"/>
            <family val="2"/>
          </rPr>
          <t>kg51925:</t>
        </r>
        <r>
          <rPr>
            <sz val="8"/>
            <color indexed="81"/>
            <rFont val="Tahoma"/>
            <family val="2"/>
          </rPr>
          <t xml:space="preserve">
3/1/06 mgmt indicated Soma drag on GM = 40 bps in 2004</t>
        </r>
      </text>
    </comment>
    <comment ref="M12" authorId="4">
      <text>
        <r>
          <rPr>
            <b/>
            <sz val="8"/>
            <color indexed="81"/>
            <rFont val="Tahoma"/>
            <family val="2"/>
          </rPr>
          <t>kg51925:</t>
        </r>
        <r>
          <rPr>
            <sz val="8"/>
            <color indexed="81"/>
            <rFont val="Tahoma"/>
            <family val="2"/>
          </rPr>
          <t xml:space="preserve">
3/1/06 mgmt indicated Soma drag on GM = 60 bps in 2005</t>
        </r>
      </text>
    </comment>
    <comment ref="N12" authorId="4">
      <text>
        <r>
          <rPr>
            <b/>
            <sz val="8"/>
            <color indexed="81"/>
            <rFont val="Tahoma"/>
            <family val="2"/>
          </rPr>
          <t>kg51925:</t>
        </r>
        <r>
          <rPr>
            <sz val="8"/>
            <color indexed="81"/>
            <rFont val="Tahoma"/>
            <family val="2"/>
          </rPr>
          <t xml:space="preserve">
3/1/06 mgmt indicated Soma drag on GM = 80 bps in 2006
Soma expected to breakeven in 2007</t>
        </r>
      </text>
    </comment>
    <comment ref="O12" authorId="4">
      <text>
        <r>
          <rPr>
            <b/>
            <sz val="8"/>
            <color indexed="81"/>
            <rFont val="Tahoma"/>
            <family val="2"/>
          </rPr>
          <t>kg51925:</t>
        </r>
        <r>
          <rPr>
            <sz val="8"/>
            <color indexed="81"/>
            <rFont val="Tahoma"/>
            <family val="2"/>
          </rPr>
          <t xml:space="preserve">
3/1/06 60 bps op margin recovery if Soma breaks even in 2007 (80 bps drag 2006 or $14mm loss) assume 30 bps recovery in each GM &amp; SG&amp;A</t>
        </r>
      </text>
    </comment>
    <comment ref="S12" authorId="5">
      <text>
        <r>
          <rPr>
            <b/>
            <sz val="8"/>
            <color indexed="81"/>
            <rFont val="Tahoma"/>
            <family val="2"/>
          </rPr>
          <t xml:space="preserve">5/2010: </t>
        </r>
        <r>
          <rPr>
            <sz val="8"/>
            <color indexed="81"/>
            <rFont val="Tahoma"/>
            <family val="2"/>
          </rPr>
          <t>KK: I would certainly think we should approach close to 60% over time.</t>
        </r>
        <r>
          <rPr>
            <sz val="8"/>
            <color indexed="81"/>
            <rFont val="Tahoma"/>
            <family val="2"/>
          </rPr>
          <t xml:space="preserve">
</t>
        </r>
      </text>
    </comment>
    <comment ref="T12" authorId="5">
      <text>
        <r>
          <rPr>
            <b/>
            <sz val="8"/>
            <color indexed="81"/>
            <rFont val="Tahoma"/>
            <family val="2"/>
          </rPr>
          <t xml:space="preserve">5/2010: </t>
        </r>
        <r>
          <rPr>
            <sz val="8"/>
            <color indexed="81"/>
            <rFont val="Tahoma"/>
            <family val="2"/>
          </rPr>
          <t>KK: I would certainly think we should approach close to 60% over time.</t>
        </r>
        <r>
          <rPr>
            <sz val="8"/>
            <color indexed="81"/>
            <rFont val="Tahoma"/>
            <family val="2"/>
          </rPr>
          <t xml:space="preserve">
</t>
        </r>
      </text>
    </comment>
    <comment ref="N14" authorId="0">
      <text>
        <r>
          <rPr>
            <b/>
            <sz val="8"/>
            <color indexed="81"/>
            <rFont val="Tahoma"/>
            <family val="2"/>
          </rPr>
          <t>mm98285:</t>
        </r>
        <r>
          <rPr>
            <sz val="8"/>
            <color indexed="81"/>
            <rFont val="Tahoma"/>
            <family val="2"/>
          </rPr>
          <t xml:space="preserve">
3/07: includes $8.6mm impairment charge (incl $6.8mm impairment of goodwill, $1.2mm accelerated deprc'n, $0.6m other impairment)
CHS included the $6.8mm charge on a separate line labeled: "Impairment of goodwill"
</t>
        </r>
      </text>
    </comment>
    <comment ref="W14" authorId="2">
      <text>
        <r>
          <rPr>
            <b/>
            <sz val="9"/>
            <color indexed="81"/>
            <rFont val="Tahoma"/>
            <family val="2"/>
          </rPr>
          <t>casselau:</t>
        </r>
        <r>
          <rPr>
            <sz val="9"/>
            <color indexed="81"/>
            <rFont val="Tahoma"/>
            <family val="2"/>
          </rPr>
          <t xml:space="preserve">
We've been pretty consistent in needing a 3-4% comp to leverage rent/depreciation on an annual basis.</t>
        </r>
      </text>
    </comment>
    <comment ref="X14" authorId="6">
      <text>
        <r>
          <rPr>
            <b/>
            <sz val="9"/>
            <color indexed="81"/>
            <rFont val="Tahoma"/>
            <family val="2"/>
          </rPr>
          <t>Cassel, Lauren (Research):</t>
        </r>
        <r>
          <rPr>
            <sz val="9"/>
            <color indexed="81"/>
            <rFont val="Tahoma"/>
            <family val="2"/>
          </rPr>
          <t xml:space="preserve">
5/26/16: New initiatives in supply chain, non-merchandise procurement and marketing expected to result in $50 million to $70 million in annual savings, in addition to $14 million from recently announced marketing and digital commerce realignment</t>
        </r>
      </text>
    </comment>
    <comment ref="Y14" authorId="2">
      <text>
        <r>
          <rPr>
            <b/>
            <sz val="9"/>
            <color indexed="81"/>
            <rFont val="Tahoma"/>
            <family val="2"/>
          </rPr>
          <t xml:space="preserve">casselau:
11/22/16: we expect our total cost reduction and operating efficiency savings from all of our previously announced initiatives to be between $95M - $115 million on an annualized basis.
8/30/16: $90-110M in annualized savings - $40-50M in COGS; $50-60M in SG&amp;A; ~$25M realized in 2016; $30-40M of supply chain efficiency savings in 2H17; </t>
        </r>
        <r>
          <rPr>
            <sz val="9"/>
            <color indexed="81"/>
            <rFont val="Tahoma"/>
            <family val="2"/>
          </rPr>
          <t>In combination with the previously announced initiatives, the Company is estimating a reduction in future annualized costs between $90M and $110M. The annualized savings from these organizational redesigns will begin mid-Q3 this year. We continue to expect our marketing and non-merchandise procurement spend initiatives to reduce SG&amp;A by $35 million to $45 million, with approximately $15 million to be realized in 2016. We should begin to realize the $30 million to $40 million in expected annual savings from our supply chain efficiency initiatives in the second half of 2017.</t>
        </r>
        <r>
          <rPr>
            <b/>
            <sz val="9"/>
            <color indexed="81"/>
            <rFont val="Tahoma"/>
            <family val="2"/>
          </rPr>
          <t xml:space="preserve">
5/26/16: Combined, the marketing realignment and new initiatives are estimated to generate $65 million to $85 million in annual savings. The Company anticipates generating $15 million of these costs savings in fiscal 2016, and expects these initiatives to be fully implemented during 2017 -- $30-40M in COGS; #35-45M in SG&amp;A
</t>
        </r>
        <r>
          <rPr>
            <sz val="9"/>
            <color indexed="81"/>
            <rFont val="Tahoma"/>
            <family val="2"/>
          </rPr>
          <t xml:space="preserve">5/27/15: 135-140 store closures should drive $65M in cumulative savings
2/26/15: 120 store closures should drive $55M in cumulative savings
</t>
        </r>
      </text>
    </comment>
    <comment ref="M15" authorId="0">
      <text>
        <r>
          <rPr>
            <b/>
            <sz val="8"/>
            <color indexed="81"/>
            <rFont val="Tahoma"/>
            <family val="2"/>
          </rPr>
          <t>mm98285:</t>
        </r>
        <r>
          <rPr>
            <sz val="8"/>
            <color indexed="81"/>
            <rFont val="Tahoma"/>
            <family val="2"/>
          </rPr>
          <t xml:space="preserve">
excludes D&amp;A (included in SG&amp;A in 2006 going forward)</t>
        </r>
      </text>
    </comment>
    <comment ref="N15" authorId="0">
      <text>
        <r>
          <rPr>
            <b/>
            <sz val="8"/>
            <color indexed="81"/>
            <rFont val="Tahoma"/>
            <family val="2"/>
          </rPr>
          <t>mm98285:</t>
        </r>
        <r>
          <rPr>
            <sz val="8"/>
            <color indexed="81"/>
            <rFont val="Tahoma"/>
            <family val="2"/>
          </rPr>
          <t xml:space="preserve">
D&amp;A included in SG&amp;A starting in 2006 and going forward</t>
        </r>
      </text>
    </comment>
    <comment ref="O15" authorId="4">
      <text>
        <r>
          <rPr>
            <b/>
            <sz val="8"/>
            <color indexed="81"/>
            <rFont val="Tahoma"/>
            <family val="2"/>
          </rPr>
          <t>kg51925:</t>
        </r>
        <r>
          <rPr>
            <sz val="8"/>
            <color indexed="81"/>
            <rFont val="Tahoma"/>
            <family val="2"/>
          </rPr>
          <t xml:space="preserve">
3/1/06 60 bps op margin recovery if Soma breaks even in 2007 (80 bps drag 2006 or $14mm loss) assume 30 bps recovery in each GM &amp; SG&amp;A</t>
        </r>
      </text>
    </comment>
    <comment ref="P17" authorId="5">
      <text>
        <r>
          <rPr>
            <b/>
            <sz val="8"/>
            <color indexed="81"/>
            <rFont val="Tahoma"/>
            <family val="2"/>
          </rPr>
          <t>lauraro:</t>
        </r>
        <r>
          <rPr>
            <sz val="8"/>
            <color indexed="81"/>
            <rFont val="Tahoma"/>
            <family val="2"/>
          </rPr>
          <t xml:space="preserve">
2009 10K says $80.326, 5.1% of sales</t>
        </r>
      </text>
    </comment>
    <comment ref="O18" authorId="0">
      <text>
        <r>
          <rPr>
            <b/>
            <sz val="8"/>
            <color indexed="81"/>
            <rFont val="Tahoma"/>
            <family val="2"/>
          </rPr>
          <t>mm98285:</t>
        </r>
        <r>
          <rPr>
            <sz val="8"/>
            <color indexed="81"/>
            <rFont val="Tahoma"/>
            <family val="2"/>
          </rPr>
          <t xml:space="preserve">
5/07: guid to 3.7-4.0%
5/07: expect flat w/LY (~4% of sales)</t>
        </r>
      </text>
    </comment>
    <comment ref="P18" authorId="0">
      <text>
        <r>
          <rPr>
            <b/>
            <sz val="8"/>
            <color indexed="81"/>
            <rFont val="Tahoma"/>
            <family val="2"/>
          </rPr>
          <t>mm98285:</t>
        </r>
        <r>
          <rPr>
            <sz val="8"/>
            <color indexed="81"/>
            <rFont val="Tahoma"/>
            <family val="2"/>
          </rPr>
          <t xml:space="preserve">
10K guided to 3.9-4.2%</t>
        </r>
      </text>
    </comment>
    <comment ref="A21" authorId="7">
      <text>
        <r>
          <rPr>
            <b/>
            <sz val="10"/>
            <color indexed="81"/>
            <rFont val="Tahoma"/>
            <family val="2"/>
          </rPr>
          <t>dliu:</t>
        </r>
        <r>
          <rPr>
            <sz val="10"/>
            <color indexed="81"/>
            <rFont val="Tahoma"/>
            <family val="2"/>
          </rPr>
          <t xml:space="preserve">
per Charlie, 9/12/03: Store rent expense (which does not leverage much since we essentially pay % rent to 75% of the landlords) is in SG&amp;A for CHS and WH|BM.  We have no rent expense for DC's as we own our only DC.  With that said, all costs associated with the DC are in COGS (Depreciation, wages, etc.).  WH|BM has a small DC that we wil;l close and we will include it in COGS.  They had previously classified it in SG&amp;A.  It will be closed by 2/1/04.</t>
        </r>
      </text>
    </comment>
    <comment ref="K21" authorId="7">
      <text>
        <r>
          <rPr>
            <b/>
            <sz val="10"/>
            <color indexed="81"/>
            <rFont val="Tahoma"/>
            <family val="2"/>
          </rPr>
          <t>dliu:</t>
        </r>
        <r>
          <rPr>
            <sz val="10"/>
            <color indexed="81"/>
            <rFont val="Tahoma"/>
            <family val="2"/>
          </rPr>
          <t xml:space="preserve">
added 4.2mm for WHBM (WHBM 2002 rent expense of ($9.8mm + $1.5 mm)/4 for $2.8 mm rent exp per qtr. So added 1.5 qtrs of rent - 3Q from 9/5 and all of 4Q.</t>
        </r>
      </text>
    </comment>
    <comment ref="L21" authorId="0">
      <text>
        <r>
          <rPr>
            <b/>
            <sz val="8"/>
            <color indexed="81"/>
            <rFont val="Tahoma"/>
            <family val="2"/>
          </rPr>
          <t>mm98285:</t>
        </r>
        <r>
          <rPr>
            <sz val="8"/>
            <color indexed="81"/>
            <rFont val="Tahoma"/>
            <family val="2"/>
          </rPr>
          <t xml:space="preserve">
includes CAM $9.5, other rental charges of $8.4 and contingent rental exp of $8.4</t>
        </r>
      </text>
    </comment>
    <comment ref="M21" authorId="0">
      <text>
        <r>
          <rPr>
            <b/>
            <sz val="8"/>
            <color indexed="81"/>
            <rFont val="Tahoma"/>
            <family val="2"/>
          </rPr>
          <t>mm98285:</t>
        </r>
        <r>
          <rPr>
            <sz val="8"/>
            <color indexed="81"/>
            <rFont val="Tahoma"/>
            <family val="2"/>
          </rPr>
          <t xml:space="preserve">
includes CAM $11.4, other rental charges of $10.9 and contingent rental exp of $11.9</t>
        </r>
      </text>
    </comment>
    <comment ref="N21" authorId="0">
      <text>
        <r>
          <rPr>
            <b/>
            <sz val="8"/>
            <color indexed="81"/>
            <rFont val="Tahoma"/>
            <family val="2"/>
          </rPr>
          <t>mm98285:</t>
        </r>
        <r>
          <rPr>
            <sz val="8"/>
            <color indexed="81"/>
            <rFont val="Tahoma"/>
            <family val="2"/>
          </rPr>
          <t xml:space="preserve">
$113.3M =  all in rent expense incl CAM, taxes &amp; Insurance
includes CAM $15.0, other rental charges of $14.0 and contingent rental exp of $10.5</t>
        </r>
      </text>
    </comment>
    <comment ref="O21" authorId="0">
      <text>
        <r>
          <rPr>
            <b/>
            <sz val="8"/>
            <color indexed="81"/>
            <rFont val="Tahoma"/>
            <family val="2"/>
          </rPr>
          <t>mm98285:</t>
        </r>
        <r>
          <rPr>
            <sz val="8"/>
            <color indexed="81"/>
            <rFont val="Tahoma"/>
            <family val="2"/>
          </rPr>
          <t xml:space="preserve">
$140.4M =  all in rent expense incl CAM, taxes &amp; Insurance
includes CAM $19.0, other rental charges of $18.8 and contingent rental exp of $8.2</t>
        </r>
      </text>
    </comment>
    <comment ref="P21" authorId="0">
      <text>
        <r>
          <rPr>
            <b/>
            <sz val="8"/>
            <color indexed="81"/>
            <rFont val="Tahoma"/>
            <family val="2"/>
          </rPr>
          <t>mm98285:</t>
        </r>
        <r>
          <rPr>
            <sz val="8"/>
            <color indexed="81"/>
            <rFont val="Tahoma"/>
            <family val="2"/>
          </rPr>
          <t xml:space="preserve">
$154.8 = all in rent expense incl CAM, taxes &amp; Insurance
includes CAM $23.6, other rental charges of $21.4 and contingent rental exp of $5.1</t>
        </r>
      </text>
    </comment>
    <comment ref="Q21" authorId="0">
      <text>
        <r>
          <rPr>
            <b/>
            <sz val="8"/>
            <color indexed="81"/>
            <rFont val="Tahoma"/>
            <family val="2"/>
          </rPr>
          <t>lr73192:</t>
        </r>
        <r>
          <rPr>
            <sz val="8"/>
            <color indexed="81"/>
            <rFont val="Tahoma"/>
            <family val="2"/>
          </rPr>
          <t xml:space="preserve">
Rent expense under operating leases was approximately $161.6 million including common area maintenance charges of approximately $23.7 million, other rental charges of approximately $23.6 million and contingent rental expense of approximately $6.5 million based on sales.
</t>
        </r>
        <r>
          <rPr>
            <b/>
            <sz val="8"/>
            <color indexed="81"/>
            <rFont val="Tahoma"/>
            <family val="2"/>
          </rPr>
          <t>mm98285:</t>
        </r>
        <r>
          <rPr>
            <sz val="8"/>
            <color indexed="81"/>
            <rFont val="Tahoma"/>
            <family val="2"/>
          </rPr>
          <t xml:space="preserve">
$161.1M = estimated  all in rent expense incl CAM, taxes &amp; Insurance</t>
        </r>
      </text>
    </comment>
    <comment ref="R21" authorId="5">
      <text>
        <r>
          <rPr>
            <b/>
            <sz val="8"/>
            <color indexed="81"/>
            <rFont val="Tahoma"/>
            <family val="2"/>
          </rPr>
          <t>lauraro:</t>
        </r>
        <r>
          <rPr>
            <sz val="8"/>
            <color indexed="81"/>
            <rFont val="Tahoma"/>
            <family val="2"/>
          </rPr>
          <t xml:space="preserve">
2010 total rent expense under operating leases was ~$172.1M, including common area maintenance charges of ~$25.0M, other rental charges of ~$24.5M and contingent rental expense of ~$8.2M based on sales</t>
        </r>
      </text>
    </comment>
    <comment ref="S21" authorId="5">
      <text>
        <r>
          <rPr>
            <b/>
            <sz val="8"/>
            <color indexed="81"/>
            <rFont val="Tahoma"/>
            <family val="2"/>
          </rPr>
          <t>lauraro:</t>
        </r>
        <r>
          <rPr>
            <sz val="8"/>
            <color indexed="81"/>
            <rFont val="Tahoma"/>
            <family val="2"/>
          </rPr>
          <t xml:space="preserve">
includes common area maintenance charges of approximately $27.5 million, other rental charges of approximately $25.8 million, and contingent rental expense, based on sales, of approximately $10.6 million. 
</t>
        </r>
      </text>
    </comment>
    <comment ref="T21" authorId="8">
      <text>
        <r>
          <rPr>
            <b/>
            <sz val="8"/>
            <color indexed="81"/>
            <rFont val="Tahoma"/>
            <family val="2"/>
          </rPr>
          <t>jwyatt:</t>
        </r>
        <r>
          <rPr>
            <sz val="8"/>
            <color indexed="81"/>
            <rFont val="Tahoma"/>
            <family val="2"/>
          </rPr>
          <t xml:space="preserve">
Total: 206
CAM: 31.6
other: 27.5
contingent: 12.1</t>
        </r>
      </text>
    </comment>
    <comment ref="U21" authorId="8">
      <text>
        <r>
          <rPr>
            <b/>
            <sz val="8"/>
            <color indexed="81"/>
            <rFont val="Tahoma"/>
            <family val="2"/>
          </rPr>
          <t>dli:</t>
        </r>
        <r>
          <rPr>
            <sz val="8"/>
            <color indexed="81"/>
            <rFont val="Tahoma"/>
            <family val="2"/>
          </rPr>
          <t xml:space="preserve">
Total: 230
CAM: 37.2
other: 32.8
contingent: 9.1</t>
        </r>
      </text>
    </comment>
    <comment ref="V21" authorId="9">
      <text>
        <r>
          <rPr>
            <b/>
            <sz val="8"/>
            <color indexed="81"/>
            <rFont val="Tahoma"/>
            <family val="2"/>
          </rPr>
          <t xml:space="preserve">Total $253.2
CAM 42.5
other rent 37.6
Contingent 7
Per Todd: </t>
        </r>
        <r>
          <rPr>
            <sz val="8"/>
            <color indexed="81"/>
            <rFont val="Tahoma"/>
            <family val="2"/>
          </rPr>
          <t>On Occupancy, we would normally expect ~3% Comps to leverage (i.e., if Comps are ~2%, we'd de-leverage by about 10 bps).</t>
        </r>
        <r>
          <rPr>
            <sz val="8"/>
            <color indexed="81"/>
            <rFont val="Tahoma"/>
            <family val="2"/>
          </rPr>
          <t xml:space="preserve">
</t>
        </r>
      </text>
    </comment>
    <comment ref="W21" authorId="2">
      <text>
        <r>
          <rPr>
            <b/>
            <sz val="9"/>
            <color indexed="81"/>
            <rFont val="Tahoma"/>
            <family val="2"/>
          </rPr>
          <t>casselau:
includes:
CAM $46.7M
Other $40.1M
Contingent $5.8
April 2015</t>
        </r>
        <r>
          <rPr>
            <sz val="9"/>
            <color indexed="81"/>
            <rFont val="Tahoma"/>
            <family val="2"/>
          </rPr>
          <t xml:space="preserve">
"$262M a little light"
We've been pretty consistent in needing a 3-4% comp to leverage rent/depreciation on an annual basis.</t>
        </r>
      </text>
    </comment>
    <comment ref="X21" authorId="6">
      <text>
        <r>
          <rPr>
            <b/>
            <sz val="9"/>
            <color indexed="81"/>
            <rFont val="Tahoma"/>
            <family val="2"/>
          </rPr>
          <t>Cassel, Lauren (Research):</t>
        </r>
        <r>
          <rPr>
            <sz val="9"/>
            <color indexed="81"/>
            <rFont val="Tahoma"/>
            <family val="2"/>
          </rPr>
          <t xml:space="preserve">
includes :
$47.6M CAM 
$41.2M other
$5.2M contingent</t>
        </r>
      </text>
    </comment>
    <comment ref="Y21" authorId="6">
      <text>
        <r>
          <rPr>
            <b/>
            <sz val="9"/>
            <color indexed="81"/>
            <rFont val="Tahoma"/>
            <family val="2"/>
          </rPr>
          <t>Cassel, Lauren (Research):</t>
        </r>
        <r>
          <rPr>
            <sz val="9"/>
            <color indexed="81"/>
            <rFont val="Tahoma"/>
            <family val="2"/>
          </rPr>
          <t xml:space="preserve">
includes :
$47.9M CAM 
$40.3M other
$4.3M contingent</t>
        </r>
      </text>
    </comment>
    <comment ref="N26" authorId="0">
      <text>
        <r>
          <rPr>
            <b/>
            <sz val="8"/>
            <color indexed="81"/>
            <rFont val="Tahoma"/>
            <family val="2"/>
          </rPr>
          <t>mm98285:</t>
        </r>
        <r>
          <rPr>
            <sz val="8"/>
            <color indexed="81"/>
            <rFont val="Tahoma"/>
            <family val="2"/>
          </rPr>
          <t xml:space="preserve">
advertising exp $66.5M</t>
        </r>
      </text>
    </comment>
    <comment ref="O26" authorId="0">
      <text>
        <r>
          <rPr>
            <b/>
            <sz val="8"/>
            <color indexed="81"/>
            <rFont val="Tahoma"/>
            <family val="2"/>
          </rPr>
          <t>mm98285:</t>
        </r>
        <r>
          <rPr>
            <sz val="8"/>
            <color indexed="81"/>
            <rFont val="Tahoma"/>
            <family val="2"/>
          </rPr>
          <t xml:space="preserve">
advertising exp $82.7M</t>
        </r>
      </text>
    </comment>
    <comment ref="P26" authorId="0">
      <text>
        <r>
          <rPr>
            <b/>
            <sz val="8"/>
            <color indexed="81"/>
            <rFont val="Tahoma"/>
            <family val="2"/>
          </rPr>
          <t>mm98285:</t>
        </r>
        <r>
          <rPr>
            <sz val="8"/>
            <color indexed="81"/>
            <rFont val="Tahoma"/>
            <family val="2"/>
          </rPr>
          <t xml:space="preserve">
advertising exp $67.5M</t>
        </r>
      </text>
    </comment>
    <comment ref="L38" authorId="10">
      <text>
        <r>
          <rPr>
            <b/>
            <sz val="8"/>
            <color indexed="81"/>
            <rFont val="Tahoma"/>
            <family val="2"/>
          </rPr>
          <t>Kimberly Greenberger:</t>
        </r>
        <r>
          <rPr>
            <sz val="8"/>
            <color indexed="81"/>
            <rFont val="Tahoma"/>
            <family val="2"/>
          </rPr>
          <t xml:space="preserve">
per charlie, would like to stay at at least 20% op margin</t>
        </r>
      </text>
    </comment>
    <comment ref="M38" authorId="10">
      <text>
        <r>
          <rPr>
            <b/>
            <sz val="8"/>
            <color indexed="81"/>
            <rFont val="Tahoma"/>
            <family val="2"/>
          </rPr>
          <t>Kimberly Greenberger:</t>
        </r>
        <r>
          <rPr>
            <sz val="8"/>
            <color indexed="81"/>
            <rFont val="Tahoma"/>
            <family val="2"/>
          </rPr>
          <t xml:space="preserve">
per charlie, would like to stay at at least 20% op margin</t>
        </r>
      </text>
    </comment>
    <comment ref="N38" authorId="10">
      <text>
        <r>
          <rPr>
            <b/>
            <sz val="8"/>
            <color indexed="81"/>
            <rFont val="Tahoma"/>
            <family val="2"/>
          </rPr>
          <t>Kimberly Greenberger:</t>
        </r>
        <r>
          <rPr>
            <sz val="8"/>
            <color indexed="81"/>
            <rFont val="Tahoma"/>
            <family val="2"/>
          </rPr>
          <t xml:space="preserve">
per charlie, would like to stay at at least 20% op margin</t>
        </r>
      </text>
    </comment>
    <comment ref="O38" authorId="10">
      <text>
        <r>
          <rPr>
            <b/>
            <sz val="10"/>
            <color indexed="81"/>
            <rFont val="Tahoma"/>
            <family val="2"/>
          </rPr>
          <t>Kimberly Greenberger:</t>
        </r>
        <r>
          <rPr>
            <sz val="10"/>
            <color indexed="81"/>
            <rFont val="Tahoma"/>
            <family val="2"/>
          </rPr>
          <t xml:space="preserve">
8/06: expect 16-18%
per charlie, would like to stay at at least 20% op margin</t>
        </r>
      </text>
    </comment>
    <comment ref="P38" authorId="10">
      <text>
        <r>
          <rPr>
            <b/>
            <sz val="8"/>
            <color indexed="81"/>
            <rFont val="Tahoma"/>
            <family val="2"/>
          </rPr>
          <t>Kimberly Greenberger:</t>
        </r>
        <r>
          <rPr>
            <sz val="8"/>
            <color indexed="81"/>
            <rFont val="Tahoma"/>
            <family val="2"/>
          </rPr>
          <t xml:space="preserve">
per charlie, would like to stay at at least 20% op margin</t>
        </r>
      </text>
    </comment>
    <comment ref="Q38" authorId="10">
      <text>
        <r>
          <rPr>
            <b/>
            <sz val="8"/>
            <color indexed="81"/>
            <rFont val="Tahoma"/>
            <family val="2"/>
          </rPr>
          <t>Kimberly Greenberger:</t>
        </r>
        <r>
          <rPr>
            <sz val="8"/>
            <color indexed="81"/>
            <rFont val="Tahoma"/>
            <family val="2"/>
          </rPr>
          <t xml:space="preserve">
per charlie, would like to stay at at least 20% op margin</t>
        </r>
      </text>
    </comment>
    <comment ref="S38" authorId="5">
      <text>
        <r>
          <rPr>
            <b/>
            <sz val="8"/>
            <color indexed="81"/>
            <rFont val="Tahoma"/>
            <family val="2"/>
          </rPr>
          <t>lauraro:</t>
        </r>
        <r>
          <rPr>
            <sz val="8"/>
            <color indexed="81"/>
            <rFont val="Tahoma"/>
            <family val="2"/>
          </rPr>
          <t xml:space="preserve">
2/11: we said also early back in 2009 that we believe that we could get back to an operating income certainly in the mid-teens, somewhere anyways. I think Kent had said somewhere in the 15% to 17%.</t>
        </r>
      </text>
    </comment>
    <comment ref="AA38" authorId="6">
      <text>
        <r>
          <rPr>
            <b/>
            <sz val="9"/>
            <color indexed="81"/>
            <rFont val="Tahoma"/>
            <family val="2"/>
          </rPr>
          <t xml:space="preserve">Cassel, Lauren (Research):
8/30/17: pushing out timing of +DD EBIT margin goal </t>
        </r>
        <r>
          <rPr>
            <sz val="9"/>
            <color indexed="81"/>
            <rFont val="Tahoma"/>
            <family val="2"/>
          </rPr>
          <t xml:space="preserve">
9/28/2016 Analyst Day: +DD EBIT Margin target by 2019</t>
        </r>
      </text>
    </comment>
    <comment ref="A49" authorId="5">
      <text>
        <r>
          <rPr>
            <b/>
            <sz val="8"/>
            <color indexed="81"/>
            <rFont val="Tahoma"/>
            <family val="2"/>
          </rPr>
          <t>lauraro:</t>
        </r>
        <r>
          <rPr>
            <sz val="8"/>
            <color indexed="81"/>
            <rFont val="Tahoma"/>
            <family val="2"/>
          </rPr>
          <t xml:space="preserve">
- CHS deducts the value of dividends paid on unvested restricted stock (employee equity comp) from Net Income as part of our “diluted” EPS calc.  
- Usually doesn’t impact anything, but it caused a rounding issue for 2011. 
- Reconciliations in our 10-Q’s &amp; 10-K's listed under the Earnings Per Share Footnote</t>
        </r>
      </text>
    </comment>
    <comment ref="O54" authorId="0">
      <text>
        <r>
          <rPr>
            <b/>
            <sz val="10"/>
            <color indexed="81"/>
            <rFont val="Tahoma"/>
            <family val="2"/>
          </rPr>
          <t>mm98285:</t>
        </r>
        <r>
          <rPr>
            <sz val="10"/>
            <color indexed="81"/>
            <rFont val="Tahoma"/>
            <family val="2"/>
          </rPr>
          <t xml:space="preserve">
8/06: expect $1.28-$1.36</t>
        </r>
      </text>
    </comment>
    <comment ref="S54" authorId="11">
      <text>
        <r>
          <rPr>
            <b/>
            <sz val="8"/>
            <color indexed="81"/>
            <rFont val="Tahoma"/>
            <family val="2"/>
          </rPr>
          <t>marchant:</t>
        </r>
        <r>
          <rPr>
            <sz val="8"/>
            <color indexed="81"/>
            <rFont val="Tahoma"/>
            <family val="2"/>
          </rPr>
          <t xml:space="preserve">
3/10: goal for $1.00 EPS in 2011</t>
        </r>
      </text>
    </comment>
    <comment ref="U55" authorId="1">
      <text>
        <r>
          <rPr>
            <sz val="8"/>
            <color indexed="81"/>
            <rFont val="Tahoma"/>
            <family val="2"/>
          </rPr>
          <t>4Q12 call - goal is to grow EPS mid-teens over the long term</t>
        </r>
      </text>
    </comment>
    <comment ref="V55" authorId="1">
      <text>
        <r>
          <rPr>
            <sz val="8"/>
            <color indexed="81"/>
            <rFont val="Tahoma"/>
            <family val="2"/>
          </rPr>
          <t>4Q12 call - goal is to grow EPS mid-teens over the long term</t>
        </r>
      </text>
    </comment>
  </commentList>
</comments>
</file>

<file path=xl/comments8.xml><?xml version="1.0" encoding="utf-8"?>
<comments xmlns="http://schemas.openxmlformats.org/spreadsheetml/2006/main">
  <authors>
    <author>mm98285</author>
    <author>P Kahng</author>
    <author>Cassel, Lauren (Research)</author>
    <author>Mains, Spencer (Research)</author>
    <author>Debbie Ong</author>
    <author>CREDIT SUISSE FIRST BOSTON</author>
    <author>MB33100</author>
    <author>lauraro</author>
    <author>kgreenbe</author>
    <author>dong2</author>
    <author>Lehman Brothers</author>
    <author>casselau</author>
  </authors>
  <commentList>
    <comment ref="AC9" authorId="0">
      <text>
        <r>
          <rPr>
            <b/>
            <sz val="8"/>
            <color indexed="81"/>
            <rFont val="Tahoma"/>
            <family val="2"/>
          </rPr>
          <t>mm98285:</t>
        </r>
        <r>
          <rPr>
            <sz val="8"/>
            <color indexed="81"/>
            <rFont val="Tahoma"/>
            <family val="2"/>
          </rPr>
          <t xml:space="preserve">
8/06: $1.123 discontinued operations in 1H06</t>
        </r>
      </text>
    </comment>
    <comment ref="AO9" authorId="1">
      <text>
        <r>
          <rPr>
            <b/>
            <sz val="8"/>
            <color indexed="81"/>
            <rFont val="Tahoma"/>
            <family val="2"/>
          </rPr>
          <t>P Kahng:</t>
        </r>
        <r>
          <rPr>
            <sz val="8"/>
            <color indexed="81"/>
            <rFont val="Tahoma"/>
            <family val="2"/>
          </rPr>
          <t xml:space="preserve">
$200M cash minimum</t>
        </r>
      </text>
    </comment>
    <comment ref="AY9" authorId="2">
      <text>
        <r>
          <rPr>
            <b/>
            <sz val="9"/>
            <color indexed="81"/>
            <rFont val="Tahoma"/>
            <family val="2"/>
          </rPr>
          <t>Cassel, Lauren (Research):</t>
        </r>
        <r>
          <rPr>
            <sz val="9"/>
            <color indexed="81"/>
            <rFont val="Tahoma"/>
            <family val="2"/>
          </rPr>
          <t xml:space="preserve">
8/30/17: Todd: $100M minimum cash balance</t>
        </r>
      </text>
    </comment>
    <comment ref="AS10" authorId="3">
      <text>
        <r>
          <rPr>
            <b/>
            <sz val="9"/>
            <color indexed="81"/>
            <rFont val="Tahoma"/>
            <family val="2"/>
          </rPr>
          <t>Mains, Spencer (Research):</t>
        </r>
        <r>
          <rPr>
            <sz val="9"/>
            <color indexed="81"/>
            <rFont val="Tahoma"/>
            <family val="2"/>
          </rPr>
          <t xml:space="preserve">
16.8 corresponds to "assets held for sale"</t>
        </r>
      </text>
    </comment>
    <comment ref="AE11" authorId="0">
      <text>
        <r>
          <rPr>
            <b/>
            <sz val="8"/>
            <color indexed="81"/>
            <rFont val="Tahoma"/>
            <family val="2"/>
          </rPr>
          <t>mm98285:</t>
        </r>
        <r>
          <rPr>
            <sz val="8"/>
            <color indexed="81"/>
            <rFont val="Tahoma"/>
            <family val="2"/>
          </rPr>
          <t xml:space="preserve">
includes $23.973 income tax receivable</t>
        </r>
      </text>
    </comment>
    <comment ref="B13" authorId="4">
      <text>
        <r>
          <rPr>
            <b/>
            <sz val="8"/>
            <color indexed="81"/>
            <rFont val="Tahoma"/>
            <family val="2"/>
          </rPr>
          <t>Debbie Ong:</t>
        </r>
        <r>
          <rPr>
            <sz val="8"/>
            <color indexed="81"/>
            <rFont val="Tahoma"/>
            <family val="2"/>
          </rPr>
          <t xml:space="preserve">
incl. Prepaid rent</t>
        </r>
      </text>
    </comment>
    <comment ref="B14" authorId="5">
      <text>
        <r>
          <rPr>
            <sz val="8"/>
            <color indexed="81"/>
            <rFont val="Tahoma"/>
            <family val="2"/>
          </rPr>
          <t>FINANCIAL REPORTING REQuIRES YOU STRAIGHT-LINE RENT, BUT RENT IS GROWING OVER TIME (DUE TO INFLATION ETC). BUT ON TAXES YOU HAVE TO DEDUCT WHAT YOU PAID AND NOT WHAT YOU RECOGNIZE AS RENT EXPENSE SO THAT MEANS DEFERRED TAXES SHOULD CONTINUE TO GROW IF CO. IS GROWING</t>
        </r>
      </text>
    </comment>
    <comment ref="AA14" authorId="6">
      <text>
        <r>
          <rPr>
            <b/>
            <sz val="8"/>
            <color indexed="81"/>
            <rFont val="Tahoma"/>
            <family val="2"/>
          </rPr>
          <t>MB33100:</t>
        </r>
        <r>
          <rPr>
            <sz val="8"/>
            <color indexed="81"/>
            <rFont val="Tahoma"/>
            <family val="2"/>
          </rPr>
          <t xml:space="preserve">
includes income taxes receivable</t>
        </r>
      </text>
    </comment>
    <comment ref="AC18" authorId="0">
      <text>
        <r>
          <rPr>
            <b/>
            <sz val="8"/>
            <color indexed="81"/>
            <rFont val="Tahoma"/>
            <family val="2"/>
          </rPr>
          <t>mm98285:</t>
        </r>
        <r>
          <rPr>
            <sz val="8"/>
            <color indexed="81"/>
            <rFont val="Tahoma"/>
            <family val="2"/>
          </rPr>
          <t xml:space="preserve">
includes land held for sale ($38.120)</t>
        </r>
      </text>
    </comment>
    <comment ref="C23" authorId="5">
      <text>
        <r>
          <rPr>
            <sz val="8"/>
            <color indexed="81"/>
            <rFont val="Tahoma"/>
            <family val="2"/>
          </rPr>
          <t>increases by capex (on cash flow) and decreases by depre.</t>
        </r>
      </text>
    </comment>
    <comment ref="AM27" authorId="7">
      <text>
        <r>
          <rPr>
            <b/>
            <sz val="8"/>
            <color indexed="81"/>
            <rFont val="Tahoma"/>
            <family val="2"/>
          </rPr>
          <t>lauraro:</t>
        </r>
        <r>
          <rPr>
            <sz val="8"/>
            <color indexed="81"/>
            <rFont val="Tahoma"/>
            <family val="2"/>
          </rPr>
          <t xml:space="preserve">
11/22/11: approximately $142 million in goodwill, and $95 million in intangible assets for the Boston Proper acquisition. Approximately $51 million of the intangible assets relate to the Boston Proper trade name, while approximately $44 million related to our customer relationships that will be amortized over a 10-year useful life. The third quarter includes approximately $0.5 million of such amortization, a non-cash charge.</t>
        </r>
      </text>
    </comment>
    <comment ref="AM28" authorId="7">
      <text>
        <r>
          <rPr>
            <b/>
            <sz val="8"/>
            <color indexed="81"/>
            <rFont val="Tahoma"/>
            <family val="2"/>
          </rPr>
          <t>lauraro:</t>
        </r>
        <r>
          <rPr>
            <sz val="8"/>
            <color indexed="81"/>
            <rFont val="Tahoma"/>
            <family val="2"/>
          </rPr>
          <t xml:space="preserve">
11/22/11: approximately $142 million in goodwill, and $95 million in intangible assets for the Boston Proper acquisition. Approximately $51 million of the intangible assets relate to the Boston Proper trade name, while approximately $44 million related to our customer relationships that will be amortized over a 10-year useful life. The third quarter includes approximately $0.5 million of such amortization, a non-cash charge.</t>
        </r>
      </text>
    </comment>
    <comment ref="Q37" authorId="8">
      <text>
        <r>
          <rPr>
            <b/>
            <sz val="8"/>
            <color indexed="81"/>
            <rFont val="Tahoma"/>
            <family val="2"/>
          </rPr>
          <t>kgreenbe:</t>
        </r>
        <r>
          <rPr>
            <sz val="8"/>
            <color indexed="81"/>
            <rFont val="Tahoma"/>
            <family val="2"/>
          </rPr>
          <t xml:space="preserve">
jump b/c got into fabric business (90 day terms)</t>
        </r>
      </text>
    </comment>
    <comment ref="S37" authorId="8">
      <text>
        <r>
          <rPr>
            <b/>
            <sz val="8"/>
            <color indexed="81"/>
            <rFont val="Tahoma"/>
            <family val="2"/>
          </rPr>
          <t>kgreenbe:</t>
        </r>
        <r>
          <rPr>
            <sz val="8"/>
            <color indexed="81"/>
            <rFont val="Tahoma"/>
            <family val="2"/>
          </rPr>
          <t xml:space="preserve">
prob $17</t>
        </r>
      </text>
    </comment>
    <comment ref="U37" authorId="8">
      <text>
        <r>
          <rPr>
            <b/>
            <sz val="8"/>
            <color indexed="81"/>
            <rFont val="Tahoma"/>
            <family val="2"/>
          </rPr>
          <t>kgreenbe:</t>
        </r>
        <r>
          <rPr>
            <sz val="8"/>
            <color indexed="81"/>
            <rFont val="Tahoma"/>
            <family val="2"/>
          </rPr>
          <t xml:space="preserve">
prob $20</t>
        </r>
      </text>
    </comment>
    <comment ref="B38" authorId="4">
      <text>
        <r>
          <rPr>
            <b/>
            <sz val="8"/>
            <color indexed="81"/>
            <rFont val="Tahoma"/>
            <family val="2"/>
          </rPr>
          <t>Debbie Ong:</t>
        </r>
        <r>
          <rPr>
            <sz val="8"/>
            <color indexed="81"/>
            <rFont val="Tahoma"/>
            <family val="2"/>
          </rPr>
          <t xml:space="preserve">
incl. Accrued comp + benefits, reserve for store expans/relo/close costs, accrued costs related to corp. Relo., sales tax payable, gift cert + store merch credits</t>
        </r>
      </text>
    </comment>
    <comment ref="S39" authorId="9">
      <text>
        <r>
          <rPr>
            <b/>
            <sz val="8"/>
            <color indexed="81"/>
            <rFont val="Tahoma"/>
            <family val="2"/>
          </rPr>
          <t>dong2:</t>
        </r>
        <r>
          <rPr>
            <sz val="8"/>
            <color indexed="81"/>
            <rFont val="Tahoma"/>
            <family val="2"/>
          </rPr>
          <t xml:space="preserve">
mgmt guidance: pay off $5.2 mm by year end</t>
        </r>
      </text>
    </comment>
    <comment ref="U42" authorId="9">
      <text>
        <r>
          <rPr>
            <b/>
            <sz val="8"/>
            <color indexed="81"/>
            <rFont val="Tahoma"/>
            <family val="2"/>
          </rPr>
          <t>dong2:</t>
        </r>
        <r>
          <rPr>
            <sz val="8"/>
            <color indexed="81"/>
            <rFont val="Tahoma"/>
            <family val="2"/>
          </rPr>
          <t xml:space="preserve">
increase half a million each year</t>
        </r>
      </text>
    </comment>
    <comment ref="W42" authorId="10">
      <text>
        <r>
          <rPr>
            <sz val="8"/>
            <color indexed="81"/>
            <rFont val="Tahoma"/>
            <family val="2"/>
          </rPr>
          <t>deferred rent increases by 0.6 mm but debt (mtg. Note payable) is reduced by 100K so net is 0.5 mm increase. Debt fully paid off in 02 so increase by 0.6 mm</t>
        </r>
      </text>
    </comment>
    <comment ref="AU43" authorId="11">
      <text>
        <r>
          <rPr>
            <b/>
            <sz val="9"/>
            <color indexed="81"/>
            <rFont val="Tahoma"/>
            <family val="2"/>
          </rPr>
          <t>casselau:</t>
        </r>
        <r>
          <rPr>
            <sz val="9"/>
            <color indexed="81"/>
            <rFont val="Tahoma"/>
            <family val="2"/>
          </rPr>
          <t xml:space="preserve">
3/2/15: raised commitment under the revolving credit facility from $70M to $125M and increases the maximum total debt leverage ratio to 3.50 to 1.00. </t>
        </r>
      </text>
    </comment>
    <comment ref="AO44" authorId="1">
      <text>
        <r>
          <rPr>
            <b/>
            <sz val="8"/>
            <color indexed="81"/>
            <rFont val="Tahoma"/>
            <family val="2"/>
          </rPr>
          <t>P Kahng:</t>
        </r>
        <r>
          <rPr>
            <sz val="8"/>
            <color indexed="81"/>
            <rFont val="Tahoma"/>
            <family val="2"/>
          </rPr>
          <t xml:space="preserve">
7/5/12: per Vogensen - $50M in non-current deferred tax liabilty from Boston Proper acquisition. This is deferred tax on Goodwill. As long as goodwill stays on the books, they will carry this forward. </t>
        </r>
      </text>
    </comment>
    <comment ref="S48" authorId="9">
      <text>
        <r>
          <rPr>
            <b/>
            <sz val="8"/>
            <color indexed="81"/>
            <rFont val="Tahoma"/>
            <family val="2"/>
          </rPr>
          <t>dong2:</t>
        </r>
        <r>
          <rPr>
            <sz val="8"/>
            <color indexed="81"/>
            <rFont val="Tahoma"/>
            <family val="2"/>
          </rPr>
          <t xml:space="preserve">
allocate all increase to APIC, since par value increase in stock options is de minimus anyway</t>
        </r>
      </text>
    </comment>
    <comment ref="U48" authorId="9">
      <text>
        <r>
          <rPr>
            <b/>
            <sz val="8"/>
            <color indexed="81"/>
            <rFont val="Tahoma"/>
            <family val="2"/>
          </rPr>
          <t>dong2:</t>
        </r>
        <r>
          <rPr>
            <sz val="8"/>
            <color indexed="81"/>
            <rFont val="Tahoma"/>
            <family val="2"/>
          </rPr>
          <t xml:space="preserve">
allocate all increase to APIC, since par value increase in stock options is de minimus anyway. PLUG goes here!!!!</t>
        </r>
      </text>
    </comment>
    <comment ref="AA51" authorId="6">
      <text>
        <r>
          <rPr>
            <b/>
            <sz val="8"/>
            <color indexed="81"/>
            <rFont val="Tahoma"/>
            <family val="2"/>
          </rPr>
          <t>MB33100:</t>
        </r>
        <r>
          <rPr>
            <sz val="8"/>
            <color indexed="81"/>
            <rFont val="Tahoma"/>
            <family val="2"/>
          </rPr>
          <t xml:space="preserve">
includes unearned compensation of -3.710</t>
        </r>
      </text>
    </comment>
    <comment ref="AS52" authorId="3">
      <text>
        <r>
          <rPr>
            <b/>
            <sz val="9"/>
            <color indexed="81"/>
            <rFont val="Tahoma"/>
            <family val="2"/>
          </rPr>
          <t>Mains, Spencer (Research):</t>
        </r>
        <r>
          <rPr>
            <sz val="9"/>
            <color indexed="81"/>
            <rFont val="Tahoma"/>
            <family val="2"/>
          </rPr>
          <t xml:space="preserve">
63.8902 plug…difference driven by cash balances</t>
        </r>
      </text>
    </comment>
    <comment ref="AO83" authorId="1">
      <text>
        <r>
          <rPr>
            <b/>
            <sz val="8"/>
            <color indexed="81"/>
            <rFont val="Tahoma"/>
            <family val="2"/>
          </rPr>
          <t>P Kahng:</t>
        </r>
        <r>
          <rPr>
            <sz val="8"/>
            <color indexed="81"/>
            <rFont val="Tahoma"/>
            <family val="2"/>
          </rPr>
          <t xml:space="preserve">
as per Todd. Had too much inventory on books last year. AP leverage should be closer to 2010 level. </t>
        </r>
      </text>
    </comment>
    <comment ref="C102" authorId="4">
      <text>
        <r>
          <rPr>
            <b/>
            <sz val="8"/>
            <color indexed="81"/>
            <rFont val="Tahoma"/>
            <family val="2"/>
          </rPr>
          <t>Debbie Ong:</t>
        </r>
        <r>
          <rPr>
            <sz val="8"/>
            <color indexed="81"/>
            <rFont val="Tahoma"/>
            <family val="2"/>
          </rPr>
          <t xml:space="preserve">
to account for g/will in a pooling transaction</t>
        </r>
      </text>
    </comment>
  </commentList>
</comments>
</file>

<file path=xl/comments9.xml><?xml version="1.0" encoding="utf-8"?>
<comments xmlns="http://schemas.openxmlformats.org/spreadsheetml/2006/main">
  <authors>
    <author>dong2</author>
    <author>mm98285</author>
    <author>CREDIT SUISSE FIRST BOSTON</author>
    <author>kgreenbe</author>
    <author>dliu</author>
    <author>Kimberly Greenberger</author>
    <author>Lehman Brothers</author>
    <author>MB33100</author>
    <author>kg51925</author>
    <author>Morry Brown</author>
    <author>casselau</author>
    <author>ns66486</author>
    <author>lauraro</author>
    <author>solejay</author>
    <author>Mains, Spencer (Research)</author>
    <author>Cassel, Lauren (Research)</author>
    <author>De Courreges, Edouard (Research)</author>
    <author>marchant</author>
    <author>P Kahng</author>
  </authors>
  <commentList>
    <comment ref="D8" authorId="0">
      <text>
        <r>
          <rPr>
            <b/>
            <sz val="8"/>
            <color indexed="81"/>
            <rFont val="Tahoma"/>
            <family val="2"/>
          </rPr>
          <t>dong2:</t>
        </r>
        <r>
          <rPr>
            <sz val="8"/>
            <color indexed="81"/>
            <rFont val="Tahoma"/>
            <family val="2"/>
          </rPr>
          <t xml:space="preserve">
year ending 12/31/95. Data is available as far back as 1993</t>
        </r>
      </text>
    </comment>
    <comment ref="Z10" authorId="1">
      <text>
        <r>
          <rPr>
            <b/>
            <sz val="8"/>
            <color indexed="81"/>
            <rFont val="Tahoma"/>
            <family val="2"/>
          </rPr>
          <t>mm98285:</t>
        </r>
        <r>
          <rPr>
            <sz val="8"/>
            <color indexed="81"/>
            <rFont val="Tahoma"/>
            <family val="2"/>
          </rPr>
          <t xml:space="preserve">
3/08: take out loss on discontinued operations</t>
        </r>
      </text>
    </comment>
    <comment ref="AB10" authorId="1">
      <text>
        <r>
          <rPr>
            <b/>
            <sz val="8"/>
            <color indexed="81"/>
            <rFont val="Tahoma"/>
            <family val="2"/>
          </rPr>
          <t>mm98285:</t>
        </r>
        <r>
          <rPr>
            <sz val="8"/>
            <color indexed="81"/>
            <rFont val="Tahoma"/>
            <family val="2"/>
          </rPr>
          <t xml:space="preserve">
add loss on con't ops</t>
        </r>
      </text>
    </comment>
    <comment ref="B11" authorId="2">
      <text>
        <r>
          <rPr>
            <sz val="8"/>
            <color indexed="81"/>
            <rFont val="Tahoma"/>
            <family val="2"/>
          </rPr>
          <t>calculated from change in accum. depr, change in goodwill amort. and 10% depr. of leasehold improvements from prior year (assuming 10-year useful life)</t>
        </r>
      </text>
    </comment>
    <comment ref="P11" authorId="3">
      <text>
        <r>
          <rPr>
            <b/>
            <sz val="8"/>
            <color indexed="81"/>
            <rFont val="Tahoma"/>
            <family val="2"/>
          </rPr>
          <t>kgreenbe:</t>
        </r>
        <r>
          <rPr>
            <sz val="8"/>
            <color indexed="81"/>
            <rFont val="Tahoma"/>
            <family val="2"/>
          </rPr>
          <t xml:space="preserve">
new store openings hit D&amp;A </t>
        </r>
      </text>
    </comment>
    <comment ref="T11" authorId="4">
      <text>
        <r>
          <rPr>
            <b/>
            <sz val="8"/>
            <color indexed="81"/>
            <rFont val="Tahoma"/>
            <family val="2"/>
          </rPr>
          <t>dliu:</t>
        </r>
        <r>
          <rPr>
            <sz val="8"/>
            <color indexed="81"/>
            <rFont val="Tahoma"/>
            <family val="2"/>
          </rPr>
          <t xml:space="preserve">
additional depre b/c of new D.C. Mgmt indicated grow by 40%</t>
        </r>
      </text>
    </comment>
    <comment ref="V11" authorId="5">
      <text>
        <r>
          <rPr>
            <b/>
            <sz val="8"/>
            <color indexed="81"/>
            <rFont val="Tahoma"/>
            <family val="2"/>
          </rPr>
          <t>Kimberly Greenberger:</t>
        </r>
        <r>
          <rPr>
            <sz val="8"/>
            <color indexed="81"/>
            <rFont val="Tahoma"/>
            <family val="2"/>
          </rPr>
          <t xml:space="preserve">
8/04: expect 16.5mm X 4 X 1.25
4/05: Extra 3.605 is from CGS D&amp;A in 10-K</t>
        </r>
      </text>
    </comment>
    <comment ref="AD11" authorId="1">
      <text>
        <r>
          <rPr>
            <b/>
            <sz val="8"/>
            <color indexed="81"/>
            <rFont val="Tahoma"/>
            <family val="2"/>
          </rPr>
          <t>mm98285:</t>
        </r>
        <r>
          <rPr>
            <sz val="8"/>
            <color indexed="81"/>
            <rFont val="Tahoma"/>
            <family val="2"/>
          </rPr>
          <t xml:space="preserve">
8/08: expect just under $100mm</t>
        </r>
      </text>
    </comment>
    <comment ref="R13" authorId="6">
      <text>
        <r>
          <rPr>
            <sz val="8"/>
            <color indexed="81"/>
            <rFont val="Tahoma"/>
            <family val="2"/>
          </rPr>
          <t>8/23/02: estimate per co. I calculate 6-8 mm (see HOTT for calc)</t>
        </r>
      </text>
    </comment>
    <comment ref="X13" authorId="7">
      <text>
        <r>
          <rPr>
            <b/>
            <sz val="8"/>
            <color indexed="81"/>
            <rFont val="Tahoma"/>
            <family val="2"/>
          </rPr>
          <t>MB33100:</t>
        </r>
        <r>
          <rPr>
            <sz val="8"/>
            <color indexed="81"/>
            <rFont val="Tahoma"/>
            <family val="2"/>
          </rPr>
          <t xml:space="preserve">
includes stock options compensation expense of 1.615</t>
        </r>
      </text>
    </comment>
    <comment ref="Z13" authorId="7">
      <text>
        <r>
          <rPr>
            <b/>
            <sz val="8"/>
            <color indexed="81"/>
            <rFont val="Tahoma"/>
            <family val="2"/>
          </rPr>
          <t>mm98285:</t>
        </r>
        <r>
          <rPr>
            <sz val="8"/>
            <color indexed="81"/>
            <rFont val="Tahoma"/>
            <family val="2"/>
          </rPr>
          <t xml:space="preserve">
includes stock options comp exp of $6.004+$15.237 and excess tax benefit (operating) and excess tax benefit (financing)</t>
        </r>
      </text>
    </comment>
    <comment ref="AD13" authorId="8">
      <text>
        <r>
          <rPr>
            <b/>
            <sz val="8"/>
            <color indexed="81"/>
            <rFont val="Tahoma"/>
            <family val="2"/>
          </rPr>
          <t>kg51925:</t>
        </r>
        <r>
          <rPr>
            <sz val="8"/>
            <color indexed="81"/>
            <rFont val="Tahoma"/>
            <family val="2"/>
          </rPr>
          <t xml:space="preserve">
12/14/08 KG zero'd out as she does not believe options were exercised in 2008</t>
        </r>
      </text>
    </comment>
    <comment ref="AF13" authorId="8">
      <text>
        <r>
          <rPr>
            <b/>
            <sz val="8"/>
            <color indexed="81"/>
            <rFont val="Tahoma"/>
            <family val="2"/>
          </rPr>
          <t>kg51925:</t>
        </r>
        <r>
          <rPr>
            <sz val="8"/>
            <color indexed="81"/>
            <rFont val="Tahoma"/>
            <family val="2"/>
          </rPr>
          <t xml:space="preserve">
12/14/08 KG assumes $0 to be conservative on FCF</t>
        </r>
      </text>
    </comment>
    <comment ref="T14" authorId="6">
      <text>
        <r>
          <rPr>
            <sz val="8"/>
            <color indexed="81"/>
            <rFont val="Tahoma"/>
            <family val="2"/>
          </rPr>
          <t>must exclude the debt paydown portion in t40, otherwise you doublecount</t>
        </r>
      </text>
    </comment>
    <comment ref="V14" authorId="6">
      <text>
        <r>
          <rPr>
            <sz val="8"/>
            <color indexed="81"/>
            <rFont val="Tahoma"/>
            <family val="2"/>
          </rPr>
          <t>must exclude the debt paydown portion in t40, otherwise you doublecount</t>
        </r>
      </text>
    </comment>
    <comment ref="X14" authorId="6">
      <text>
        <r>
          <rPr>
            <sz val="8"/>
            <color indexed="81"/>
            <rFont val="Tahoma"/>
            <family val="2"/>
          </rPr>
          <t>must exclude the debt paydown portion in t40, otherwise you doublecount</t>
        </r>
      </text>
    </comment>
    <comment ref="Z14" authorId="6">
      <text>
        <r>
          <rPr>
            <sz val="8"/>
            <color indexed="81"/>
            <rFont val="Tahoma"/>
            <family val="2"/>
          </rPr>
          <t>must exclude the debt paydown portion in t40, otherwise you doublecount</t>
        </r>
      </text>
    </comment>
    <comment ref="AB14" authorId="6">
      <text>
        <r>
          <rPr>
            <sz val="8"/>
            <color indexed="81"/>
            <rFont val="Tahoma"/>
            <family val="2"/>
          </rPr>
          <t>must exclude the debt paydown portion in t40, otherwise you doublecount</t>
        </r>
      </text>
    </comment>
    <comment ref="B15" authorId="0">
      <text>
        <r>
          <rPr>
            <b/>
            <sz val="8"/>
            <color indexed="81"/>
            <rFont val="Tahoma"/>
            <family val="2"/>
          </rPr>
          <t>dong2:</t>
        </r>
        <r>
          <rPr>
            <sz val="8"/>
            <color indexed="81"/>
            <rFont val="Tahoma"/>
            <family val="2"/>
          </rPr>
          <t xml:space="preserve">
Stock option compensation in 00, loss from disposal of PP&amp;E 98-01</t>
        </r>
      </text>
    </comment>
    <comment ref="H15" authorId="0">
      <text>
        <r>
          <rPr>
            <b/>
            <sz val="8"/>
            <color indexed="81"/>
            <rFont val="Tahoma"/>
            <family val="2"/>
          </rPr>
          <t>dong2:</t>
        </r>
        <r>
          <rPr>
            <sz val="8"/>
            <color indexed="81"/>
            <rFont val="Tahoma"/>
            <family val="2"/>
          </rPr>
          <t xml:space="preserve">
$1 added to offset the $1 extra from prepaid exp. </t>
        </r>
      </text>
    </comment>
    <comment ref="L15" authorId="0">
      <text>
        <r>
          <rPr>
            <b/>
            <sz val="8"/>
            <color indexed="81"/>
            <rFont val="Tahoma"/>
            <family val="2"/>
          </rPr>
          <t>dong2:</t>
        </r>
        <r>
          <rPr>
            <sz val="8"/>
            <color indexed="81"/>
            <rFont val="Tahoma"/>
            <family val="2"/>
          </rPr>
          <t xml:space="preserve">
$306 is to round off 3 D.P. discrepancy from net income</t>
        </r>
      </text>
    </comment>
    <comment ref="N15" authorId="0">
      <text>
        <r>
          <rPr>
            <b/>
            <sz val="8"/>
            <color indexed="81"/>
            <rFont val="Tahoma"/>
            <family val="2"/>
          </rPr>
          <t>dong2:</t>
        </r>
        <r>
          <rPr>
            <sz val="8"/>
            <color indexed="81"/>
            <rFont val="Tahoma"/>
            <family val="2"/>
          </rPr>
          <t xml:space="preserve">
$2 rounds off discrepancy in net income</t>
        </r>
      </text>
    </comment>
    <comment ref="V15" authorId="9">
      <text>
        <r>
          <rPr>
            <b/>
            <sz val="8"/>
            <color indexed="81"/>
            <rFont val="Tahoma"/>
            <family val="2"/>
          </rPr>
          <t>Morry Brown:</t>
        </r>
        <r>
          <rPr>
            <sz val="8"/>
            <color indexed="81"/>
            <rFont val="Tahoma"/>
            <family val="2"/>
          </rPr>
          <t xml:space="preserve">
Loss on impairment and disposal of P&amp;E</t>
        </r>
      </text>
    </comment>
    <comment ref="Z15" authorId="1">
      <text>
        <r>
          <rPr>
            <b/>
            <sz val="8"/>
            <color indexed="81"/>
            <rFont val="Tahoma"/>
            <family val="2"/>
          </rPr>
          <t>mm98285:</t>
        </r>
        <r>
          <rPr>
            <sz val="8"/>
            <color indexed="81"/>
            <rFont val="Tahoma"/>
            <family val="2"/>
          </rPr>
          <t xml:space="preserve">
includes goodwill impairment loss $6.752 + loss on disposal of PPE $0.826</t>
        </r>
      </text>
    </comment>
    <comment ref="AR15" authorId="10">
      <text>
        <r>
          <rPr>
            <b/>
            <sz val="9"/>
            <color indexed="81"/>
            <rFont val="Tahoma"/>
            <family val="2"/>
          </rPr>
          <t>casselau:</t>
        </r>
        <r>
          <rPr>
            <sz val="9"/>
            <color indexed="81"/>
            <rFont val="Tahoma"/>
            <family val="2"/>
          </rPr>
          <t xml:space="preserve">
loss on disposal and impairment of PPE and goodwill and intangible impairment charges</t>
        </r>
      </text>
    </comment>
    <comment ref="P18" authorId="0">
      <text>
        <r>
          <rPr>
            <b/>
            <sz val="8"/>
            <color indexed="81"/>
            <rFont val="Tahoma"/>
            <family val="2"/>
          </rPr>
          <t>dong2:</t>
        </r>
        <r>
          <rPr>
            <sz val="8"/>
            <color indexed="81"/>
            <rFont val="Tahoma"/>
            <family val="2"/>
          </rPr>
          <t xml:space="preserve">
1Q conf call: mgmt indicated $300K multiplied by 55 new stores, avg. $200K multiplied by 30 remodels, plus $5 mm misc.</t>
        </r>
      </text>
    </comment>
    <comment ref="R18" authorId="0">
      <text>
        <r>
          <rPr>
            <b/>
            <sz val="8"/>
            <color indexed="81"/>
            <rFont val="Tahoma"/>
            <family val="2"/>
          </rPr>
          <t>dong2:</t>
        </r>
        <r>
          <rPr>
            <sz val="8"/>
            <color indexed="81"/>
            <rFont val="Tahoma"/>
            <family val="2"/>
          </rPr>
          <t xml:space="preserve">
1Q conf call: mgmt indicated $300K multiplied by 55 new stores, avg. $200K multiplied by 30 remodels, plus $5 mm misc.
update: 2/5/02 analyst meeting: 65 new stores at $325K, 50 remodels at $275K, $6 mm software exp., $7-12 mm for D.C. move (could hit either 02 or 03; include in 02 to be conservative)
8/29/02 - had $51 mm; update to $65 mm: Charlie's figure on 2Q conference call.</t>
        </r>
      </text>
    </comment>
    <comment ref="T18" authorId="6">
      <text>
        <r>
          <rPr>
            <sz val="8"/>
            <color indexed="81"/>
            <rFont val="Tahoma"/>
            <family val="2"/>
          </rPr>
          <t>70 new stores x 350K
50 remodels x 275K + 5 mm redo of old DC into office space  + 5mm misc.</t>
        </r>
      </text>
    </comment>
    <comment ref="V18" authorId="5">
      <text>
        <r>
          <rPr>
            <b/>
            <sz val="8"/>
            <color indexed="81"/>
            <rFont val="Tahoma"/>
            <family val="2"/>
          </rPr>
          <t>Kimberly Greenberger:</t>
        </r>
        <r>
          <rPr>
            <sz val="8"/>
            <color indexed="81"/>
            <rFont val="Tahoma"/>
            <family val="2"/>
          </rPr>
          <t xml:space="preserve">
8/04: per Charlie $410k X # of new stores, plus $275 X # of remodels, plus $10mm misc cap ex.</t>
        </r>
      </text>
    </comment>
    <comment ref="X18" authorId="5">
      <text>
        <r>
          <rPr>
            <b/>
            <sz val="8"/>
            <color indexed="81"/>
            <rFont val="Tahoma"/>
            <family val="2"/>
          </rPr>
          <t>Kimberly Greenberger:</t>
        </r>
        <r>
          <rPr>
            <sz val="8"/>
            <color indexed="81"/>
            <rFont val="Tahoma"/>
            <family val="2"/>
          </rPr>
          <t xml:space="preserve">
2005 10K: planning/opening new, relocated, remodeled &amp; expanded stores ($78.5), purch of 105 acres in Ft. Myers, originally intended for new corp HQ ($37.8), DC infrastructure &amp; expansion costs ($6.7), costs associated with system upgrades and new software implementations ($9.8) &amp; other misc ($14.8) 
+$54.6 over LY primarily due to purch of land for purposes of a new HQ campus, DC expansion, and increased IT investments related to new technology initiatives
8/04: per Charlie $410k X # of new stores, plus $275 X # of remodels, plus $10mm misc cap ex s/b $50-60mm.</t>
        </r>
      </text>
    </comment>
    <comment ref="Z18" authorId="5">
      <text>
        <r>
          <rPr>
            <b/>
            <sz val="8"/>
            <color indexed="81"/>
            <rFont val="Tahoma"/>
            <family val="2"/>
          </rPr>
          <t>Kimberly Greenberger:</t>
        </r>
        <r>
          <rPr>
            <sz val="8"/>
            <color indexed="81"/>
            <rFont val="Tahoma"/>
            <family val="2"/>
          </rPr>
          <t xml:space="preserve">
2006 10K: $152.8mm planning/opening new/expanded stores, $26.7mm system upgrades, $26.4mm costs and improvements for property adjacent to current HQ, $3.9mm DC costs, $8.5mm other
+$70.7mm over LY due to incr'd costs related to opening greater # of new, relocated, remodeled &amp; expanded stores &amp; increased IT invstm'ts related to new tech initiatives, incl conv to SAP software platform
5/06: capex in 1Q was $60mm and expect $180-$200mm capex for the year (excluding tenant improvement monies)
8/04: per Charlie $410k X # of new stores, plus $275 X # of remodels, plus $10mm misc cap ex s/b $50-60mm.</t>
        </r>
      </text>
    </comment>
    <comment ref="AB18" authorId="5">
      <text>
        <r>
          <rPr>
            <b/>
            <sz val="8"/>
            <color indexed="81"/>
            <rFont val="Tahoma"/>
            <family val="2"/>
          </rPr>
          <t>Kimberly Greenberger:</t>
        </r>
        <r>
          <rPr>
            <sz val="8"/>
            <color indexed="81"/>
            <rFont val="Tahoma"/>
            <family val="2"/>
          </rPr>
          <t xml:space="preserve">
5/07: Michael Smith said $210-$220 ($150 for stores, $25 for systems, $25 for HQ, $4 for DC, $8 for other)
3/07: $215-$235 (includes $20-$25 for SAP conversion)
8/04: per Charlie $410k X # of new stores, plus $275 X # of remodels, plus $10mm misc cap ex s/b $50-60mm.</t>
        </r>
      </text>
    </comment>
    <comment ref="AD18" authorId="1">
      <text>
        <r>
          <rPr>
            <b/>
            <sz val="8"/>
            <color indexed="81"/>
            <rFont val="Tahoma"/>
            <family val="2"/>
          </rPr>
          <t>mm98285:</t>
        </r>
        <r>
          <rPr>
            <sz val="8"/>
            <color indexed="81"/>
            <rFont val="Tahoma"/>
            <family val="2"/>
          </rPr>
          <t xml:space="preserve">
10K: $60.4M planning &amp; opening of new, relocated, remodeled and expanded stores, $23.8M system upgrades &amp; new software implementations, $6.7M HQ expansion, $13.7M other miscellaneous 
11/08: expect ~$110
8/08: expect closer to bottom or slightly below prior $120-$125mm
3/08: $120-$125 (1Q: $40.063mm, 2Q: 29.427, 3Q: $22.83)
1/08: cut out $100mm given delayed DC and home office expansion, delayed integration of SAP to 2009 and lowered store growth</t>
        </r>
      </text>
    </comment>
    <comment ref="AF18" authorId="1">
      <text>
        <r>
          <rPr>
            <b/>
            <sz val="7"/>
            <color indexed="81"/>
            <rFont val="Tahoma"/>
            <family val="2"/>
          </rPr>
          <t>mm98285:</t>
        </r>
        <r>
          <rPr>
            <sz val="7"/>
            <color indexed="81"/>
            <rFont val="Tahoma"/>
            <family val="2"/>
          </rPr>
          <t xml:space="preserve">
9/09: $75-$77M
6/09: $73-$78M
1Q: $12.709mm (inc. $2.8M on stores &amp; $9.9M on system upgrades &amp; new software implementation), 2Q: $23.526M
1H: $36.2M: $7.5M stores, $16.3M systems, $10.4M land for DC, $2.0 other
3/09: $35-$40mm reduction in capex vs. 2008 given less store openings
11/08: 10 new stores, 10 new remodels
8/27/08: expect 10-12 new stores (vs. 61 in '08) and 15 remodels (vs. ~30 in '08) -&gt; ~64 store differential at $700k each = $42mm decrease in '09 capex vs. '08 capex. But will also need DC expansion in '09 b/c have been pushing out SAP $18-20 TY vs. $15-17 in '09E
(Sounds like they are conserving cash for growth not to buyback stock) If business turns, we would expect them to up their capex budget</t>
        </r>
      </text>
    </comment>
    <comment ref="AH18" authorId="8">
      <text>
        <r>
          <rPr>
            <b/>
            <sz val="8"/>
            <color indexed="81"/>
            <rFont val="Tahoma"/>
            <family val="2"/>
          </rPr>
          <t xml:space="preserve">12/10: </t>
        </r>
        <r>
          <rPr>
            <sz val="8"/>
            <color indexed="81"/>
            <rFont val="Tahoma"/>
            <family val="2"/>
          </rPr>
          <t>Our ~$7.5M increase in capital expenditures in the current year-to-date period when compared to last year's year-to-date period was primarily related to new, relocated, remodeled and expanded Chico's/Soma and WH|BM stores, partially offset by decreased distribution center improvements.</t>
        </r>
        <r>
          <rPr>
            <b/>
            <sz val="8"/>
            <color indexed="81"/>
            <rFont val="Tahoma"/>
            <family val="2"/>
          </rPr>
          <t xml:space="preserve">
2/24/10:
$85mm:
</t>
        </r>
        <r>
          <rPr>
            <sz val="8"/>
            <color indexed="81"/>
            <rFont val="Tahoma"/>
            <family val="2"/>
          </rPr>
          <t xml:space="preserve">$46mm new stores
$7mm maint
$24mm Technology incl JDA and back office (&amp; $15mm DTC and Dist)
</t>
        </r>
        <r>
          <rPr>
            <b/>
            <sz val="8"/>
            <color indexed="81"/>
            <rFont val="Tahoma"/>
            <family val="2"/>
          </rPr>
          <t xml:space="preserve">
kg51925:</t>
        </r>
        <r>
          <rPr>
            <sz val="8"/>
            <color indexed="81"/>
            <rFont val="Tahoma"/>
            <family val="2"/>
          </rPr>
          <t xml:space="preserve">
likely 50-60mm per Bob 11/09</t>
        </r>
      </text>
    </comment>
    <comment ref="AJ18" authorId="11">
      <text>
        <r>
          <rPr>
            <b/>
            <sz val="8"/>
            <color indexed="81"/>
            <rFont val="Tahoma"/>
            <family val="2"/>
          </rPr>
          <t xml:space="preserve">5/18/11: </t>
        </r>
        <r>
          <rPr>
            <sz val="8"/>
            <color indexed="81"/>
            <rFont val="Tahoma"/>
            <family val="2"/>
          </rPr>
          <t>Projecting capex at $130M reflecting acceleration of DC2 expansion plans</t>
        </r>
        <r>
          <rPr>
            <b/>
            <sz val="8"/>
            <color indexed="81"/>
            <rFont val="Tahoma"/>
            <family val="2"/>
          </rPr>
          <t xml:space="preserve">
2/11:</t>
        </r>
        <r>
          <rPr>
            <sz val="8"/>
            <color indexed="81"/>
            <rFont val="Tahoma"/>
            <family val="2"/>
          </rPr>
          <t xml:space="preserve"> Exp $110-$120M, contemplates net new store growth as well as continued enhancements of the Company's information thecnology systems and other infrastructure costs including DTC automation</t>
        </r>
        <r>
          <rPr>
            <b/>
            <sz val="8"/>
            <color indexed="81"/>
            <rFont val="Tahoma"/>
            <family val="2"/>
          </rPr>
          <t xml:space="preserve">
ns66486:</t>
        </r>
        <r>
          <rPr>
            <sz val="8"/>
            <color indexed="81"/>
            <rFont val="Tahoma"/>
            <family val="2"/>
          </rPr>
          <t xml:space="preserve">
generally in same range, could end up with a little more inv. in DC/e-comm, 85-90mm</t>
        </r>
      </text>
    </comment>
    <comment ref="AL18" authorId="12">
      <text>
        <r>
          <rPr>
            <b/>
            <sz val="8"/>
            <color indexed="81"/>
            <rFont val="Tahoma"/>
            <family val="2"/>
          </rPr>
          <t xml:space="preserve">8/22/12: </t>
        </r>
        <r>
          <rPr>
            <sz val="8"/>
            <color indexed="81"/>
            <rFont val="Tahoma"/>
            <family val="2"/>
          </rPr>
          <t>~$155M, reflecting an additional $5M for BP initiatives, including new stores in early FY13 and system integration costs (sq ftg growth of +9% and remodel of 80 existing stores)</t>
        </r>
        <r>
          <rPr>
            <b/>
            <sz val="8"/>
            <color indexed="81"/>
            <rFont val="Tahoma"/>
            <family val="2"/>
          </rPr>
          <t xml:space="preserve">
</t>
        </r>
      </text>
    </comment>
    <comment ref="AN18" authorId="13">
      <text>
        <r>
          <rPr>
            <b/>
            <sz val="8"/>
            <color indexed="81"/>
            <rFont val="Tahoma"/>
            <family val="2"/>
          </rPr>
          <t>3/4/14:</t>
        </r>
        <r>
          <rPr>
            <sz val="8"/>
            <color indexed="81"/>
            <rFont val="Tahoma"/>
            <family val="2"/>
          </rPr>
          <t xml:space="preserve"> 
$92M store-related
$30M Technology (including omni-channel)
$7M Corporate
$10M DC
</t>
        </r>
        <r>
          <rPr>
            <b/>
            <sz val="8"/>
            <color indexed="81"/>
            <rFont val="Tahoma"/>
            <family val="2"/>
          </rPr>
          <t xml:space="preserve">
8/28/13: </t>
        </r>
        <r>
          <rPr>
            <sz val="8"/>
            <color indexed="81"/>
            <rFont val="Tahoma"/>
            <family val="2"/>
          </rPr>
          <t>on track for $140M</t>
        </r>
        <r>
          <rPr>
            <b/>
            <sz val="8"/>
            <color indexed="81"/>
            <rFont val="Tahoma"/>
            <family val="2"/>
          </rPr>
          <t xml:space="preserve">
solejay:</t>
        </r>
        <r>
          <rPr>
            <sz val="8"/>
            <color indexed="81"/>
            <rFont val="Tahoma"/>
            <family val="2"/>
          </rPr>
          <t xml:space="preserve">
4Q12 conf call = $150M
</t>
        </r>
        <r>
          <rPr>
            <b/>
            <sz val="8"/>
            <color indexed="81"/>
            <rFont val="Tahoma"/>
            <family val="2"/>
          </rPr>
          <t xml:space="preserve">antons: 
</t>
        </r>
        <r>
          <rPr>
            <sz val="8"/>
            <color indexed="81"/>
            <rFont val="Tahoma"/>
            <family val="2"/>
          </rPr>
          <t>From 4Q12 Conf. call - CFO, Nearly 2/3 of Capex ($150M) planned for domestic expansion. "...we expect our capital expenditures to be approximately $150 million in 2013 with nearly two-thirds tied to domestic stote capital, as we continue the accelerated rate of growth for outlets, White House | Black Market and Soma, as well as $20 million for the strategic investments we announced today."</t>
        </r>
      </text>
    </comment>
    <comment ref="AP18" authorId="10">
      <text>
        <r>
          <rPr>
            <b/>
            <sz val="8"/>
            <color indexed="81"/>
            <rFont val="Tahoma"/>
            <family val="2"/>
          </rPr>
          <t>casselau:
5/29/14: now expect $125-130M</t>
        </r>
        <r>
          <rPr>
            <sz val="8"/>
            <color indexed="81"/>
            <rFont val="Tahoma"/>
            <family val="2"/>
          </rPr>
          <t xml:space="preserve">
3/4/14: For 2014, are are planning about 10 fewer stores than 2013, so, it is safe to assume slightly less store-related capital, as well as less in the form of DC &amp; Corp.  Our guidance is $140M - $150M in total, so, your estimate is right in the range.  For the $30 - 35M of initiative-related capex, it is safe to assume that the biggest piece of that will be new POS systems and related software.
11/26/13; $140-$150; Components of our 2014 capital assumptions include opening 120 to 130 gross new stores, including approximately 10 int'l standalone stores for Chico's and WHM combined, and opening 15 to 20 new Boston Proper stores.</t>
        </r>
      </text>
    </comment>
    <comment ref="AR18" authorId="10">
      <text>
        <r>
          <rPr>
            <b/>
            <sz val="9"/>
            <color indexed="81"/>
            <rFont val="Tahoma"/>
            <family val="2"/>
          </rPr>
          <t>casselau:
11/24/15: Reaffirmed $100M, including $30M for new POS
8/26/15: $100M Reaffirmed for FY
2/26/15: expects $100M inclusive of $30M for new POS, including mobile technology, to all stores</t>
        </r>
        <r>
          <rPr>
            <sz val="9"/>
            <color indexed="81"/>
            <rFont val="Tahoma"/>
            <family val="2"/>
          </rPr>
          <t xml:space="preserve">
8/27/14: between $120 and $125M; rolling out  new POS system in 2015 which will be a large component of capex</t>
        </r>
      </text>
    </comment>
    <comment ref="AT18" authorId="14">
      <text>
        <r>
          <rPr>
            <b/>
            <sz val="9"/>
            <color indexed="81"/>
            <rFont val="Tahoma"/>
            <family val="2"/>
          </rPr>
          <t xml:space="preserve">5/26/16: $65-70m
2/26/16: $75-80M
</t>
        </r>
        <r>
          <rPr>
            <sz val="9"/>
            <color indexed="81"/>
            <rFont val="Tahoma"/>
            <family val="2"/>
          </rPr>
          <t xml:space="preserve">
11/24/15: $80-90M probably a good starting point for now.
Fleet refreshes; RFID</t>
        </r>
      </text>
    </comment>
    <comment ref="AV18" authorId="15">
      <text>
        <r>
          <rPr>
            <b/>
            <sz val="9"/>
            <color indexed="81"/>
            <rFont val="Tahoma"/>
            <family val="2"/>
          </rPr>
          <t>Cassel, Lauren (Research):
11/21/17: now expect $45-50M
8/30/17: now expect $55-60M 
5/24/17: now expect $60-70M</t>
        </r>
        <r>
          <rPr>
            <sz val="9"/>
            <color indexed="81"/>
            <rFont val="Tahoma"/>
            <family val="2"/>
          </rPr>
          <t xml:space="preserve">
2/22/17: $70-80M; 10 new stores; In addition will continue to invest in existing stores and technology to advance our priorities to evolve the customer experience.</t>
        </r>
      </text>
    </comment>
    <comment ref="AX18" authorId="16">
      <text>
        <r>
          <rPr>
            <b/>
            <sz val="9"/>
            <color indexed="81"/>
            <rFont val="Tahoma"/>
            <family val="2"/>
          </rPr>
          <t>De Courreges, Edouard (Research):</t>
        </r>
        <r>
          <rPr>
            <sz val="9"/>
            <color indexed="81"/>
            <rFont val="Tahoma"/>
            <family val="2"/>
          </rPr>
          <t xml:space="preserve">
2/27/18: 70-80M guide for capex</t>
        </r>
      </text>
    </comment>
    <comment ref="AZ18" authorId="16">
      <text>
        <r>
          <rPr>
            <b/>
            <sz val="9"/>
            <color indexed="81"/>
            <rFont val="Tahoma"/>
            <family val="2"/>
          </rPr>
          <t>De Courreges, Edouard (Research):</t>
        </r>
        <r>
          <rPr>
            <sz val="9"/>
            <color indexed="81"/>
            <rFont val="Tahoma"/>
            <family val="2"/>
          </rPr>
          <t xml:space="preserve">
2/27/18: 70-80M is our normalized capex rate</t>
        </r>
      </text>
    </comment>
    <comment ref="BB18" authorId="16">
      <text>
        <r>
          <rPr>
            <b/>
            <sz val="9"/>
            <color indexed="81"/>
            <rFont val="Tahoma"/>
            <family val="2"/>
          </rPr>
          <t>De Courreges, Edouard (Research):</t>
        </r>
        <r>
          <rPr>
            <sz val="9"/>
            <color indexed="81"/>
            <rFont val="Tahoma"/>
            <family val="2"/>
          </rPr>
          <t xml:space="preserve">
2/27/18: 70-80M is our normalized capex rate</t>
        </r>
      </text>
    </comment>
    <comment ref="BD18" authorId="16">
      <text>
        <r>
          <rPr>
            <b/>
            <sz val="9"/>
            <color indexed="81"/>
            <rFont val="Tahoma"/>
            <family val="2"/>
          </rPr>
          <t>De Courreges, Edouard (Research):</t>
        </r>
        <r>
          <rPr>
            <sz val="9"/>
            <color indexed="81"/>
            <rFont val="Tahoma"/>
            <family val="2"/>
          </rPr>
          <t xml:space="preserve">
2/27/18: 70-80M is our normalized capex rate</t>
        </r>
      </text>
    </comment>
    <comment ref="BF18" authorId="16">
      <text>
        <r>
          <rPr>
            <b/>
            <sz val="9"/>
            <color indexed="81"/>
            <rFont val="Tahoma"/>
            <family val="2"/>
          </rPr>
          <t>De Courreges, Edouard (Research):</t>
        </r>
        <r>
          <rPr>
            <sz val="9"/>
            <color indexed="81"/>
            <rFont val="Tahoma"/>
            <family val="2"/>
          </rPr>
          <t xml:space="preserve">
2/27/18: 70-80M is our normalized capex rate</t>
        </r>
      </text>
    </comment>
    <comment ref="V19" authorId="9">
      <text>
        <r>
          <rPr>
            <b/>
            <sz val="8"/>
            <color indexed="81"/>
            <rFont val="Tahoma"/>
            <family val="2"/>
          </rPr>
          <t>Morry Brown:</t>
        </r>
        <r>
          <rPr>
            <sz val="8"/>
            <color indexed="81"/>
            <rFont val="Tahoma"/>
            <family val="2"/>
          </rPr>
          <t xml:space="preserve">
Franchise store acquisition</t>
        </r>
      </text>
    </comment>
    <comment ref="Z19" authorId="1">
      <text>
        <r>
          <rPr>
            <b/>
            <sz val="8"/>
            <color indexed="81"/>
            <rFont val="Tahoma"/>
            <family val="2"/>
          </rPr>
          <t>mm98285:</t>
        </r>
        <r>
          <rPr>
            <sz val="8"/>
            <color indexed="81"/>
            <rFont val="Tahoma"/>
            <family val="2"/>
          </rPr>
          <t xml:space="preserve">
4/07: purchase of Fitigues assets ($7.527) + acq. of franchise store ($0.811)</t>
        </r>
      </text>
    </comment>
    <comment ref="AR25" authorId="10">
      <text>
        <r>
          <rPr>
            <b/>
            <sz val="9"/>
            <color indexed="81"/>
            <rFont val="Tahoma"/>
            <family val="2"/>
          </rPr>
          <t>casselau:</t>
        </r>
        <r>
          <rPr>
            <sz val="9"/>
            <color indexed="81"/>
            <rFont val="Tahoma"/>
            <family val="2"/>
          </rPr>
          <t xml:space="preserve">
income tax receivable</t>
        </r>
      </text>
    </comment>
    <comment ref="R28" authorId="4">
      <text>
        <r>
          <rPr>
            <b/>
            <sz val="8"/>
            <color indexed="81"/>
            <rFont val="Tahoma"/>
            <family val="2"/>
          </rPr>
          <t>dliu:</t>
        </r>
        <r>
          <rPr>
            <sz val="8"/>
            <color indexed="81"/>
            <rFont val="Tahoma"/>
            <family val="2"/>
          </rPr>
          <t xml:space="preserve">
v.close B/S calc=9.614924</t>
        </r>
      </text>
    </comment>
    <comment ref="P38" authorId="0">
      <text>
        <r>
          <rPr>
            <b/>
            <sz val="8"/>
            <color indexed="81"/>
            <rFont val="Tahoma"/>
            <family val="2"/>
          </rPr>
          <t>dong2:</t>
        </r>
        <r>
          <rPr>
            <sz val="8"/>
            <color indexed="81"/>
            <rFont val="Tahoma"/>
            <family val="2"/>
          </rPr>
          <t xml:space="preserve">
8/9/01: co. est $2 mm per year. Strike price is 85% of stock price on first day of mo., assume $30 strike price and 125K options, less 38% tax benefit. Must change cell in row 13 if change this! 
From 2001 10-K: During the current year, eleven of the Company's current officers and one of its independent directors exercised 967,989 stock options (split adjusted for both splits in fiscal 2001) at prices ranging from $.722 to $8.5833 (split-adjusted for both splits in fiscal 2001) and several employees and former employees (including former officers) exercised 321,901 options at prices ranging from $.722 to $15.3067 (split adjusted for both splits in fiscal 2001). Also during this period, the Company sold 129,886 shares of common stock (split
adjusted for both splits in fiscal 2001) under its employee stock purchase plan at prices of $16.8533 and $14.7333 (split adjusted for both splits in fiscal 2001). The proceeds from these issuances of stock amounted to approximately $7.7 million.
</t>
        </r>
      </text>
    </comment>
    <comment ref="R38" authorId="0">
      <text>
        <r>
          <rPr>
            <b/>
            <sz val="8"/>
            <color indexed="81"/>
            <rFont val="Tahoma"/>
            <family val="2"/>
          </rPr>
          <t>dong2:</t>
        </r>
        <r>
          <rPr>
            <sz val="8"/>
            <color indexed="81"/>
            <rFont val="Tahoma"/>
            <family val="2"/>
          </rPr>
          <t xml:space="preserve">
8/9/01: co. est $2 mm per year. Strike price is 85% of stock price on first day of mo., assume $30 strike price and 125K options, less 38% tax benefit. Must change cell in row 13 if change this!
8/23/02: co indicated stock option exercises will be higher than previous yrs because Gralnicks have chosen to fund 10b5s with options rather than stock. Co does not expect to be as high as 01, but that also depends on stk price. assume 1.5mm options and $7 strike price, less 38% tax benefit.
co. guidance is 4-5 mm</t>
        </r>
      </text>
    </comment>
    <comment ref="T38" authorId="6">
      <text>
        <r>
          <rPr>
            <sz val="8"/>
            <color indexed="81"/>
            <rFont val="Tahoma"/>
            <family val="2"/>
          </rPr>
          <t>5/28/03: see cell R39 for calc</t>
        </r>
      </text>
    </comment>
    <comment ref="V38" authorId="9">
      <text>
        <r>
          <rPr>
            <b/>
            <sz val="8"/>
            <color indexed="81"/>
            <rFont val="Tahoma"/>
            <family val="2"/>
          </rPr>
          <t>Morry Brown:</t>
        </r>
        <r>
          <rPr>
            <sz val="8"/>
            <color indexed="81"/>
            <rFont val="Tahoma"/>
            <family val="2"/>
          </rPr>
          <t xml:space="preserve">
Issuance minus repurchase of common stock</t>
        </r>
      </text>
    </comment>
    <comment ref="Z38" authorId="7">
      <text>
        <r>
          <rPr>
            <b/>
            <sz val="8"/>
            <color indexed="81"/>
            <rFont val="Tahoma"/>
            <family val="2"/>
          </rPr>
          <t>MB33100:</t>
        </r>
        <r>
          <rPr>
            <sz val="8"/>
            <color indexed="81"/>
            <rFont val="Tahoma"/>
            <family val="2"/>
          </rPr>
          <t xml:space="preserve">
4/07: repo'd 3.08mm shares from March $100mm auth &amp; 3.59mm shares from May $100 auth for total of 6.67mm share repo in 2006 for $200mm plus 7.1K shares in 4Q of restricted stock
to account for YTD share repo… $31mm in 1Q and $100mm in 2Q.</t>
        </r>
      </text>
    </comment>
    <comment ref="AB38" authorId="1">
      <text>
        <r>
          <rPr>
            <b/>
            <sz val="8"/>
            <color indexed="81"/>
            <rFont val="Tahoma"/>
            <family val="2"/>
          </rPr>
          <t>mm98285:</t>
        </r>
        <r>
          <rPr>
            <sz val="8"/>
            <color indexed="81"/>
            <rFont val="Tahoma"/>
            <family val="2"/>
          </rPr>
          <t xml:space="preserve">
10K company repurchased an add'l 54.282 shares of restricted stock in connection with employee tax withholding obligations under employee comp plans, which are not purchases under any publicly announced plan</t>
        </r>
      </text>
    </comment>
    <comment ref="AH38" authorId="17">
      <text>
        <r>
          <rPr>
            <b/>
            <sz val="8"/>
            <color indexed="81"/>
            <rFont val="Tahoma"/>
            <family val="2"/>
          </rPr>
          <t>marchant:</t>
        </r>
        <r>
          <rPr>
            <sz val="8"/>
            <color indexed="81"/>
            <rFont val="Tahoma"/>
            <family val="2"/>
          </rPr>
          <t xml:space="preserve">
8/10: issued $200M share repurch plan through FY2012</t>
        </r>
      </text>
    </comment>
    <comment ref="AJ38" authorId="17">
      <text>
        <r>
          <rPr>
            <b/>
            <sz val="8"/>
            <color indexed="81"/>
            <rFont val="Tahoma"/>
            <family val="2"/>
          </rPr>
          <t>marchant:</t>
        </r>
        <r>
          <rPr>
            <sz val="8"/>
            <color indexed="81"/>
            <rFont val="Tahoma"/>
            <family val="2"/>
          </rPr>
          <t xml:space="preserve">
8/10: issued $200M share repurch plan through FY2012</t>
        </r>
      </text>
    </comment>
    <comment ref="AL38" authorId="18">
      <text>
        <r>
          <rPr>
            <b/>
            <sz val="8"/>
            <color indexed="81"/>
            <rFont val="Tahoma"/>
            <family val="2"/>
          </rPr>
          <t>P Kahng:</t>
        </r>
        <r>
          <rPr>
            <sz val="8"/>
            <color indexed="81"/>
            <rFont val="Tahoma"/>
            <family val="2"/>
          </rPr>
          <t xml:space="preserve">
7/5/12: prior est of $75M. Brought down to $65M from Todd Vogenson's comment that CHS maintains around $200M in cash balances for working cap</t>
        </r>
      </text>
    </comment>
    <comment ref="X39" authorId="7">
      <text>
        <r>
          <rPr>
            <b/>
            <sz val="8"/>
            <color indexed="81"/>
            <rFont val="Tahoma"/>
            <family val="2"/>
          </rPr>
          <t>MB33100:</t>
        </r>
        <r>
          <rPr>
            <sz val="8"/>
            <color indexed="81"/>
            <rFont val="Tahoma"/>
            <family val="2"/>
          </rPr>
          <t xml:space="preserve">
acquisition of equity investment</t>
        </r>
      </text>
    </comment>
    <comment ref="F50" authorId="0">
      <text>
        <r>
          <rPr>
            <b/>
            <sz val="8"/>
            <color indexed="81"/>
            <rFont val="Tahoma"/>
            <family val="2"/>
          </rPr>
          <t>dong2:</t>
        </r>
        <r>
          <rPr>
            <sz val="8"/>
            <color indexed="81"/>
            <rFont val="Tahoma"/>
            <family val="2"/>
          </rPr>
          <t xml:space="preserve">
This is different from end balance in 95 b/c the company changed its FY from December end to January end in 12/96. In the transition month 1/1/96-1/28/96, the company used $555,563 of its $1,099,029 cash balance to end the month with $544,366. It also purchased the $1.6 mm CD during this period</t>
        </r>
      </text>
    </comment>
    <comment ref="AP51" authorId="14">
      <text>
        <r>
          <rPr>
            <b/>
            <sz val="9"/>
            <color indexed="81"/>
            <rFont val="Tahoma"/>
            <family val="2"/>
          </rPr>
          <t>Mains, Spencer (Research):</t>
        </r>
        <r>
          <rPr>
            <sz val="9"/>
            <color indexed="81"/>
            <rFont val="Tahoma"/>
            <family val="2"/>
          </rPr>
          <t xml:space="preserve">
Includes .523M for effects of exchange rate changes on cash and equivalents</t>
        </r>
      </text>
    </comment>
    <comment ref="AR51" authorId="14">
      <text>
        <r>
          <rPr>
            <sz val="9"/>
            <color indexed="81"/>
            <rFont val="Tahoma"/>
            <family val="2"/>
          </rPr>
          <t>Includes -.501M for effects of exchange rate changes on cash and equivalents</t>
        </r>
      </text>
    </comment>
    <comment ref="AT51" authorId="15">
      <text>
        <r>
          <rPr>
            <b/>
            <sz val="9"/>
            <color indexed="81"/>
            <rFont val="Tahoma"/>
            <family val="2"/>
          </rPr>
          <t>Cassel, Lauren (Research):</t>
        </r>
        <r>
          <rPr>
            <sz val="9"/>
            <color indexed="81"/>
            <rFont val="Tahoma"/>
            <family val="2"/>
          </rPr>
          <t xml:space="preserve">
Includes -.029M for effects of exchange rate changes on cash and equivalents</t>
        </r>
      </text>
    </comment>
    <comment ref="AV51" authorId="16">
      <text>
        <r>
          <rPr>
            <b/>
            <sz val="9"/>
            <color indexed="81"/>
            <rFont val="Tahoma"/>
            <family val="2"/>
          </rPr>
          <t>De Courreges, Edouard (Research):</t>
        </r>
        <r>
          <rPr>
            <sz val="9"/>
            <color indexed="81"/>
            <rFont val="Tahoma"/>
            <family val="2"/>
          </rPr>
          <t xml:space="preserve">
Includes +.119M for effects of exchange rate changes on cash and equivalents</t>
        </r>
      </text>
    </comment>
    <comment ref="V52" authorId="9">
      <text>
        <r>
          <rPr>
            <b/>
            <sz val="8"/>
            <color indexed="81"/>
            <rFont val="Tahoma"/>
            <family val="2"/>
          </rPr>
          <t>Morry Brown:</t>
        </r>
        <r>
          <rPr>
            <sz val="8"/>
            <color indexed="81"/>
            <rFont val="Tahoma"/>
            <family val="2"/>
          </rPr>
          <t xml:space="preserve">
Error appear to be coming from extra decimals from 2002 and prior… cash off by .000105</t>
        </r>
      </text>
    </comment>
  </commentList>
</comments>
</file>

<file path=xl/comments10.xml><?xml version="1.0" encoding="utf-8"?>
<comments xmlns="http://schemas.openxmlformats.org/spreadsheetml/2006/main">
  <authors>
    <author>kgreenbe</author>
    <author>Kimberly Greenberger</author>
    <author>Morry Brown</author>
    <author>MB33100</author>
    <author>oc48540</author>
    <author>mm98285</author>
    <author>TI23070</author>
    <author>lauraro</author>
    <author>Margaret Marchant</author>
    <author>sancfa</author>
    <author>casselau</author>
    <author>Cassel, Lauren (Research)</author>
  </authors>
  <commentList>
    <comment ref="X60" authorId="0">
      <text>
        <r>
          <rPr>
            <b/>
            <sz val="8"/>
            <color indexed="81"/>
            <rFont val="Tahoma"/>
            <family val="2"/>
          </rPr>
          <t>kgreenbe:</t>
        </r>
        <r>
          <rPr>
            <sz val="8"/>
            <color indexed="81"/>
            <rFont val="Tahoma"/>
            <family val="2"/>
          </rPr>
          <t xml:space="preserve">
co. forecasts based on per store basis
(up Aug Sept Oct) </t>
        </r>
      </text>
    </comment>
    <comment ref="AB76" authorId="0">
      <text>
        <r>
          <rPr>
            <b/>
            <sz val="10"/>
            <color indexed="81"/>
            <rFont val="Tahoma"/>
            <family val="2"/>
          </rPr>
          <t>kgreenbe:</t>
        </r>
        <r>
          <rPr>
            <sz val="10"/>
            <color indexed="81"/>
            <rFont val="Tahoma"/>
            <family val="2"/>
          </rPr>
          <t xml:space="preserve">
8/4/03 had 1.045m before WHBM acquisition announced.
131K was WHBM</t>
        </r>
      </text>
    </comment>
    <comment ref="AB77" authorId="0">
      <text>
        <r>
          <rPr>
            <b/>
            <sz val="10"/>
            <color indexed="81"/>
            <rFont val="Tahoma"/>
            <family val="2"/>
          </rPr>
          <t>kgreenbe:</t>
        </r>
        <r>
          <rPr>
            <sz val="10"/>
            <color indexed="81"/>
            <rFont val="Tahoma"/>
            <family val="2"/>
          </rPr>
          <t xml:space="preserve">
8/4/03 had 1.087m before WHBM acquisition announced.</t>
        </r>
      </text>
    </comment>
    <comment ref="AF82" authorId="1">
      <text>
        <r>
          <rPr>
            <b/>
            <sz val="8"/>
            <color indexed="81"/>
            <rFont val="Tahoma"/>
            <family val="2"/>
          </rPr>
          <t>Kimberly Greenberger:</t>
        </r>
        <r>
          <rPr>
            <sz val="8"/>
            <color indexed="81"/>
            <rFont val="Tahoma"/>
            <family val="2"/>
          </rPr>
          <t xml:space="preserve">
8/04: per Charlie, s/b relatively flattish for 2Q04 and rest of the year.</t>
        </r>
      </text>
    </comment>
    <comment ref="AF83" authorId="1">
      <text>
        <r>
          <rPr>
            <b/>
            <sz val="8"/>
            <color indexed="81"/>
            <rFont val="Tahoma"/>
            <family val="2"/>
          </rPr>
          <t>Kimberly Greenberger:</t>
        </r>
        <r>
          <rPr>
            <sz val="8"/>
            <color indexed="81"/>
            <rFont val="Tahoma"/>
            <family val="2"/>
          </rPr>
          <t xml:space="preserve">
8/04: per Charlie, s/b relatively flattish for 2Q04 and rest of the year.
9/2 Per charlie, inventory light, down low to MSD end of 3Q
11/4 Per charlie, flat to down slightly</t>
        </r>
      </text>
    </comment>
    <comment ref="AF84" authorId="1">
      <text>
        <r>
          <rPr>
            <b/>
            <sz val="8"/>
            <color indexed="81"/>
            <rFont val="Tahoma"/>
            <family val="2"/>
          </rPr>
          <t>Kimberly Greenberger:</t>
        </r>
        <r>
          <rPr>
            <sz val="8"/>
            <color indexed="81"/>
            <rFont val="Tahoma"/>
            <family val="2"/>
          </rPr>
          <t xml:space="preserve">
8/04: per Charlie, s/b relatively flattish for 2Q04 and rest of the year.</t>
        </r>
      </text>
    </comment>
    <comment ref="AF88" authorId="2">
      <text>
        <r>
          <rPr>
            <b/>
            <sz val="8"/>
            <color indexed="81"/>
            <rFont val="Tahoma"/>
            <family val="2"/>
          </rPr>
          <t>Morry Brown:</t>
        </r>
        <r>
          <rPr>
            <sz val="8"/>
            <color indexed="81"/>
            <rFont val="Tahoma"/>
            <family val="2"/>
          </rPr>
          <t xml:space="preserve">
Per call following April sales, said flattish at 1Q end</t>
        </r>
      </text>
    </comment>
    <comment ref="AF90" authorId="2">
      <text>
        <r>
          <rPr>
            <b/>
            <sz val="8"/>
            <color indexed="81"/>
            <rFont val="Tahoma"/>
            <family val="2"/>
          </rPr>
          <t>Morry Brown:</t>
        </r>
        <r>
          <rPr>
            <sz val="8"/>
            <color indexed="81"/>
            <rFont val="Tahoma"/>
            <family val="2"/>
          </rPr>
          <t xml:space="preserve">
guided to flat to slightly up on october sales call</t>
        </r>
      </text>
    </comment>
    <comment ref="AD91" authorId="1">
      <text>
        <r>
          <rPr>
            <b/>
            <sz val="8"/>
            <color indexed="81"/>
            <rFont val="Tahoma"/>
            <family val="2"/>
          </rPr>
          <t>Kimberly Greenberger:</t>
        </r>
        <r>
          <rPr>
            <sz val="8"/>
            <color indexed="81"/>
            <rFont val="Tahoma"/>
            <family val="2"/>
          </rPr>
          <t xml:space="preserve">
11/29/05 mgmt guided to mid $60's (my est $66) per SELLING sq ft for end of 4Q05. This translates to $53 per GROSS sq ft. </t>
        </r>
      </text>
    </comment>
    <comment ref="AF95" authorId="3">
      <text>
        <r>
          <rPr>
            <b/>
            <sz val="8"/>
            <color indexed="81"/>
            <rFont val="Tahoma"/>
            <family val="2"/>
          </rPr>
          <t>MB33100:</t>
        </r>
        <r>
          <rPr>
            <sz val="8"/>
            <color indexed="81"/>
            <rFont val="Tahoma"/>
            <family val="2"/>
          </rPr>
          <t xml:space="preserve">
3/06 company guided to flattish eo1Q on Feb sales call</t>
        </r>
      </text>
    </comment>
    <comment ref="AF97" authorId="3">
      <text>
        <r>
          <rPr>
            <b/>
            <sz val="8"/>
            <color indexed="81"/>
            <rFont val="Tahoma"/>
            <family val="2"/>
          </rPr>
          <t>MB33100:</t>
        </r>
        <r>
          <rPr>
            <sz val="8"/>
            <color indexed="81"/>
            <rFont val="Tahoma"/>
            <family val="2"/>
          </rPr>
          <t xml:space="preserve">
-10% est</t>
        </r>
      </text>
    </comment>
    <comment ref="AF102" authorId="4">
      <text>
        <r>
          <rPr>
            <b/>
            <sz val="8"/>
            <color indexed="81"/>
            <rFont val="Tahoma"/>
            <family val="2"/>
          </rPr>
          <t>mm98285:</t>
        </r>
        <r>
          <rPr>
            <sz val="8"/>
            <color indexed="81"/>
            <rFont val="Tahoma"/>
            <family val="2"/>
          </rPr>
          <t xml:space="preserve">
3/07: -slightly throughout 2007</t>
        </r>
      </text>
    </comment>
    <comment ref="AF103" authorId="5">
      <text>
        <r>
          <rPr>
            <b/>
            <sz val="8"/>
            <color indexed="81"/>
            <rFont val="Tahoma"/>
            <family val="2"/>
          </rPr>
          <t xml:space="preserve">PW:
</t>
        </r>
        <r>
          <rPr>
            <sz val="8"/>
            <color indexed="81"/>
            <rFont val="Tahoma"/>
            <family val="2"/>
          </rPr>
          <t>no update to -HSD at end of 2Q</t>
        </r>
        <r>
          <rPr>
            <b/>
            <sz val="8"/>
            <color indexed="81"/>
            <rFont val="Tahoma"/>
            <family val="2"/>
          </rPr>
          <t xml:space="preserve">
mm98285:</t>
        </r>
        <r>
          <rPr>
            <sz val="8"/>
            <color indexed="81"/>
            <rFont val="Tahoma"/>
            <family val="2"/>
          </rPr>
          <t xml:space="preserve">
6/07: expect -HSD</t>
        </r>
      </text>
    </comment>
    <comment ref="AF104" authorId="5">
      <text>
        <r>
          <rPr>
            <b/>
            <sz val="8"/>
            <color indexed="81"/>
            <rFont val="Tahoma"/>
            <family val="2"/>
          </rPr>
          <t>mm98285:</t>
        </r>
        <r>
          <rPr>
            <sz val="8"/>
            <color indexed="81"/>
            <rFont val="Tahoma"/>
            <family val="2"/>
          </rPr>
          <t xml:space="preserve">
9/07 est. down HSD
8/07: down below plan at eo 2Q, expect to be back to planned levels at eo Aug.
-expect to be down throughout 2007
</t>
        </r>
      </text>
    </comment>
    <comment ref="AF105" authorId="5">
      <text>
        <r>
          <rPr>
            <b/>
            <sz val="8"/>
            <color indexed="81"/>
            <rFont val="Tahoma"/>
            <family val="2"/>
          </rPr>
          <t>mm98285:</t>
        </r>
        <r>
          <rPr>
            <sz val="8"/>
            <color indexed="81"/>
            <rFont val="Tahoma"/>
            <family val="2"/>
          </rPr>
          <t xml:space="preserve">
12/07: intend to end season with clean inventory levels
10/07: expect to be up slightly at end of year
8/07: expect to be down throughout 2007</t>
        </r>
      </text>
    </comment>
    <comment ref="AF109" authorId="5">
      <text>
        <r>
          <rPr>
            <b/>
            <sz val="8"/>
            <color indexed="81"/>
            <rFont val="Tahoma"/>
            <family val="2"/>
          </rPr>
          <t>mm98285:</t>
        </r>
        <r>
          <rPr>
            <sz val="8"/>
            <color indexed="81"/>
            <rFont val="Tahoma"/>
            <family val="2"/>
          </rPr>
          <t xml:space="preserve">
2/08: expected up psf </t>
        </r>
      </text>
    </comment>
    <comment ref="AF110" authorId="5">
      <text>
        <r>
          <rPr>
            <b/>
            <sz val="8"/>
            <color indexed="81"/>
            <rFont val="Tahoma"/>
            <family val="2"/>
          </rPr>
          <t>mm98285:</t>
        </r>
        <r>
          <rPr>
            <sz val="8"/>
            <color indexed="81"/>
            <rFont val="Tahoma"/>
            <family val="2"/>
          </rPr>
          <t xml:space="preserve">
7/08: Expect down -10-11%
5/08: expect inv. down further throughout 2008 than 1Q decline of -4%
4/08: expect inv. down 6-7%
2/08: expect flat to -slightly (could be -L-MSD if co. is able to reject some buys based on unacceptable quality levels or shipping delays). </t>
        </r>
      </text>
    </comment>
    <comment ref="AF111" authorId="6">
      <text>
        <r>
          <rPr>
            <b/>
            <sz val="8"/>
            <color indexed="81"/>
            <rFont val="Tahoma"/>
            <family val="2"/>
          </rPr>
          <t>TI23070:</t>
        </r>
        <r>
          <rPr>
            <sz val="8"/>
            <color indexed="81"/>
            <rFont val="Tahoma"/>
            <family val="2"/>
          </rPr>
          <t xml:space="preserve">
11/08: Chico’s brand -~9% psf
10/08: Chicos -Lteen, WHBM up at end of Sept
9/08: Goal keep inv ~=sales (should be down psf)</t>
        </r>
      </text>
    </comment>
    <comment ref="AF112" authorId="5">
      <text>
        <r>
          <rPr>
            <b/>
            <sz val="8"/>
            <color indexed="81"/>
            <rFont val="Tahoma"/>
            <family val="2"/>
          </rPr>
          <t>mm98285:</t>
        </r>
        <r>
          <rPr>
            <sz val="8"/>
            <color indexed="81"/>
            <rFont val="Tahoma"/>
            <family val="2"/>
          </rPr>
          <t xml:space="preserve">
2/09: Chs below (10)-(15)% ex. in transit; WHIBM -MSD
1/09: down 9-10% for EOY; whbm -MSD
12/8: No update to down 9-10% for EOY; WHBM -MSD
11/08: Chs brand inventory planned down 9-10% and WH|BM - MSDs </t>
        </r>
      </text>
    </comment>
    <comment ref="AF116" authorId="5">
      <text>
        <r>
          <rPr>
            <b/>
            <sz val="8"/>
            <color indexed="81"/>
            <rFont val="Tahoma"/>
            <family val="2"/>
          </rPr>
          <t>mm98285:</t>
        </r>
        <r>
          <rPr>
            <sz val="8"/>
            <color indexed="81"/>
            <rFont val="Tahoma"/>
            <family val="2"/>
          </rPr>
          <t xml:space="preserve">
3/09: expect inv. psf  -L-Mteens inline with comp expectations</t>
        </r>
      </text>
    </comment>
    <comment ref="AF117" authorId="6">
      <text>
        <r>
          <rPr>
            <b/>
            <sz val="8"/>
            <color indexed="81"/>
            <rFont val="Tahoma"/>
            <family val="2"/>
          </rPr>
          <t>TI23070:</t>
        </r>
        <r>
          <rPr>
            <sz val="8"/>
            <color indexed="81"/>
            <rFont val="Tahoma"/>
            <family val="2"/>
          </rPr>
          <t xml:space="preserve">
8/09: WHIBM -18% psf; Chs -5% (incl. impact of $5.0M incremental in-transit inventory)
in store inventory  (ex transit) down at both brands</t>
        </r>
      </text>
    </comment>
    <comment ref="AD118" authorId="7">
      <text>
        <r>
          <rPr>
            <b/>
            <sz val="8"/>
            <color indexed="81"/>
            <rFont val="Tahoma"/>
            <family val="2"/>
          </rPr>
          <t>lauraro:</t>
        </r>
        <r>
          <rPr>
            <sz val="8"/>
            <color indexed="81"/>
            <rFont val="Tahoma"/>
            <family val="2"/>
          </rPr>
          <t xml:space="preserve">
~$61/SELLING sq ft</t>
        </r>
      </text>
    </comment>
    <comment ref="AF118" authorId="5">
      <text>
        <r>
          <rPr>
            <b/>
            <sz val="8"/>
            <color indexed="81"/>
            <rFont val="Tahoma"/>
            <family val="2"/>
          </rPr>
          <t>mm98285:</t>
        </r>
        <r>
          <rPr>
            <sz val="8"/>
            <color indexed="81"/>
            <rFont val="Tahoma"/>
            <family val="2"/>
          </rPr>
          <t xml:space="preserve">
8/09: expect down </t>
        </r>
      </text>
    </comment>
    <comment ref="AF119" authorId="5">
      <text>
        <r>
          <rPr>
            <sz val="8"/>
            <color indexed="81"/>
            <rFont val="Tahoma"/>
            <family val="2"/>
          </rPr>
          <t xml:space="preserve">11/18: We believe inventory levels may be down at the end of 4Q but less than the –low double digit to mid teens range experienced in 1-3Q09; we estimate inventories could decline ~-8%
8/09: expect down </t>
        </r>
      </text>
    </comment>
    <comment ref="AF124" authorId="8">
      <text>
        <r>
          <rPr>
            <b/>
            <sz val="8"/>
            <color indexed="81"/>
            <rFont val="Tahoma"/>
            <family val="2"/>
          </rPr>
          <t>Margaret Marchant:</t>
        </r>
        <r>
          <rPr>
            <sz val="8"/>
            <color indexed="81"/>
            <rFont val="Tahoma"/>
            <family val="2"/>
          </rPr>
          <t xml:space="preserve">
8/10: excl. $6.8M of in-transit inventory &amp; inventory dedicated to 18 net new stores scheduled to open in 3Q inventory per selling sq ft +1.4%</t>
        </r>
      </text>
    </comment>
    <comment ref="AD125" authorId="7">
      <text>
        <r>
          <rPr>
            <b/>
            <sz val="8"/>
            <color indexed="81"/>
            <rFont val="Tahoma"/>
            <family val="2"/>
          </rPr>
          <t>lauraro:</t>
        </r>
        <r>
          <rPr>
            <sz val="8"/>
            <color indexed="81"/>
            <rFont val="Tahoma"/>
            <family val="2"/>
          </rPr>
          <t xml:space="preserve">
~$65/SELLING sq. ft.</t>
        </r>
      </text>
    </comment>
    <comment ref="AF125" authorId="7">
      <text>
        <r>
          <rPr>
            <b/>
            <sz val="8"/>
            <color indexed="81"/>
            <rFont val="Tahoma"/>
            <family val="2"/>
          </rPr>
          <t>lauraro:</t>
        </r>
        <r>
          <rPr>
            <sz val="8"/>
            <color indexed="81"/>
            <rFont val="Tahoma"/>
            <family val="2"/>
          </rPr>
          <t xml:space="preserve">
Excluding inventory purchased for new stores scheduled to open in the fourth quarter, inventories are up 4.5% per SELLING square foot at cost.
End of quarter inventory for the White House | Black Market brand increased approximately 10.5% per SELLING square foot versus down 21.7% per square foot last year when we undoubtedly missed some sales. Chico's brand inventory decreased 1.2% quarter over quarter.</t>
        </r>
      </text>
    </comment>
    <comment ref="AF130" authorId="9">
      <text>
        <r>
          <rPr>
            <b/>
            <sz val="8"/>
            <color indexed="81"/>
            <rFont val="Tahoma"/>
            <family val="2"/>
          </rPr>
          <t>sancfa:</t>
        </r>
        <r>
          <rPr>
            <sz val="8"/>
            <color indexed="81"/>
            <rFont val="Tahoma"/>
            <family val="2"/>
          </rPr>
          <t xml:space="preserve">
Inventory per selling square foot was $66 versus $60 in the prior period, an increase of 9.5% compared LY.</t>
        </r>
      </text>
    </comment>
    <comment ref="L132" authorId="7">
      <text>
        <r>
          <rPr>
            <b/>
            <sz val="8"/>
            <color indexed="81"/>
            <rFont val="Tahoma"/>
            <family val="2"/>
          </rPr>
          <t>lauraro:</t>
        </r>
        <r>
          <rPr>
            <sz val="8"/>
            <color indexed="81"/>
            <rFont val="Tahoma"/>
            <family val="2"/>
          </rPr>
          <t xml:space="preserve">
+9% ex BP</t>
        </r>
      </text>
    </comment>
    <comment ref="N132" authorId="7">
      <text>
        <r>
          <rPr>
            <b/>
            <sz val="8"/>
            <color indexed="81"/>
            <rFont val="Tahoma"/>
            <family val="2"/>
          </rPr>
          <t>lauraro:</t>
        </r>
        <r>
          <rPr>
            <sz val="8"/>
            <color indexed="81"/>
            <rFont val="Tahoma"/>
            <family val="2"/>
          </rPr>
          <t xml:space="preserve">
+29% ex BP</t>
        </r>
      </text>
    </comment>
    <comment ref="L133" authorId="7">
      <text>
        <r>
          <rPr>
            <b/>
            <sz val="8"/>
            <color indexed="81"/>
            <rFont val="Tahoma"/>
            <family val="2"/>
          </rPr>
          <t>lauraro:</t>
        </r>
        <r>
          <rPr>
            <sz val="8"/>
            <color indexed="81"/>
            <rFont val="Tahoma"/>
            <family val="2"/>
          </rPr>
          <t xml:space="preserve">
+14% ex BP</t>
        </r>
      </text>
    </comment>
    <comment ref="N133" authorId="7">
      <text>
        <r>
          <rPr>
            <b/>
            <sz val="8"/>
            <color indexed="81"/>
            <rFont val="Tahoma"/>
            <family val="2"/>
          </rPr>
          <t>lauraro:</t>
        </r>
        <r>
          <rPr>
            <sz val="8"/>
            <color indexed="81"/>
            <rFont val="Tahoma"/>
            <family val="2"/>
          </rPr>
          <t xml:space="preserve">
+12.3% ex BP</t>
        </r>
      </text>
    </comment>
    <comment ref="AF133" authorId="7">
      <text>
        <r>
          <rPr>
            <b/>
            <sz val="8"/>
            <color indexed="81"/>
            <rFont val="Tahoma"/>
            <family val="2"/>
          </rPr>
          <t>lauraro:</t>
        </r>
        <r>
          <rPr>
            <sz val="8"/>
            <color indexed="81"/>
            <rFont val="Tahoma"/>
            <family val="2"/>
          </rPr>
          <t xml:space="preserve">
Expect to have inventories in line by end of 4Q
We expect year-end inventories ~15% higher vs. LY, which assumes an 8% increase in store count. Note, this excludes Boston Proper inventories, which will be incremental.</t>
        </r>
      </text>
    </comment>
    <comment ref="H137" authorId="7">
      <text>
        <r>
          <rPr>
            <b/>
            <sz val="8"/>
            <color indexed="81"/>
            <rFont val="Tahoma"/>
            <family val="2"/>
          </rPr>
          <t>lauraro:</t>
        </r>
        <r>
          <rPr>
            <sz val="8"/>
            <color indexed="81"/>
            <rFont val="Tahoma"/>
            <family val="2"/>
          </rPr>
          <t xml:space="preserve">
inventories in line with sales growth for the full year with first quarter inventories excluding Boston Proper ending up approximately 15% to last year
Assume $15M BP inventory</t>
        </r>
      </text>
    </comment>
    <comment ref="AF137" authorId="7">
      <text>
        <r>
          <rPr>
            <b/>
            <sz val="8"/>
            <color indexed="81"/>
            <rFont val="Tahoma"/>
            <family val="2"/>
          </rPr>
          <t>lauraro:</t>
        </r>
        <r>
          <rPr>
            <sz val="8"/>
            <color indexed="81"/>
            <rFont val="Tahoma"/>
            <family val="2"/>
          </rPr>
          <t xml:space="preserve">
inventories in line with sales growth for the full year with first quarter inventories excluding Boston Proper ending up approximately 15% to last year
7% ex BP (assume $15M)</t>
        </r>
      </text>
    </comment>
    <comment ref="AF139" authorId="10">
      <text>
        <r>
          <rPr>
            <b/>
            <sz val="8"/>
            <color indexed="81"/>
            <rFont val="Tahoma"/>
            <family val="2"/>
          </rPr>
          <t>casselau:</t>
        </r>
        <r>
          <rPr>
            <sz val="8"/>
            <color indexed="81"/>
            <rFont val="Tahoma"/>
            <family val="2"/>
          </rPr>
          <t xml:space="preserve">
11/20: casselau:
11/20: in-store inventories per square foot decreased 15% compared to a 17% increase last year, reflecting improved
inventory productivity to last year</t>
        </r>
      </text>
    </comment>
    <comment ref="N140" authorId="7">
      <text>
        <r>
          <rPr>
            <b/>
            <sz val="8"/>
            <color indexed="81"/>
            <rFont val="Tahoma"/>
            <family val="2"/>
          </rPr>
          <t>lauraro:</t>
        </r>
        <r>
          <rPr>
            <sz val="8"/>
            <color indexed="81"/>
            <rFont val="Tahoma"/>
            <family val="2"/>
          </rPr>
          <t xml:space="preserve">
</t>
        </r>
        <r>
          <rPr>
            <b/>
            <sz val="8"/>
            <color indexed="81"/>
            <rFont val="Tahoma"/>
            <family val="2"/>
          </rPr>
          <t xml:space="preserve">5/16/12: </t>
        </r>
        <r>
          <rPr>
            <sz val="8"/>
            <color indexed="81"/>
            <rFont val="Tahoma"/>
            <family val="2"/>
          </rPr>
          <t>Inventory +15%, in line with sales growth</t>
        </r>
      </text>
    </comment>
    <comment ref="AF140" authorId="7">
      <text>
        <r>
          <rPr>
            <b/>
            <sz val="8"/>
            <color indexed="81"/>
            <rFont val="Tahoma"/>
            <family val="2"/>
          </rPr>
          <t xml:space="preserve">8/22/12: </t>
        </r>
        <r>
          <rPr>
            <sz val="8"/>
            <color indexed="81"/>
            <rFont val="Tahoma"/>
            <family val="2"/>
          </rPr>
          <t>reit in line with sales growth; full year +15% y/y</t>
        </r>
        <r>
          <rPr>
            <b/>
            <sz val="8"/>
            <color indexed="81"/>
            <rFont val="Tahoma"/>
            <family val="2"/>
          </rPr>
          <t xml:space="preserve">
lauraro:</t>
        </r>
        <r>
          <rPr>
            <sz val="8"/>
            <color indexed="81"/>
            <rFont val="Tahoma"/>
            <family val="2"/>
          </rPr>
          <t xml:space="preserve">
</t>
        </r>
        <r>
          <rPr>
            <b/>
            <sz val="8"/>
            <color indexed="81"/>
            <rFont val="Tahoma"/>
            <family val="2"/>
          </rPr>
          <t xml:space="preserve">5/16/12: </t>
        </r>
        <r>
          <rPr>
            <sz val="8"/>
            <color indexed="81"/>
            <rFont val="Tahoma"/>
            <family val="2"/>
          </rPr>
          <t>Inventories in line with sales growth</t>
        </r>
      </text>
    </comment>
    <comment ref="AF151" authorId="10">
      <text>
        <r>
          <rPr>
            <b/>
            <sz val="9"/>
            <color indexed="81"/>
            <rFont val="Tahoma"/>
            <family val="2"/>
          </rPr>
          <t>casselau:</t>
        </r>
        <r>
          <rPr>
            <sz val="9"/>
            <color indexed="81"/>
            <rFont val="Tahoma"/>
            <family val="2"/>
          </rPr>
          <t xml:space="preserve">
per sq ft +4.9%, primarily reflects higher AUC</t>
        </r>
      </text>
    </comment>
    <comment ref="AF152" authorId="10">
      <text>
        <r>
          <rPr>
            <b/>
            <sz val="9"/>
            <color indexed="81"/>
            <rFont val="Tahoma"/>
            <family val="2"/>
          </rPr>
          <t>casselau:</t>
        </r>
        <r>
          <rPr>
            <sz val="9"/>
            <color indexed="81"/>
            <rFont val="Tahoma"/>
            <family val="2"/>
          </rPr>
          <t xml:space="preserve">
8/27/14: total inv. per selling sqft +2.5%, excluding in-transit inventories</t>
        </r>
      </text>
    </comment>
    <comment ref="AF153" authorId="10">
      <text>
        <r>
          <rPr>
            <b/>
            <sz val="9"/>
            <color indexed="81"/>
            <rFont val="Tahoma"/>
            <family val="2"/>
          </rPr>
          <t>casselau:</t>
        </r>
        <r>
          <rPr>
            <sz val="9"/>
            <color indexed="81"/>
            <rFont val="Tahoma"/>
            <family val="2"/>
          </rPr>
          <t xml:space="preserve">
11/25/14: total inv per selling sqft +1.6%, excluding in-transit inventories. In-transit inv increased by $10M, primarily reflecting in increase in the length of transit times for ocean shopments as well as delays at West Coast ports</t>
        </r>
      </text>
    </comment>
    <comment ref="AF154" authorId="10">
      <text>
        <r>
          <rPr>
            <b/>
            <sz val="9"/>
            <color indexed="81"/>
            <rFont val="Tahoma"/>
            <family val="2"/>
          </rPr>
          <t xml:space="preserve">casselau:
2/26/15: </t>
        </r>
        <r>
          <rPr>
            <sz val="9"/>
            <color indexed="81"/>
            <rFont val="Tahoma"/>
            <family val="2"/>
          </rPr>
          <t>total inventory per selling sqft -5.7%, primarily reflecting higher sales volume, more conservative receipt planning and a favorable shift in the timing of the Chinese New Year
11/25/14: on target for inventory growth in line with sales growth by the end of the year</t>
        </r>
      </text>
    </comment>
    <comment ref="AF158" authorId="10">
      <text>
        <r>
          <rPr>
            <b/>
            <sz val="9"/>
            <color indexed="81"/>
            <rFont val="Tahoma"/>
            <family val="2"/>
          </rPr>
          <t>5/27/15:</t>
        </r>
        <r>
          <rPr>
            <sz val="9"/>
            <color indexed="81"/>
            <rFont val="Tahoma"/>
            <family val="2"/>
          </rPr>
          <t xml:space="preserve"> 5/27/15: ex in-transit, would have been down closer to -6%</t>
        </r>
        <r>
          <rPr>
            <b/>
            <sz val="9"/>
            <color indexed="81"/>
            <rFont val="Tahoma"/>
            <family val="2"/>
          </rPr>
          <t xml:space="preserve">
casselau:</t>
        </r>
        <r>
          <rPr>
            <sz val="9"/>
            <color indexed="81"/>
            <rFont val="Tahoma"/>
            <family val="2"/>
          </rPr>
          <t xml:space="preserve">
2/26/15: receipt dollars planned down vs. LY</t>
        </r>
      </text>
    </comment>
    <comment ref="AF159" authorId="10">
      <text>
        <r>
          <rPr>
            <b/>
            <sz val="9"/>
            <color indexed="81"/>
            <rFont val="Tahoma"/>
            <family val="2"/>
          </rPr>
          <t>casselau:</t>
        </r>
        <r>
          <rPr>
            <sz val="9"/>
            <color indexed="81"/>
            <rFont val="Tahoma"/>
            <family val="2"/>
          </rPr>
          <t xml:space="preserve">
8/26/15: inventories per selling sqft decreased -5.7% when excluding in-transit inventories, primarily reflecting improved inventory mgmt and lower AUC y/y; in-transit inventories +$20.3M y/y, primarily reflecting longer in-transit times and accelerated shipping dates to facilitate timely merchandise receipts</t>
        </r>
      </text>
    </comment>
    <comment ref="AF161" authorId="10">
      <text>
        <r>
          <rPr>
            <b/>
            <sz val="9"/>
            <color indexed="81"/>
            <rFont val="Tahoma"/>
            <family val="2"/>
          </rPr>
          <t>casselau:</t>
        </r>
        <r>
          <rPr>
            <sz val="9"/>
            <color indexed="81"/>
            <rFont val="Tahoma"/>
            <family val="2"/>
          </rPr>
          <t xml:space="preserve">
11/24/15: flat to slightly down</t>
        </r>
      </text>
    </comment>
    <comment ref="AF165" authorId="10">
      <text>
        <r>
          <rPr>
            <b/>
            <sz val="9"/>
            <color indexed="81"/>
            <rFont val="Tahoma"/>
            <family val="2"/>
          </rPr>
          <t>casselau:</t>
        </r>
        <r>
          <rPr>
            <sz val="9"/>
            <color indexed="81"/>
            <rFont val="Tahoma"/>
            <family val="2"/>
          </rPr>
          <t xml:space="preserve">
2/26/16: Total inventory, excluding the impact of in-transit inventory, is expected to remain consistent with 2015 levels.</t>
        </r>
      </text>
    </comment>
    <comment ref="AF167" authorId="11">
      <text>
        <r>
          <rPr>
            <b/>
            <sz val="9"/>
            <color indexed="81"/>
            <rFont val="Tahoma"/>
            <family val="2"/>
          </rPr>
          <t>Cassel, Lauren (Research):</t>
        </r>
        <r>
          <rPr>
            <sz val="9"/>
            <color indexed="81"/>
            <rFont val="Tahoma"/>
            <family val="2"/>
          </rPr>
          <t xml:space="preserve">
8/30/16: Total inventory is expected to be in line with 2015 levels.</t>
        </r>
      </text>
    </comment>
    <comment ref="AF168" authorId="10">
      <text>
        <r>
          <rPr>
            <b/>
            <sz val="9"/>
            <color indexed="81"/>
            <rFont val="Tahoma"/>
            <family val="2"/>
          </rPr>
          <t xml:space="preserve">casselau:
11/22/16: Fourth quarter total inventory is planned to be lower than last year.
</t>
        </r>
        <r>
          <rPr>
            <sz val="9"/>
            <color indexed="81"/>
            <rFont val="Tahoma"/>
            <family val="2"/>
          </rPr>
          <t xml:space="preserve">
2/26/16: Total inventory, excluding the impact of in-transit inventory, is expected to remain consistent with 2015 levels.</t>
        </r>
      </text>
    </comment>
    <comment ref="AF172" authorId="11">
      <text>
        <r>
          <rPr>
            <b/>
            <sz val="9"/>
            <color indexed="81"/>
            <rFont val="Tahoma"/>
            <family val="2"/>
          </rPr>
          <t>Cassel, Lauren (Research):</t>
        </r>
        <r>
          <rPr>
            <sz val="9"/>
            <color indexed="81"/>
            <rFont val="Tahoma"/>
            <family val="2"/>
          </rPr>
          <t xml:space="preserve">
2/22/17: expect inventories down to LY</t>
        </r>
      </text>
    </comment>
    <comment ref="AF173" authorId="11">
      <text>
        <r>
          <rPr>
            <b/>
            <sz val="9"/>
            <color indexed="81"/>
            <rFont val="Tahoma"/>
            <family val="2"/>
          </rPr>
          <t>Cassel, Lauren (Research):</t>
        </r>
        <r>
          <rPr>
            <sz val="9"/>
            <color indexed="81"/>
            <rFont val="Tahoma"/>
            <family val="2"/>
          </rPr>
          <t xml:space="preserve">
2/22/17: expect inventories down to LY</t>
        </r>
      </text>
    </comment>
    <comment ref="AF174" authorId="11">
      <text>
        <r>
          <rPr>
            <b/>
            <sz val="9"/>
            <color indexed="81"/>
            <rFont val="Tahoma"/>
            <family val="2"/>
          </rPr>
          <t>Cassel, Lauren (Research):
11/21/17: Inventories at the end of the third quarter include a $15.1 million increase compared to the prior year date due to a change in shipping terms with a supplier. Excluding the impact of the change in shipping terms, inventory decreased 4.3%
8/30/17: planning inventory below sales trends</t>
        </r>
        <r>
          <rPr>
            <sz val="9"/>
            <color indexed="81"/>
            <rFont val="Tahoma"/>
            <family val="2"/>
          </rPr>
          <t xml:space="preserve">
2/22/17: expect inventories down to LY</t>
        </r>
      </text>
    </comment>
    <comment ref="AF175" authorId="11">
      <text>
        <r>
          <rPr>
            <b/>
            <sz val="9"/>
            <color indexed="81"/>
            <rFont val="Tahoma"/>
            <family val="2"/>
          </rPr>
          <t>Cassel, Lauren (Research):</t>
        </r>
        <r>
          <rPr>
            <sz val="9"/>
            <color indexed="81"/>
            <rFont val="Tahoma"/>
            <family val="2"/>
          </rPr>
          <t xml:space="preserve">
2/28/18: At the end of the fourth quarter, inventories totaled $233.7 million compared to $232.4 million at the end of the fourth quarter last year. Inventories at the end of the fourth quarter include a $16.5 million increase due to a change in shipping terms with a supplier in fiscal 2017. Excluding the impact of the change in shipping terms, inventories decreased 6.5% reflecting continued inventory management. 
2/22/17: expect inventories down to LY</t>
        </r>
      </text>
    </comment>
  </commentList>
</comments>
</file>

<file path=xl/comments11.xml><?xml version="1.0" encoding="utf-8"?>
<comments xmlns="http://schemas.openxmlformats.org/spreadsheetml/2006/main">
  <authors>
    <author>lauraro</author>
    <author>dong2</author>
  </authors>
  <commentList>
    <comment ref="AH10" authorId="0">
      <text>
        <r>
          <rPr>
            <b/>
            <sz val="8"/>
            <color indexed="81"/>
            <rFont val="Tahoma"/>
            <family val="2"/>
          </rPr>
          <t>lauraro:</t>
        </r>
        <r>
          <rPr>
            <sz val="8"/>
            <color indexed="81"/>
            <rFont val="Tahoma"/>
            <family val="2"/>
          </rPr>
          <t xml:space="preserve">
Includes CHS paid $21.4 million of dividends and the repurchase of $18.3 million worth of our common stock through our share repurchase program announced in
August 2010</t>
        </r>
      </text>
    </comment>
    <comment ref="Q19" authorId="1">
      <text>
        <r>
          <rPr>
            <b/>
            <sz val="8"/>
            <color indexed="81"/>
            <rFont val="Tahoma"/>
            <family val="2"/>
          </rPr>
          <t>dong2:</t>
        </r>
        <r>
          <rPr>
            <sz val="8"/>
            <color indexed="81"/>
            <rFont val="Tahoma"/>
            <family val="2"/>
          </rPr>
          <t xml:space="preserve">
includes def. Rent obligs because co. lumps it and debt into one line item in 10K
</t>
        </r>
      </text>
    </comment>
    <comment ref="AL19" authorId="1">
      <text>
        <r>
          <rPr>
            <b/>
            <sz val="8"/>
            <color indexed="81"/>
            <rFont val="Tahoma"/>
            <family val="2"/>
          </rPr>
          <t>dong2:</t>
        </r>
        <r>
          <rPr>
            <sz val="8"/>
            <color indexed="81"/>
            <rFont val="Tahoma"/>
            <family val="2"/>
          </rPr>
          <t xml:space="preserve">
includes def. Rent obligs because co. lumps it and debt into one line item in 10K
</t>
        </r>
      </text>
    </comment>
  </commentList>
</comments>
</file>

<file path=xl/comments12.xml><?xml version="1.0" encoding="utf-8"?>
<comments xmlns="http://schemas.openxmlformats.org/spreadsheetml/2006/main">
  <authors>
    <author>lauraro</author>
    <author>casselau</author>
    <author>Mains, Spencer (Research)</author>
    <author>Cassel, Lauren (Research)</author>
    <author>mm98285</author>
    <author>Debbie Ong</author>
  </authors>
  <commentList>
    <comment ref="BR10" authorId="0">
      <text>
        <r>
          <rPr>
            <b/>
            <sz val="8"/>
            <color indexed="81"/>
            <rFont val="Tahoma"/>
            <family val="2"/>
          </rPr>
          <t>lauraro:</t>
        </r>
        <r>
          <rPr>
            <sz val="8"/>
            <color indexed="81"/>
            <rFont val="Tahoma"/>
            <family val="2"/>
          </rPr>
          <t xml:space="preserve">
no restatement</t>
        </r>
      </text>
    </comment>
    <comment ref="BS10" authorId="0">
      <text>
        <r>
          <rPr>
            <b/>
            <sz val="8"/>
            <color indexed="81"/>
            <rFont val="Tahoma"/>
            <family val="2"/>
          </rPr>
          <t xml:space="preserve">lauraro: </t>
        </r>
        <r>
          <rPr>
            <sz val="8"/>
            <color indexed="81"/>
            <rFont val="Tahoma"/>
            <family val="2"/>
          </rPr>
          <t>Excluding an incremental $9.6 million of in-transit inventories this year over last year, inventory per selling square foot was $66 versus $60 in the prior period, an increase of 9.5% compared to last year. The increase in inventory per selling square foot over last year is primarily attributable to an increase in year-over-year comparable sales, along with the anticipated opening of 21 net new stores in the May-June 2011 timeframe.</t>
        </r>
        <r>
          <rPr>
            <sz val="8"/>
            <color indexed="81"/>
            <rFont val="Tahoma"/>
            <family val="2"/>
          </rPr>
          <t xml:space="preserve">
</t>
        </r>
      </text>
    </comment>
    <comment ref="BV10" authorId="0">
      <text>
        <r>
          <rPr>
            <b/>
            <sz val="8"/>
            <color indexed="81"/>
            <rFont val="Tahoma"/>
            <family val="2"/>
          </rPr>
          <t>lauraro:</t>
        </r>
        <r>
          <rPr>
            <sz val="8"/>
            <color indexed="81"/>
            <rFont val="Tahoma"/>
            <family val="2"/>
          </rPr>
          <t xml:space="preserve">
5/16: includes $13.6M inventory related to Boston Proper</t>
        </r>
      </text>
    </comment>
    <comment ref="BZ10" authorId="1">
      <text>
        <r>
          <rPr>
            <b/>
            <sz val="8"/>
            <color indexed="81"/>
            <rFont val="Tahoma"/>
            <family val="2"/>
          </rPr>
          <t>casselau:</t>
        </r>
        <r>
          <rPr>
            <sz val="8"/>
            <color indexed="81"/>
            <rFont val="Tahoma"/>
            <family val="2"/>
          </rPr>
          <t xml:space="preserve">
5/29/13: In-store inventory psf + 2.3%; Excluding the impact of the calendar shift inv +9.2%</t>
        </r>
      </text>
    </comment>
    <comment ref="CE10" authorId="1">
      <text>
        <r>
          <rPr>
            <b/>
            <sz val="9"/>
            <color indexed="81"/>
            <rFont val="Tahoma"/>
            <family val="2"/>
          </rPr>
          <t>casselau:</t>
        </r>
        <r>
          <rPr>
            <sz val="9"/>
            <color indexed="81"/>
            <rFont val="Tahoma"/>
            <family val="2"/>
          </rPr>
          <t xml:space="preserve">
5/28/14: +5.6% when excluding $11.9M of inventory related to new store activity </t>
        </r>
      </text>
    </comment>
    <comment ref="CH10" authorId="2">
      <text>
        <r>
          <rPr>
            <sz val="9"/>
            <color indexed="81"/>
            <rFont val="Tahoma"/>
            <family val="2"/>
          </rPr>
          <t>5/27/15: inventory per sqft -3%; -6% ex. in-transit; WHBM moved back towards a more balanced assortment (after moving towards higher AUC items last year).  Single biggest driver of our AUC is labor.  Raw material not as significant for us as other retailers.</t>
        </r>
      </text>
    </comment>
    <comment ref="CM10" authorId="3">
      <text>
        <r>
          <rPr>
            <b/>
            <sz val="9"/>
            <color indexed="81"/>
            <rFont val="Tahoma"/>
            <family val="2"/>
          </rPr>
          <t>Cassel, Lauren (Research):</t>
        </r>
        <r>
          <rPr>
            <sz val="9"/>
            <color indexed="81"/>
            <rFont val="Tahoma"/>
            <family val="2"/>
          </rPr>
          <t xml:space="preserve">
5/26/16: ex BP +4.0% primarily reflecting lower than planned sales of spring merchandise; the majority of the increase was in go-frward full price summer merchandise </t>
        </r>
      </text>
    </comment>
    <comment ref="CQ10" authorId="3">
      <text>
        <r>
          <rPr>
            <b/>
            <sz val="9"/>
            <color indexed="81"/>
            <rFont val="Tahoma"/>
            <family val="2"/>
          </rPr>
          <t>Cassel, Lauren (Research):</t>
        </r>
        <r>
          <rPr>
            <sz val="9"/>
            <color indexed="81"/>
            <rFont val="Tahoma"/>
            <family val="2"/>
          </rPr>
          <t xml:space="preserve">
5/24/17:  The $5.9 million increase in inventories primarily reflected a $10.5 million increase in in-transit inventories, largely due to a shift in shipping terms with a major vendor, </t>
        </r>
        <r>
          <rPr>
            <b/>
            <sz val="9"/>
            <color indexed="81"/>
            <rFont val="Tahoma"/>
            <family val="2"/>
          </rPr>
          <t>partially offset by a 2.0% decrease in on-hand inventories compared to the same period last year.
In transit inventory amount may increase over the next few quarters</t>
        </r>
      </text>
    </comment>
    <comment ref="BJ11" authorId="4">
      <text>
        <r>
          <rPr>
            <b/>
            <sz val="8"/>
            <color indexed="81"/>
            <rFont val="Tahoma"/>
            <family val="2"/>
          </rPr>
          <t>mm98285:</t>
        </r>
        <r>
          <rPr>
            <sz val="8"/>
            <color indexed="81"/>
            <rFont val="Tahoma"/>
            <family val="2"/>
          </rPr>
          <t xml:space="preserve">
includes $5.4M of incremental inventory in-transit over LY</t>
        </r>
      </text>
    </comment>
    <comment ref="BN11" authorId="0">
      <text>
        <r>
          <rPr>
            <b/>
            <sz val="8"/>
            <color indexed="81"/>
            <rFont val="Tahoma"/>
            <family val="2"/>
          </rPr>
          <t>lauraro:</t>
        </r>
        <r>
          <rPr>
            <sz val="8"/>
            <color indexed="81"/>
            <rFont val="Tahoma"/>
            <family val="2"/>
          </rPr>
          <t xml:space="preserve">
8/10: ~5% of increase due to incremental $6.8M of in-transit inventories (convert to FOB bases vs. landed duty paid for lwer cost) and ~5% due to ~50 net new stores vs. LY (excl in transit and inventory dedicated to 18 net new stores cheduled to open for 3Q inventory per selling sq ft was up only 1.4% vs. LY); much cleaner vs. LY with less spring cary-over esp at WHBM</t>
        </r>
      </text>
    </comment>
    <comment ref="BV11" authorId="1">
      <text>
        <r>
          <rPr>
            <b/>
            <sz val="8"/>
            <color indexed="81"/>
            <rFont val="Tahoma"/>
            <family val="2"/>
          </rPr>
          <t>casselau:</t>
        </r>
        <r>
          <rPr>
            <sz val="8"/>
            <color indexed="81"/>
            <rFont val="Tahoma"/>
            <family val="2"/>
          </rPr>
          <t xml:space="preserve">
8/22/12: excluding BP, inventories decreased by 11.6M or 6.1% reflecting planned inventory reductions</t>
        </r>
      </text>
    </comment>
    <comment ref="CA11" authorId="1">
      <text>
        <r>
          <rPr>
            <b/>
            <sz val="8"/>
            <color indexed="81"/>
            <rFont val="Tahoma"/>
            <family val="2"/>
          </rPr>
          <t>casselau:</t>
        </r>
        <r>
          <rPr>
            <sz val="8"/>
            <color indexed="81"/>
            <rFont val="Tahoma"/>
            <family val="2"/>
          </rPr>
          <t xml:space="preserve">
8/28/13: excluding the impact of the calendar shift, inventories increased ~2.1%, in-line with planned sales growth; in-store inventory per selling sq ft -1.4% vs. LY</t>
        </r>
      </text>
    </comment>
    <comment ref="CE11" authorId="1">
      <text>
        <r>
          <rPr>
            <b/>
            <sz val="9"/>
            <color indexed="81"/>
            <rFont val="Tahoma"/>
            <family val="2"/>
          </rPr>
          <t xml:space="preserve">casselau: </t>
        </r>
        <r>
          <rPr>
            <sz val="9"/>
            <color indexed="81"/>
            <rFont val="Tahoma"/>
            <family val="2"/>
          </rPr>
          <t xml:space="preserve">
8/27/14: ex. in-transit +7% </t>
        </r>
        <r>
          <rPr>
            <b/>
            <sz val="9"/>
            <color indexed="81"/>
            <rFont val="Tahoma"/>
            <family val="2"/>
          </rPr>
          <t xml:space="preserve">
</t>
        </r>
        <r>
          <rPr>
            <sz val="9"/>
            <color indexed="81"/>
            <rFont val="Tahoma"/>
            <family val="2"/>
          </rPr>
          <t xml:space="preserve">8/27/14: total inv. psf +2.5%, ex. in-transit inventories. The increase primarily reflects a slightly higher AUC for inventories on hand and forward fabric commitments. In-transit inventories increased by $11.2 million, primarily reflecting an increase in the amount and timing of shipping via ocean compared to 2013.
</t>
        </r>
      </text>
    </comment>
    <comment ref="CI11" authorId="1">
      <text>
        <r>
          <rPr>
            <b/>
            <sz val="9"/>
            <color indexed="81"/>
            <rFont val="Tahoma"/>
            <family val="2"/>
          </rPr>
          <t>casselau:</t>
        </r>
        <r>
          <rPr>
            <sz val="9"/>
            <color indexed="81"/>
            <rFont val="Tahoma"/>
            <family val="2"/>
          </rPr>
          <t xml:space="preserve">
8/26/15: inventories per selling sqft decreased -5.7% when excluding in-transit inventories, primarily reflecting improved inventory mgmt and lower AUC y/y; in-transit inventories +$20.3M y/y, primarily reflecting longer in-transit times and accelerated shipping dates to facilitate timely merchandise receipts</t>
        </r>
      </text>
    </comment>
    <comment ref="CM11" authorId="3">
      <text>
        <r>
          <rPr>
            <b/>
            <sz val="9"/>
            <color indexed="81"/>
            <rFont val="Tahoma"/>
            <family val="2"/>
          </rPr>
          <t>Cassel, Lauren (Research):
8/30/16: When excluding Boston Proper from fiscal 2015, inventories decreased $1.2M compared to $236.8 million last year (-0.5%)</t>
        </r>
        <r>
          <rPr>
            <sz val="9"/>
            <color indexed="81"/>
            <rFont val="Tahoma"/>
            <family val="2"/>
          </rPr>
          <t xml:space="preserve">
5/26/16: targeting inventory flat ex BP</t>
        </r>
      </text>
    </comment>
    <comment ref="CQ11" authorId="3">
      <text>
        <r>
          <rPr>
            <b/>
            <sz val="9"/>
            <color indexed="81"/>
            <rFont val="Tahoma"/>
            <family val="2"/>
          </rPr>
          <t>Cassel, Lauren (Research):</t>
        </r>
        <r>
          <rPr>
            <sz val="9"/>
            <color indexed="81"/>
            <rFont val="Tahoma"/>
            <family val="2"/>
          </rPr>
          <t xml:space="preserve">
8/30/17: Inventories for the second quarter included a $16.9 million increase compared to the prior year due to a change in shipping terms with a supplier.</t>
        </r>
        <r>
          <rPr>
            <b/>
            <sz val="9"/>
            <color indexed="81"/>
            <rFont val="Tahoma"/>
            <family val="2"/>
          </rPr>
          <t xml:space="preserve"> Excluding the impact of the change in shipping terms, inventory decreased -7.4%.</t>
        </r>
      </text>
    </comment>
    <comment ref="BF12" authorId="4">
      <text>
        <r>
          <rPr>
            <b/>
            <sz val="8"/>
            <color indexed="81"/>
            <rFont val="Tahoma"/>
            <family val="2"/>
          </rPr>
          <t>mm98285:</t>
        </r>
        <r>
          <rPr>
            <sz val="8"/>
            <color indexed="81"/>
            <rFont val="Tahoma"/>
            <family val="2"/>
          </rPr>
          <t xml:space="preserve">
includes $5mm in in-transit for WHMB vs. LY</t>
        </r>
      </text>
    </comment>
    <comment ref="BN12" authorId="0">
      <text>
        <r>
          <rPr>
            <b/>
            <sz val="8"/>
            <color indexed="81"/>
            <rFont val="Tahoma"/>
            <family val="2"/>
          </rPr>
          <t>lauraro:</t>
        </r>
        <r>
          <rPr>
            <sz val="8"/>
            <color indexed="81"/>
            <rFont val="Tahoma"/>
            <family val="2"/>
          </rPr>
          <t xml:space="preserve">
12/10: increase primarily driven by 64 net new stores over last year as well as inventory purchased for positive sale trends in stores and the DTC channel and new store openings in the fourth quarter</t>
        </r>
      </text>
    </comment>
    <comment ref="BR12" authorId="0">
      <text>
        <r>
          <rPr>
            <b/>
            <sz val="8"/>
            <color indexed="81"/>
            <rFont val="Tahoma"/>
            <family val="2"/>
          </rPr>
          <t>lauraro:</t>
        </r>
        <r>
          <rPr>
            <sz val="8"/>
            <color indexed="81"/>
            <rFont val="Tahoma"/>
            <family val="2"/>
          </rPr>
          <t xml:space="preserve">
$17M due to Boston Proper
$18M support comp sales growth
$14 new stores
$12 earlier receipt of goods
$7M due to higher avg costs (implies ~4% cost pressure)
In store inv psf up 17%</t>
        </r>
      </text>
    </comment>
    <comment ref="BZ12" authorId="1">
      <text>
        <r>
          <rPr>
            <b/>
            <sz val="8"/>
            <color indexed="81"/>
            <rFont val="Tahoma"/>
            <family val="2"/>
          </rPr>
          <t>casselau:</t>
        </r>
        <r>
          <rPr>
            <sz val="8"/>
            <color indexed="81"/>
            <rFont val="Tahoma"/>
            <family val="2"/>
          </rPr>
          <t xml:space="preserve">
11/26/13: psf flat when compared to the comparable period LY; $13.7M related to calendar shift and $13.2M related to 115 net new stores</t>
        </r>
      </text>
    </comment>
    <comment ref="CA12" authorId="1">
      <text>
        <r>
          <rPr>
            <b/>
            <sz val="8"/>
            <color indexed="81"/>
            <rFont val="Tahoma"/>
            <family val="2"/>
          </rPr>
          <t>casselau:</t>
        </r>
        <r>
          <rPr>
            <sz val="8"/>
            <color indexed="81"/>
            <rFont val="Tahoma"/>
            <family val="2"/>
          </rPr>
          <t xml:space="preserve">
8/28/13: The calendar shift will result in ~+DD% increase in total inventory dollars y/y in 3Q</t>
        </r>
      </text>
    </comment>
    <comment ref="CE12" authorId="1">
      <text>
        <r>
          <rPr>
            <b/>
            <sz val="9"/>
            <color indexed="81"/>
            <rFont val="Tahoma"/>
            <family val="2"/>
          </rPr>
          <t>casselau:</t>
        </r>
        <r>
          <rPr>
            <sz val="9"/>
            <color indexed="81"/>
            <rFont val="Tahoma"/>
            <family val="2"/>
          </rPr>
          <t xml:space="preserve">
11/25/14: total inv per selling sqft +1.6%, excluding in-transit inventories. In-transit inv increased by $10M, primarily reflecting in increase in the length of transit times for ocean shopments as well as delays at West Coast ports</t>
        </r>
      </text>
    </comment>
    <comment ref="CI12" authorId="2">
      <text>
        <r>
          <rPr>
            <b/>
            <sz val="9"/>
            <color indexed="81"/>
            <rFont val="Tahoma"/>
            <family val="2"/>
          </rPr>
          <t>Mains, Spencer (Research):</t>
        </r>
        <r>
          <rPr>
            <sz val="9"/>
            <color indexed="81"/>
            <rFont val="Tahoma"/>
            <family val="2"/>
          </rPr>
          <t xml:space="preserve">
11/24/15: Excluding BP inventory, inventories still down -4.8%</t>
        </r>
      </text>
    </comment>
    <comment ref="CM12" authorId="3">
      <text>
        <r>
          <rPr>
            <b/>
            <sz val="9"/>
            <color indexed="81"/>
            <rFont val="Tahoma"/>
            <family val="2"/>
          </rPr>
          <t>Cassel, Lauren (Research):</t>
        </r>
        <r>
          <rPr>
            <sz val="9"/>
            <color indexed="81"/>
            <rFont val="Tahoma"/>
            <family val="2"/>
          </rPr>
          <t xml:space="preserve">
When excluding Boston Proper store inventories from fiscal 2015, inventories decreased $6.0 million, or </t>
        </r>
        <r>
          <rPr>
            <b/>
            <sz val="9"/>
            <color indexed="81"/>
            <rFont val="Tahoma"/>
            <family val="2"/>
          </rPr>
          <t>2.2%</t>
        </r>
      </text>
    </comment>
    <comment ref="CQ12" authorId="3">
      <text>
        <r>
          <rPr>
            <b/>
            <sz val="9"/>
            <color indexed="81"/>
            <rFont val="Tahoma"/>
            <family val="2"/>
          </rPr>
          <t>Cassel, Lauren (Research):
11/21/17: Inventories at the end of the third quarter include a $15.1 million increase compared to the prior year date due to a change in shipping terms with a supplier. Excluding the impact of the change in shipping terms, inventory decreased 4.3%
8/30/17: planning inventory below sales trends</t>
        </r>
        <r>
          <rPr>
            <sz val="9"/>
            <color indexed="81"/>
            <rFont val="Tahoma"/>
            <family val="2"/>
          </rPr>
          <t xml:space="preserve">
2/22/17: expect inventories down to LY</t>
        </r>
      </text>
    </comment>
    <comment ref="BR13" authorId="0">
      <text>
        <r>
          <rPr>
            <b/>
            <sz val="8"/>
            <color indexed="81"/>
            <rFont val="Tahoma"/>
            <family val="2"/>
          </rPr>
          <t xml:space="preserve">lauraro: </t>
        </r>
        <r>
          <rPr>
            <sz val="8"/>
            <color indexed="81"/>
            <rFont val="Tahoma"/>
            <family val="2"/>
          </rPr>
          <t xml:space="preserve">Excluding $15.1M of inventory related to Boston Proper, inventories increased ~$19.6M or 12.3% over last year, of which $11M was for year-over-year new stores and $3M was due to higher average unit costs.  At the end of 4Q, total inventories were $194.5M. </t>
        </r>
      </text>
    </comment>
    <comment ref="BW13" authorId="1">
      <text>
        <r>
          <rPr>
            <b/>
            <sz val="8"/>
            <color indexed="81"/>
            <rFont val="Tahoma"/>
            <family val="2"/>
          </rPr>
          <t>casselau:</t>
        </r>
        <r>
          <rPr>
            <sz val="8"/>
            <color indexed="81"/>
            <rFont val="Tahoma"/>
            <family val="2"/>
          </rPr>
          <t xml:space="preserve">
8/22/12: inventory increase in-line with sales growth</t>
        </r>
      </text>
    </comment>
    <comment ref="CA13" authorId="1">
      <text>
        <r>
          <rPr>
            <b/>
            <sz val="8"/>
            <color indexed="81"/>
            <rFont val="Tahoma"/>
            <family val="2"/>
          </rPr>
          <t xml:space="preserve">casselau:
2/27/14: </t>
        </r>
        <r>
          <rPr>
            <sz val="8"/>
            <color indexed="81"/>
            <rFont val="Tahoma"/>
            <family val="2"/>
          </rPr>
          <t>in-store inventores per sqft decreased 0.8% for a 2-yr decline of 1.1%; excluding new stores and $10.1M CNY timing shift, total inventories increased 10.2M or 5% over same period LY</t>
        </r>
        <r>
          <rPr>
            <sz val="8"/>
            <color indexed="81"/>
            <rFont val="Tahoma"/>
            <family val="2"/>
          </rPr>
          <t xml:space="preserve">
11/26/13: we are planning for inventories at the end of 4Q to be in line with sales expectations, which includes inventory to support comparable sales and our new stores.</t>
        </r>
      </text>
    </comment>
    <comment ref="CE13" authorId="1">
      <text>
        <r>
          <rPr>
            <b/>
            <sz val="9"/>
            <color indexed="81"/>
            <rFont val="Tahoma"/>
            <family val="2"/>
          </rPr>
          <t>casselau:
2/26/15:</t>
        </r>
        <r>
          <rPr>
            <sz val="9"/>
            <color indexed="81"/>
            <rFont val="Tahoma"/>
            <family val="2"/>
          </rPr>
          <t xml:space="preserve"> total inventory per selling sqft -5.7%, primarily reflecting higher sales volume, more conservative receipt planning and a favorable shift in the timing of the Chinese New Year
11/25/14: on target for inventory growth in line with sales growth by the end of the year</t>
        </r>
      </text>
    </comment>
    <comment ref="CI13" authorId="1">
      <text>
        <r>
          <rPr>
            <b/>
            <sz val="9"/>
            <color indexed="81"/>
            <rFont val="Tahoma"/>
            <family val="2"/>
          </rPr>
          <t xml:space="preserve">casselau:
2/25/16: </t>
        </r>
        <r>
          <rPr>
            <sz val="9"/>
            <color indexed="81"/>
            <rFont val="Tahoma"/>
            <family val="2"/>
          </rPr>
          <t xml:space="preserve"> When excluding $10.9M in Boston Proper inventory in fiscal 2014 and an in-transit inventory increase in fiscal 2015 related to the timing of the Chinese New Year, total inventories -0.3%
</t>
        </r>
        <r>
          <rPr>
            <b/>
            <sz val="9"/>
            <color indexed="81"/>
            <rFont val="Tahoma"/>
            <family val="2"/>
          </rPr>
          <t xml:space="preserve">
</t>
        </r>
        <r>
          <rPr>
            <sz val="9"/>
            <color indexed="81"/>
            <rFont val="Tahoma"/>
            <family val="2"/>
          </rPr>
          <t>11/24/15: expect flat to slightly down
expect total inventory less than sales growth</t>
        </r>
      </text>
    </comment>
    <comment ref="CM13" authorId="3">
      <text>
        <r>
          <rPr>
            <b/>
            <sz val="9"/>
            <color indexed="81"/>
            <rFont val="Tahoma"/>
            <family val="2"/>
          </rPr>
          <t>Cassel, Lauren (Research):</t>
        </r>
        <r>
          <rPr>
            <sz val="9"/>
            <color indexed="81"/>
            <rFont val="Tahoma"/>
            <family val="2"/>
          </rPr>
          <t xml:space="preserve">
2/22/17: The decrease of 0.6% primarily reflected a 4% decrease in on-hand inventory as a result of improved inventory management, partially offset by an increase in in-transit inventory primarily due to product launches scheduled in the first quarter of 2017 and the timing of the Chinese New Year.</t>
        </r>
      </text>
    </comment>
    <comment ref="CN13" authorId="1">
      <text>
        <r>
          <rPr>
            <b/>
            <sz val="9"/>
            <color indexed="81"/>
            <rFont val="Tahoma"/>
            <family val="2"/>
          </rPr>
          <t>casselau:</t>
        </r>
        <r>
          <rPr>
            <sz val="9"/>
            <color indexed="81"/>
            <rFont val="Tahoma"/>
            <family val="2"/>
          </rPr>
          <t xml:space="preserve">
11/22/16:  Fourth quarter total inventory is planned to be lower than last year. 
2/25/16: Total inventory, excluding the impact of in-transit inventory, is expected to remain consistent with 2015 levels.</t>
        </r>
      </text>
    </comment>
    <comment ref="CQ13" authorId="3">
      <text>
        <r>
          <rPr>
            <b/>
            <sz val="9"/>
            <color indexed="81"/>
            <rFont val="Tahoma"/>
            <family val="2"/>
          </rPr>
          <t>Cassel, Lauren (Research):</t>
        </r>
        <r>
          <rPr>
            <sz val="9"/>
            <color indexed="81"/>
            <rFont val="Tahoma"/>
            <family val="2"/>
          </rPr>
          <t xml:space="preserve">
2/28/18: Inventories at the end of the fourth quarter include a $16.5 million increase due to a change in shipping terms with a supplier in fiscal 2017. Excluding the impact of the change in shipping terms, inventories decreased 6.5% reflecting continued inventory management. 
5/24/17: On-hand inventory in each quarter is expected to be down compared to last year, as the Company continues to actively manage inventory.</t>
        </r>
      </text>
    </comment>
    <comment ref="BR16" authorId="0">
      <text>
        <r>
          <rPr>
            <b/>
            <sz val="8"/>
            <color indexed="81"/>
            <rFont val="Tahoma"/>
            <family val="2"/>
          </rPr>
          <t>lauraro:</t>
        </r>
        <r>
          <rPr>
            <sz val="8"/>
            <color indexed="81"/>
            <rFont val="Tahoma"/>
            <family val="2"/>
          </rPr>
          <t xml:space="preserve">
restated $45.150</t>
        </r>
      </text>
    </comment>
    <comment ref="BF18" authorId="4">
      <text>
        <r>
          <rPr>
            <b/>
            <sz val="8"/>
            <color indexed="81"/>
            <rFont val="Tahoma"/>
            <family val="2"/>
          </rPr>
          <t>mm98285:</t>
        </r>
        <r>
          <rPr>
            <sz val="8"/>
            <color indexed="81"/>
            <rFont val="Tahoma"/>
            <family val="2"/>
          </rPr>
          <t xml:space="preserve">
$25.8mm for parcel of land</t>
        </r>
      </text>
    </comment>
    <comment ref="CH18" authorId="1">
      <text>
        <r>
          <rPr>
            <b/>
            <sz val="9"/>
            <color indexed="81"/>
            <rFont val="Tahoma"/>
            <family val="2"/>
          </rPr>
          <t>casselau:</t>
        </r>
        <r>
          <rPr>
            <sz val="9"/>
            <color indexed="81"/>
            <rFont val="Tahoma"/>
            <family val="2"/>
          </rPr>
          <t xml:space="preserve">
current assets included $41.8 million in assets held for sale, primarily comprised of $18.3 million in Boston Proper DTC assets and $16.5 million in vacant land</t>
        </r>
      </text>
    </comment>
    <comment ref="CH19" authorId="1">
      <text>
        <r>
          <rPr>
            <b/>
            <sz val="9"/>
            <color indexed="81"/>
            <rFont val="Tahoma"/>
            <family val="2"/>
          </rPr>
          <t>casselau:</t>
        </r>
        <r>
          <rPr>
            <sz val="9"/>
            <color indexed="81"/>
            <rFont val="Tahoma"/>
            <family val="2"/>
          </rPr>
          <t xml:space="preserve">
includes $16.5M in assetse held for sale which is vacant land related to BP, and is under contract</t>
        </r>
      </text>
    </comment>
    <comment ref="BR22" authorId="0">
      <text>
        <r>
          <rPr>
            <b/>
            <sz val="8"/>
            <color indexed="81"/>
            <rFont val="Tahoma"/>
            <family val="2"/>
          </rPr>
          <t>lauraro:</t>
        </r>
        <r>
          <rPr>
            <sz val="8"/>
            <color indexed="81"/>
            <rFont val="Tahoma"/>
            <family val="2"/>
          </rPr>
          <t xml:space="preserve">
restated $129.894</t>
        </r>
      </text>
    </comment>
    <comment ref="A27" authorId="5">
      <text>
        <r>
          <rPr>
            <b/>
            <sz val="8"/>
            <color indexed="81"/>
            <rFont val="Tahoma"/>
            <family val="2"/>
          </rPr>
          <t>Debbie Ong:</t>
        </r>
        <r>
          <rPr>
            <sz val="8"/>
            <color indexed="81"/>
            <rFont val="Tahoma"/>
            <family val="2"/>
          </rPr>
          <t xml:space="preserve">
incl. Dividends and income taxes payable; does Not include interest-bearing debt</t>
        </r>
      </text>
    </comment>
    <comment ref="BR28" authorId="0">
      <text>
        <r>
          <rPr>
            <b/>
            <sz val="8"/>
            <color indexed="81"/>
            <rFont val="Tahoma"/>
            <family val="2"/>
          </rPr>
          <t>lauraro:</t>
        </r>
        <r>
          <rPr>
            <sz val="8"/>
            <color indexed="81"/>
            <rFont val="Tahoma"/>
            <family val="2"/>
          </rPr>
          <t xml:space="preserve">
140.692</t>
        </r>
      </text>
    </comment>
    <comment ref="BR29" authorId="1">
      <text>
        <r>
          <rPr>
            <b/>
            <sz val="8"/>
            <color indexed="81"/>
            <rFont val="Tahoma"/>
            <family val="2"/>
          </rPr>
          <t>casselau:</t>
        </r>
        <r>
          <rPr>
            <sz val="8"/>
            <color indexed="81"/>
            <rFont val="Tahoma"/>
            <family val="2"/>
          </rPr>
          <t xml:space="preserve">
113.035</t>
        </r>
      </text>
    </comment>
    <comment ref="BR30" authorId="1">
      <text>
        <r>
          <rPr>
            <b/>
            <sz val="8"/>
            <color indexed="81"/>
            <rFont val="Tahoma"/>
            <family val="2"/>
          </rPr>
          <t>casselau:</t>
        </r>
        <r>
          <rPr>
            <sz val="8"/>
            <color indexed="81"/>
            <rFont val="Tahoma"/>
            <family val="2"/>
          </rPr>
          <t xml:space="preserve">
135.259
</t>
        </r>
      </text>
    </comment>
    <comment ref="CH30" authorId="1">
      <text>
        <r>
          <rPr>
            <b/>
            <sz val="9"/>
            <color indexed="81"/>
            <rFont val="Tahoma"/>
            <family val="2"/>
          </rPr>
          <t>casselau:</t>
        </r>
        <r>
          <rPr>
            <sz val="9"/>
            <color indexed="81"/>
            <rFont val="Tahoma"/>
            <family val="2"/>
          </rPr>
          <t xml:space="preserve">
Current liabilities included $8.5 million in Boston Proper DTC liabilities held for sale</t>
        </r>
      </text>
    </comment>
    <comment ref="BN31" authorId="0">
      <text>
        <r>
          <rPr>
            <b/>
            <sz val="8"/>
            <color indexed="81"/>
            <rFont val="Tahoma"/>
            <family val="2"/>
          </rPr>
          <t>lauraro:</t>
        </r>
        <r>
          <rPr>
            <sz val="8"/>
            <color indexed="81"/>
            <rFont val="Tahoma"/>
            <family val="2"/>
          </rPr>
          <t xml:space="preserve">
changed from $94.852M</t>
        </r>
      </text>
    </comment>
  </commentList>
</comments>
</file>

<file path=xl/comments13.xml><?xml version="1.0" encoding="utf-8"?>
<comments xmlns="http://schemas.openxmlformats.org/spreadsheetml/2006/main">
  <authors>
    <author>soumyajd</author>
    <author>John Mark Warren</author>
    <author>Leon Michaelides</author>
    <author>jccastro</author>
  </authors>
  <commentList>
    <comment ref="I3" authorId="0">
      <text>
        <r>
          <rPr>
            <b/>
            <sz val="8"/>
            <color indexed="81"/>
            <rFont val="Tahoma"/>
            <family val="2"/>
          </rPr>
          <t>Input MW ticker</t>
        </r>
        <r>
          <rPr>
            <sz val="8"/>
            <color indexed="81"/>
            <rFont val="Tahoma"/>
            <family val="2"/>
          </rPr>
          <t xml:space="preserve">
</t>
        </r>
      </text>
    </comment>
    <comment ref="C31" authorId="1">
      <text>
        <r>
          <rPr>
            <sz val="8"/>
            <color indexed="81"/>
            <rFont val="Tahoma"/>
            <family val="2"/>
          </rPr>
          <t xml:space="preserve">The repayment is equal to the rent expense because the rent expense can be thought of as a payment of interest and principal  to the owner (lessor) of the asset.
</t>
        </r>
      </text>
    </comment>
    <comment ref="G35"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C44"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 leases, if exists.</t>
        </r>
      </text>
    </comment>
    <comment ref="C45" authorId="0">
      <text>
        <r>
          <rPr>
            <sz val="8"/>
            <color indexed="81"/>
            <rFont val="Tahoma"/>
            <family val="2"/>
          </rPr>
          <t>This rate is supposed to represent the cost of new leases which is equivalent to new debt, if not disclosed, use your forecasted interest rate on new debt for the company.</t>
        </r>
      </text>
    </comment>
    <comment ref="C58" authorId="0">
      <text>
        <r>
          <rPr>
            <sz val="8"/>
            <color indexed="81"/>
            <rFont val="Tahoma"/>
            <family val="2"/>
          </rPr>
          <t>You can break down your lease capex into maintenance and growth, if you don't know the breakdown you can assume all capex is maintenance.</t>
        </r>
      </text>
    </comment>
    <comment ref="C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C66" authorId="2">
      <text>
        <r>
          <rPr>
            <sz val="8"/>
            <color indexed="81"/>
            <rFont val="Tahoma"/>
            <family val="2"/>
          </rPr>
          <t xml:space="preserve">This should only include non-cancelable leases
</t>
        </r>
      </text>
    </comment>
    <comment ref="C70" authorId="0">
      <text>
        <r>
          <rPr>
            <sz val="8"/>
            <color indexed="81"/>
            <rFont val="Tahoma"/>
            <family val="2"/>
          </rPr>
          <t>This is used for calculating the rate of depreciation for the assets added due to the leases.</t>
        </r>
      </text>
    </comment>
    <comment ref="C71" authorId="0">
      <text>
        <r>
          <rPr>
            <sz val="8"/>
            <color indexed="81"/>
            <rFont val="Tahoma"/>
            <family val="2"/>
          </rPr>
          <t>If you don't know what this is, one good approach is to calculate it taking the cumulative payments after year 5 (line 68) and dividing it by the payment in year 5 (line 81).
This row is used to distribute the remaining payments (line 68) over what is left of the lease life (starting in line 82).</t>
        </r>
      </text>
    </comment>
    <comment ref="H112" authorId="3">
      <text>
        <r>
          <rPr>
            <sz val="8"/>
            <color indexed="81"/>
            <rFont val="Tahoma"/>
            <family val="2"/>
          </rPr>
          <t xml:space="preserve">Sum of all future NPV's = </t>
        </r>
        <r>
          <rPr>
            <u/>
            <sz val="8"/>
            <color indexed="81"/>
            <rFont val="Tahoma"/>
            <family val="2"/>
          </rPr>
          <t>Initial</t>
        </r>
        <r>
          <rPr>
            <sz val="8"/>
            <color indexed="81"/>
            <rFont val="Tahoma"/>
            <family val="2"/>
          </rPr>
          <t xml:space="preserve"> debt balance</t>
        </r>
        <r>
          <rPr>
            <sz val="8"/>
            <color indexed="81"/>
            <rFont val="Tahoma"/>
            <family val="2"/>
          </rPr>
          <t xml:space="preserve">
</t>
        </r>
      </text>
    </comment>
    <comment ref="I112" authorId="3">
      <text>
        <r>
          <rPr>
            <sz val="8"/>
            <color indexed="81"/>
            <rFont val="Tahoma"/>
            <family val="2"/>
          </rPr>
          <t xml:space="preserve">Starting with this column (and all columns to the right) this calculates the </t>
        </r>
        <r>
          <rPr>
            <u/>
            <sz val="8"/>
            <color indexed="81"/>
            <rFont val="Tahoma"/>
            <family val="2"/>
          </rPr>
          <t>'additional'</t>
        </r>
        <r>
          <rPr>
            <sz val="8"/>
            <color indexed="81"/>
            <rFont val="Tahoma"/>
            <family val="2"/>
          </rPr>
          <t xml:space="preserve"> NPV value created through leases. What the formula does is compare what you thought you were going to pay last year, with what you really paid. It adjusts the period over period difference and then calculates the NPV of this difference.</t>
        </r>
        <r>
          <rPr>
            <sz val="8"/>
            <color indexed="81"/>
            <rFont val="Tahoma"/>
            <family val="2"/>
          </rPr>
          <t xml:space="preserve">
</t>
        </r>
      </text>
    </comment>
    <comment ref="H150" authorId="2">
      <text>
        <r>
          <rPr>
            <sz val="8"/>
            <color indexed="81"/>
            <rFont val="Tahoma"/>
            <family val="2"/>
          </rPr>
          <t xml:space="preserve">Input estimated percentage of leased assets that would not be depreciated (i.e. land).  This will be excluded from the calculation of your depreciation in the waterfall schedule.  It is assumed that the same portion applies to all years.
</t>
        </r>
      </text>
    </comment>
    <comment ref="H151" authorId="2">
      <text>
        <r>
          <rPr>
            <sz val="8"/>
            <color indexed="81"/>
            <rFont val="Tahoma"/>
            <family val="2"/>
          </rPr>
          <t xml:space="preserve">Factor to apply to smooth depreciation of the take on carrying value of leased assets.  This is used to depreciate them on a reducing balance method to simulate a portfolio where leases would roll off over time. </t>
        </r>
      </text>
    </comment>
    <comment ref="H152"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H153" authorId="3">
      <text>
        <r>
          <rPr>
            <sz val="8"/>
            <color indexed="81"/>
            <rFont val="Tahoma"/>
            <family val="2"/>
          </rPr>
          <t>Original value of the asset recognized in the BS , excluding the portion that would not be depreciable</t>
        </r>
      </text>
    </comment>
    <comment ref="I153" authorId="3">
      <text>
        <r>
          <rPr>
            <sz val="8"/>
            <color indexed="81"/>
            <rFont val="Tahoma"/>
            <family val="2"/>
          </rPr>
          <t>total additions, except for the portion considered to be non-depreciable</t>
        </r>
      </text>
    </comment>
    <comment ref="H154" authorId="3">
      <text>
        <r>
          <rPr>
            <sz val="8"/>
            <color indexed="81"/>
            <rFont val="Tahoma"/>
            <family val="2"/>
          </rPr>
          <t>The original depreciation value is the total value of the asset divided by the total life. The total value of the asset will be affected by the multiple in cell C152. For example, if we assume we are at the mid-point of the lease life, then the multiple would be 2, which means we would multiply the asset by this factor to get to the original "book value" of the asset</t>
        </r>
        <r>
          <rPr>
            <sz val="8"/>
            <color indexed="81"/>
            <rFont val="Tahoma"/>
            <family val="2"/>
          </rPr>
          <t xml:space="preserve">
</t>
        </r>
      </text>
    </comment>
    <comment ref="I155" authorId="3">
      <text>
        <r>
          <rPr>
            <sz val="8"/>
            <color indexed="81"/>
            <rFont val="Tahoma"/>
            <family val="2"/>
          </rPr>
          <t>Depreciation of the additions, excluding the portion that is non depreciable</t>
        </r>
        <r>
          <rPr>
            <sz val="8"/>
            <color indexed="81"/>
            <rFont val="Tahoma"/>
            <family val="2"/>
          </rPr>
          <t xml:space="preserve">
</t>
        </r>
      </text>
    </comment>
  </commentList>
</comments>
</file>

<file path=xl/sharedStrings.xml><?xml version="1.0" encoding="utf-8"?>
<sst xmlns="http://schemas.openxmlformats.org/spreadsheetml/2006/main" count="2739" uniqueCount="1157">
  <si>
    <t>Source: Company reports and Morgan Stanley estimates.</t>
  </si>
  <si>
    <t>2013E</t>
  </si>
  <si>
    <t xml:space="preserve">  Shared Services % Sales</t>
  </si>
  <si>
    <t>Comparable-Store Sales ex Boston Proper</t>
  </si>
  <si>
    <t>Change in sales</t>
  </si>
  <si>
    <t>Change in WC/change in sales</t>
  </si>
  <si>
    <t>Net new stores</t>
  </si>
  <si>
    <t>Approx. cost per store</t>
  </si>
  <si>
    <t>Reported capital expenditures</t>
  </si>
  <si>
    <t>Organic growth</t>
  </si>
  <si>
    <t>Acquisitions</t>
  </si>
  <si>
    <t xml:space="preserve">WH enters </t>
  </si>
  <si>
    <t>comp base</t>
  </si>
  <si>
    <t>Other capital projects %</t>
  </si>
  <si>
    <t>Other capital projects $</t>
  </si>
  <si>
    <t>Est. increase in depreciation</t>
  </si>
  <si>
    <t>Calculated increase in depreciation</t>
  </si>
  <si>
    <t>Land and land improvements</t>
  </si>
  <si>
    <t>Equipment, furniture and fixtures</t>
  </si>
  <si>
    <t>Building and building improvements</t>
  </si>
  <si>
    <t>Leasehold improvements</t>
  </si>
  <si>
    <t>Less accumulated D&amp;A</t>
  </si>
  <si>
    <t xml:space="preserve">     Marketing % of Sales</t>
  </si>
  <si>
    <t>Growth</t>
  </si>
  <si>
    <t>potential</t>
  </si>
  <si>
    <t>CHS.N,mscalc:targetPrice,,,,USD</t>
  </si>
  <si>
    <t>CHS.N,mscalc:closePriceCurrencyCalc</t>
  </si>
  <si>
    <t>CHS.N,mscalc:sedolCodeCalc</t>
  </si>
  <si>
    <t>3b.  Marketing   (% of Sales)</t>
  </si>
  <si>
    <t>3c.  Shared Services   (% of Sales)</t>
  </si>
  <si>
    <t xml:space="preserve">A company-owned store is included in the comparable sales base when it has been operated as a company store for at least </t>
  </si>
  <si>
    <t>thirteen months, including stores that have been expanded or relocated within approximately five miles of the original location.</t>
  </si>
  <si>
    <t>Catalog/Internet Sales</t>
  </si>
  <si>
    <t>Sales (mm) (a)</t>
  </si>
  <si>
    <t>(a) Internet Sales estimated to comprise &lt; $1 million in each of F1998 and F1999.</t>
  </si>
  <si>
    <t>Internet/Catalog Sales ($MM) (a)</t>
  </si>
  <si>
    <t>1997A (a)</t>
  </si>
  <si>
    <t>Square Footage (c)</t>
  </si>
  <si>
    <t xml:space="preserve">(a) </t>
  </si>
  <si>
    <t>Cost of Goods Sold divided by average inventory for the quarter.</t>
  </si>
  <si>
    <t>Following quarter's COGS divided by inventory at the end of the quarter.</t>
  </si>
  <si>
    <t>COGS (less D&amp;A)</t>
  </si>
  <si>
    <t>Square footage is presented on a gross basis and calculated by dividing reported net selling square footage by 0.8.</t>
  </si>
  <si>
    <t>Deferred tax (benefit) provision</t>
  </si>
  <si>
    <t>Tax benefit of options exercised</t>
  </si>
  <si>
    <t>B/S Calc</t>
  </si>
  <si>
    <t>Diff.</t>
  </si>
  <si>
    <t>Deferred rent expense, net</t>
  </si>
  <si>
    <t>Square Footage Analysis (b)</t>
  </si>
  <si>
    <t>(b) All gross square footage and related measures calculated using company data divided by 0.8.</t>
  </si>
  <si>
    <t>Liabilities and Shareholders' Equity</t>
  </si>
  <si>
    <t>Current Liabilities:</t>
  </si>
  <si>
    <t>Accounts payable</t>
  </si>
  <si>
    <t>Accrued liabilities</t>
  </si>
  <si>
    <t>Total Current Liabilities</t>
  </si>
  <si>
    <t>Shareholders' Equity:</t>
  </si>
  <si>
    <t>Common stock</t>
  </si>
  <si>
    <t>$100mm repo authorization completed on July 11</t>
  </si>
  <si>
    <t>Additional paid-in capital</t>
  </si>
  <si>
    <t>Retained earnings</t>
  </si>
  <si>
    <t>Total Shareholders' Equity</t>
  </si>
  <si>
    <t>Balance Check</t>
  </si>
  <si>
    <t>Other assets</t>
  </si>
  <si>
    <t>TOTAL LIABILITIES AND S/H EQUITY</t>
  </si>
  <si>
    <t>Sales</t>
  </si>
  <si>
    <t>COGS</t>
  </si>
  <si>
    <t>Comp. excl. DTC</t>
  </si>
  <si>
    <t>SG&amp;A</t>
  </si>
  <si>
    <t>Ratio calculations:</t>
  </si>
  <si>
    <t>Net Income</t>
  </si>
  <si>
    <t>A/R / Sales</t>
  </si>
  <si>
    <t>A/P / Inventory</t>
  </si>
  <si>
    <t>Merchandise Inventory / Sales</t>
  </si>
  <si>
    <t>Cash Flow Statement</t>
  </si>
  <si>
    <t xml:space="preserve">     % Gross Margin</t>
  </si>
  <si>
    <t>($ millions)</t>
  </si>
  <si>
    <t>$ in Millions</t>
  </si>
  <si>
    <t>% Change</t>
  </si>
  <si>
    <t>Quarterly</t>
  </si>
  <si>
    <t>Stores</t>
  </si>
  <si>
    <t xml:space="preserve">Apr </t>
  </si>
  <si>
    <t xml:space="preserve">Jul </t>
  </si>
  <si>
    <t xml:space="preserve">Oct </t>
  </si>
  <si>
    <t xml:space="preserve">Jan </t>
  </si>
  <si>
    <t>Inventory</t>
  </si>
  <si>
    <t>Inventory vs.</t>
  </si>
  <si>
    <t>Open</t>
  </si>
  <si>
    <t>Y-o-Y</t>
  </si>
  <si>
    <t>Cost of</t>
  </si>
  <si>
    <t>End of</t>
  </si>
  <si>
    <t>Prior</t>
  </si>
  <si>
    <t>Following</t>
  </si>
  <si>
    <t>at End</t>
  </si>
  <si>
    <t>per</t>
  </si>
  <si>
    <t>Goods Sold</t>
  </si>
  <si>
    <t>Quarter</t>
  </si>
  <si>
    <t>Average</t>
  </si>
  <si>
    <t>Prior Year</t>
  </si>
  <si>
    <t>Store</t>
  </si>
  <si>
    <t>Change</t>
  </si>
  <si>
    <t>x</t>
  </si>
  <si>
    <t>Total</t>
  </si>
  <si>
    <t>Comp</t>
  </si>
  <si>
    <t>Total/Comp</t>
  </si>
  <si>
    <t>Spread</t>
  </si>
  <si>
    <t>(1) - (2)</t>
  </si>
  <si>
    <t>(3)</t>
  </si>
  <si>
    <t>(1)</t>
  </si>
  <si>
    <t>(2)</t>
  </si>
  <si>
    <t>No. of Stores</t>
  </si>
  <si>
    <t>(4)</t>
  </si>
  <si>
    <t>(5)</t>
  </si>
  <si>
    <t>Expansion</t>
  </si>
  <si>
    <t>(6)</t>
  </si>
  <si>
    <t>Non-Comp</t>
  </si>
  <si>
    <t>Space</t>
  </si>
  <si>
    <t>Productivity (3)/(6)</t>
  </si>
  <si>
    <t>(7)</t>
  </si>
  <si>
    <t>(8)</t>
  </si>
  <si>
    <t>Per Avg.</t>
  </si>
  <si>
    <t>(9)</t>
  </si>
  <si>
    <t>Percent</t>
  </si>
  <si>
    <t>(10)</t>
  </si>
  <si>
    <t>vs.</t>
  </si>
  <si>
    <t>Turnover Analysis</t>
  </si>
  <si>
    <t>Average (a)</t>
  </si>
  <si>
    <t>Quarter (b)</t>
  </si>
  <si>
    <t>of Quarter</t>
  </si>
  <si>
    <t>Year-to-Year Dollar Change in Working Capital</t>
  </si>
  <si>
    <t>Net income</t>
  </si>
  <si>
    <t>Depreciation and amortization</t>
  </si>
  <si>
    <t>Chico's Comp</t>
  </si>
  <si>
    <t>WHBM Comp</t>
  </si>
  <si>
    <t>Combined Comp</t>
  </si>
  <si>
    <t>CHS Wtng</t>
  </si>
  <si>
    <t>WHBM Wtng</t>
  </si>
  <si>
    <t>Implied Remaining Duration on Reported Lease Payments</t>
  </si>
  <si>
    <t>% of average lease life term completed</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</si>
  <si>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</si>
  <si>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</si>
  <si>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</si>
  <si>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</si>
  <si>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</si>
  <si>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</si>
  <si>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</si>
  <si>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</si>
  <si>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</si>
  <si>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</si>
  <si>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</si>
  <si>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</si>
  <si>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EBIT</t>
  </si>
  <si>
    <t>Interest Expense</t>
  </si>
  <si>
    <t>$100mm reprch authriztn expires 9/05--$95mm left as of 04 end</t>
  </si>
  <si>
    <t>3Q04</t>
  </si>
  <si>
    <t>INTERACTIVE</t>
  </si>
  <si>
    <t>Base</t>
  </si>
  <si>
    <t xml:space="preserve">Type "Bull / Base / Bear" here to toggle scenarios &gt;&gt; </t>
  </si>
  <si>
    <t>Chico's Outlet</t>
  </si>
  <si>
    <t>WHIBM Outlet</t>
  </si>
  <si>
    <t>Pension Plan Assets</t>
  </si>
  <si>
    <t>Pension Plan Obligation</t>
  </si>
  <si>
    <t>Defecit/Surplus</t>
  </si>
  <si>
    <t>Total Other Intangible Assets</t>
  </si>
  <si>
    <t>Total Other NonCurrent Tangible Assets</t>
  </si>
  <si>
    <t xml:space="preserve">Amortization </t>
  </si>
  <si>
    <t>Total D&amp;A</t>
  </si>
  <si>
    <t>Depreciation as % of Total D&amp;A</t>
  </si>
  <si>
    <t>Growth Capex</t>
  </si>
  <si>
    <t>Maintenance Capex</t>
  </si>
  <si>
    <t>2000A</t>
  </si>
  <si>
    <t>1999A</t>
  </si>
  <si>
    <t>Margin</t>
  </si>
  <si>
    <t>N/A</t>
  </si>
  <si>
    <t>Outlet</t>
  </si>
  <si>
    <t>Operating Results Summary &amp; Financial Analysis</t>
  </si>
  <si>
    <t>NOPAT</t>
  </si>
  <si>
    <t>12</t>
  </si>
  <si>
    <t xml:space="preserve">  Depr. &amp; Amort.</t>
  </si>
  <si>
    <t>2009A</t>
  </si>
  <si>
    <t>WH BM Outlets</t>
  </si>
  <si>
    <t>Dividend Per Share</t>
  </si>
  <si>
    <t>Cash Dividend Paid</t>
  </si>
  <si>
    <t>LEASE MODEL</t>
  </si>
  <si>
    <t>Template Start Year</t>
  </si>
  <si>
    <t>Total Op Expense</t>
  </si>
  <si>
    <t>CY</t>
  </si>
  <si>
    <t>LY</t>
  </si>
  <si>
    <t>MS</t>
  </si>
  <si>
    <t>Cons</t>
  </si>
  <si>
    <t>Variance vs.</t>
  </si>
  <si>
    <t>EPS Impact</t>
  </si>
  <si>
    <t>Guidance</t>
  </si>
  <si>
    <t>New</t>
  </si>
  <si>
    <t>Old</t>
  </si>
  <si>
    <t>Actual vs. MSe</t>
  </si>
  <si>
    <t>Summary</t>
  </si>
  <si>
    <t>Interest and Other Expense/(Income)</t>
  </si>
  <si>
    <t>Interest Expense/(Income)</t>
  </si>
  <si>
    <t>CHS</t>
  </si>
  <si>
    <t>Comp. Store Sales (excl. DTC)</t>
  </si>
  <si>
    <t>Reverse Rent Payment</t>
  </si>
  <si>
    <t>(d)</t>
  </si>
  <si>
    <t>(b) DTC included in comp as of 2009</t>
  </si>
  <si>
    <t>(a) KG note 8/4/03 on WHBM acquisition: assume $0 revenue impact in 3Q03 as EPS will be 0 impact (i.e. revenue will be higher offset by lower margins for net 0 impact on EPS)</t>
  </si>
  <si>
    <t>Add Implied Depreciation Expense</t>
  </si>
  <si>
    <t>BASE CASE</t>
  </si>
  <si>
    <t>2016E</t>
  </si>
  <si>
    <t>2017E</t>
  </si>
  <si>
    <t>Interest and Other Exp/(Inc)</t>
  </si>
  <si>
    <t>Net Income from Operations</t>
  </si>
  <si>
    <t>Average Diluted Shares</t>
  </si>
  <si>
    <t>Comparable Store Sales</t>
  </si>
  <si>
    <t>BULL CASE</t>
  </si>
  <si>
    <t>Base Case Sales Comp Spread</t>
  </si>
  <si>
    <t>Bull Case Sales Comp Spread</t>
  </si>
  <si>
    <t>BEAR CASE</t>
  </si>
  <si>
    <t>Bear Case Sales Comp Spread</t>
  </si>
  <si>
    <t>Net Increase/(Decrease) to Pre-Tax Operating Income</t>
  </si>
  <si>
    <t>Do not break out WH sales in 10-Q until 1Q05</t>
  </si>
  <si>
    <t xml:space="preserve">   Per Selling Sq. Ft. Sales</t>
  </si>
  <si>
    <t>we est 1/2=store p/r, 1/3=occup, 1/6=other incl supplies, cc proc, utilities, etc.</t>
  </si>
  <si>
    <t>2013A</t>
  </si>
  <si>
    <t>International</t>
  </si>
  <si>
    <t>10a.  EPS excl Options Expense</t>
  </si>
  <si>
    <t>CapEx</t>
  </si>
  <si>
    <t>USD</t>
  </si>
  <si>
    <t>Options Expense</t>
  </si>
  <si>
    <t>For Edge model calculations</t>
  </si>
  <si>
    <t>Invested Capital:</t>
  </si>
  <si>
    <t>Current assets</t>
  </si>
  <si>
    <t>Non-interest bearing current liabilities</t>
  </si>
  <si>
    <t>Note: D&amp;A is a memo account 2006 and beyond (not included in Op. Income calculation)</t>
  </si>
  <si>
    <t>Loss on discontinued operations, net of tax</t>
  </si>
  <si>
    <t>10a.  Earnings Per Share (including discontinued operations) -- Fully Diluted   (% Change)</t>
  </si>
  <si>
    <t>Depreciation &amp; Amortization</t>
  </si>
  <si>
    <t>Capital Expenditures</t>
  </si>
  <si>
    <t>Change in working capital</t>
  </si>
  <si>
    <t>Chicos</t>
  </si>
  <si>
    <t>Check</t>
  </si>
  <si>
    <t>Multiple</t>
  </si>
  <si>
    <t>Dividends paid on unvested restricted stock</t>
  </si>
  <si>
    <t>Operating Margin</t>
  </si>
  <si>
    <t>Net Margin</t>
  </si>
  <si>
    <t xml:space="preserve"> Advertising Expense</t>
  </si>
  <si>
    <t>Source:  Company data.</t>
  </si>
  <si>
    <t>($ millions, except inventory per sq. ft. data)</t>
  </si>
  <si>
    <t>($ millions except per-share data)</t>
  </si>
  <si>
    <t>2004A</t>
  </si>
  <si>
    <t>Quarterly Results and Estimates</t>
  </si>
  <si>
    <t/>
  </si>
  <si>
    <t>Income Statement</t>
  </si>
  <si>
    <t>Cost of Goods Sold</t>
  </si>
  <si>
    <t>Gross Profit</t>
  </si>
  <si>
    <t>SG&amp;A Expense</t>
  </si>
  <si>
    <t xml:space="preserve">  Operating Income</t>
  </si>
  <si>
    <t xml:space="preserve">   Pretax Income</t>
  </si>
  <si>
    <t>Taxes</t>
  </si>
  <si>
    <t>Net Inc. From Ops</t>
  </si>
  <si>
    <t xml:space="preserve">Earnings Per Share </t>
  </si>
  <si>
    <t>Average Shares</t>
  </si>
  <si>
    <t xml:space="preserve">EBITDA </t>
  </si>
  <si>
    <t>Margin Analysis</t>
  </si>
  <si>
    <t xml:space="preserve">Gross Margin </t>
  </si>
  <si>
    <t>Expense Ratio</t>
  </si>
  <si>
    <t>Pretax Margin</t>
  </si>
  <si>
    <t>Tax Rate</t>
  </si>
  <si>
    <t>Year-Over-Year Growth</t>
  </si>
  <si>
    <t>Comp. Store Sales</t>
  </si>
  <si>
    <t>SG&amp;A  Expense</t>
  </si>
  <si>
    <t>Operating Income</t>
  </si>
  <si>
    <t>Total Sq Ft Growth</t>
  </si>
  <si>
    <t xml:space="preserve">    SG&amp;A excl. Rent % of Sales</t>
  </si>
  <si>
    <t>+ New Store Openings (excl closings)</t>
  </si>
  <si>
    <t>2003A</t>
  </si>
  <si>
    <t>Other intangible assets</t>
  </si>
  <si>
    <t>Acquisition, net of cash acquired</t>
  </si>
  <si>
    <t>F1994-1998 square footage data based on gross average store size multiplied by number of stores.</t>
  </si>
  <si>
    <t>Redemption of CD</t>
  </si>
  <si>
    <t>Issuance of common stock</t>
  </si>
  <si>
    <t>Deferred finance costs</t>
  </si>
  <si>
    <t>Chico's</t>
  </si>
  <si>
    <t>Prepaid expenses / Sales</t>
  </si>
  <si>
    <t>2005A</t>
  </si>
  <si>
    <t>Proceeds (Purchase) of marketable securities</t>
  </si>
  <si>
    <t>Increase in (payments on) debt</t>
  </si>
  <si>
    <t>2008A</t>
  </si>
  <si>
    <t>Implied leased assets, beginning of period</t>
  </si>
  <si>
    <t>Boston Proper</t>
  </si>
  <si>
    <t>Retail Sales Growth</t>
  </si>
  <si>
    <t>Internet Sales Growth</t>
  </si>
  <si>
    <t>Boston Proper Sales Growth</t>
  </si>
  <si>
    <t>eComm as a % of Total</t>
  </si>
  <si>
    <t>Square Footage Growth</t>
  </si>
  <si>
    <t>Store Opex Growth</t>
  </si>
  <si>
    <t># Stores Growth</t>
  </si>
  <si>
    <t>Total Number Store Openings/Closings Growth</t>
  </si>
  <si>
    <t>Total Number Store Openings Growth</t>
  </si>
  <si>
    <t xml:space="preserve">Additions </t>
  </si>
  <si>
    <t>Current year charge</t>
  </si>
  <si>
    <t>Implied leased assets</t>
  </si>
  <si>
    <t>Operating Lease Debt schedule</t>
  </si>
  <si>
    <t>Implied debt, beginning of period</t>
  </si>
  <si>
    <t>Interest</t>
  </si>
  <si>
    <t>Repayment</t>
  </si>
  <si>
    <t>Debt Issuances (Reductions)</t>
  </si>
  <si>
    <t>Implied debt</t>
  </si>
  <si>
    <t>% assets to liabilities</t>
  </si>
  <si>
    <t>Cumulative Adjustment To Equity</t>
  </si>
  <si>
    <t>Principal Paid</t>
  </si>
  <si>
    <t>Year over Year Adjustment in Equity</t>
  </si>
  <si>
    <t>Weighted average interest rate of lease portfolio</t>
  </si>
  <si>
    <t>Interest implicit in new leases signed</t>
  </si>
  <si>
    <t>Number of Units Leased</t>
  </si>
  <si>
    <t>Growth in Leased Units</t>
  </si>
  <si>
    <t>Leased Units / Total Units in Capacity (%)</t>
  </si>
  <si>
    <t>Capex per Unit</t>
  </si>
  <si>
    <t>% change in capex per unit</t>
  </si>
  <si>
    <t>Capital expenditure financed through operating leases</t>
  </si>
  <si>
    <t>Marginal Tax Rate</t>
  </si>
  <si>
    <t>Soma Outlet</t>
  </si>
  <si>
    <t>Soma Outlets</t>
  </si>
  <si>
    <t>% of Capital Expenditures financed through operating leases (sustainable)</t>
  </si>
  <si>
    <t>Capital expenditure financed through operating leases (Sustainable)</t>
  </si>
  <si>
    <t>Capital expenditure financed through operating leases (Growth)</t>
  </si>
  <si>
    <t>Sales Comp Spread</t>
  </si>
  <si>
    <t>base</t>
  </si>
  <si>
    <t>Current Year Operating Lease Payments</t>
  </si>
  <si>
    <t>YOY % Change in Current Year Operating Lease Expense</t>
  </si>
  <si>
    <t>Total Reported Lease Commitments</t>
  </si>
  <si>
    <t>Growth in Aggregate Lease Obligations</t>
  </si>
  <si>
    <t>Cumulative Payments After Year 5</t>
  </si>
  <si>
    <t>Implied Total Lease Life</t>
  </si>
  <si>
    <t>2010A</t>
  </si>
  <si>
    <t>2006A</t>
  </si>
  <si>
    <t>,mscalc:closePriceCurrencyCalc</t>
  </si>
  <si>
    <t>,mscalc:sedolCodeCalc</t>
  </si>
  <si>
    <t>,mscalc:targetPrice,,,,USD</t>
  </si>
  <si>
    <t>CHS.N,mscalc:targetPrice</t>
  </si>
  <si>
    <t>Revenue</t>
  </si>
  <si>
    <t>Cash &amp; ST Investments Per Share</t>
  </si>
  <si>
    <t>Bull</t>
  </si>
  <si>
    <t>Bear</t>
  </si>
  <si>
    <t>Fitigues</t>
  </si>
  <si>
    <t>Quarterly Analysis of Debt and Total Capital</t>
  </si>
  <si>
    <t>Cash &amp; Equivalents</t>
  </si>
  <si>
    <t>Short-Term Debt</t>
  </si>
  <si>
    <t>Long-Term Debt</t>
  </si>
  <si>
    <t>Total Debt</t>
  </si>
  <si>
    <t>Net Debt (Total Debt Less Cash)</t>
  </si>
  <si>
    <t>Shareholders' Equity</t>
  </si>
  <si>
    <t>Total Capital</t>
  </si>
  <si>
    <t>Total Debt as % of Total Capital</t>
  </si>
  <si>
    <t>Net Debt as % of Total Capital</t>
  </si>
  <si>
    <t>(11)</t>
  </si>
  <si>
    <t>(12)</t>
  </si>
  <si>
    <t>(13)</t>
  </si>
  <si>
    <t>Square Ft.</t>
  </si>
  <si>
    <t>(14)</t>
  </si>
  <si>
    <t>(15)</t>
  </si>
  <si>
    <t>(16)</t>
  </si>
  <si>
    <t>(17)</t>
  </si>
  <si>
    <t>Productivity (3)/(13)</t>
  </si>
  <si>
    <t>Sales (mm, except per foot data)</t>
  </si>
  <si>
    <t>Store Analysis</t>
  </si>
  <si>
    <t>+ New Store Openings</t>
  </si>
  <si>
    <t>Source:  Company reports.</t>
  </si>
  <si>
    <t xml:space="preserve">                                                                                                                        </t>
  </si>
  <si>
    <t xml:space="preserve"> </t>
  </si>
  <si>
    <t xml:space="preserve">     Comp Store Sales </t>
  </si>
  <si>
    <t>In December 1996, the Company changed its fiscal year from December to January. 1997 results for the year</t>
  </si>
  <si>
    <t>ended 1/98 restate 1996 comparisons; thus 1996 results are not directly comparable with 1995 figures.</t>
  </si>
  <si>
    <t>NM</t>
  </si>
  <si>
    <t># of Franchised Stores</t>
  </si>
  <si>
    <t>- Stores Closed/Sold to Co.</t>
  </si>
  <si>
    <t>Outlets</t>
  </si>
  <si>
    <t>Franchised Stores</t>
  </si>
  <si>
    <t>Marketable securities</t>
  </si>
  <si>
    <t>Chico's Company Stores</t>
  </si>
  <si>
    <t>CAGR</t>
  </si>
  <si>
    <t>Proceeds from sale of land</t>
  </si>
  <si>
    <t>Proceeds from sale of investment</t>
  </si>
  <si>
    <t>2007A</t>
  </si>
  <si>
    <t>Other asset turns</t>
  </si>
  <si>
    <t>YE IC turns</t>
  </si>
  <si>
    <t>Avg IC turns</t>
  </si>
  <si>
    <t>VBA Inputs:</t>
  </si>
  <si>
    <t>Required Cash</t>
  </si>
  <si>
    <t>LIFO Reserve</t>
  </si>
  <si>
    <t>D&amp;A</t>
  </si>
  <si>
    <t>Current portion of LT debt and def. rent oblig.</t>
  </si>
  <si>
    <t>Days Inventory</t>
  </si>
  <si>
    <t>on Hand</t>
  </si>
  <si>
    <t>Follow</t>
  </si>
  <si>
    <t>Avg. (a)</t>
  </si>
  <si>
    <t>Qtr (b)</t>
  </si>
  <si>
    <t xml:space="preserve">    Store Operating Expenses </t>
  </si>
  <si>
    <t xml:space="preserve">         % of sales</t>
  </si>
  <si>
    <t xml:space="preserve">    Marketing</t>
  </si>
  <si>
    <t xml:space="preserve">    Shared Services</t>
  </si>
  <si>
    <t>Currency</t>
  </si>
  <si>
    <t>Count</t>
  </si>
  <si>
    <t>For the fiscal year ending January 31 of the following year</t>
  </si>
  <si>
    <t xml:space="preserve">Net Sales ($MM) </t>
  </si>
  <si>
    <t>Accrued Liabilities / SG&amp;A</t>
  </si>
  <si>
    <t>TOTAL EXTERNAL SOURCES</t>
  </si>
  <si>
    <t>Total External Sources &amp; Cash</t>
  </si>
  <si>
    <t>Inventory     (Y-o-Y % Change vs. % Sales Growth)</t>
  </si>
  <si>
    <t>per 10-K repurchased 233,310 shares for $9.2mm thru 4/6/06 (window only open for 1 week thru 4/6, so assume bought more in week 2 and 3 of April)</t>
  </si>
  <si>
    <t>Equals:  "Operating" Working Capital     (Y-o-Y % Change vs. % Sales Growth)</t>
  </si>
  <si>
    <t>Plus:  Receivables and Other Current Assets     (Y-o-Y % Change vs. % Sales Growth)</t>
  </si>
  <si>
    <t>Less:   Accounts Payable     (Y-o-Y % Change vs. % Sales Growth)</t>
  </si>
  <si>
    <t>Less:  Accrued Liabilities and Other     (Y-o-Y % Change vs. % Sales Growth)</t>
  </si>
  <si>
    <t>Total Sales</t>
  </si>
  <si>
    <t>New Store Size (Gross Sq. Ft.)</t>
  </si>
  <si>
    <t>Square Footage</t>
  </si>
  <si>
    <t>At</t>
  </si>
  <si>
    <t>Sq. Ft.</t>
  </si>
  <si>
    <t>Sources of Cash</t>
  </si>
  <si>
    <t>EBITDA</t>
  </si>
  <si>
    <t>Pretax Income</t>
  </si>
  <si>
    <t>Gross Margin</t>
  </si>
  <si>
    <t>Gross Fixed Assets</t>
  </si>
  <si>
    <t>EBITDA Margin</t>
  </si>
  <si>
    <t>Multiple to take the asset to the original book value</t>
  </si>
  <si>
    <t>Total depreciable assets</t>
  </si>
  <si>
    <t>Depreciation of take on book value</t>
  </si>
  <si>
    <t>Market Capitalization</t>
  </si>
  <si>
    <t xml:space="preserve">     y/y Dollar Growth</t>
  </si>
  <si>
    <t>2015E</t>
  </si>
  <si>
    <t>Excess Cash</t>
  </si>
  <si>
    <t>ANN.N,mscalc:defaultCurrencyCalc</t>
  </si>
  <si>
    <t xml:space="preserve">      Internet growth</t>
  </si>
  <si>
    <t>Sanity check - store only growth</t>
  </si>
  <si>
    <t>Sanity check - implied store comp</t>
  </si>
  <si>
    <t>CapEx ($ millions)</t>
  </si>
  <si>
    <t>Avg Size (gross square feet)</t>
  </si>
  <si>
    <t>Annual Data (Year end)</t>
  </si>
  <si>
    <t>Cost of Goods Sold (incl. D&amp;A)</t>
  </si>
  <si>
    <t>Gross Margin (incl. D&amp;A, as reported)</t>
  </si>
  <si>
    <t>Chico's Outlets</t>
  </si>
  <si>
    <t>WHBM Outlets</t>
  </si>
  <si>
    <t>Jan '07</t>
  </si>
  <si>
    <t>Jan '08</t>
  </si>
  <si>
    <t>Jan '09</t>
  </si>
  <si>
    <t>Jan '10</t>
  </si>
  <si>
    <t>Jan '11</t>
  </si>
  <si>
    <t>Jan '12</t>
  </si>
  <si>
    <t>Jan '13</t>
  </si>
  <si>
    <t>Jan '14</t>
  </si>
  <si>
    <t>Jan '15</t>
  </si>
  <si>
    <t>Jan '16</t>
  </si>
  <si>
    <t>Jan '17</t>
  </si>
  <si>
    <t>Comp. Store Sales (incl. DTC)</t>
  </si>
  <si>
    <t xml:space="preserve">   Boston Proper growth</t>
  </si>
  <si>
    <t>Sanity check - implied store only</t>
  </si>
  <si>
    <t>CHS.N</t>
  </si>
  <si>
    <t>3Q12E</t>
  </si>
  <si>
    <t>.</t>
  </si>
  <si>
    <t>Inventory Growth</t>
  </si>
  <si>
    <t xml:space="preserve">Sales Growth </t>
  </si>
  <si>
    <t>(a) In December 1996, the Company changed its fiscal year from December to January. 1997 results for the year</t>
  </si>
  <si>
    <t>Soma</t>
  </si>
  <si>
    <t>EV</t>
  </si>
  <si>
    <t>net debt</t>
  </si>
  <si>
    <t>Px Target</t>
  </si>
  <si>
    <t>CHS.US</t>
  </si>
  <si>
    <t>Add Estimated Interest Expense</t>
  </si>
  <si>
    <t xml:space="preserve">   Boston Proper</t>
  </si>
  <si>
    <t>Net Increase/(Decrease) to Pre-tax Income</t>
  </si>
  <si>
    <t>Net working capital (NWC)</t>
  </si>
  <si>
    <t>Net fixed assets</t>
  </si>
  <si>
    <t>Goodwill</t>
  </si>
  <si>
    <t>Deferred financing costs, net</t>
  </si>
  <si>
    <t>Adjustments:</t>
  </si>
  <si>
    <t>Accumulated goodwill amortization</t>
  </si>
  <si>
    <t>Unrecorded goodwill</t>
  </si>
  <si>
    <t>Cumulative asset writedowns</t>
  </si>
  <si>
    <t>Present value of operating leases</t>
  </si>
  <si>
    <t>Total fixed assets &amp; equivalents</t>
  </si>
  <si>
    <t>Other Assets</t>
  </si>
  <si>
    <t>Invested capital (YE)</t>
  </si>
  <si>
    <t>Average invested capital</t>
  </si>
  <si>
    <t>Incremental NWC</t>
  </si>
  <si>
    <t>Incremental fixed assets</t>
  </si>
  <si>
    <t>Incremental other assets</t>
  </si>
  <si>
    <t>Incremental invested capital (YE)</t>
  </si>
  <si>
    <t>Turns:</t>
  </si>
  <si>
    <t>NWC turns</t>
  </si>
  <si>
    <t>Fixed asset turns</t>
  </si>
  <si>
    <t>Average Basic Shares</t>
  </si>
  <si>
    <t>2012E</t>
  </si>
  <si>
    <t>Floor Space (Sq Ft millions)</t>
  </si>
  <si>
    <t>Statutory Tax Rate</t>
  </si>
  <si>
    <t>Federal taxes</t>
  </si>
  <si>
    <t>State Taxes</t>
  </si>
  <si>
    <t>MW requirements</t>
  </si>
  <si>
    <t>Net Issuances</t>
  </si>
  <si>
    <t>Unrecorded Goodwill from Poolings</t>
  </si>
  <si>
    <t>Dividend</t>
  </si>
  <si>
    <t>Occup</t>
  </si>
  <si>
    <t>Sourcing</t>
  </si>
  <si>
    <t>Markdown</t>
  </si>
  <si>
    <t>FC Estimates</t>
  </si>
  <si>
    <t>First Call Estimates</t>
  </si>
  <si>
    <t>Deferred Liabilities</t>
  </si>
  <si>
    <t>LT Debt</t>
  </si>
  <si>
    <t>This sheet contains Factset binary data for use with this workbook's =FDS codes.  Modifying the worksheet's contents may damage the workbook's =FDS functionality.</t>
  </si>
  <si>
    <t>Earnings Per Share</t>
  </si>
  <si>
    <t>Annual Data (Yearend)</t>
  </si>
  <si>
    <t xml:space="preserve">Store Count </t>
  </si>
  <si>
    <t>Inventory Turnover</t>
  </si>
  <si>
    <t>Depreciation</t>
  </si>
  <si>
    <t>n/m</t>
  </si>
  <si>
    <t>Cash Per Share</t>
  </si>
  <si>
    <t>Operating EPS</t>
  </si>
  <si>
    <t>Chico's Div.</t>
  </si>
  <si>
    <t>WH|BM Div.</t>
  </si>
  <si>
    <t>WACC</t>
  </si>
  <si>
    <t>Note: Ending cash balance + ST investments</t>
  </si>
  <si>
    <t>Net Debt</t>
  </si>
  <si>
    <t>Current Stock Price</t>
  </si>
  <si>
    <t>Dividends Per Share</t>
  </si>
  <si>
    <t>Dividend Yield</t>
  </si>
  <si>
    <t>Turnover</t>
  </si>
  <si>
    <t>Analysis</t>
  </si>
  <si>
    <t>Occup. Costs</t>
  </si>
  <si>
    <t xml:space="preserve">INCL  </t>
  </si>
  <si>
    <t>Total Sq Ft (millions)</t>
  </si>
  <si>
    <t>Payables / Inventory</t>
  </si>
  <si>
    <t>Debt to Total capital</t>
  </si>
  <si>
    <t>Interest Income/(Expense)</t>
  </si>
  <si>
    <t>Annual Sales Model, Fiscal 2004A-2015E</t>
  </si>
  <si>
    <t>Annual Earnings Model, Fiscal 2004A-2015E</t>
  </si>
  <si>
    <t>Restated to reflect a 3-for-2 stock split in January 2002, a 2-for-1 stock split in January 2000 and a 3-for-2 stock split in May 2001.</t>
  </si>
  <si>
    <t>F01 sales results exclude catalog/Internet sales of approximately $10 million.</t>
  </si>
  <si>
    <t>2001A</t>
  </si>
  <si>
    <t>Return on Equity</t>
  </si>
  <si>
    <t xml:space="preserve">     Rent Expense</t>
  </si>
  <si>
    <t xml:space="preserve">    Rent % of Sales</t>
  </si>
  <si>
    <t xml:space="preserve">     CAM Charges</t>
  </si>
  <si>
    <t xml:space="preserve">    CAM % of Rent</t>
  </si>
  <si>
    <t>2002A</t>
  </si>
  <si>
    <t>Pazo Stores</t>
  </si>
  <si>
    <t>Pazo</t>
  </si>
  <si>
    <t>4.  Depreciation &amp; Amortization   (% of Sales)</t>
  </si>
  <si>
    <t xml:space="preserve">5.  Operating Income (% Operating Margin) </t>
  </si>
  <si>
    <t>6.  Net Interest Income/(Expense)   (% of Sales)</t>
  </si>
  <si>
    <t>7.  Pretax Income/(Loss)   (% Pretax Margin)/% Change</t>
  </si>
  <si>
    <t>8.  Income Taxes/(Credit)   (% Tax Rate)</t>
  </si>
  <si>
    <t>9.  Net Earnings   (% Change)</t>
  </si>
  <si>
    <t>10.  Earnings Per Share -- Fully Diluted   (% Change)</t>
  </si>
  <si>
    <t>4.  Depreciation &amp; Amortization</t>
  </si>
  <si>
    <t>5.  Operating Income</t>
  </si>
  <si>
    <t>6.  Interest Income (Expense)</t>
  </si>
  <si>
    <t>7.  Pretax Income</t>
  </si>
  <si>
    <t>8.  Income Taxes</t>
  </si>
  <si>
    <t>9.  Net Income</t>
  </si>
  <si>
    <t>3a. Options Expense</t>
  </si>
  <si>
    <t>3a.  Option Expense   (% of Sales)</t>
  </si>
  <si>
    <t xml:space="preserve">10.  Earnings Per Share </t>
  </si>
  <si>
    <t>11.  Shares Outstanding</t>
  </si>
  <si>
    <t>D&amp;A Ratio</t>
  </si>
  <si>
    <t>excl. expansions/relocations</t>
  </si>
  <si>
    <t>White House | Black Market</t>
  </si>
  <si>
    <t>2196781</t>
  </si>
  <si>
    <t>WHBM</t>
  </si>
  <si>
    <t>KG note 8/4/03 on WHBM acquisition: assume $0 revenue impact in 3Q03 as EPS will be 0 impact (i.e. revenue will be higher offset by lower margins for net 0 impact on EPS)</t>
  </si>
  <si>
    <t>3a.  Store Operating Expenses   (% of Sales)</t>
  </si>
  <si>
    <t>Cash and cash equivalents</t>
  </si>
  <si>
    <t>Property and equipment, net</t>
  </si>
  <si>
    <t>Total Liabilities</t>
  </si>
  <si>
    <t>Accum. other comprehensive gain (loss)</t>
  </si>
  <si>
    <t>Certificate of Deposit</t>
  </si>
  <si>
    <t>Note: D&amp;A included in SG&amp;A expenses in 2006 going forward.</t>
  </si>
  <si>
    <t xml:space="preserve">     % Operating Margin</t>
  </si>
  <si>
    <t>Sales Per Avg. Gross Sq. Ft.</t>
  </si>
  <si>
    <t>%</t>
  </si>
  <si>
    <t xml:space="preserve">   % Chg. from LY</t>
  </si>
  <si>
    <t># Stores Open BOY</t>
  </si>
  <si>
    <t>- Stores Closed</t>
  </si>
  <si>
    <t># Stores Open EOY</t>
  </si>
  <si>
    <t>Avg. # Open</t>
  </si>
  <si>
    <t xml:space="preserve">   % Chg. Avg. Units</t>
  </si>
  <si>
    <t>Avg Net Sales Per Store ($MM)</t>
  </si>
  <si>
    <t>Avg. Gross Sq. Ft. (MM)</t>
  </si>
  <si>
    <t>Ending Gross Sq. Ft. (MM)</t>
  </si>
  <si>
    <t>2018E</t>
  </si>
  <si>
    <t>Avg. Store Size (Gross Sq. Ft.)</t>
  </si>
  <si>
    <t>New Space Productivity</t>
  </si>
  <si>
    <t>Operating Profit ($MM)</t>
  </si>
  <si>
    <t xml:space="preserve">     % Margin</t>
  </si>
  <si>
    <t>TOTAL ASSETS</t>
  </si>
  <si>
    <t>Apr</t>
  </si>
  <si>
    <t>Jul</t>
  </si>
  <si>
    <t>Oct</t>
  </si>
  <si>
    <t>Jan</t>
  </si>
  <si>
    <t>($ millions except per share data)</t>
  </si>
  <si>
    <t>1.  Sales</t>
  </si>
  <si>
    <t xml:space="preserve">     % Increase</t>
  </si>
  <si>
    <t>2.  Cost of Goods Sold</t>
  </si>
  <si>
    <t>3.  SG&amp;A Expense</t>
  </si>
  <si>
    <t xml:space="preserve">     Expense Ratio</t>
  </si>
  <si>
    <t xml:space="preserve">       % Margin</t>
  </si>
  <si>
    <t xml:space="preserve">       % Tax Rate</t>
  </si>
  <si>
    <t xml:space="preserve">       % Net Margin</t>
  </si>
  <si>
    <t xml:space="preserve">       % Increase</t>
  </si>
  <si>
    <t>Quarterly Operating Results and Financial Analysis</t>
  </si>
  <si>
    <t>($ in millions except per share data)</t>
  </si>
  <si>
    <t>1Q</t>
  </si>
  <si>
    <t>2Q</t>
  </si>
  <si>
    <t>3Q</t>
  </si>
  <si>
    <t>4Q</t>
  </si>
  <si>
    <t>Year</t>
  </si>
  <si>
    <t>6 Mos</t>
  </si>
  <si>
    <t>9 Mos</t>
  </si>
  <si>
    <t>2.  Cost of Goods Sold   (% Gross Margin)</t>
  </si>
  <si>
    <t>3.  Selling, General &amp; Administrative Expenses   (% of Sales)</t>
  </si>
  <si>
    <t>(a)</t>
  </si>
  <si>
    <t>(b)</t>
  </si>
  <si>
    <t>(c)</t>
  </si>
  <si>
    <t>Balance Sheet</t>
  </si>
  <si>
    <t>($ in millions)</t>
  </si>
  <si>
    <t>Current Assets:</t>
  </si>
  <si>
    <t>Accounts receivable</t>
  </si>
  <si>
    <t>Merchandise inventories</t>
  </si>
  <si>
    <t>Prepaid expenses</t>
  </si>
  <si>
    <t>Deferred taxes</t>
  </si>
  <si>
    <t>Total Current Assets</t>
  </si>
  <si>
    <t>Other Assets:</t>
  </si>
  <si>
    <t>Total Other Assets</t>
  </si>
  <si>
    <t>Equity</t>
  </si>
  <si>
    <t>Equity Value</t>
  </si>
  <si>
    <t>2012A</t>
  </si>
  <si>
    <t>Assumptions</t>
  </si>
  <si>
    <t>Other non-cash adjustments</t>
  </si>
  <si>
    <t>TOTAL OPERATING SOURCES</t>
  </si>
  <si>
    <t>Capital expenditures</t>
  </si>
  <si>
    <t>Increase (decrease) in</t>
  </si>
  <si>
    <t>Inventories</t>
  </si>
  <si>
    <t xml:space="preserve">(Increase) decrease in </t>
  </si>
  <si>
    <t>Total working capital uses</t>
  </si>
  <si>
    <t>INTERNAL CASH GENERATION (FUNDS NEEDED)</t>
  </si>
  <si>
    <t>TOTAL OPERATING USES</t>
  </si>
  <si>
    <t>External Sources and Changes in Cash</t>
  </si>
  <si>
    <t>Beginning cash balance</t>
  </si>
  <si>
    <t>Ending cash balance</t>
  </si>
  <si>
    <t>Increase (decrease) in cash</t>
  </si>
  <si>
    <t>Accrued liabilities and other</t>
  </si>
  <si>
    <t xml:space="preserve">       </t>
  </si>
  <si>
    <t>At January 31 of the following year</t>
  </si>
  <si>
    <t>Period</t>
  </si>
  <si>
    <t>Soma Boutiques</t>
  </si>
  <si>
    <t>Cumulative</t>
  </si>
  <si>
    <t>NA</t>
  </si>
  <si>
    <t>Chico's FAS Inc.</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</si>
  <si>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</si>
  <si>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</si>
  <si>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</si>
  <si>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</si>
  <si>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</si>
  <si>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</si>
  <si>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</si>
  <si>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</si>
  <si>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</si>
  <si>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2011A</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</si>
  <si>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</si>
  <si>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</si>
  <si>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</si>
  <si>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</si>
  <si>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</si>
  <si>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</si>
  <si>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</si>
  <si>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</si>
  <si>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</si>
  <si>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</si>
  <si>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</si>
  <si>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</si>
  <si>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Present Value of Incremental Lease Payments</t>
  </si>
  <si>
    <t>Increase in current year lease payments versus previous years expected</t>
  </si>
  <si>
    <t>Estimated additions to leased assets in period</t>
  </si>
  <si>
    <t>Depreciation schedule</t>
  </si>
  <si>
    <t>Assumed Average Lease Life</t>
  </si>
  <si>
    <t>Percentage of assets, non depreciable</t>
  </si>
  <si>
    <t>Fade rate for depreciation of opening balance</t>
  </si>
  <si>
    <t xml:space="preserve">   % Chg. from LY (Avg. Sq. Ft.)</t>
  </si>
  <si>
    <t>Chico's Closed</t>
  </si>
  <si>
    <t>Chicos outlet</t>
  </si>
  <si>
    <t>WHBM outlet</t>
  </si>
  <si>
    <t>Soma outlet</t>
  </si>
  <si>
    <t>Basic Shares Outstanding</t>
  </si>
  <si>
    <t>Weighted Average Basic Shares Outstanding</t>
  </si>
  <si>
    <t>Chico's Division</t>
  </si>
  <si>
    <t>WH|BM Division</t>
  </si>
  <si>
    <t>2004 Chico's comps should = total company</t>
  </si>
  <si>
    <t>2014E</t>
  </si>
  <si>
    <t xml:space="preserve">  Store Operating Expenses</t>
  </si>
  <si>
    <t xml:space="preserve">  Marketing</t>
  </si>
  <si>
    <t xml:space="preserve">  Shared Services</t>
  </si>
  <si>
    <t xml:space="preserve">  Store Operating % Sales</t>
  </si>
  <si>
    <t xml:space="preserve">  Marketing % Sales</t>
  </si>
  <si>
    <t>Source: Company reports and Morgan Stanley Research estimates.</t>
  </si>
  <si>
    <t>Adj EBITDA</t>
  </si>
  <si>
    <t>Implied EV</t>
  </si>
  <si>
    <t>Year End Cash</t>
  </si>
  <si>
    <t xml:space="preserve">Year End LT Debt </t>
  </si>
  <si>
    <t xml:space="preserve"> Net Debt</t>
  </si>
  <si>
    <t>Diluted Shares</t>
  </si>
  <si>
    <t>Per Share Equity Value</t>
  </si>
  <si>
    <t>Discount Rate</t>
  </si>
  <si>
    <t>Years to Discount</t>
  </si>
  <si>
    <t>Analysis of Space Productivity, 2004A-2015E</t>
  </si>
  <si>
    <t>Quarterly Analysis of Inventory Turnover, 2004-2015E</t>
  </si>
  <si>
    <t>2019E</t>
  </si>
  <si>
    <t>1Q14</t>
  </si>
  <si>
    <r>
      <t>1. Net Sales    (% Increase -- Total/Comparable Stores)</t>
    </r>
    <r>
      <rPr>
        <sz val="10"/>
        <color indexed="12"/>
        <rFont val="Arial"/>
        <family val="2"/>
      </rPr>
      <t xml:space="preserve">  (b)</t>
    </r>
  </si>
  <si>
    <r>
      <t>11.  Average Shares Outstanding -- Fully Diluted</t>
    </r>
    <r>
      <rPr>
        <b/>
        <sz val="10"/>
        <color indexed="12"/>
        <rFont val="Arial"/>
        <family val="2"/>
      </rPr>
      <t xml:space="preserve">   </t>
    </r>
    <r>
      <rPr>
        <sz val="10"/>
        <color indexed="12"/>
        <rFont val="Arial"/>
        <family val="2"/>
      </rPr>
      <t>(c)</t>
    </r>
  </si>
  <si>
    <t>Quarterly Analysis of "Operating" Working Capital, 2004-2015A</t>
  </si>
  <si>
    <t>Jan '18</t>
  </si>
  <si>
    <t>Jan '19</t>
  </si>
  <si>
    <t>2014A</t>
  </si>
  <si>
    <t>Chico's Outlet Closed</t>
  </si>
  <si>
    <t>Chico's ONLY</t>
  </si>
  <si>
    <t>Analysis of Space Productivity, 2014A-2015E</t>
  </si>
  <si>
    <t>Chico's Division (Chico's &amp; Soma through FY13)</t>
  </si>
  <si>
    <t>1Q15</t>
  </si>
  <si>
    <t>CHS.N,mscalc:sharePriceCurrent</t>
  </si>
  <si>
    <t>15.1</t>
  </si>
  <si>
    <t>Model</t>
  </si>
  <si>
    <t>Forecasts</t>
  </si>
  <si>
    <t>Metric</t>
  </si>
  <si>
    <t>Operating Taxes</t>
  </si>
  <si>
    <t xml:space="preserve">  NOPAT Margin</t>
  </si>
  <si>
    <t>+Depreciation &amp; Amortization</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</si>
  <si>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</si>
  <si>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</si>
  <si>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</si>
  <si>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</si>
  <si>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</si>
  <si>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</si>
  <si>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</si>
  <si>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</si>
  <si>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</si>
  <si>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 xml:space="preserve">Debt Balance </t>
  </si>
  <si>
    <t>Risk-Free Rate</t>
  </si>
  <si>
    <t>Market Risk Premium</t>
  </si>
  <si>
    <t>Equity Beta</t>
  </si>
  <si>
    <t>Cost of Debt (Pre-tax)</t>
  </si>
  <si>
    <t>Required Equity Return</t>
  </si>
  <si>
    <t xml:space="preserve">Fully Diluted Shares </t>
  </si>
  <si>
    <t>Current Share Price</t>
  </si>
  <si>
    <t>Market Enterprise Value</t>
  </si>
  <si>
    <t>Sum of NPV Forecasted CFs</t>
  </si>
  <si>
    <t>Intrinsic Enterprise Value</t>
  </si>
  <si>
    <t>Less: Debt</t>
  </si>
  <si>
    <t>Plus: Cash</t>
  </si>
  <si>
    <t>Less: MV of Non-controlling Interest</t>
  </si>
  <si>
    <t>Plus: MV of Equity Investments</t>
  </si>
  <si>
    <t>Equity Value per Share</t>
  </si>
  <si>
    <t>Jan '20</t>
  </si>
  <si>
    <t>2015A</t>
  </si>
  <si>
    <t>WHBM Outlet</t>
  </si>
  <si>
    <t>Treasury Stock</t>
  </si>
  <si>
    <t>Restated Ex-BP and Reclassified B&amp;O and Shipping expenses to COGS</t>
  </si>
  <si>
    <t>Y/Y changes pre-restatement</t>
  </si>
  <si>
    <t>Sales / Avg Sq Ft (Including eComm)</t>
  </si>
  <si>
    <t>Sales / Avg Sq Ft (Store Only)</t>
  </si>
  <si>
    <t>Store Sales ($MM)</t>
  </si>
  <si>
    <t>2Q15</t>
  </si>
  <si>
    <t>3Q15</t>
  </si>
  <si>
    <t>4Q15</t>
  </si>
  <si>
    <t>ZAV(TF.FN.LTDebtExclCapitalizedLeases(period=FY0,sdate=-8FY,edate=0FY,curn=#1,scale=6))</t>
  </si>
  <si>
    <t>Long Term Debt excluding Capitalized Leases</t>
  </si>
  <si>
    <t>ZAV(TF.FN.STDebtAndCurrentPortionLTDebt(period=FY0,sdate=-8FY,edate=0FY,curn=#1,scale=6))</t>
  </si>
  <si>
    <t>Short Term Debt and Current Portion Long Term Debt</t>
  </si>
  <si>
    <t>ZAV(TF.FN.InterestExpenseOnDebt(period=FY0,sdate=-8FY,edate=0FY,curn=#1,scale=6))</t>
  </si>
  <si>
    <t>ZAV(TF.FN.InterestExpenseOnDebt(period=FY0,sdate=#1,edate=#2,curn=#3)/(ZAV(TF.FN.STDebtAndCurrentPortionLTDebt(period=FY0,sdate=#1,edate=#2,curn=#3))+ZAV(TF.FN.LTDebtExclCapitalizedLeases(period=FY0,sdate=#1,edate=#2,curn=#3))))</t>
  </si>
  <si>
    <t xml:space="preserve">Interest Rate </t>
  </si>
  <si>
    <t>ZAV(Avg(TF.FN.InterestExpenseOnDebt(period=#1,sdate=0FY,edate=-4FY,curn=#2)/(TF.FN.STDebtAndCurrentPortionLTDebt(period=#1,sdate=0FY,edate=-4FY,curn=#2)+TF.FN.LTDebtExclCapitalizedLeases(period=#1,sdate=0FY,edate=-4FY,curn=#2))))</t>
  </si>
  <si>
    <t>5 years Average Interest Rate</t>
  </si>
  <si>
    <t>TRSL data download</t>
  </si>
  <si>
    <t>Interest Rate Calculation</t>
  </si>
  <si>
    <t>mscalc:defaultCurrencyCalc</t>
  </si>
  <si>
    <t>CHS.N,mscalc:defaultCurrencyCalc</t>
  </si>
  <si>
    <t>$T$2</t>
  </si>
  <si>
    <t>2016A</t>
  </si>
  <si>
    <t>8a.  Net Income and Dividends Declared Allocated to Participating Securities</t>
  </si>
  <si>
    <t>1Q17E</t>
  </si>
  <si>
    <t xml:space="preserve">Per Share Value </t>
  </si>
  <si>
    <t>Cash Balance (2018E)</t>
  </si>
  <si>
    <t>2QFY2018</t>
  </si>
  <si>
    <t>2Q17A</t>
  </si>
  <si>
    <t>2Q16A</t>
  </si>
  <si>
    <t>1Q16</t>
  </si>
  <si>
    <t>2Q16</t>
  </si>
  <si>
    <t>3Q16</t>
  </si>
  <si>
    <t>4Q16</t>
  </si>
  <si>
    <t>2020E</t>
  </si>
  <si>
    <t>'17-22E</t>
  </si>
  <si>
    <t>FY16 y/y Margin Change</t>
  </si>
  <si>
    <t>'11-16A</t>
  </si>
  <si>
    <t>11</t>
  </si>
  <si>
    <t>2017A</t>
  </si>
  <si>
    <t>Cost of Debt (Post-tax @ 21%)</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</si>
  <si>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</si>
  <si>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</si>
  <si>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</si>
  <si>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</si>
  <si>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</si>
  <si>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</si>
  <si>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</si>
  <si>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</si>
  <si>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</si>
  <si>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</si>
  <si>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09 Apr 2018</t>
  </si>
  <si>
    <t>Ticker: CHS.N</t>
  </si>
  <si>
    <t>Stock Rating: Equal-Weight</t>
  </si>
  <si>
    <t>Industry: Retail, Specialty Retail</t>
  </si>
  <si>
    <t>Industry View: Cautious</t>
  </si>
  <si>
    <t>Price as of 09 Apr 2018: 10.00</t>
  </si>
  <si>
    <t>Target Price: 12</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</si>
  <si>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</si>
  <si>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</si>
  <si>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</si>
  <si>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</si>
  <si>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Chico's FAS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</si>
  <si>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</si>
  <si>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</si>
  <si>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</si>
  <si>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</si>
  <si>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</si>
  <si>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</si>
  <si>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</si>
  <si>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</si>
  <si>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</si>
  <si>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</si>
  <si>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</si>
  <si>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</si>
  <si>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</si>
  <si>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</si>
  <si>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</si>
  <si>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</si>
  <si>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</si>
  <si>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</si>
  <si>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</si>
  <si>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</si>
  <si>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</si>
  <si>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</si>
  <si>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</si>
  <si>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</si>
  <si>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</si>
  <si>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</si>
  <si>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</si>
  <si>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</si>
  <si>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</si>
  <si>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</si>
  <si>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</si>
  <si>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</si>
  <si>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</si>
  <si>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</si>
  <si>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</si>
  <si>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</si>
  <si>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</si>
  <si>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</si>
  <si>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</si>
  <si>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</si>
  <si>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</si>
  <si>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</si>
  <si>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</si>
  <si>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</si>
  <si>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</si>
  <si>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</si>
  <si>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</si>
  <si>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</si>
  <si>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</si>
  <si>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</si>
  <si>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</si>
  <si>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</si>
  <si>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</si>
  <si>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</si>
  <si>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</si>
  <si>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</si>
  <si>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</si>
  <si>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</si>
  <si>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</si>
  <si>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</si>
  <si>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</si>
  <si>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</si>
  <si>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</si>
  <si>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</si>
  <si>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</si>
  <si>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</si>
  <si>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</si>
  <si>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</si>
  <si>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</si>
  <si>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</si>
  <si>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</si>
  <si>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</si>
  <si>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</si>
  <si>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</si>
  <si>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</si>
  <si>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</si>
  <si>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</si>
  <si>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</si>
  <si>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</si>
  <si>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</si>
  <si>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</si>
  <si>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</si>
  <si>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</si>
  <si>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</si>
  <si>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</si>
  <si>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</si>
  <si>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</si>
  <si>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</si>
  <si>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</si>
  <si>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</si>
  <si>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</si>
  <si>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</si>
  <si>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</si>
  <si>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</si>
  <si>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</si>
  <si>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</si>
  <si>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</si>
  <si>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</si>
  <si>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</si>
  <si>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</si>
  <si>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</si>
  <si>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</si>
  <si>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</si>
  <si>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</si>
  <si>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</si>
  <si>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</si>
  <si>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</si>
  <si>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</si>
  <si>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</si>
  <si>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</si>
  <si>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</si>
  <si>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</si>
  <si>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</si>
  <si>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</si>
  <si>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</si>
  <si>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</si>
  <si>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</si>
  <si>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</si>
  <si>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</si>
  <si>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</si>
  <si>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</si>
  <si>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</si>
  <si>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</si>
  <si>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</si>
  <si>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</si>
  <si>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</si>
  <si>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</si>
  <si>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</si>
  <si>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</si>
  <si>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</si>
  <si>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</si>
  <si>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</si>
  <si>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</si>
  <si>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</si>
  <si>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</si>
  <si>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</si>
  <si>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</si>
  <si>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</si>
  <si>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</si>
  <si>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</si>
  <si>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</si>
  <si>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</si>
  <si>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</si>
  <si>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</si>
  <si>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</si>
  <si>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</si>
  <si>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</si>
  <si>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</si>
  <si>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</si>
  <si>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</si>
  <si>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</si>
  <si>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</si>
  <si>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</si>
  <si>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</si>
  <si>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</si>
  <si>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</si>
  <si>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</si>
  <si>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</si>
  <si>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</si>
  <si>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</si>
  <si>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</si>
  <si>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</si>
  <si>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</si>
  <si>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</si>
  <si>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</si>
  <si>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</si>
  <si>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</si>
  <si>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</si>
  <si>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</si>
  <si>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</si>
  <si>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</si>
  <si>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</si>
  <si>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</si>
  <si>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</si>
  <si>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</si>
  <si>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</si>
  <si>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</si>
  <si>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</si>
  <si>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</si>
  <si>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</si>
  <si>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</si>
  <si>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</si>
  <si>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</si>
  <si>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</si>
  <si>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</si>
  <si>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</si>
  <si>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</si>
  <si>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</si>
  <si>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</si>
  <si>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</si>
  <si>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</si>
  <si>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</si>
  <si>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</si>
  <si>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</si>
  <si>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</si>
  <si>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</si>
  <si>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</si>
  <si>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</si>
  <si>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</si>
  <si>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</si>
  <si>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</si>
  <si>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</si>
  <si>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</si>
  <si>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</si>
  <si>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</si>
  <si>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</si>
  <si>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</si>
  <si>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</si>
  <si>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</si>
  <si>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</si>
  <si>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</si>
  <si>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</si>
  <si>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</si>
  <si>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</si>
  <si>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</si>
  <si>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</si>
  <si>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</si>
  <si>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</si>
  <si>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</si>
  <si>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</si>
  <si>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</si>
  <si>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</si>
  <si>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</si>
  <si>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</si>
  <si>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</si>
  <si>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</si>
  <si>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</si>
  <si>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</si>
  <si>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</si>
  <si>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</si>
  <si>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</si>
  <si>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</si>
  <si>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</si>
  <si>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</si>
  <si>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</si>
  <si>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</si>
  <si>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</si>
  <si>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</si>
  <si>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</si>
  <si>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</si>
  <si>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</si>
  <si>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</si>
  <si>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</si>
  <si>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</si>
  <si>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</si>
  <si>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</si>
  <si>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</si>
  <si>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</si>
  <si>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</si>
  <si>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</si>
  <si>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</si>
  <si>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</si>
  <si>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</si>
  <si>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</si>
  <si>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</si>
  <si>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</si>
  <si>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</si>
  <si>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</si>
  <si>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</si>
  <si>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</si>
  <si>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</si>
  <si>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</si>
  <si>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</si>
  <si>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</si>
  <si>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</si>
  <si>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</si>
  <si>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</si>
  <si>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</si>
  <si>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</si>
  <si>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</si>
  <si>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</si>
  <si>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</si>
  <si>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</si>
  <si>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</si>
  <si>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</si>
  <si>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</si>
  <si>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</si>
  <si>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</si>
  <si>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</si>
  <si>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</si>
  <si>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</si>
  <si>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</si>
  <si>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</si>
  <si>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</si>
  <si>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</si>
  <si>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</si>
  <si>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</si>
  <si>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</si>
  <si>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</si>
  <si>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</si>
  <si>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</si>
  <si>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</si>
  <si>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</si>
  <si>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</si>
  <si>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</si>
  <si>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</si>
  <si>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</si>
  <si>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</si>
  <si>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</si>
  <si>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</si>
  <si>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</si>
  <si>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</si>
  <si>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</si>
  <si>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</si>
  <si>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</si>
  <si>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</si>
  <si>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</si>
  <si>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</si>
  <si>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</si>
  <si>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</si>
  <si>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</si>
  <si>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</si>
  <si>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</si>
  <si>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Cautious</t>
  </si>
  <si>
    <t>Regular Update</t>
  </si>
  <si>
    <t>NorthAmerica</t>
  </si>
  <si>
    <t>edouardd</t>
  </si>
  <si>
    <t>L:\RETAIL\Greenberger\Companies\CHS\Models\CHS.xlsm</t>
  </si>
  <si>
    <t>Please contact edouard.de.courreges@ms.com with any questions/concerns. Updated in accordance with the 10-K release. Thank you, Ed</t>
  </si>
  <si>
    <t>[BRO MSA]</t>
  </si>
  <si>
    <t>[PRODUCT MODEL]</t>
  </si>
  <si>
    <t>[EMAIL_ALERT YES]</t>
  </si>
  <si>
    <t>[DISCIPLINE Company]</t>
  </si>
  <si>
    <t>[SUPPRESSED NO]</t>
  </si>
  <si>
    <t>[DOCDAT 2018-04-09]</t>
  </si>
  <si>
    <t>[DOCTIME 14:59]</t>
  </si>
  <si>
    <t>[PSYM CHS.N(S&amp;P) (None)]</t>
  </si>
  <si>
    <t>[COU 1]</t>
  </si>
  <si>
    <t>[ANA ]</t>
  </si>
  <si>
    <t>[HL CHS.N Model]</t>
  </si>
  <si>
    <t>[IND RETSPA]</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</si>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</sst>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8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
    <numFmt numFmtId="167" formatCode="#,##0.0;\(#,##0.0\)"/>
    <numFmt numFmtId="168" formatCode="#,##0.0_);\(#,##0.0\)"/>
    <numFmt numFmtId="169" formatCode="#,##0.000_);[Red]\(#,##0.000\)"/>
    <numFmt numFmtId="171" formatCode="#,##0.0_);[Red]\(#,##0.0\)"/>
    <numFmt numFmtId="172" formatCode="0.000"/>
    <numFmt numFmtId="173" formatCode="&quot;$&quot;#,##0.0_);[Red]\(&quot;$&quot;#,##0.0\)"/>
    <numFmt numFmtId="174" formatCode="&quot;$&quot;#,##0.0_);\(&quot;$&quot;#,##0.0\)"/>
    <numFmt numFmtId="175" formatCode="0.000000"/>
    <numFmt numFmtId="176" formatCode="#,##0.0000"/>
    <numFmt numFmtId="177" formatCode="_(* #,##0_);_(* \(#,##0\);_(* &quot;-&quot;??_);_(@_)"/>
    <numFmt numFmtId="178" formatCode="&quot;$&quot;#,##0.00"/>
    <numFmt numFmtId="179" formatCode="&quot;$&quot;#,##0"/>
    <numFmt numFmtId="180" formatCode="General_)"/>
    <numFmt numFmtId="181" formatCode="0.0_)"/>
    <numFmt numFmtId="182" formatCode="&quot;$&quot;#,##0.0"/>
    <numFmt numFmtId="183" formatCode="0.0_);\(0.0\)"/>
    <numFmt numFmtId="184" formatCode="_(* #,##0.0000_);_(* \(#,##0.0000\);_(* &quot;-&quot;??_);_(@_)"/>
    <numFmt numFmtId="185" formatCode="0_);\(0\)"/>
    <numFmt numFmtId="186" formatCode="#,##0.000_);\(#,##0.000\)"/>
    <numFmt numFmtId="187" formatCode="&quot;$&quot;#,##0.000_);\(&quot;$&quot;#,##0.000\)"/>
    <numFmt numFmtId="188" formatCode="###0_);\(###0\)"/>
    <numFmt numFmtId="189" formatCode="mm/dd/yy_)"/>
    <numFmt numFmtId="190" formatCode="&quot;$&quot;#,##0.0\ ;[Red]\(&quot;$&quot;#,##0.0\)"/>
    <numFmt numFmtId="191" formatCode="0.0%;\(0.0%\)"/>
    <numFmt numFmtId="192" formatCode="\(0.0\)"/>
    <numFmt numFmtId="193" formatCode="\+0.0;\-0.0"/>
    <numFmt numFmtId="194" formatCode="\+0%;\-0%"/>
    <numFmt numFmtId="195" formatCode="0.000_)"/>
    <numFmt numFmtId="196" formatCode="&quot;$&quot;#,##0.000"/>
    <numFmt numFmtId="197" formatCode="####\A"/>
    <numFmt numFmtId="198" formatCode="\/0.0;\/\-0.0"/>
    <numFmt numFmtId="199" formatCode="####&quot;E&quot;"/>
    <numFmt numFmtId="200" formatCode="#,##0.0\ ;\(#,##0.0\)"/>
    <numFmt numFmtId="201" formatCode="#,##0.0\ ;[Red]\(#,##0.0\)"/>
    <numFmt numFmtId="202" formatCode="#,##0.0%\ ;[Red]\(#,##0.0%\)"/>
    <numFmt numFmtId="203" formatCode="0.0_);[Red]\(0.0\)"/>
    <numFmt numFmtId="204" formatCode="0_);[Red]\(0\)"/>
    <numFmt numFmtId="205" formatCode="#,##0.000000_);[Red]\(#,##0.000000\)"/>
    <numFmt numFmtId="207" formatCode="_-* #,##0.00_-;\-* #,##0.00_-;_-* &quot;-&quot;??_-;_-@_-"/>
    <numFmt numFmtId="214" formatCode="\(0.00\)"/>
    <numFmt numFmtId="215" formatCode="0.0000"/>
    <numFmt numFmtId="216" formatCode="0.00000"/>
    <numFmt numFmtId="219" formatCode="\/0.000000;\/\-0.000000"/>
    <numFmt numFmtId="220" formatCode="###0&quot;E&quot;"/>
    <numFmt numFmtId="221" formatCode="_(* #,##0.000_);_(* \(#,##0.000\);_(* &quot;-&quot;??_);_(@_)"/>
    <numFmt numFmtId="222" formatCode="0.00000000"/>
    <numFmt numFmtId="224" formatCode="_(* #,##0.0_);_(* \(#,##0.0\);_(* &quot;-&quot;??_);_(@_)"/>
    <numFmt numFmtId="225" formatCode="\+0.00;\-0.00"/>
    <numFmt numFmtId="227" formatCode="0.000%"/>
    <numFmt numFmtId="228" formatCode="_-&quot;£&quot;* #,##0.00_-;\-&quot;£&quot;* #,##0.00_-;_-&quot;£&quot;* &quot;-&quot;??_-;_-@_-"/>
    <numFmt numFmtId="240" formatCode="0.0\x"/>
    <numFmt numFmtId="242" formatCode="0\ &quot;bps&quot;"/>
    <numFmt numFmtId="244" formatCode="&quot;$&quot;#,##0.000_);[Red]\(&quot;$&quot;#,##0.000\)"/>
    <numFmt numFmtId="245" formatCode="\+0;\-0"/>
    <numFmt numFmtId="246" formatCode="#,##0;\(#,##0\)"/>
    <numFmt numFmtId="247" formatCode="\/0.00;\/\-0.00"/>
    <numFmt numFmtId="248" formatCode="General\A"/>
    <numFmt numFmtId="252" formatCode="\F###0\A"/>
    <numFmt numFmtId="253" formatCode="\F###0\E"/>
    <numFmt numFmtId="254" formatCode="###0"/>
    <numFmt numFmtId="255" formatCode="###0.00"/>
    <numFmt numFmtId="257" formatCode="###0.0"/>
    <numFmt numFmtId="258" formatCode="\F###0"/>
    <numFmt numFmtId="265" formatCode="\(0\)"/>
    <numFmt numFmtId="266" formatCode="&quot;$&quot;#,##0.0000_);[Red]\(&quot;$&quot;#,##0.0000\)"/>
    <numFmt numFmtId="267" formatCode="_(* #,##0.0_);_(* \(#,##0.0\);_(* &quot;-&quot;?_);_(@_)"/>
    <numFmt numFmtId="268" formatCode="_(&quot;$&quot;* #,##0.0_);_(&quot;$&quot;* \(#,##0.0\);_(&quot;$&quot;* &quot;-&quot;?_);_(@_)"/>
    <numFmt numFmtId="269" formatCode="0\x"/>
    <numFmt numFmtId="271" formatCode="0.000000000000000"/>
    <numFmt numFmtId="272" formatCode="0.00000000000000"/>
    <numFmt numFmtId="273" formatCode="mm/yyyy"/>
    <numFmt numFmtId="279" formatCode="mm/dd/yy\ hh:mm"/>
  </numFmts>
  <fonts count="114">
    <font>
      <sz val="10"/>
      <name val="Arial"/>
    </font>
    <font>
      <sz val="10"/>
      <name val="Arial"/>
      <family val="2"/>
    </font>
    <font>
      <sz val="10"/>
      <name val="Helv"/>
    </font>
    <font>
      <sz val="10"/>
      <name val="Courier"/>
      <family val="3"/>
    </font>
    <font>
      <sz val="8"/>
      <name val="Arial"/>
      <family val="2"/>
    </font>
    <font>
      <sz val="7"/>
      <name val="Courier"/>
      <family val="3"/>
    </font>
    <font>
      <sz val="8"/>
      <name val="Helv"/>
    </font>
    <font>
      <u/>
      <sz val="10"/>
      <name val="Helv"/>
    </font>
    <font>
      <sz val="10"/>
      <name val="Arial"/>
      <family val="2"/>
    </font>
    <font>
      <u/>
      <sz val="10"/>
      <name val="Arial"/>
      <family val="2"/>
    </font>
    <font>
      <b/>
      <sz val="8"/>
      <name val="Arial"/>
      <family val="2"/>
    </font>
    <font>
      <b/>
      <sz val="10"/>
      <name val="Arial"/>
      <family val="2"/>
    </font>
    <font>
      <sz val="10"/>
      <color indexed="12"/>
      <name val="Arial"/>
      <family val="2"/>
    </font>
    <font>
      <i/>
      <sz val="8"/>
      <name val="Arial"/>
      <family val="2"/>
    </font>
    <font>
      <b/>
      <u/>
      <sz val="8"/>
      <name val="Arial"/>
      <family val="2"/>
    </font>
    <font>
      <b/>
      <sz val="8"/>
      <color indexed="12"/>
      <name val="Arial"/>
      <family val="2"/>
    </font>
    <font>
      <b/>
      <u/>
      <sz val="8"/>
      <color indexed="12"/>
      <name val="Arial"/>
      <family val="2"/>
    </font>
    <font>
      <sz val="8"/>
      <color indexed="12"/>
      <name val="Arial"/>
      <family val="2"/>
    </font>
    <font>
      <sz val="8"/>
      <color indexed="81"/>
      <name val="Tahoma"/>
      <family val="2"/>
    </font>
    <font>
      <b/>
      <sz val="8"/>
      <color indexed="81"/>
      <name val="Tahoma"/>
      <family val="2"/>
    </font>
    <font>
      <b/>
      <sz val="10"/>
      <color indexed="12"/>
      <name val="Arial"/>
      <family val="2"/>
    </font>
    <font>
      <b/>
      <u/>
      <sz val="10"/>
      <name val="Arial"/>
      <family val="2"/>
    </font>
    <font>
      <b/>
      <u/>
      <sz val="10"/>
      <color indexed="12"/>
      <name val="Arial"/>
      <family val="2"/>
    </font>
    <font>
      <u/>
      <sz val="8"/>
      <name val="Arial"/>
      <family val="2"/>
    </font>
    <font>
      <sz val="8"/>
      <color indexed="17"/>
      <name val="Arial"/>
      <family val="2"/>
    </font>
    <font>
      <b/>
      <sz val="11"/>
      <name val="Arial"/>
      <family val="2"/>
    </font>
    <font>
      <sz val="11"/>
      <name val="Arial"/>
      <family val="2"/>
    </font>
    <font>
      <i/>
      <sz val="10"/>
      <name val="Arial"/>
      <family val="2"/>
    </font>
    <font>
      <sz val="10"/>
      <color indexed="17"/>
      <name val="Arial"/>
      <family val="2"/>
    </font>
    <font>
      <sz val="10"/>
      <color indexed="9"/>
      <name val="Arial"/>
      <family val="2"/>
    </font>
    <font>
      <b/>
      <sz val="10"/>
      <color indexed="81"/>
      <name val="Tahoma"/>
      <family val="2"/>
    </font>
    <font>
      <sz val="10"/>
      <color indexed="81"/>
      <name val="Tahoma"/>
      <family val="2"/>
    </font>
    <font>
      <b/>
      <sz val="9"/>
      <color indexed="81"/>
      <name val="Tahoma"/>
      <family val="2"/>
    </font>
    <font>
      <sz val="9"/>
      <color indexed="81"/>
      <name val="Tahoma"/>
      <family val="2"/>
    </font>
    <font>
      <b/>
      <i/>
      <sz val="10"/>
      <name val="Arial"/>
      <family val="2"/>
    </font>
    <font>
      <b/>
      <sz val="12"/>
      <name val="Arial"/>
      <family val="2"/>
    </font>
    <font>
      <sz val="10"/>
      <color indexed="57"/>
      <name val="Arial"/>
      <family val="2"/>
    </font>
    <font>
      <sz val="8"/>
      <name val="Arial"/>
      <family val="2"/>
    </font>
    <font>
      <b/>
      <sz val="10"/>
      <color indexed="22"/>
      <name val="Arial"/>
      <family val="2"/>
    </font>
    <font>
      <sz val="10"/>
      <color indexed="22"/>
      <name val="Arial"/>
      <family val="2"/>
    </font>
    <font>
      <sz val="10"/>
      <color indexed="8"/>
      <name val="Arial"/>
      <family val="2"/>
    </font>
    <font>
      <b/>
      <sz val="10"/>
      <color indexed="9"/>
      <name val="Arial"/>
      <family val="2"/>
    </font>
    <font>
      <b/>
      <sz val="8"/>
      <color indexed="21"/>
      <name val="Arial"/>
      <family val="2"/>
    </font>
    <font>
      <sz val="8"/>
      <color indexed="21"/>
      <name val="Arial"/>
      <family val="2"/>
    </font>
    <font>
      <b/>
      <i/>
      <sz val="10"/>
      <color indexed="12"/>
      <name val="Arial"/>
      <family val="2"/>
    </font>
    <font>
      <sz val="10"/>
      <color indexed="20"/>
      <name val="Arial"/>
      <family val="2"/>
    </font>
    <font>
      <sz val="10"/>
      <color indexed="10"/>
      <name val="Arial"/>
      <family val="2"/>
    </font>
    <font>
      <sz val="9"/>
      <name val="Futura UBS Bk"/>
    </font>
    <font>
      <i/>
      <sz val="10"/>
      <color indexed="9"/>
      <name val="Arial"/>
      <family val="2"/>
    </font>
    <font>
      <i/>
      <sz val="10"/>
      <color indexed="12"/>
      <name val="Arial"/>
      <family val="2"/>
    </font>
    <font>
      <i/>
      <sz val="10"/>
      <color indexed="20"/>
      <name val="Arial"/>
      <family val="2"/>
    </font>
    <font>
      <b/>
      <sz val="7"/>
      <color indexed="81"/>
      <name val="Tahoma"/>
      <family val="2"/>
    </font>
    <font>
      <sz val="7"/>
      <color indexed="81"/>
      <name val="Tahoma"/>
      <family val="2"/>
    </font>
    <font>
      <sz val="10"/>
      <name val="MS Sans Serif"/>
      <family val="2"/>
    </font>
    <font>
      <b/>
      <sz val="8"/>
      <color indexed="9"/>
      <name val="Arial"/>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8"/>
      <name val="Times New Roman"/>
      <family val="1"/>
    </font>
    <font>
      <sz val="8"/>
      <color indexed="9"/>
      <name val="Arial"/>
      <family val="2"/>
    </font>
    <font>
      <b/>
      <sz val="14"/>
      <color indexed="18"/>
      <name val="Arial"/>
      <family val="2"/>
    </font>
    <font>
      <b/>
      <sz val="10"/>
      <color indexed="10"/>
      <name val="Arial"/>
      <family val="2"/>
    </font>
    <font>
      <b/>
      <sz val="12"/>
      <color indexed="12"/>
      <name val="Arial"/>
      <family val="2"/>
    </font>
    <font>
      <sz val="10"/>
      <color indexed="53"/>
      <name val="Arial"/>
      <family val="2"/>
    </font>
    <font>
      <sz val="10"/>
      <color indexed="8"/>
      <name val="Arial"/>
      <family val="2"/>
    </font>
    <font>
      <sz val="10"/>
      <color indexed="23"/>
      <name val="Arial"/>
      <family val="2"/>
    </font>
    <font>
      <u/>
      <sz val="8"/>
      <color indexed="81"/>
      <name val="Tahoma"/>
      <family val="2"/>
    </font>
    <font>
      <sz val="8"/>
      <color indexed="9"/>
      <name val="Arial"/>
      <family val="2"/>
    </font>
    <font>
      <sz val="8"/>
      <color indexed="22"/>
      <name val="Arial"/>
      <family val="2"/>
    </font>
    <font>
      <sz val="8"/>
      <color indexed="23"/>
      <name val="Arial"/>
      <family val="2"/>
    </font>
    <font>
      <sz val="10"/>
      <color indexed="55"/>
      <name val="Arial"/>
      <family val="2"/>
    </font>
    <font>
      <sz val="10"/>
      <color indexed="61"/>
      <name val="Arial"/>
      <family val="2"/>
    </font>
    <font>
      <sz val="8"/>
      <color indexed="55"/>
      <name val="Arial"/>
      <family val="2"/>
    </font>
    <font>
      <b/>
      <u/>
      <sz val="8"/>
      <color indexed="23"/>
      <name val="Arial"/>
      <family val="2"/>
    </font>
    <font>
      <i/>
      <sz val="10"/>
      <color indexed="17"/>
      <name val="Arial"/>
      <family val="2"/>
    </font>
    <font>
      <b/>
      <sz val="8"/>
      <color indexed="62"/>
      <name val="Arial"/>
      <family val="2"/>
    </font>
    <font>
      <sz val="8"/>
      <color indexed="12"/>
      <name val="Arial"/>
      <family val="2"/>
    </font>
    <font>
      <b/>
      <sz val="10"/>
      <color indexed="8"/>
      <name val="Arial"/>
      <family val="2"/>
    </font>
    <font>
      <b/>
      <u/>
      <sz val="10"/>
      <color indexed="8"/>
      <name val="Arial"/>
      <family val="2"/>
    </font>
    <font>
      <u/>
      <sz val="10"/>
      <color indexed="8"/>
      <name val="Arial"/>
      <family val="2"/>
    </font>
    <font>
      <u/>
      <sz val="10"/>
      <color indexed="20"/>
      <name val="Arial"/>
      <family val="2"/>
    </font>
    <font>
      <sz val="10"/>
      <color indexed="62"/>
      <name val="Arial"/>
      <family val="2"/>
    </font>
    <font>
      <b/>
      <sz val="10"/>
      <color indexed="20"/>
      <name val="Arial"/>
      <family val="2"/>
    </font>
    <font>
      <b/>
      <u/>
      <sz val="13"/>
      <name val="Arial"/>
      <family val="2"/>
    </font>
    <font>
      <sz val="10"/>
      <color indexed="8"/>
      <name val="MS Sans Serif"/>
      <family val="2"/>
    </font>
    <font>
      <sz val="8.25"/>
      <name val="Microsoft Sans Serif"/>
      <family val="2"/>
    </font>
    <font>
      <sz val="8"/>
      <color indexed="10"/>
      <name val="Arial"/>
      <family val="2"/>
    </font>
    <font>
      <sz val="10"/>
      <color indexed="12"/>
      <name val="Arial"/>
      <family val="2"/>
    </font>
    <font>
      <sz val="10"/>
      <color indexed="17"/>
      <name val="Arial"/>
      <family val="2"/>
    </font>
    <font>
      <sz val="10"/>
      <color indexed="8"/>
      <name val="Arial"/>
      <family val="2"/>
    </font>
    <font>
      <b/>
      <sz val="10"/>
      <color indexed="8"/>
      <name val="Arial"/>
      <family val="2"/>
    </font>
    <font>
      <b/>
      <i/>
      <sz val="10"/>
      <color indexed="62"/>
      <name val="Arial"/>
      <family val="2"/>
    </font>
    <font>
      <i/>
      <sz val="10"/>
      <color indexed="8"/>
      <name val="Arial"/>
      <family val="2"/>
    </font>
    <font>
      <i/>
      <sz val="10"/>
      <color indexed="23"/>
      <name val="Arial"/>
      <family val="2"/>
    </font>
    <font>
      <i/>
      <sz val="10"/>
      <color indexed="44"/>
      <name val="Arial"/>
      <family val="2"/>
    </font>
    <font>
      <i/>
      <sz val="10"/>
      <color indexed="9"/>
      <name val="Arial"/>
      <family val="2"/>
    </font>
    <font>
      <i/>
      <sz val="8"/>
      <color indexed="55"/>
      <name val="Arial"/>
      <family val="2"/>
    </font>
    <font>
      <i/>
      <sz val="8"/>
      <color indexed="9"/>
      <name val="Arial"/>
      <family val="2"/>
    </font>
    <font>
      <sz val="8"/>
      <color indexed="8"/>
      <name val="Arial"/>
      <family val="2"/>
    </font>
    <font>
      <sz val="8"/>
      <color indexed="12"/>
      <name val="Arial"/>
      <family val="2"/>
    </font>
    <font>
      <b/>
      <sz val="10"/>
      <color indexed="12"/>
      <name val="Arial"/>
      <family val="2"/>
    </font>
    <font>
      <i/>
      <sz val="10"/>
      <color indexed="22"/>
      <name val="Arial"/>
      <family val="2"/>
    </font>
    <font>
      <sz val="10"/>
      <name val="ＭＳ Ｐゴシック"/>
      <family val="3"/>
      <charset val="128"/>
    </font>
    <font>
      <sz val="10"/>
      <color indexed="43"/>
      <name val="Arial"/>
      <family val="2"/>
    </font>
    <font>
      <sz val="10"/>
      <color indexed="12"/>
      <name val="Arial"/>
      <family val="2"/>
    </font>
    <font>
      <sz val="10"/>
      <color indexed="12"/>
      <name val="Arial"/>
      <family val="2"/>
    </font>
    <font>
      <i/>
      <sz val="10"/>
      <color indexed="12"/>
      <name val="Arial"/>
      <family val="2"/>
    </font>
    <font>
      <b/>
      <u/>
      <sz val="10"/>
      <color rgb="FF0000FF"/>
      <name val="Arial"/>
      <family val="2"/>
    </font>
    <font>
      <sz val="10"/>
      <color rgb="FF0000FF"/>
      <name val="Arial"/>
      <family val="2"/>
    </font>
    <font>
      <b/>
      <sz val="10"/>
      <color rgb="FF0000FF"/>
      <name val="Arial"/>
      <family val="2"/>
    </font>
    <font>
      <sz val="8"/>
      <color rgb="FF0000FF"/>
      <name val="Arial"/>
      <family val="2"/>
    </font>
    <font>
      <sz val="10"/>
      <color rgb="FF000000"/>
      <name val="Arial"/>
      <family val="2"/>
    </font>
    <font>
      <b/>
      <sz val="12"/>
      <color rgb="FF000080"/>
      <name val="Arial"/>
      <family val="2"/>
    </font>
  </fonts>
  <fills count="12">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8"/>
        <bgColor indexed="64"/>
      </patternFill>
    </fill>
    <fill>
      <patternFill patternType="solid">
        <fgColor indexed="44"/>
        <bgColor indexed="64"/>
      </patternFill>
    </fill>
    <fill>
      <patternFill patternType="solid">
        <fgColor indexed="47"/>
        <bgColor indexed="64"/>
      </patternFill>
    </fill>
    <fill>
      <patternFill patternType="solid">
        <fgColor indexed="53"/>
        <bgColor indexed="64"/>
      </patternFill>
    </fill>
    <fill>
      <patternFill patternType="solid">
        <fgColor theme="0"/>
        <bgColor indexed="64"/>
      </patternFill>
    </fill>
    <fill>
      <patternFill patternType="solid">
        <fgColor indexed="65"/>
        <bgColor indexed="64"/>
      </patternFill>
    </fill>
  </fills>
  <borders count="46">
    <border>
      <left/>
      <right/>
      <top/>
      <bottom/>
      <diagonal/>
    </border>
    <border>
      <left style="thin">
        <color indexed="64"/>
      </left>
      <right/>
      <top/>
      <bottom/>
      <diagonal/>
    </border>
    <border>
      <left/>
      <right/>
      <top/>
      <bottom style="thin">
        <color indexed="64"/>
      </bottom>
      <diagonal/>
    </border>
    <border>
      <left/>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double">
        <color indexed="64"/>
      </bottom>
      <diagonal/>
    </border>
    <border>
      <left/>
      <right/>
      <top style="thin">
        <color indexed="20"/>
      </top>
      <bottom style="thin">
        <color indexed="2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5">
    <xf numFmtId="0" fontId="0" fillId="0" borderId="0"/>
    <xf numFmtId="0" fontId="1" fillId="0" borderId="0"/>
    <xf numFmtId="0" fontId="1" fillId="0" borderId="0"/>
    <xf numFmtId="0" fontId="8" fillId="0" borderId="0" applyNumberFormat="0" applyFont="0" applyFill="0" applyBorder="0" applyAlignment="0" applyProtection="0"/>
    <xf numFmtId="0" fontId="8" fillId="0" borderId="0" applyFill="0" applyAlignment="0">
      <protection locked="0"/>
    </xf>
    <xf numFmtId="0" fontId="1" fillId="2" borderId="0" applyNumberFormat="0" applyFont="0" applyBorder="0" applyAlignment="0" applyProtection="0"/>
    <xf numFmtId="0" fontId="1" fillId="0" borderId="0"/>
    <xf numFmtId="0" fontId="53" fillId="0" borderId="0"/>
    <xf numFmtId="0" fontId="53" fillId="0" borderId="0"/>
    <xf numFmtId="0" fontId="55"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1" fillId="0" borderId="0" applyFont="0" applyFill="0" applyBorder="0" applyAlignment="0" applyProtection="0"/>
    <xf numFmtId="0" fontId="8" fillId="0" borderId="0" applyNumberFormat="0" applyFill="0" applyBorder="0" applyAlignment="0" applyProtection="0">
      <alignment vertical="top"/>
      <protection locked="0"/>
    </xf>
    <xf numFmtId="0" fontId="8" fillId="0" borderId="0"/>
    <xf numFmtId="0" fontId="2" fillId="0" borderId="0"/>
    <xf numFmtId="0" fontId="8" fillId="0" borderId="0"/>
    <xf numFmtId="0" fontId="1" fillId="0" borderId="0"/>
    <xf numFmtId="0" fontId="2" fillId="0" borderId="0"/>
    <xf numFmtId="37" fontId="3" fillId="0" borderId="0"/>
    <xf numFmtId="0" fontId="3" fillId="0" borderId="0"/>
    <xf numFmtId="180" fontId="5" fillId="0" borderId="0" applyNumberFormat="0" applyBorder="0" applyAlignment="0">
      <alignment horizontal="left"/>
    </xf>
    <xf numFmtId="0" fontId="56" fillId="0" borderId="0"/>
    <xf numFmtId="0" fontId="4" fillId="0" borderId="0"/>
    <xf numFmtId="0" fontId="4" fillId="0" borderId="0"/>
    <xf numFmtId="180" fontId="3" fillId="0" borderId="0"/>
    <xf numFmtId="0" fontId="3" fillId="0" borderId="0"/>
    <xf numFmtId="0" fontId="8" fillId="0" borderId="0"/>
    <xf numFmtId="0" fontId="1" fillId="0" borderId="0"/>
    <xf numFmtId="180" fontId="3" fillId="0" borderId="0"/>
    <xf numFmtId="0" fontId="6" fillId="0" borderId="0"/>
    <xf numFmtId="0" fontId="8" fillId="0" borderId="0"/>
    <xf numFmtId="0" fontId="56" fillId="0" borderId="0">
      <alignment vertical="center"/>
    </xf>
    <xf numFmtId="9" fontId="1"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8" fillId="2" borderId="0" applyNumberFormat="0" applyFont="0" applyBorder="0" applyAlignment="0" applyProtection="0"/>
    <xf numFmtId="0" fontId="57" fillId="0" borderId="0"/>
    <xf numFmtId="0" fontId="57" fillId="0" borderId="13">
      <alignment horizontal="centerContinuous"/>
    </xf>
    <xf numFmtId="0" fontId="58" fillId="0" borderId="13"/>
    <xf numFmtId="0" fontId="4" fillId="4" borderId="9" applyNumberFormat="0" applyProtection="0">
      <alignment wrapText="1"/>
    </xf>
    <xf numFmtId="171" fontId="7" fillId="0" borderId="0"/>
    <xf numFmtId="0" fontId="3" fillId="0" borderId="0"/>
  </cellStyleXfs>
  <cellXfs count="1708">
    <xf numFmtId="0" fontId="0" fillId="0" borderId="0" xfId="0"/>
    <xf numFmtId="220" fontId="11" fillId="0" borderId="5" xfId="35" applyNumberFormat="1" applyFont="1" applyBorder="1" applyAlignment="1">
      <alignment horizontal="center"/>
    </xf>
    <xf numFmtId="0" fontId="1" fillId="0" borderId="0" xfId="1"/>
    <xf numFmtId="180" fontId="8" fillId="0" borderId="0" xfId="31" applyFont="1"/>
    <xf numFmtId="180" fontId="8" fillId="0" borderId="2" xfId="31" applyFont="1" applyBorder="1"/>
    <xf numFmtId="189" fontId="8" fillId="0" borderId="0" xfId="31" applyNumberFormat="1" applyFont="1" applyBorder="1" applyAlignment="1" applyProtection="1">
      <alignment horizontal="left"/>
    </xf>
    <xf numFmtId="180" fontId="8" fillId="0" borderId="0" xfId="31" applyNumberFormat="1" applyFont="1" applyProtection="1"/>
    <xf numFmtId="180" fontId="8" fillId="0" borderId="0" xfId="31" applyNumberFormat="1" applyFont="1" applyAlignment="1" applyProtection="1">
      <alignment horizontal="left"/>
    </xf>
    <xf numFmtId="5" fontId="8" fillId="0" borderId="0" xfId="31" applyNumberFormat="1" applyFont="1" applyProtection="1"/>
    <xf numFmtId="168" fontId="8" fillId="0" borderId="0" xfId="31" applyNumberFormat="1" applyFont="1" applyProtection="1"/>
    <xf numFmtId="166" fontId="8" fillId="0" borderId="0" xfId="31" applyNumberFormat="1" applyFont="1" applyProtection="1"/>
    <xf numFmtId="180" fontId="8" fillId="0" borderId="0" xfId="31" quotePrefix="1" applyNumberFormat="1" applyFont="1" applyAlignment="1" applyProtection="1">
      <alignment horizontal="left"/>
    </xf>
    <xf numFmtId="37" fontId="8" fillId="0" borderId="0" xfId="31" applyNumberFormat="1" applyFont="1" applyProtection="1"/>
    <xf numFmtId="180" fontId="8" fillId="0" borderId="0" xfId="31" applyNumberFormat="1" applyFont="1" applyFill="1" applyAlignment="1" applyProtection="1">
      <alignment horizontal="left"/>
    </xf>
    <xf numFmtId="195" fontId="8" fillId="0" borderId="0" xfId="31" applyNumberFormat="1" applyFont="1" applyProtection="1"/>
    <xf numFmtId="187" fontId="8" fillId="0" borderId="0" xfId="31" applyNumberFormat="1" applyFont="1" applyProtection="1"/>
    <xf numFmtId="191" fontId="8" fillId="0" borderId="0" xfId="32" applyNumberFormat="1" applyFont="1" applyProtection="1"/>
    <xf numFmtId="180" fontId="8" fillId="0" borderId="0" xfId="31" applyFont="1" applyFill="1"/>
    <xf numFmtId="191" fontId="8" fillId="0" borderId="0" xfId="32" applyNumberFormat="1" applyFont="1" applyFill="1" applyProtection="1"/>
    <xf numFmtId="5" fontId="8" fillId="0" borderId="0" xfId="31" applyNumberFormat="1" applyFont="1" applyFill="1" applyProtection="1"/>
    <xf numFmtId="6" fontId="8" fillId="0" borderId="0" xfId="14" applyNumberFormat="1" applyFont="1"/>
    <xf numFmtId="180" fontId="8" fillId="0" borderId="0" xfId="31" quotePrefix="1" applyFont="1" applyFill="1"/>
    <xf numFmtId="166" fontId="8" fillId="0" borderId="0" xfId="35" applyNumberFormat="1" applyFont="1"/>
    <xf numFmtId="0" fontId="4" fillId="0" borderId="0" xfId="30" applyFont="1"/>
    <xf numFmtId="180" fontId="8" fillId="0" borderId="0" xfId="31" applyFont="1" applyAlignment="1">
      <alignment horizontal="left"/>
    </xf>
    <xf numFmtId="180" fontId="11" fillId="0" borderId="0" xfId="31" applyFont="1" applyBorder="1" applyAlignment="1" applyProtection="1">
      <alignment horizontal="left"/>
    </xf>
    <xf numFmtId="0" fontId="8" fillId="0" borderId="0" xfId="0" applyFont="1"/>
    <xf numFmtId="0" fontId="4" fillId="0" borderId="0" xfId="0" applyFont="1"/>
    <xf numFmtId="0" fontId="11" fillId="0" borderId="0" xfId="0" applyFont="1"/>
    <xf numFmtId="0" fontId="11" fillId="0" borderId="2" xfId="0" applyFont="1" applyBorder="1"/>
    <xf numFmtId="0" fontId="14" fillId="0" borderId="0" xfId="0" applyFont="1"/>
    <xf numFmtId="197" fontId="10" fillId="0" borderId="2" xfId="0" applyNumberFormat="1" applyFont="1" applyBorder="1" applyAlignment="1">
      <alignment horizontal="centerContinuous"/>
    </xf>
    <xf numFmtId="0" fontId="4" fillId="0" borderId="0" xfId="0" applyFont="1" applyBorder="1"/>
    <xf numFmtId="193" fontId="4" fillId="0" borderId="0" xfId="35" applyNumberFormat="1" applyFont="1"/>
    <xf numFmtId="182" fontId="4" fillId="0" borderId="0" xfId="0" applyNumberFormat="1" applyFont="1"/>
    <xf numFmtId="164" fontId="4" fillId="0" borderId="0" xfId="0" applyNumberFormat="1" applyFont="1"/>
    <xf numFmtId="178" fontId="4" fillId="0" borderId="0" xfId="0" applyNumberFormat="1" applyFont="1"/>
    <xf numFmtId="164" fontId="4" fillId="0" borderId="2" xfId="0" applyNumberFormat="1" applyFont="1" applyBorder="1"/>
    <xf numFmtId="4" fontId="4" fillId="0" borderId="0" xfId="0" applyNumberFormat="1" applyFont="1"/>
    <xf numFmtId="198" fontId="4" fillId="0" borderId="0" xfId="0" applyNumberFormat="1" applyFont="1" applyAlignment="1">
      <alignment horizontal="left"/>
    </xf>
    <xf numFmtId="173" fontId="4" fillId="0" borderId="0" xfId="0" applyNumberFormat="1" applyFont="1"/>
    <xf numFmtId="171" fontId="4" fillId="0" borderId="0" xfId="0" applyNumberFormat="1" applyFont="1"/>
    <xf numFmtId="193" fontId="8" fillId="0" borderId="0" xfId="0" applyNumberFormat="1" applyFont="1"/>
    <xf numFmtId="193" fontId="8" fillId="0" borderId="2" xfId="0" applyNumberFormat="1" applyFont="1" applyBorder="1"/>
    <xf numFmtId="0" fontId="11" fillId="0" borderId="0" xfId="0" applyFont="1" applyAlignment="1">
      <alignment horizontal="center"/>
    </xf>
    <xf numFmtId="0" fontId="12" fillId="0" borderId="0" xfId="0" applyFont="1"/>
    <xf numFmtId="0" fontId="11" fillId="0" borderId="0" xfId="0" applyFont="1" applyBorder="1"/>
    <xf numFmtId="193" fontId="8" fillId="0" borderId="0" xfId="0" applyNumberFormat="1" applyFont="1" applyBorder="1"/>
    <xf numFmtId="180" fontId="12" fillId="0" borderId="0" xfId="31" applyNumberFormat="1" applyFont="1" applyProtection="1"/>
    <xf numFmtId="37" fontId="12" fillId="0" borderId="0" xfId="31" applyNumberFormat="1" applyFont="1" applyProtection="1"/>
    <xf numFmtId="195" fontId="12" fillId="0" borderId="0" xfId="31" applyNumberFormat="1" applyFont="1" applyFill="1" applyProtection="1"/>
    <xf numFmtId="5" fontId="12" fillId="0" borderId="0" xfId="31" applyNumberFormat="1" applyFont="1" applyFill="1" applyProtection="1"/>
    <xf numFmtId="5" fontId="12" fillId="0" borderId="0" xfId="31" applyNumberFormat="1" applyFont="1" applyProtection="1"/>
    <xf numFmtId="191" fontId="12" fillId="0" borderId="0" xfId="32" applyNumberFormat="1" applyFont="1" applyProtection="1"/>
    <xf numFmtId="197" fontId="11" fillId="0" borderId="2" xfId="17" applyNumberFormat="1" applyFont="1" applyFill="1" applyBorder="1" applyAlignment="1">
      <alignment horizontal="center"/>
    </xf>
    <xf numFmtId="168" fontId="8" fillId="0" borderId="0" xfId="31" applyNumberFormat="1" applyFont="1" applyBorder="1" applyProtection="1"/>
    <xf numFmtId="180" fontId="8" fillId="0" borderId="0" xfId="31" applyFont="1" applyBorder="1"/>
    <xf numFmtId="37" fontId="13" fillId="0" borderId="0" xfId="21" applyFont="1"/>
    <xf numFmtId="189" fontId="13" fillId="0" borderId="0" xfId="21" applyNumberFormat="1" applyFont="1" applyProtection="1"/>
    <xf numFmtId="37" fontId="4" fillId="0" borderId="0" xfId="21" applyFont="1"/>
    <xf numFmtId="37" fontId="4" fillId="0" borderId="0" xfId="21" applyFont="1" applyAlignment="1" applyProtection="1">
      <alignment horizontal="left"/>
    </xf>
    <xf numFmtId="181" fontId="4" fillId="0" borderId="0" xfId="21" applyNumberFormat="1" applyFont="1" applyProtection="1"/>
    <xf numFmtId="37" fontId="13" fillId="0" borderId="0" xfId="21" applyFont="1" applyAlignment="1" applyProtection="1">
      <alignment horizontal="left"/>
    </xf>
    <xf numFmtId="181" fontId="13" fillId="0" borderId="0" xfId="21" applyNumberFormat="1" applyFont="1" applyProtection="1"/>
    <xf numFmtId="37" fontId="4" fillId="0" borderId="0" xfId="21" applyFont="1" applyAlignment="1">
      <alignment horizontal="center"/>
    </xf>
    <xf numFmtId="0" fontId="10" fillId="0" borderId="2" xfId="0" applyFont="1" applyBorder="1" applyAlignment="1">
      <alignment horizontal="center"/>
    </xf>
    <xf numFmtId="0" fontId="10" fillId="0" borderId="0" xfId="0" applyFont="1" applyAlignment="1">
      <alignment horizontal="center"/>
    </xf>
    <xf numFmtId="0" fontId="10" fillId="0" borderId="0" xfId="0" applyFont="1" applyBorder="1" applyAlignment="1">
      <alignment horizontal="center"/>
    </xf>
    <xf numFmtId="0" fontId="10" fillId="0" borderId="0" xfId="0" applyFont="1" applyBorder="1" applyAlignment="1">
      <alignment horizontal="centerContinuous"/>
    </xf>
    <xf numFmtId="0" fontId="10" fillId="0" borderId="2" xfId="0" applyFont="1" applyBorder="1" applyAlignment="1">
      <alignment horizontal="centerContinuous"/>
    </xf>
    <xf numFmtId="197" fontId="16" fillId="0" borderId="0" xfId="0" quotePrefix="1" applyNumberFormat="1" applyFont="1" applyAlignment="1">
      <alignment horizontal="left"/>
    </xf>
    <xf numFmtId="197" fontId="14" fillId="0" borderId="0" xfId="0" applyNumberFormat="1" applyFont="1" applyAlignment="1">
      <alignment horizontal="left"/>
    </xf>
    <xf numFmtId="0" fontId="11" fillId="0" borderId="0" xfId="0" applyFont="1" applyAlignment="1">
      <alignment horizontal="left"/>
    </xf>
    <xf numFmtId="0" fontId="11" fillId="0" borderId="2" xfId="0" applyFont="1" applyBorder="1" applyAlignment="1">
      <alignment horizontal="left"/>
    </xf>
    <xf numFmtId="197" fontId="16" fillId="0" borderId="0" xfId="0" applyNumberFormat="1" applyFont="1" applyAlignment="1">
      <alignment horizontal="left"/>
    </xf>
    <xf numFmtId="1" fontId="4" fillId="0" borderId="0" xfId="0" applyNumberFormat="1" applyFont="1"/>
    <xf numFmtId="0" fontId="10" fillId="0" borderId="5" xfId="0" applyFont="1" applyBorder="1" applyAlignment="1">
      <alignment horizontal="center"/>
    </xf>
    <xf numFmtId="0" fontId="4" fillId="0" borderId="15" xfId="0" applyFont="1" applyBorder="1"/>
    <xf numFmtId="0" fontId="4" fillId="0" borderId="7" xfId="0" applyFont="1" applyBorder="1"/>
    <xf numFmtId="171" fontId="4" fillId="0" borderId="2" xfId="0" applyNumberFormat="1" applyFont="1" applyBorder="1"/>
    <xf numFmtId="171" fontId="4" fillId="0" borderId="0" xfId="0" applyNumberFormat="1" applyFont="1" applyBorder="1"/>
    <xf numFmtId="4" fontId="4" fillId="0" borderId="15" xfId="0" applyNumberFormat="1" applyFont="1" applyBorder="1"/>
    <xf numFmtId="0" fontId="13" fillId="0" borderId="0" xfId="0" applyFont="1"/>
    <xf numFmtId="6" fontId="13" fillId="0" borderId="0" xfId="0" quotePrefix="1" applyNumberFormat="1" applyFont="1"/>
    <xf numFmtId="197" fontId="15" fillId="0" borderId="2" xfId="0" applyNumberFormat="1" applyFont="1" applyBorder="1" applyAlignment="1">
      <alignment horizontal="center"/>
    </xf>
    <xf numFmtId="197" fontId="10" fillId="0" borderId="0" xfId="0" applyNumberFormat="1" applyFont="1" applyBorder="1" applyAlignment="1">
      <alignment horizontal="center"/>
    </xf>
    <xf numFmtId="38" fontId="4" fillId="0" borderId="0" xfId="0" applyNumberFormat="1" applyFont="1"/>
    <xf numFmtId="38" fontId="17" fillId="0" borderId="0" xfId="0" applyNumberFormat="1" applyFont="1"/>
    <xf numFmtId="0" fontId="14" fillId="0" borderId="0" xfId="0" applyFont="1" applyAlignment="1">
      <alignment horizontal="center"/>
    </xf>
    <xf numFmtId="164" fontId="4" fillId="0" borderId="0" xfId="0" applyNumberFormat="1" applyFont="1" applyBorder="1"/>
    <xf numFmtId="0" fontId="0" fillId="0" borderId="2" xfId="0" applyBorder="1"/>
    <xf numFmtId="0" fontId="11" fillId="0" borderId="2" xfId="0" applyFont="1" applyBorder="1" applyAlignment="1">
      <alignment horizontal="center"/>
    </xf>
    <xf numFmtId="197" fontId="22" fillId="0" borderId="0" xfId="17" applyNumberFormat="1" applyFont="1" applyFill="1" applyBorder="1" applyAlignment="1">
      <alignment horizontal="center"/>
    </xf>
    <xf numFmtId="180" fontId="8" fillId="0" borderId="0" xfId="31" applyFont="1" applyBorder="1" applyAlignment="1" applyProtection="1">
      <alignment horizontal="left"/>
    </xf>
    <xf numFmtId="37" fontId="8" fillId="0" borderId="0" xfId="31" applyNumberFormat="1" applyFont="1" applyBorder="1" applyProtection="1"/>
    <xf numFmtId="180" fontId="9" fillId="0" borderId="1" xfId="31" applyFont="1" applyBorder="1"/>
    <xf numFmtId="180" fontId="8" fillId="0" borderId="16" xfId="31" applyFont="1" applyBorder="1"/>
    <xf numFmtId="180" fontId="8" fillId="0" borderId="1" xfId="31" applyFont="1" applyBorder="1"/>
    <xf numFmtId="180" fontId="8" fillId="0" borderId="16" xfId="31" applyFont="1" applyBorder="1" applyAlignment="1" applyProtection="1">
      <alignment horizontal="left"/>
    </xf>
    <xf numFmtId="37" fontId="8" fillId="0" borderId="1" xfId="31" applyNumberFormat="1" applyFont="1" applyBorder="1" applyProtection="1"/>
    <xf numFmtId="37" fontId="8" fillId="0" borderId="16" xfId="31" applyNumberFormat="1" applyFont="1" applyBorder="1" applyProtection="1"/>
    <xf numFmtId="191" fontId="8" fillId="0" borderId="1" xfId="32" applyNumberFormat="1" applyFont="1" applyBorder="1" applyProtection="1"/>
    <xf numFmtId="171" fontId="8" fillId="0" borderId="1" xfId="10" applyNumberFormat="1" applyFont="1" applyBorder="1"/>
    <xf numFmtId="180" fontId="8" fillId="0" borderId="17" xfId="31" applyFont="1" applyBorder="1"/>
    <xf numFmtId="180" fontId="8" fillId="0" borderId="18" xfId="31" applyFont="1" applyBorder="1"/>
    <xf numFmtId="180" fontId="21" fillId="0" borderId="0" xfId="31" applyFont="1" applyBorder="1"/>
    <xf numFmtId="180" fontId="11" fillId="0" borderId="16" xfId="31" applyFont="1" applyBorder="1"/>
    <xf numFmtId="0" fontId="8" fillId="0" borderId="0" xfId="0" applyFont="1" applyAlignment="1">
      <alignment horizontal="center"/>
    </xf>
    <xf numFmtId="0" fontId="4" fillId="0" borderId="0" xfId="0" applyFont="1" applyAlignment="1">
      <alignment horizontal="right"/>
    </xf>
    <xf numFmtId="4" fontId="17" fillId="0" borderId="0" xfId="0" applyNumberFormat="1" applyFont="1" applyAlignment="1">
      <alignment horizontal="right"/>
    </xf>
    <xf numFmtId="177" fontId="8" fillId="0" borderId="0" xfId="10" applyNumberFormat="1" applyFont="1" applyProtection="1"/>
    <xf numFmtId="195" fontId="8" fillId="0" borderId="0" xfId="31" applyNumberFormat="1" applyFont="1" applyFill="1" applyProtection="1"/>
    <xf numFmtId="180" fontId="8" fillId="0" borderId="5" xfId="31" applyFont="1" applyBorder="1"/>
    <xf numFmtId="166" fontId="4" fillId="0" borderId="0" xfId="35" applyNumberFormat="1" applyFont="1"/>
    <xf numFmtId="166" fontId="4" fillId="0" borderId="0" xfId="0" applyNumberFormat="1" applyFont="1"/>
    <xf numFmtId="0" fontId="0" fillId="0" borderId="0" xfId="0" applyFill="1"/>
    <xf numFmtId="0" fontId="14" fillId="0" borderId="0" xfId="0" applyFont="1" applyBorder="1" applyAlignment="1">
      <alignment horizontal="center"/>
    </xf>
    <xf numFmtId="0" fontId="23" fillId="0" borderId="0" xfId="0" applyFont="1" applyBorder="1"/>
    <xf numFmtId="0" fontId="16" fillId="0" borderId="0" xfId="0" applyFont="1" applyAlignment="1">
      <alignment horizontal="left"/>
    </xf>
    <xf numFmtId="0" fontId="14" fillId="0" borderId="0" xfId="0" applyFont="1" applyAlignment="1">
      <alignment horizontal="left"/>
    </xf>
    <xf numFmtId="0" fontId="8" fillId="0" borderId="2" xfId="0" applyFont="1" applyBorder="1"/>
    <xf numFmtId="173" fontId="17" fillId="0" borderId="0" xfId="0" applyNumberFormat="1" applyFont="1"/>
    <xf numFmtId="0" fontId="8" fillId="0" borderId="0" xfId="0" applyFont="1" applyBorder="1"/>
    <xf numFmtId="174" fontId="4" fillId="0" borderId="0" xfId="0" applyNumberFormat="1" applyFont="1"/>
    <xf numFmtId="0" fontId="4" fillId="0" borderId="0" xfId="0" applyFont="1" applyAlignment="1">
      <alignment horizontal="center"/>
    </xf>
    <xf numFmtId="172" fontId="4" fillId="0" borderId="0" xfId="0" applyNumberFormat="1" applyFont="1"/>
    <xf numFmtId="172" fontId="17" fillId="0" borderId="0" xfId="0" applyNumberFormat="1" applyFont="1"/>
    <xf numFmtId="168" fontId="8" fillId="0" borderId="0" xfId="31" applyNumberFormat="1" applyFont="1" applyFill="1" applyBorder="1" applyProtection="1"/>
    <xf numFmtId="168" fontId="8" fillId="0" borderId="2" xfId="31" applyNumberFormat="1" applyFont="1" applyFill="1" applyBorder="1" applyProtection="1"/>
    <xf numFmtId="171" fontId="17" fillId="0" borderId="0" xfId="0" applyNumberFormat="1" applyFont="1"/>
    <xf numFmtId="172" fontId="17" fillId="0" borderId="0" xfId="0" applyNumberFormat="1" applyFont="1" applyAlignment="1">
      <alignment horizontal="right"/>
    </xf>
    <xf numFmtId="179" fontId="4" fillId="0" borderId="0" xfId="0" applyNumberFormat="1" applyFont="1"/>
    <xf numFmtId="3" fontId="4" fillId="0" borderId="0" xfId="0" applyNumberFormat="1" applyFont="1"/>
    <xf numFmtId="0" fontId="26" fillId="0" borderId="0" xfId="0" applyFont="1"/>
    <xf numFmtId="0" fontId="25" fillId="0" borderId="0" xfId="0" applyFont="1" applyAlignment="1">
      <alignment horizontal="center"/>
    </xf>
    <xf numFmtId="0" fontId="27" fillId="0" borderId="0" xfId="0" applyFont="1"/>
    <xf numFmtId="0" fontId="11" fillId="0" borderId="0" xfId="0" applyFont="1" applyBorder="1" applyAlignment="1">
      <alignment horizontal="center"/>
    </xf>
    <xf numFmtId="0" fontId="8" fillId="0" borderId="0" xfId="0" applyFont="1" applyFill="1"/>
    <xf numFmtId="0" fontId="16" fillId="0" borderId="0" xfId="0" applyFont="1" applyAlignment="1">
      <alignment horizontal="center"/>
    </xf>
    <xf numFmtId="168" fontId="17" fillId="0" borderId="0" xfId="0" applyNumberFormat="1" applyFont="1"/>
    <xf numFmtId="168" fontId="4" fillId="0" borderId="0" xfId="0" applyNumberFormat="1" applyFont="1"/>
    <xf numFmtId="5" fontId="4" fillId="0" borderId="0" xfId="0" applyNumberFormat="1" applyFont="1"/>
    <xf numFmtId="174" fontId="17" fillId="0" borderId="0" xfId="0" applyNumberFormat="1" applyFont="1"/>
    <xf numFmtId="191" fontId="4" fillId="0" borderId="0" xfId="0" applyNumberFormat="1" applyFont="1"/>
    <xf numFmtId="0" fontId="4" fillId="0" borderId="0" xfId="0" applyFont="1" applyFill="1"/>
    <xf numFmtId="204" fontId="8" fillId="0" borderId="0" xfId="31" applyNumberFormat="1" applyFont="1" applyProtection="1"/>
    <xf numFmtId="166" fontId="8" fillId="0" borderId="0" xfId="31" applyNumberFormat="1" applyFont="1" applyBorder="1" applyProtection="1"/>
    <xf numFmtId="0" fontId="20" fillId="0" borderId="2" xfId="0" applyFont="1" applyBorder="1"/>
    <xf numFmtId="180" fontId="20" fillId="0" borderId="2" xfId="31" applyFont="1" applyBorder="1" applyAlignment="1" applyProtection="1">
      <alignment horizontal="left"/>
    </xf>
    <xf numFmtId="0" fontId="20" fillId="0" borderId="2" xfId="0" applyFont="1" applyBorder="1" applyAlignment="1" applyProtection="1">
      <alignment horizontal="left"/>
    </xf>
    <xf numFmtId="185" fontId="12" fillId="0" borderId="0" xfId="31" applyNumberFormat="1" applyFont="1" applyProtection="1"/>
    <xf numFmtId="180" fontId="11" fillId="0" borderId="0" xfId="31" applyFont="1" applyBorder="1" applyAlignment="1" applyProtection="1">
      <alignment horizontal="center"/>
    </xf>
    <xf numFmtId="185" fontId="8" fillId="0" borderId="0" xfId="31" applyNumberFormat="1" applyFont="1" applyProtection="1"/>
    <xf numFmtId="193" fontId="4" fillId="0" borderId="0" xfId="35" applyNumberFormat="1" applyFont="1" applyAlignment="1">
      <alignment horizontal="right"/>
    </xf>
    <xf numFmtId="182" fontId="24" fillId="0" borderId="0" xfId="0" applyNumberFormat="1" applyFont="1"/>
    <xf numFmtId="172" fontId="17" fillId="0" borderId="0" xfId="0" applyNumberFormat="1" applyFont="1" applyFill="1"/>
    <xf numFmtId="180" fontId="27" fillId="0" borderId="0" xfId="31" applyFont="1"/>
    <xf numFmtId="180" fontId="27" fillId="0" borderId="0" xfId="31" applyFont="1" applyAlignment="1">
      <alignment horizontal="left"/>
    </xf>
    <xf numFmtId="168" fontId="27" fillId="0" borderId="0" xfId="31" applyNumberFormat="1" applyFont="1" applyProtection="1"/>
    <xf numFmtId="173" fontId="17" fillId="0" borderId="0" xfId="0" applyNumberFormat="1" applyFont="1" applyFill="1"/>
    <xf numFmtId="172" fontId="4" fillId="0" borderId="0" xfId="0" applyNumberFormat="1" applyFont="1" applyFill="1"/>
    <xf numFmtId="0" fontId="11" fillId="0" borderId="15" xfId="0" applyFont="1" applyBorder="1" applyAlignment="1">
      <alignment horizontal="center"/>
    </xf>
    <xf numFmtId="0" fontId="11" fillId="0" borderId="7" xfId="0" applyFont="1" applyBorder="1" applyAlignment="1">
      <alignment horizontal="center"/>
    </xf>
    <xf numFmtId="0" fontId="11" fillId="0" borderId="5" xfId="0" applyFont="1" applyBorder="1" applyAlignment="1">
      <alignment horizontal="center"/>
    </xf>
    <xf numFmtId="171" fontId="17" fillId="0" borderId="0" xfId="0" applyNumberFormat="1" applyFont="1" applyFill="1" applyBorder="1"/>
    <xf numFmtId="5" fontId="28" fillId="0" borderId="0" xfId="31" applyNumberFormat="1" applyFont="1" applyBorder="1" applyProtection="1"/>
    <xf numFmtId="37" fontId="12" fillId="0" borderId="0" xfId="31" applyNumberFormat="1" applyFont="1" applyFill="1" applyProtection="1"/>
    <xf numFmtId="9" fontId="4" fillId="0" borderId="0" xfId="35" applyFont="1"/>
    <xf numFmtId="180" fontId="8" fillId="0" borderId="0" xfId="31" applyFont="1" applyFill="1" applyBorder="1"/>
    <xf numFmtId="4" fontId="4" fillId="0" borderId="0" xfId="0" applyNumberFormat="1" applyFont="1" applyFill="1"/>
    <xf numFmtId="171" fontId="4" fillId="0" borderId="0" xfId="0" applyNumberFormat="1" applyFont="1" applyFill="1" applyBorder="1"/>
    <xf numFmtId="3" fontId="4" fillId="0" borderId="0" xfId="0" applyNumberFormat="1" applyFont="1" applyFill="1"/>
    <xf numFmtId="185" fontId="12" fillId="0" borderId="0" xfId="31" applyNumberFormat="1" applyFont="1" applyFill="1" applyProtection="1"/>
    <xf numFmtId="165" fontId="12" fillId="0" borderId="0" xfId="0" applyNumberFormat="1" applyFont="1"/>
    <xf numFmtId="0" fontId="8" fillId="5" borderId="0" xfId="0" applyFont="1" applyFill="1"/>
    <xf numFmtId="5" fontId="12" fillId="0" borderId="0" xfId="31" applyNumberFormat="1" applyFont="1" applyFill="1" applyBorder="1" applyProtection="1"/>
    <xf numFmtId="0" fontId="10" fillId="0" borderId="0" xfId="0" applyFont="1" applyAlignment="1">
      <alignment horizontal="centerContinuous"/>
    </xf>
    <xf numFmtId="180" fontId="8" fillId="0" borderId="0" xfId="31" quotePrefix="1" applyFont="1"/>
    <xf numFmtId="180" fontId="12" fillId="0" borderId="0" xfId="31" applyFont="1"/>
    <xf numFmtId="2" fontId="4" fillId="0" borderId="0" xfId="0" applyNumberFormat="1" applyFont="1"/>
    <xf numFmtId="183" fontId="8" fillId="0" borderId="0" xfId="0" applyNumberFormat="1" applyFont="1"/>
    <xf numFmtId="0" fontId="12" fillId="0" borderId="0" xfId="0" applyFont="1" applyBorder="1"/>
    <xf numFmtId="183" fontId="8" fillId="0" borderId="0" xfId="0" applyNumberFormat="1" applyFont="1" applyBorder="1"/>
    <xf numFmtId="0" fontId="27" fillId="0" borderId="0" xfId="0" applyFont="1" applyBorder="1"/>
    <xf numFmtId="180" fontId="8" fillId="0" borderId="0" xfId="31" applyNumberFormat="1" applyFont="1" applyFill="1" applyAlignment="1" applyProtection="1">
      <alignment horizontal="left" indent="2"/>
    </xf>
    <xf numFmtId="0" fontId="37" fillId="0" borderId="0" xfId="0" applyFont="1"/>
    <xf numFmtId="0" fontId="37" fillId="0" borderId="0" xfId="0" applyFont="1" applyAlignment="1">
      <alignment horizontal="left" indent="1"/>
    </xf>
    <xf numFmtId="191" fontId="12" fillId="0" borderId="0" xfId="32" applyNumberFormat="1" applyFont="1" applyFill="1" applyAlignment="1" applyProtection="1">
      <alignment horizontal="right"/>
    </xf>
    <xf numFmtId="180" fontId="8" fillId="0" borderId="0" xfId="31" applyNumberFormat="1" applyFont="1" applyAlignment="1" applyProtection="1">
      <alignment horizontal="left" indent="1"/>
    </xf>
    <xf numFmtId="0" fontId="8" fillId="0" borderId="0" xfId="0" applyFont="1" applyAlignment="1"/>
    <xf numFmtId="0" fontId="0" fillId="0" borderId="0" xfId="0" applyAlignment="1">
      <alignment horizontal="center"/>
    </xf>
    <xf numFmtId="9" fontId="12" fillId="0" borderId="0" xfId="35" applyFont="1"/>
    <xf numFmtId="9" fontId="13" fillId="0" borderId="0" xfId="35" applyFont="1"/>
    <xf numFmtId="180" fontId="11" fillId="0" borderId="5" xfId="31" applyFont="1" applyFill="1" applyBorder="1" applyAlignment="1" applyProtection="1">
      <alignment horizontal="center"/>
    </xf>
    <xf numFmtId="199" fontId="20" fillId="0" borderId="2" xfId="17" applyNumberFormat="1" applyFont="1" applyFill="1" applyBorder="1" applyAlignment="1">
      <alignment horizontal="center"/>
    </xf>
    <xf numFmtId="171" fontId="17" fillId="0" borderId="0" xfId="0" applyNumberFormat="1" applyFont="1" applyFill="1"/>
    <xf numFmtId="10" fontId="8" fillId="0" borderId="0" xfId="35" applyNumberFormat="1" applyFont="1"/>
    <xf numFmtId="0" fontId="42" fillId="0" borderId="0" xfId="0" applyFont="1" applyBorder="1" applyAlignment="1">
      <alignment horizontal="right"/>
    </xf>
    <xf numFmtId="0" fontId="42" fillId="0" borderId="2" xfId="0" applyFont="1" applyBorder="1" applyAlignment="1">
      <alignment horizontal="right"/>
    </xf>
    <xf numFmtId="0" fontId="42" fillId="0" borderId="0" xfId="0" applyFont="1" applyAlignment="1">
      <alignment horizontal="right"/>
    </xf>
    <xf numFmtId="4" fontId="43" fillId="0" borderId="0" xfId="0" applyNumberFormat="1" applyFont="1" applyBorder="1" applyAlignment="1">
      <alignment horizontal="right"/>
    </xf>
    <xf numFmtId="0" fontId="43" fillId="0" borderId="0" xfId="0" applyFont="1" applyAlignment="1">
      <alignment horizontal="right"/>
    </xf>
    <xf numFmtId="0" fontId="43" fillId="0" borderId="2" xfId="0" applyFont="1" applyBorder="1" applyAlignment="1">
      <alignment horizontal="right"/>
    </xf>
    <xf numFmtId="0" fontId="43" fillId="0" borderId="7" xfId="0" applyFont="1" applyBorder="1" applyAlignment="1">
      <alignment horizontal="right"/>
    </xf>
    <xf numFmtId="4" fontId="43" fillId="0" borderId="9" xfId="0" applyNumberFormat="1" applyFont="1" applyBorder="1" applyAlignment="1">
      <alignment horizontal="right"/>
    </xf>
    <xf numFmtId="0" fontId="10" fillId="2" borderId="0" xfId="0" applyFont="1" applyFill="1" applyAlignment="1">
      <alignment horizontal="center"/>
    </xf>
    <xf numFmtId="0" fontId="42" fillId="2" borderId="0" xfId="0" applyFont="1" applyFill="1" applyAlignment="1">
      <alignment horizontal="right"/>
    </xf>
    <xf numFmtId="166" fontId="17" fillId="0" borderId="0" xfId="35" applyNumberFormat="1" applyFont="1"/>
    <xf numFmtId="166" fontId="8" fillId="0" borderId="0" xfId="31" applyNumberFormat="1" applyFont="1" applyFill="1" applyProtection="1"/>
    <xf numFmtId="185" fontId="8" fillId="0" borderId="0" xfId="31" applyNumberFormat="1" applyFont="1" applyFill="1" applyProtection="1"/>
    <xf numFmtId="180" fontId="8" fillId="0" borderId="0" xfId="31" applyNumberFormat="1" applyFont="1" applyFill="1" applyProtection="1"/>
    <xf numFmtId="0" fontId="20" fillId="0" borderId="0" xfId="0" applyFont="1" applyBorder="1"/>
    <xf numFmtId="166" fontId="4" fillId="0" borderId="0" xfId="35" applyNumberFormat="1" applyFont="1" applyFill="1"/>
    <xf numFmtId="0" fontId="11" fillId="0" borderId="0" xfId="0" applyFont="1" applyFill="1"/>
    <xf numFmtId="0" fontId="4" fillId="0" borderId="5" xfId="0" applyFont="1" applyBorder="1"/>
    <xf numFmtId="0" fontId="45" fillId="0" borderId="0" xfId="0" applyFont="1" applyFill="1"/>
    <xf numFmtId="9" fontId="45" fillId="0" borderId="0" xfId="35" applyFont="1" applyFill="1"/>
    <xf numFmtId="0" fontId="27" fillId="0" borderId="0" xfId="0" applyFont="1" applyAlignment="1">
      <alignment horizontal="left"/>
    </xf>
    <xf numFmtId="0" fontId="8" fillId="0" borderId="0" xfId="0" applyFont="1" applyAlignment="1">
      <alignment horizontal="left"/>
    </xf>
    <xf numFmtId="166" fontId="12" fillId="0" borderId="0" xfId="0" applyNumberFormat="1" applyFont="1" applyAlignment="1">
      <alignment horizontal="center"/>
    </xf>
    <xf numFmtId="0" fontId="8" fillId="0" borderId="0" xfId="0" applyFont="1" applyFill="1" applyBorder="1"/>
    <xf numFmtId="164" fontId="8" fillId="0" borderId="0" xfId="0" applyNumberFormat="1" applyFont="1" applyFill="1" applyBorder="1"/>
    <xf numFmtId="0" fontId="27" fillId="0" borderId="0" xfId="0" applyFont="1" applyFill="1"/>
    <xf numFmtId="0" fontId="8" fillId="0" borderId="14" xfId="0" applyFont="1" applyFill="1" applyBorder="1"/>
    <xf numFmtId="9" fontId="8" fillId="0" borderId="0" xfId="0" applyNumberFormat="1" applyFont="1"/>
    <xf numFmtId="4" fontId="4" fillId="0" borderId="0" xfId="0" applyNumberFormat="1" applyFont="1" applyBorder="1"/>
    <xf numFmtId="0" fontId="43" fillId="0" borderId="0" xfId="0" applyFont="1" applyBorder="1" applyAlignment="1">
      <alignment horizontal="right"/>
    </xf>
    <xf numFmtId="180" fontId="11" fillId="0" borderId="8" xfId="31" applyFont="1" applyFill="1" applyBorder="1"/>
    <xf numFmtId="180" fontId="11" fillId="0" borderId="5" xfId="31" applyFont="1" applyFill="1" applyBorder="1"/>
    <xf numFmtId="180" fontId="11" fillId="0" borderId="7" xfId="31" applyFont="1" applyFill="1" applyBorder="1"/>
    <xf numFmtId="180" fontId="9" fillId="0" borderId="1" xfId="31" applyFont="1" applyFill="1" applyBorder="1"/>
    <xf numFmtId="180" fontId="21" fillId="0" borderId="0" xfId="31" applyFont="1" applyFill="1" applyBorder="1"/>
    <xf numFmtId="180" fontId="11" fillId="0" borderId="16" xfId="31" applyFont="1" applyFill="1" applyBorder="1"/>
    <xf numFmtId="43" fontId="12" fillId="0" borderId="0" xfId="10" applyFont="1" applyProtection="1"/>
    <xf numFmtId="184" fontId="12" fillId="0" borderId="0" xfId="10" applyNumberFormat="1" applyFont="1" applyProtection="1"/>
    <xf numFmtId="180" fontId="8" fillId="0" borderId="0" xfId="31" applyNumberFormat="1" applyFont="1" applyFill="1" applyBorder="1" applyProtection="1"/>
    <xf numFmtId="9" fontId="8" fillId="0" borderId="0" xfId="35" applyFont="1"/>
    <xf numFmtId="224" fontId="8" fillId="0" borderId="0" xfId="10" applyNumberFormat="1" applyFont="1"/>
    <xf numFmtId="0" fontId="27" fillId="0" borderId="0" xfId="17" applyFont="1" applyFill="1" applyBorder="1"/>
    <xf numFmtId="168" fontId="8" fillId="0" borderId="0" xfId="17" applyNumberFormat="1" applyFont="1" applyFill="1" applyBorder="1"/>
    <xf numFmtId="0" fontId="8" fillId="0" borderId="0" xfId="17" applyFont="1" applyFill="1" applyBorder="1"/>
    <xf numFmtId="0" fontId="50" fillId="0" borderId="0" xfId="17" applyFont="1" applyFill="1" applyBorder="1" applyAlignment="1">
      <alignment horizontal="right"/>
    </xf>
    <xf numFmtId="178" fontId="50" fillId="0" borderId="0" xfId="17" applyNumberFormat="1" applyFont="1" applyFill="1" applyBorder="1"/>
    <xf numFmtId="178" fontId="50" fillId="0" borderId="0" xfId="17" applyNumberFormat="1" applyFont="1" applyFill="1" applyBorder="1" applyAlignment="1">
      <alignment horizontal="right"/>
    </xf>
    <xf numFmtId="4" fontId="43" fillId="0" borderId="15" xfId="0" applyNumberFormat="1" applyFont="1" applyBorder="1" applyAlignment="1">
      <alignment horizontal="right"/>
    </xf>
    <xf numFmtId="0" fontId="43" fillId="0" borderId="7" xfId="0" applyFont="1" applyBorder="1" applyAlignment="1"/>
    <xf numFmtId="0" fontId="43" fillId="0" borderId="0" xfId="0" applyFont="1" applyAlignment="1"/>
    <xf numFmtId="43" fontId="8" fillId="0" borderId="0" xfId="10" applyFont="1"/>
    <xf numFmtId="9" fontId="8" fillId="0" borderId="0" xfId="31" applyNumberFormat="1" applyFont="1" applyAlignment="1" applyProtection="1">
      <alignment horizontal="left"/>
    </xf>
    <xf numFmtId="0" fontId="43" fillId="0" borderId="0" xfId="0" applyFont="1" applyBorder="1" applyAlignment="1"/>
    <xf numFmtId="7" fontId="4" fillId="0" borderId="0" xfId="0" applyNumberFormat="1" applyFont="1"/>
    <xf numFmtId="6" fontId="8" fillId="0" borderId="0" xfId="31" applyNumberFormat="1" applyFont="1"/>
    <xf numFmtId="180" fontId="20" fillId="0" borderId="5" xfId="31" quotePrefix="1" applyFont="1" applyFill="1" applyBorder="1" applyAlignment="1" applyProtection="1">
      <alignment horizontal="center"/>
    </xf>
    <xf numFmtId="174" fontId="17" fillId="0" borderId="0" xfId="0" applyNumberFormat="1" applyFont="1" applyFill="1"/>
    <xf numFmtId="49" fontId="0" fillId="0" borderId="0" xfId="0" applyNumberFormat="1"/>
    <xf numFmtId="1" fontId="8" fillId="0" borderId="0" xfId="31" applyNumberFormat="1" applyFont="1"/>
    <xf numFmtId="9" fontId="8" fillId="0" borderId="0" xfId="35" applyFont="1" applyProtection="1"/>
    <xf numFmtId="9" fontId="12" fillId="0" borderId="0" xfId="35" applyFont="1" applyFill="1" applyProtection="1"/>
    <xf numFmtId="0" fontId="65" fillId="0" borderId="0" xfId="0" applyFont="1"/>
    <xf numFmtId="14" fontId="11" fillId="0" borderId="0" xfId="0" applyNumberFormat="1" applyFont="1"/>
    <xf numFmtId="0" fontId="70" fillId="0" borderId="0" xfId="0" applyFont="1"/>
    <xf numFmtId="0" fontId="66" fillId="0" borderId="0" xfId="0" applyFont="1"/>
    <xf numFmtId="173" fontId="4" fillId="0" borderId="0" xfId="0" applyNumberFormat="1" applyFont="1" applyBorder="1"/>
    <xf numFmtId="166" fontId="13" fillId="0" borderId="0" xfId="35" applyNumberFormat="1" applyFont="1"/>
    <xf numFmtId="174" fontId="20" fillId="0" borderId="2" xfId="17" applyNumberFormat="1" applyFont="1" applyBorder="1" applyAlignment="1" applyProtection="1">
      <alignment horizontal="left"/>
    </xf>
    <xf numFmtId="168" fontId="8" fillId="0" borderId="2" xfId="17" applyNumberFormat="1" applyFont="1" applyFill="1" applyBorder="1"/>
    <xf numFmtId="0" fontId="8" fillId="0" borderId="2" xfId="17" applyFont="1" applyFill="1" applyBorder="1"/>
    <xf numFmtId="188" fontId="9" fillId="0" borderId="0" xfId="17" applyNumberFormat="1" applyFont="1" applyFill="1" applyBorder="1" applyAlignment="1">
      <alignment horizontal="right"/>
    </xf>
    <xf numFmtId="188" fontId="9" fillId="0" borderId="8" xfId="17" applyNumberFormat="1" applyFont="1" applyFill="1" applyBorder="1" applyAlignment="1">
      <alignment horizontal="right"/>
    </xf>
    <xf numFmtId="180" fontId="8" fillId="0" borderId="5" xfId="31" quotePrefix="1" applyFont="1" applyFill="1" applyBorder="1" applyAlignment="1" applyProtection="1">
      <alignment horizontal="center"/>
    </xf>
    <xf numFmtId="180" fontId="11" fillId="0" borderId="5" xfId="31" applyFont="1" applyFill="1" applyBorder="1" applyAlignment="1">
      <alignment horizontal="center"/>
    </xf>
    <xf numFmtId="0" fontId="8" fillId="0" borderId="19" xfId="17" applyFont="1" applyFill="1" applyBorder="1"/>
    <xf numFmtId="0" fontId="11" fillId="0" borderId="0" xfId="17" applyFont="1" applyFill="1" applyBorder="1"/>
    <xf numFmtId="197" fontId="20" fillId="0" borderId="2" xfId="17" applyNumberFormat="1" applyFont="1" applyFill="1" applyBorder="1" applyAlignment="1">
      <alignment horizontal="center"/>
    </xf>
    <xf numFmtId="197" fontId="11" fillId="0" borderId="2" xfId="17" quotePrefix="1" applyNumberFormat="1" applyFont="1" applyFill="1" applyBorder="1" applyAlignment="1">
      <alignment horizontal="center"/>
    </xf>
    <xf numFmtId="188" fontId="11" fillId="0" borderId="1" xfId="17" applyNumberFormat="1" applyFont="1" applyFill="1" applyBorder="1" applyAlignment="1">
      <alignment horizontal="right"/>
    </xf>
    <xf numFmtId="0" fontId="11" fillId="0" borderId="16" xfId="17" applyFont="1" applyFill="1" applyBorder="1"/>
    <xf numFmtId="188" fontId="9" fillId="0" borderId="1" xfId="17" applyNumberFormat="1" applyFont="1" applyFill="1" applyBorder="1" applyAlignment="1">
      <alignment horizontal="right"/>
    </xf>
    <xf numFmtId="0" fontId="8" fillId="0" borderId="16" xfId="17" applyFont="1" applyFill="1" applyBorder="1"/>
    <xf numFmtId="174" fontId="8" fillId="0" borderId="0" xfId="17" applyNumberFormat="1" applyFont="1" applyFill="1" applyBorder="1"/>
    <xf numFmtId="174" fontId="8" fillId="0" borderId="1" xfId="17" applyNumberFormat="1" applyFont="1" applyFill="1" applyBorder="1"/>
    <xf numFmtId="166" fontId="8" fillId="0" borderId="0" xfId="35" applyNumberFormat="1" applyFont="1" applyFill="1" applyBorder="1"/>
    <xf numFmtId="168" fontId="8" fillId="0" borderId="1" xfId="17" applyNumberFormat="1" applyFont="1" applyFill="1" applyBorder="1"/>
    <xf numFmtId="166" fontId="12" fillId="0" borderId="0" xfId="35" applyNumberFormat="1" applyFont="1" applyFill="1" applyBorder="1"/>
    <xf numFmtId="10" fontId="8" fillId="0" borderId="0" xfId="35" applyNumberFormat="1" applyFont="1" applyFill="1" applyBorder="1"/>
    <xf numFmtId="0" fontId="8" fillId="0" borderId="0" xfId="17" applyFont="1" applyFill="1" applyBorder="1" applyAlignment="1">
      <alignment horizontal="left" indent="1"/>
    </xf>
    <xf numFmtId="0" fontId="8" fillId="0" borderId="0" xfId="17" applyFont="1" applyFill="1" applyBorder="1" applyAlignment="1">
      <alignment horizontal="left"/>
    </xf>
    <xf numFmtId="168" fontId="12" fillId="0" borderId="0" xfId="17" applyNumberFormat="1" applyFont="1" applyFill="1" applyBorder="1"/>
    <xf numFmtId="0" fontId="27" fillId="0" borderId="0" xfId="17" applyFont="1" applyFill="1" applyBorder="1" applyAlignment="1">
      <alignment horizontal="left"/>
    </xf>
    <xf numFmtId="43" fontId="12" fillId="0" borderId="0" xfId="10" applyFont="1" applyFill="1" applyBorder="1"/>
    <xf numFmtId="9" fontId="12" fillId="0" borderId="0" xfId="35" applyFont="1" applyFill="1" applyBorder="1"/>
    <xf numFmtId="224" fontId="8" fillId="0" borderId="0" xfId="10" applyNumberFormat="1" applyFont="1" applyFill="1" applyBorder="1"/>
    <xf numFmtId="168" fontId="71" fillId="0" borderId="0" xfId="17" applyNumberFormat="1" applyFont="1" applyFill="1" applyBorder="1"/>
    <xf numFmtId="166" fontId="71" fillId="0" borderId="0" xfId="35" applyNumberFormat="1" applyFont="1" applyFill="1" applyBorder="1"/>
    <xf numFmtId="168" fontId="28" fillId="0" borderId="0" xfId="17" applyNumberFormat="1" applyFont="1" applyFill="1" applyBorder="1"/>
    <xf numFmtId="186" fontId="8" fillId="0" borderId="0" xfId="17" applyNumberFormat="1" applyFont="1" applyFill="1" applyBorder="1"/>
    <xf numFmtId="166" fontId="8" fillId="0" borderId="0" xfId="35" applyNumberFormat="1" applyFont="1" applyFill="1" applyBorder="1" applyAlignment="1"/>
    <xf numFmtId="10" fontId="8" fillId="0" borderId="0" xfId="17" applyNumberFormat="1" applyFont="1"/>
    <xf numFmtId="39" fontId="8" fillId="0" borderId="0" xfId="17" applyNumberFormat="1" applyFont="1" applyFill="1" applyBorder="1"/>
    <xf numFmtId="39" fontId="72" fillId="0" borderId="0" xfId="17" applyNumberFormat="1" applyFont="1" applyFill="1" applyBorder="1"/>
    <xf numFmtId="43" fontId="72" fillId="0" borderId="0" xfId="10" applyFont="1" applyFill="1" applyBorder="1"/>
    <xf numFmtId="7" fontId="8" fillId="0" borderId="0" xfId="17" applyNumberFormat="1" applyFont="1" applyFill="1" applyBorder="1"/>
    <xf numFmtId="7" fontId="8" fillId="0" borderId="1" xfId="17" applyNumberFormat="1" applyFont="1" applyFill="1" applyBorder="1"/>
    <xf numFmtId="202" fontId="8" fillId="0" borderId="0" xfId="35" applyNumberFormat="1" applyFont="1" applyFill="1" applyBorder="1"/>
    <xf numFmtId="202" fontId="8" fillId="0" borderId="0" xfId="35" applyNumberFormat="1" applyFont="1" applyFill="1" applyBorder="1" applyAlignment="1">
      <alignment horizontal="right"/>
    </xf>
    <xf numFmtId="0" fontId="8" fillId="0" borderId="1" xfId="17" applyFont="1" applyFill="1" applyBorder="1"/>
    <xf numFmtId="0" fontId="71" fillId="0" borderId="0" xfId="17" applyFont="1" applyFill="1" applyBorder="1"/>
    <xf numFmtId="7" fontId="71" fillId="0" borderId="0" xfId="17" applyNumberFormat="1" applyFont="1" applyFill="1" applyBorder="1"/>
    <xf numFmtId="7" fontId="8" fillId="0" borderId="17" xfId="17" applyNumberFormat="1" applyFont="1" applyFill="1" applyBorder="1"/>
    <xf numFmtId="168" fontId="8" fillId="0" borderId="2" xfId="31" applyNumberFormat="1" applyFont="1" applyBorder="1" applyProtection="1"/>
    <xf numFmtId="9" fontId="8" fillId="0" borderId="0" xfId="35" applyFont="1" applyFill="1" applyBorder="1"/>
    <xf numFmtId="168" fontId="8" fillId="0" borderId="17" xfId="17" applyNumberFormat="1" applyFont="1" applyFill="1" applyBorder="1"/>
    <xf numFmtId="0" fontId="8" fillId="0" borderId="18" xfId="0" applyFont="1" applyBorder="1"/>
    <xf numFmtId="10" fontId="27" fillId="0" borderId="0" xfId="17" applyNumberFormat="1" applyFont="1"/>
    <xf numFmtId="40" fontId="8" fillId="0" borderId="0" xfId="17" applyNumberFormat="1" applyFont="1" applyFill="1" applyBorder="1"/>
    <xf numFmtId="2" fontId="8" fillId="0" borderId="0" xfId="0" applyNumberFormat="1" applyFont="1"/>
    <xf numFmtId="44" fontId="8" fillId="0" borderId="0" xfId="14" applyFont="1"/>
    <xf numFmtId="44" fontId="12" fillId="0" borderId="0" xfId="14" applyFont="1"/>
    <xf numFmtId="168" fontId="8" fillId="0" borderId="0" xfId="0" applyNumberFormat="1" applyFont="1"/>
    <xf numFmtId="166" fontId="8" fillId="0" borderId="0" xfId="0" applyNumberFormat="1" applyFont="1"/>
    <xf numFmtId="8" fontId="8" fillId="0" borderId="0" xfId="0" applyNumberFormat="1" applyFont="1"/>
    <xf numFmtId="185" fontId="28" fillId="0" borderId="0" xfId="31" applyNumberFormat="1" applyFont="1" applyProtection="1"/>
    <xf numFmtId="180" fontId="11" fillId="0" borderId="0" xfId="31" applyNumberFormat="1" applyFont="1" applyAlignment="1" applyProtection="1">
      <alignment horizontal="left"/>
    </xf>
    <xf numFmtId="179" fontId="4" fillId="0" borderId="0" xfId="35" applyNumberFormat="1" applyFont="1"/>
    <xf numFmtId="182" fontId="11" fillId="0" borderId="0" xfId="0" applyNumberFormat="1" applyFont="1" applyBorder="1"/>
    <xf numFmtId="182" fontId="11" fillId="0" borderId="2" xfId="0" applyNumberFormat="1" applyFont="1" applyBorder="1"/>
    <xf numFmtId="180" fontId="8" fillId="0" borderId="0" xfId="31" applyNumberFormat="1" applyFont="1" applyAlignment="1" applyProtection="1">
      <alignment horizontal="left" indent="2"/>
    </xf>
    <xf numFmtId="180" fontId="12" fillId="0" borderId="0" xfId="31" applyNumberFormat="1" applyFont="1" applyFill="1" applyProtection="1"/>
    <xf numFmtId="171" fontId="0" fillId="0" borderId="0" xfId="0" applyNumberFormat="1"/>
    <xf numFmtId="37" fontId="8" fillId="0" borderId="0" xfId="0" applyNumberFormat="1" applyFont="1" applyFill="1" applyBorder="1" applyAlignment="1" applyProtection="1"/>
    <xf numFmtId="37" fontId="4" fillId="0" borderId="0" xfId="0" applyNumberFormat="1" applyFont="1" applyFill="1" applyBorder="1" applyAlignment="1" applyProtection="1"/>
    <xf numFmtId="37" fontId="10" fillId="0" borderId="0" xfId="0" applyNumberFormat="1" applyFont="1" applyFill="1" applyBorder="1" applyAlignment="1" applyProtection="1">
      <alignment horizontal="left"/>
    </xf>
    <xf numFmtId="37" fontId="4" fillId="0" borderId="0" xfId="0" applyNumberFormat="1" applyFont="1" applyFill="1" applyBorder="1" applyAlignment="1" applyProtection="1">
      <alignment horizontal="center"/>
    </xf>
    <xf numFmtId="37" fontId="15" fillId="0" borderId="0" xfId="0" applyNumberFormat="1" applyFont="1" applyFill="1" applyBorder="1" applyAlignment="1" applyProtection="1">
      <alignment horizontal="left" indent="1"/>
    </xf>
    <xf numFmtId="37" fontId="10" fillId="6" borderId="22" xfId="0" applyNumberFormat="1" applyFont="1" applyFill="1" applyBorder="1" applyAlignment="1" applyProtection="1"/>
    <xf numFmtId="37" fontId="54" fillId="6" borderId="11" xfId="0" applyNumberFormat="1" applyFont="1" applyFill="1" applyBorder="1" applyAlignment="1" applyProtection="1">
      <alignment horizontal="center"/>
    </xf>
    <xf numFmtId="37" fontId="54" fillId="6" borderId="23" xfId="0" applyNumberFormat="1" applyFont="1" applyFill="1" applyBorder="1" applyAlignment="1" applyProtection="1">
      <alignment horizontal="center"/>
    </xf>
    <xf numFmtId="37" fontId="54" fillId="6" borderId="34" xfId="0" applyNumberFormat="1" applyFont="1" applyFill="1" applyBorder="1" applyAlignment="1" applyProtection="1">
      <alignment horizontal="centerContinuous"/>
    </xf>
    <xf numFmtId="37" fontId="68" fillId="6" borderId="35" xfId="0" applyNumberFormat="1" applyFont="1" applyFill="1" applyBorder="1" applyAlignment="1" applyProtection="1">
      <alignment horizontal="centerContinuous"/>
    </xf>
    <xf numFmtId="37" fontId="68" fillId="6" borderId="36" xfId="0" applyNumberFormat="1" applyFont="1" applyFill="1" applyBorder="1" applyAlignment="1" applyProtection="1">
      <alignment horizontal="centerContinuous"/>
    </xf>
    <xf numFmtId="37" fontId="54" fillId="6" borderId="28" xfId="0" applyNumberFormat="1" applyFont="1" applyFill="1" applyBorder="1" applyAlignment="1" applyProtection="1">
      <alignment horizontal="centerContinuous"/>
    </xf>
    <xf numFmtId="37" fontId="54" fillId="6" borderId="28" xfId="0" applyNumberFormat="1" applyFont="1" applyFill="1" applyBorder="1" applyAlignment="1" applyProtection="1">
      <alignment horizontal="center"/>
    </xf>
    <xf numFmtId="37" fontId="10" fillId="6" borderId="0" xfId="0" applyNumberFormat="1" applyFont="1" applyFill="1" applyBorder="1" applyAlignment="1" applyProtection="1"/>
    <xf numFmtId="37" fontId="54" fillId="6" borderId="0" xfId="0" applyNumberFormat="1" applyFont="1" applyFill="1" applyBorder="1" applyAlignment="1" applyProtection="1">
      <alignment horizontal="center"/>
    </xf>
    <xf numFmtId="37" fontId="54" fillId="6" borderId="24" xfId="0" applyNumberFormat="1" applyFont="1" applyFill="1" applyBorder="1" applyAlignment="1" applyProtection="1">
      <alignment horizontal="center"/>
    </xf>
    <xf numFmtId="37" fontId="54" fillId="6" borderId="25" xfId="0" applyNumberFormat="1" applyFont="1" applyFill="1" applyBorder="1" applyAlignment="1" applyProtection="1">
      <alignment horizontal="center"/>
    </xf>
    <xf numFmtId="37" fontId="54" fillId="6" borderId="29" xfId="0" applyNumberFormat="1" applyFont="1" applyFill="1" applyBorder="1" applyAlignment="1" applyProtection="1">
      <alignment horizontal="center"/>
    </xf>
    <xf numFmtId="5" fontId="4" fillId="0" borderId="24" xfId="0" applyNumberFormat="1" applyFont="1" applyFill="1" applyBorder="1" applyAlignment="1" applyProtection="1">
      <alignment horizontal="left"/>
    </xf>
    <xf numFmtId="174" fontId="10" fillId="0" borderId="0" xfId="0" applyNumberFormat="1" applyFont="1" applyFill="1" applyBorder="1" applyAlignment="1" applyProtection="1">
      <alignment horizontal="center"/>
    </xf>
    <xf numFmtId="174" fontId="15" fillId="0" borderId="0" xfId="0" applyNumberFormat="1" applyFont="1" applyFill="1" applyBorder="1" applyAlignment="1" applyProtection="1">
      <alignment horizontal="center"/>
    </xf>
    <xf numFmtId="6" fontId="10" fillId="0" borderId="24" xfId="0" applyNumberFormat="1" applyFont="1" applyFill="1" applyBorder="1" applyAlignment="1" applyProtection="1">
      <alignment horizontal="center"/>
    </xf>
    <xf numFmtId="6" fontId="10" fillId="0" borderId="0" xfId="0" applyNumberFormat="1" applyFont="1" applyFill="1" applyBorder="1" applyAlignment="1" applyProtection="1">
      <alignment horizontal="center"/>
    </xf>
    <xf numFmtId="6" fontId="10" fillId="0" borderId="25" xfId="0" applyNumberFormat="1" applyFont="1" applyFill="1" applyBorder="1" applyAlignment="1" applyProtection="1">
      <alignment horizontal="center"/>
    </xf>
    <xf numFmtId="8" fontId="4" fillId="0" borderId="29" xfId="0" applyNumberFormat="1" applyFont="1" applyFill="1" applyBorder="1" applyAlignment="1" applyProtection="1">
      <alignment horizontal="center"/>
    </xf>
    <xf numFmtId="37" fontId="4" fillId="0" borderId="29" xfId="0" applyNumberFormat="1" applyFont="1" applyFill="1" applyBorder="1" applyAlignment="1" applyProtection="1">
      <alignment horizontal="center"/>
    </xf>
    <xf numFmtId="5" fontId="4" fillId="0" borderId="0" xfId="0" applyNumberFormat="1" applyFont="1" applyFill="1" applyBorder="1" applyAlignment="1" applyProtection="1">
      <alignment horizontal="left"/>
    </xf>
    <xf numFmtId="5" fontId="10" fillId="0" borderId="0" xfId="0" applyNumberFormat="1" applyFont="1" applyFill="1" applyBorder="1" applyAlignment="1" applyProtection="1">
      <alignment horizontal="center"/>
    </xf>
    <xf numFmtId="191" fontId="4" fillId="0" borderId="0" xfId="0" applyNumberFormat="1" applyFont="1" applyFill="1" applyBorder="1" applyAlignment="1" applyProtection="1">
      <alignment horizontal="center"/>
    </xf>
    <xf numFmtId="191" fontId="17" fillId="0" borderId="0" xfId="0" applyNumberFormat="1" applyFont="1" applyFill="1" applyBorder="1" applyAlignment="1" applyProtection="1">
      <alignment horizontal="center"/>
    </xf>
    <xf numFmtId="242" fontId="4" fillId="0" borderId="24" xfId="0" applyNumberFormat="1" applyFont="1" applyFill="1" applyBorder="1" applyAlignment="1" applyProtection="1">
      <alignment horizontal="center"/>
    </xf>
    <xf numFmtId="242" fontId="4" fillId="0" borderId="0" xfId="0" applyNumberFormat="1" applyFont="1" applyFill="1" applyBorder="1" applyAlignment="1" applyProtection="1">
      <alignment horizontal="center"/>
    </xf>
    <xf numFmtId="242" fontId="4" fillId="0" borderId="25" xfId="0" applyNumberFormat="1" applyFont="1" applyFill="1" applyBorder="1" applyAlignment="1" applyProtection="1">
      <alignment horizontal="center"/>
    </xf>
    <xf numFmtId="37" fontId="4" fillId="0" borderId="29" xfId="0" applyNumberFormat="1" applyFont="1" applyFill="1" applyBorder="1" applyAlignment="1" applyProtection="1"/>
    <xf numFmtId="168" fontId="4" fillId="0" borderId="0" xfId="0" applyNumberFormat="1" applyFont="1" applyFill="1" applyBorder="1" applyAlignment="1" applyProtection="1">
      <alignment horizontal="center"/>
    </xf>
    <xf numFmtId="168" fontId="17" fillId="0" borderId="0" xfId="0" applyNumberFormat="1" applyFont="1" applyFill="1" applyBorder="1" applyAlignment="1" applyProtection="1">
      <alignment horizontal="center"/>
    </xf>
    <xf numFmtId="168" fontId="4" fillId="0" borderId="25" xfId="0" applyNumberFormat="1" applyFont="1" applyFill="1" applyBorder="1" applyAlignment="1" applyProtection="1">
      <alignment horizontal="center"/>
    </xf>
    <xf numFmtId="6" fontId="4" fillId="0" borderId="24" xfId="0" applyNumberFormat="1" applyFont="1" applyFill="1" applyBorder="1" applyAlignment="1" applyProtection="1">
      <alignment horizontal="center"/>
    </xf>
    <xf numFmtId="6" fontId="4" fillId="0" borderId="0" xfId="0" applyNumberFormat="1" applyFont="1" applyFill="1" applyBorder="1" applyAlignment="1" applyProtection="1">
      <alignment horizontal="center"/>
    </xf>
    <xf numFmtId="6" fontId="4" fillId="0" borderId="25" xfId="0" applyNumberFormat="1" applyFont="1" applyFill="1" applyBorder="1" applyAlignment="1" applyProtection="1">
      <alignment horizontal="center"/>
    </xf>
    <xf numFmtId="37" fontId="15" fillId="0" borderId="29" xfId="0" applyNumberFormat="1" applyFont="1" applyFill="1" applyBorder="1" applyAlignment="1" applyProtection="1">
      <alignment horizontal="center"/>
    </xf>
    <xf numFmtId="37" fontId="17" fillId="0" borderId="0" xfId="0" applyNumberFormat="1" applyFont="1" applyFill="1" applyBorder="1" applyAlignment="1" applyProtection="1">
      <alignment horizontal="center"/>
    </xf>
    <xf numFmtId="14" fontId="4" fillId="0" borderId="29" xfId="0" applyNumberFormat="1" applyFont="1" applyFill="1" applyBorder="1" applyAlignment="1" applyProtection="1">
      <alignment horizontal="center"/>
    </xf>
    <xf numFmtId="8" fontId="15" fillId="0" borderId="29" xfId="0" applyNumberFormat="1" applyFont="1" applyFill="1" applyBorder="1" applyAlignment="1" applyProtection="1">
      <alignment horizontal="center"/>
    </xf>
    <xf numFmtId="2" fontId="15" fillId="0" borderId="29" xfId="0" applyNumberFormat="1" applyFont="1" applyFill="1" applyBorder="1" applyAlignment="1" applyProtection="1">
      <alignment horizontal="center"/>
    </xf>
    <xf numFmtId="39" fontId="4" fillId="0" borderId="0" xfId="0" applyNumberFormat="1" applyFont="1" applyFill="1" applyBorder="1" applyAlignment="1" applyProtection="1">
      <alignment horizontal="center"/>
    </xf>
    <xf numFmtId="37" fontId="4" fillId="0" borderId="25" xfId="0" applyNumberFormat="1" applyFont="1" applyFill="1" applyBorder="1" applyAlignment="1" applyProtection="1">
      <alignment horizontal="center"/>
    </xf>
    <xf numFmtId="7" fontId="10" fillId="0" borderId="0" xfId="0" applyNumberFormat="1" applyFont="1" applyFill="1" applyBorder="1" applyAlignment="1" applyProtection="1">
      <alignment horizontal="center"/>
    </xf>
    <xf numFmtId="7" fontId="15" fillId="0" borderId="0" xfId="0" applyNumberFormat="1" applyFont="1" applyFill="1" applyBorder="1" applyAlignment="1" applyProtection="1">
      <alignment horizontal="center"/>
    </xf>
    <xf numFmtId="8" fontId="10" fillId="0" borderId="24" xfId="0" applyNumberFormat="1" applyFont="1" applyFill="1" applyBorder="1" applyAlignment="1" applyProtection="1">
      <alignment horizontal="center"/>
    </xf>
    <xf numFmtId="8" fontId="10" fillId="0" borderId="0" xfId="0" applyNumberFormat="1" applyFont="1" applyFill="1" applyBorder="1" applyAlignment="1" applyProtection="1">
      <alignment horizontal="center"/>
    </xf>
    <xf numFmtId="8" fontId="10" fillId="0" borderId="25" xfId="0" applyNumberFormat="1" applyFont="1" applyFill="1" applyBorder="1" applyAlignment="1" applyProtection="1">
      <alignment horizontal="center"/>
    </xf>
    <xf numFmtId="5" fontId="10" fillId="0" borderId="24" xfId="0" applyNumberFormat="1" applyFont="1" applyFill="1" applyBorder="1" applyAlignment="1" applyProtection="1">
      <alignment horizontal="left"/>
    </xf>
    <xf numFmtId="168" fontId="4" fillId="0" borderId="24" xfId="0" applyNumberFormat="1" applyFont="1" applyFill="1" applyBorder="1" applyAlignment="1" applyProtection="1">
      <alignment horizontal="center"/>
    </xf>
    <xf numFmtId="5" fontId="10" fillId="0" borderId="0" xfId="0" applyNumberFormat="1" applyFont="1" applyFill="1" applyBorder="1" applyAlignment="1" applyProtection="1">
      <alignment horizontal="left"/>
    </xf>
    <xf numFmtId="191" fontId="4" fillId="0" borderId="29" xfId="0" applyNumberFormat="1" applyFont="1" applyFill="1" applyBorder="1" applyAlignment="1" applyProtection="1">
      <alignment horizontal="center"/>
    </xf>
    <xf numFmtId="37" fontId="4" fillId="0" borderId="26" xfId="0" applyNumberFormat="1" applyFont="1" applyFill="1" applyBorder="1" applyAlignment="1" applyProtection="1"/>
    <xf numFmtId="37" fontId="4" fillId="0" borderId="3" xfId="0" applyNumberFormat="1" applyFont="1" applyFill="1" applyBorder="1" applyAlignment="1" applyProtection="1">
      <alignment horizontal="center"/>
    </xf>
    <xf numFmtId="37" fontId="4" fillId="0" borderId="27" xfId="0" applyNumberFormat="1" applyFont="1" applyFill="1" applyBorder="1" applyAlignment="1" applyProtection="1">
      <alignment horizontal="center"/>
    </xf>
    <xf numFmtId="37" fontId="4" fillId="0" borderId="3" xfId="0" applyNumberFormat="1" applyFont="1" applyFill="1" applyBorder="1" applyAlignment="1" applyProtection="1"/>
    <xf numFmtId="37" fontId="4" fillId="0" borderId="27" xfId="0" applyNumberFormat="1" applyFont="1" applyFill="1" applyBorder="1" applyAlignment="1" applyProtection="1"/>
    <xf numFmtId="37" fontId="4" fillId="0" borderId="30" xfId="0" applyNumberFormat="1" applyFont="1" applyFill="1" applyBorder="1" applyAlignment="1" applyProtection="1"/>
    <xf numFmtId="37" fontId="14" fillId="0" borderId="0" xfId="0" applyNumberFormat="1" applyFont="1" applyFill="1" applyBorder="1" applyAlignment="1" applyProtection="1"/>
    <xf numFmtId="267" fontId="37" fillId="0" borderId="0" xfId="0" applyNumberFormat="1" applyFont="1" applyFill="1" applyBorder="1" applyAlignment="1" applyProtection="1"/>
    <xf numFmtId="5" fontId="4" fillId="0" borderId="2" xfId="0" applyNumberFormat="1" applyFont="1" applyFill="1" applyBorder="1" applyAlignment="1" applyProtection="1">
      <alignment horizontal="left"/>
    </xf>
    <xf numFmtId="267" fontId="37" fillId="0" borderId="2" xfId="0" applyNumberFormat="1" applyFont="1" applyFill="1" applyBorder="1" applyAlignment="1" applyProtection="1"/>
    <xf numFmtId="165" fontId="17" fillId="0" borderId="0" xfId="0" applyNumberFormat="1" applyFont="1" applyFill="1" applyBorder="1" applyAlignment="1" applyProtection="1">
      <alignment horizontal="center"/>
    </xf>
    <xf numFmtId="165" fontId="4" fillId="0" borderId="0" xfId="0" applyNumberFormat="1" applyFont="1" applyFill="1" applyBorder="1" applyAlignment="1" applyProtection="1">
      <alignment horizontal="center"/>
    </xf>
    <xf numFmtId="174" fontId="17" fillId="0" borderId="0" xfId="0" applyNumberFormat="1" applyFont="1" applyFill="1" applyBorder="1" applyAlignment="1" applyProtection="1">
      <alignment horizontal="center"/>
    </xf>
    <xf numFmtId="8" fontId="4" fillId="0" borderId="29" xfId="0" applyNumberFormat="1" applyFont="1" applyFill="1" applyBorder="1" applyAlignment="1" applyProtection="1"/>
    <xf numFmtId="266" fontId="10" fillId="0" borderId="29" xfId="0" applyNumberFormat="1" applyFont="1" applyFill="1" applyBorder="1" applyAlignment="1" applyProtection="1">
      <alignment horizontal="center"/>
    </xf>
    <xf numFmtId="266" fontId="4" fillId="0" borderId="29" xfId="0" applyNumberFormat="1" applyFont="1" applyFill="1" applyBorder="1" applyAlignment="1" applyProtection="1"/>
    <xf numFmtId="39" fontId="8" fillId="0" borderId="0" xfId="0" applyNumberFormat="1" applyFont="1" applyFill="1" applyBorder="1" applyAlignment="1" applyProtection="1"/>
    <xf numFmtId="8" fontId="4" fillId="0" borderId="37" xfId="0" applyNumberFormat="1" applyFont="1" applyFill="1" applyBorder="1" applyAlignment="1" applyProtection="1">
      <alignment horizontal="center"/>
    </xf>
    <xf numFmtId="8" fontId="4" fillId="0" borderId="38" xfId="0" applyNumberFormat="1" applyFont="1" applyFill="1" applyBorder="1" applyAlignment="1" applyProtection="1">
      <alignment horizontal="center"/>
    </xf>
    <xf numFmtId="0" fontId="74" fillId="0" borderId="0" xfId="0" applyFont="1"/>
    <xf numFmtId="166" fontId="73" fillId="0" borderId="0" xfId="35" applyNumberFormat="1" applyFont="1"/>
    <xf numFmtId="0" fontId="15" fillId="0" borderId="0" xfId="0" applyFont="1"/>
    <xf numFmtId="0" fontId="10" fillId="0" borderId="14" xfId="0" applyFont="1" applyBorder="1" applyAlignment="1">
      <alignment horizontal="center"/>
    </xf>
    <xf numFmtId="268" fontId="73" fillId="0" borderId="0" xfId="0" applyNumberFormat="1" applyFont="1"/>
    <xf numFmtId="168" fontId="73" fillId="0" borderId="0" xfId="0" applyNumberFormat="1" applyFont="1"/>
    <xf numFmtId="0" fontId="70" fillId="0" borderId="0" xfId="0" applyFont="1" applyAlignment="1">
      <alignment horizontal="left" indent="1"/>
    </xf>
    <xf numFmtId="0" fontId="37" fillId="0" borderId="5" xfId="0" applyFont="1" applyBorder="1"/>
    <xf numFmtId="44" fontId="4" fillId="0" borderId="5" xfId="0" applyNumberFormat="1" applyFont="1" applyBorder="1"/>
    <xf numFmtId="166" fontId="73" fillId="0" borderId="0" xfId="35" applyNumberFormat="1" applyFont="1" applyAlignment="1">
      <alignment horizontal="right"/>
    </xf>
    <xf numFmtId="168" fontId="73" fillId="0" borderId="0" xfId="0" applyNumberFormat="1" applyFont="1" applyAlignment="1">
      <alignment horizontal="right"/>
    </xf>
    <xf numFmtId="0" fontId="0" fillId="3" borderId="0" xfId="0" applyFill="1"/>
    <xf numFmtId="268" fontId="4" fillId="0" borderId="0" xfId="0" applyNumberFormat="1" applyFont="1"/>
    <xf numFmtId="166" fontId="4" fillId="0" borderId="0" xfId="35" applyNumberFormat="1" applyFont="1" applyAlignment="1">
      <alignment horizontal="right"/>
    </xf>
    <xf numFmtId="166" fontId="37" fillId="0" borderId="0" xfId="35" applyNumberFormat="1" applyFont="1" applyBorder="1"/>
    <xf numFmtId="197" fontId="10" fillId="0" borderId="0" xfId="0" applyNumberFormat="1" applyFont="1" applyBorder="1" applyAlignment="1">
      <alignment horizontal="centerContinuous"/>
    </xf>
    <xf numFmtId="8" fontId="10" fillId="0" borderId="29" xfId="0" applyNumberFormat="1" applyFont="1" applyFill="1" applyBorder="1" applyAlignment="1" applyProtection="1">
      <alignment horizontal="center"/>
    </xf>
    <xf numFmtId="37" fontId="10" fillId="0" borderId="0" xfId="0" applyNumberFormat="1" applyFont="1" applyFill="1" applyBorder="1" applyAlignment="1" applyProtection="1">
      <alignment horizontal="center"/>
    </xf>
    <xf numFmtId="174" fontId="10" fillId="7" borderId="0" xfId="0" applyNumberFormat="1" applyFont="1" applyFill="1" applyBorder="1" applyAlignment="1" applyProtection="1">
      <alignment horizontal="center"/>
    </xf>
    <xf numFmtId="165" fontId="4" fillId="7" borderId="0" xfId="0" applyNumberFormat="1" applyFont="1" applyFill="1" applyBorder="1" applyAlignment="1" applyProtection="1">
      <alignment horizontal="center"/>
    </xf>
    <xf numFmtId="172" fontId="4" fillId="7" borderId="0" xfId="0" applyNumberFormat="1" applyFont="1" applyFill="1" applyBorder="1" applyAlignment="1" applyProtection="1">
      <alignment horizontal="center"/>
    </xf>
    <xf numFmtId="7" fontId="10" fillId="7" borderId="0" xfId="0" applyNumberFormat="1" applyFont="1" applyFill="1" applyBorder="1" applyAlignment="1" applyProtection="1">
      <alignment horizontal="center"/>
    </xf>
    <xf numFmtId="37" fontId="4" fillId="7" borderId="0" xfId="0" applyNumberFormat="1" applyFont="1" applyFill="1" applyBorder="1" applyAlignment="1" applyProtection="1">
      <alignment horizontal="center"/>
    </xf>
    <xf numFmtId="168" fontId="4" fillId="7" borderId="0" xfId="0" applyNumberFormat="1" applyFont="1" applyFill="1" applyBorder="1" applyAlignment="1" applyProtection="1">
      <alignment horizontal="center"/>
    </xf>
    <xf numFmtId="191" fontId="4" fillId="7" borderId="0" xfId="0" applyNumberFormat="1" applyFont="1" applyFill="1" applyBorder="1" applyAlignment="1" applyProtection="1">
      <alignment horizontal="center"/>
    </xf>
    <xf numFmtId="37" fontId="4" fillId="7" borderId="3" xfId="0" applyNumberFormat="1" applyFont="1" applyFill="1" applyBorder="1" applyAlignment="1" applyProtection="1">
      <alignment horizontal="center"/>
    </xf>
    <xf numFmtId="5" fontId="8" fillId="0" borderId="0" xfId="31" applyNumberFormat="1" applyFont="1" applyBorder="1" applyProtection="1"/>
    <xf numFmtId="166" fontId="12" fillId="0" borderId="0" xfId="31" applyNumberFormat="1" applyFont="1" applyProtection="1"/>
    <xf numFmtId="166" fontId="8" fillId="0" borderId="0" xfId="35" applyNumberFormat="1" applyFont="1" applyBorder="1" applyProtection="1"/>
    <xf numFmtId="185" fontId="49" fillId="0" borderId="0" xfId="31" applyNumberFormat="1" applyFont="1" applyProtection="1"/>
    <xf numFmtId="185" fontId="75" fillId="0" borderId="0" xfId="31" applyNumberFormat="1" applyFont="1" applyProtection="1"/>
    <xf numFmtId="9" fontId="27" fillId="0" borderId="0" xfId="35" applyFont="1" applyProtection="1"/>
    <xf numFmtId="9" fontId="49" fillId="0" borderId="0" xfId="35" applyFont="1" applyProtection="1"/>
    <xf numFmtId="194" fontId="4" fillId="0" borderId="0" xfId="35" applyNumberFormat="1" applyFont="1"/>
    <xf numFmtId="9" fontId="4" fillId="0" borderId="0" xfId="35" applyNumberFormat="1" applyFont="1"/>
    <xf numFmtId="269" fontId="4" fillId="0" borderId="0" xfId="0" applyNumberFormat="1" applyFont="1"/>
    <xf numFmtId="0" fontId="76" fillId="0" borderId="0" xfId="0" applyFont="1"/>
    <xf numFmtId="0" fontId="4" fillId="0" borderId="0" xfId="0" applyFont="1" applyAlignment="1">
      <alignment horizontal="left" indent="1"/>
    </xf>
    <xf numFmtId="0" fontId="10" fillId="0" borderId="0" xfId="19" applyFont="1" applyFill="1" applyAlignment="1">
      <alignment horizontal="right"/>
    </xf>
    <xf numFmtId="0" fontId="10" fillId="8" borderId="31" xfId="19" applyFont="1" applyFill="1" applyBorder="1" applyAlignment="1">
      <alignment horizontal="left" indent="1"/>
    </xf>
    <xf numFmtId="0" fontId="37" fillId="0" borderId="0" xfId="19" applyFont="1" applyBorder="1" applyAlignment="1">
      <alignment horizontal="center"/>
    </xf>
    <xf numFmtId="0" fontId="4" fillId="0" borderId="0" xfId="19" applyFont="1" applyBorder="1" applyAlignment="1">
      <alignment horizontal="center"/>
    </xf>
    <xf numFmtId="166" fontId="37" fillId="0" borderId="0" xfId="35" applyNumberFormat="1" applyFont="1" applyBorder="1" applyAlignment="1">
      <alignment horizontal="right"/>
    </xf>
    <xf numFmtId="168" fontId="4" fillId="0" borderId="0" xfId="0" applyNumberFormat="1" applyFont="1" applyFill="1"/>
    <xf numFmtId="268" fontId="4" fillId="0" borderId="0" xfId="0" applyNumberFormat="1" applyFont="1" applyFill="1"/>
    <xf numFmtId="166" fontId="37" fillId="0" borderId="0" xfId="35" applyNumberFormat="1" applyFont="1" applyFill="1" applyBorder="1"/>
    <xf numFmtId="0" fontId="8" fillId="9" borderId="0" xfId="0" applyFont="1" applyFill="1"/>
    <xf numFmtId="240" fontId="4" fillId="0" borderId="0" xfId="0" applyNumberFormat="1" applyFont="1"/>
    <xf numFmtId="39" fontId="4" fillId="0" borderId="0" xfId="0" applyNumberFormat="1" applyFont="1" applyAlignment="1">
      <alignment horizontal="center"/>
    </xf>
    <xf numFmtId="166" fontId="73" fillId="0" borderId="0" xfId="35" applyNumberFormat="1" applyFont="1" applyFill="1"/>
    <xf numFmtId="197" fontId="14" fillId="0" borderId="0" xfId="0" quotePrefix="1" applyNumberFormat="1" applyFont="1" applyAlignment="1">
      <alignment horizontal="left"/>
    </xf>
    <xf numFmtId="248" fontId="10" fillId="0" borderId="2" xfId="0" applyNumberFormat="1" applyFont="1" applyBorder="1" applyAlignment="1">
      <alignment horizontal="centerContinuous"/>
    </xf>
    <xf numFmtId="191" fontId="4" fillId="2" borderId="25" xfId="0" applyNumberFormat="1" applyFont="1" applyFill="1" applyBorder="1" applyAlignment="1" applyProtection="1">
      <alignment horizontal="center"/>
    </xf>
    <xf numFmtId="168" fontId="4" fillId="2" borderId="25" xfId="0" applyNumberFormat="1" applyFont="1" applyFill="1" applyBorder="1" applyAlignment="1" applyProtection="1">
      <alignment horizontal="center"/>
    </xf>
    <xf numFmtId="37" fontId="4" fillId="2" borderId="25" xfId="0" applyNumberFormat="1" applyFont="1" applyFill="1" applyBorder="1" applyAlignment="1" applyProtection="1">
      <alignment horizontal="center"/>
    </xf>
    <xf numFmtId="186" fontId="4" fillId="2" borderId="25" xfId="0" applyNumberFormat="1" applyFont="1" applyFill="1" applyBorder="1" applyAlignment="1" applyProtection="1">
      <alignment horizontal="center"/>
    </xf>
    <xf numFmtId="172" fontId="77" fillId="0" borderId="0" xfId="0" applyNumberFormat="1" applyFont="1" applyFill="1"/>
    <xf numFmtId="44" fontId="8" fillId="0" borderId="0" xfId="14" applyFont="1" applyFill="1" applyBorder="1"/>
    <xf numFmtId="191" fontId="87" fillId="2" borderId="25" xfId="0" applyNumberFormat="1" applyFont="1" applyFill="1" applyBorder="1" applyAlignment="1" applyProtection="1">
      <alignment horizontal="center"/>
    </xf>
    <xf numFmtId="199" fontId="25" fillId="0" borderId="2" xfId="0" applyNumberFormat="1" applyFont="1" applyBorder="1" applyAlignment="1">
      <alignment horizontal="centerContinuous"/>
    </xf>
    <xf numFmtId="0" fontId="25" fillId="0" borderId="2" xfId="0" applyFont="1" applyBorder="1" applyAlignment="1">
      <alignment horizontal="centerContinuous"/>
    </xf>
    <xf numFmtId="37" fontId="20" fillId="0" borderId="0" xfId="0" applyNumberFormat="1" applyFont="1" applyAlignment="1">
      <alignment horizontal="center"/>
    </xf>
    <xf numFmtId="168" fontId="27" fillId="0" borderId="0" xfId="0" applyNumberFormat="1" applyFont="1" applyAlignment="1">
      <alignment horizontal="center"/>
    </xf>
    <xf numFmtId="37" fontId="27" fillId="0" borderId="0" xfId="0" applyNumberFormat="1" applyFont="1" applyAlignment="1">
      <alignment horizontal="center"/>
    </xf>
    <xf numFmtId="168" fontId="12" fillId="0" borderId="0" xfId="0" applyNumberFormat="1" applyFont="1" applyAlignment="1">
      <alignment horizontal="center"/>
    </xf>
    <xf numFmtId="37" fontId="8" fillId="0" borderId="0" xfId="0" applyNumberFormat="1" applyFont="1" applyAlignment="1">
      <alignment horizontal="center"/>
    </xf>
    <xf numFmtId="37" fontId="27" fillId="0" borderId="0" xfId="0" applyNumberFormat="1" applyFont="1" applyBorder="1" applyAlignment="1">
      <alignment horizontal="center"/>
    </xf>
    <xf numFmtId="9" fontId="12" fillId="0" borderId="0" xfId="35" applyFont="1" applyAlignment="1">
      <alignment horizontal="center"/>
    </xf>
    <xf numFmtId="1" fontId="0" fillId="0" borderId="0" xfId="0" applyNumberFormat="1" applyAlignment="1">
      <alignment horizontal="center"/>
    </xf>
    <xf numFmtId="1" fontId="12" fillId="0" borderId="0" xfId="0" applyNumberFormat="1" applyFont="1" applyAlignment="1">
      <alignment horizontal="center"/>
    </xf>
    <xf numFmtId="0" fontId="34" fillId="0" borderId="32" xfId="0" applyFont="1" applyBorder="1"/>
    <xf numFmtId="44" fontId="11" fillId="0" borderId="10" xfId="14" applyNumberFormat="1" applyFont="1" applyBorder="1" applyAlignment="1">
      <alignment horizontal="center"/>
    </xf>
    <xf numFmtId="44" fontId="0" fillId="0" borderId="10" xfId="14" applyNumberFormat="1" applyFont="1" applyBorder="1" applyAlignment="1">
      <alignment horizontal="center"/>
    </xf>
    <xf numFmtId="44" fontId="11" fillId="0" borderId="33" xfId="14" applyNumberFormat="1" applyFont="1" applyBorder="1" applyAlignment="1">
      <alignment horizontal="center"/>
    </xf>
    <xf numFmtId="1" fontId="27" fillId="0" borderId="0" xfId="0" applyNumberFormat="1" applyFont="1" applyAlignment="1">
      <alignment horizontal="center"/>
    </xf>
    <xf numFmtId="37" fontId="0" fillId="0" borderId="0" xfId="0" applyNumberFormat="1" applyAlignment="1">
      <alignment horizontal="center"/>
    </xf>
    <xf numFmtId="37" fontId="27" fillId="0" borderId="0" xfId="0" applyNumberFormat="1" applyFont="1"/>
    <xf numFmtId="37" fontId="0" fillId="0" borderId="0" xfId="0" applyNumberFormat="1"/>
    <xf numFmtId="37" fontId="0" fillId="0" borderId="0" xfId="0" applyNumberFormat="1" applyBorder="1" applyAlignment="1">
      <alignment horizontal="center"/>
    </xf>
    <xf numFmtId="37" fontId="27" fillId="0" borderId="0" xfId="14" applyNumberFormat="1" applyFont="1" applyAlignment="1">
      <alignment horizontal="center"/>
    </xf>
    <xf numFmtId="37" fontId="27" fillId="0" borderId="0" xfId="14" applyNumberFormat="1" applyFont="1"/>
    <xf numFmtId="180" fontId="11" fillId="0" borderId="0" xfId="31" applyFont="1" applyFill="1" applyBorder="1"/>
    <xf numFmtId="180" fontId="11" fillId="0" borderId="0" xfId="31" applyFont="1" applyBorder="1"/>
    <xf numFmtId="0" fontId="40" fillId="0" borderId="0" xfId="22" applyFont="1" applyAlignment="1">
      <alignment horizontal="left"/>
    </xf>
    <xf numFmtId="0" fontId="40" fillId="0" borderId="0" xfId="22" applyFont="1"/>
    <xf numFmtId="0" fontId="78" fillId="0" borderId="0" xfId="22" applyFont="1" applyAlignment="1">
      <alignment horizontal="right"/>
    </xf>
    <xf numFmtId="0" fontId="20" fillId="0" borderId="2" xfId="22" applyFont="1" applyBorder="1"/>
    <xf numFmtId="0" fontId="40" fillId="0" borderId="2" xfId="22" applyFont="1" applyBorder="1" applyAlignment="1">
      <alignment horizontal="left"/>
    </xf>
    <xf numFmtId="0" fontId="40" fillId="0" borderId="2" xfId="22" applyFont="1" applyBorder="1"/>
    <xf numFmtId="0" fontId="78" fillId="0" borderId="2" xfId="22" applyFont="1" applyBorder="1" applyAlignment="1">
      <alignment horizontal="right"/>
    </xf>
    <xf numFmtId="0" fontId="40" fillId="0" borderId="0" xfId="0" applyFont="1"/>
    <xf numFmtId="0" fontId="8" fillId="0" borderId="14" xfId="0" applyFont="1" applyBorder="1"/>
    <xf numFmtId="15" fontId="40" fillId="0" borderId="0" xfId="22" applyNumberFormat="1" applyFont="1"/>
    <xf numFmtId="0" fontId="78" fillId="0" borderId="0" xfId="22" applyFont="1" applyBorder="1" applyAlignment="1">
      <alignment horizontal="centerContinuous"/>
    </xf>
    <xf numFmtId="0" fontId="78" fillId="0" borderId="2" xfId="22" applyFont="1" applyBorder="1" applyAlignment="1">
      <alignment horizontal="centerContinuous"/>
    </xf>
    <xf numFmtId="0" fontId="78" fillId="0" borderId="2" xfId="22" applyFont="1" applyBorder="1" applyAlignment="1">
      <alignment horizontal="center"/>
    </xf>
    <xf numFmtId="0" fontId="78" fillId="0" borderId="2" xfId="22" applyFont="1" applyBorder="1" applyAlignment="1"/>
    <xf numFmtId="0" fontId="78" fillId="0" borderId="0" xfId="22" applyFont="1" applyBorder="1" applyAlignment="1"/>
    <xf numFmtId="0" fontId="40" fillId="0" borderId="0" xfId="22" applyNumberFormat="1" applyFont="1"/>
    <xf numFmtId="0" fontId="40" fillId="0" borderId="0" xfId="35" quotePrefix="1" applyNumberFormat="1" applyFont="1" applyBorder="1" applyAlignment="1">
      <alignment horizontal="centerContinuous"/>
    </xf>
    <xf numFmtId="0" fontId="20" fillId="0" borderId="2" xfId="35" applyNumberFormat="1" applyFont="1" applyBorder="1" applyAlignment="1">
      <alignment horizontal="centerContinuous"/>
    </xf>
    <xf numFmtId="0" fontId="40" fillId="0" borderId="2" xfId="35" applyNumberFormat="1" applyFont="1" applyBorder="1" applyAlignment="1">
      <alignment horizontal="centerContinuous"/>
    </xf>
    <xf numFmtId="0" fontId="40" fillId="0" borderId="0" xfId="35" applyNumberFormat="1" applyFont="1" applyBorder="1" applyAlignment="1">
      <alignment horizontal="centerContinuous"/>
    </xf>
    <xf numFmtId="0" fontId="11" fillId="0" borderId="2" xfId="35" applyNumberFormat="1" applyFont="1" applyBorder="1" applyAlignment="1">
      <alignment horizontal="centerContinuous"/>
    </xf>
    <xf numFmtId="0" fontId="11" fillId="0" borderId="0" xfId="35" applyNumberFormat="1" applyFont="1" applyBorder="1" applyAlignment="1">
      <alignment horizontal="centerContinuous"/>
    </xf>
    <xf numFmtId="197" fontId="11" fillId="0" borderId="0" xfId="35" applyNumberFormat="1" applyFont="1" applyBorder="1" applyAlignment="1">
      <alignment horizontal="centerContinuous"/>
    </xf>
    <xf numFmtId="0" fontId="40" fillId="0" borderId="0" xfId="22" applyNumberFormat="1" applyFont="1" applyBorder="1"/>
    <xf numFmtId="220" fontId="11" fillId="0" borderId="0" xfId="35" applyNumberFormat="1" applyFont="1" applyBorder="1" applyAlignment="1">
      <alignment horizontal="centerContinuous"/>
    </xf>
    <xf numFmtId="0" fontId="8" fillId="0" borderId="0" xfId="35" applyNumberFormat="1" applyFont="1" applyBorder="1" applyAlignment="1">
      <alignment horizontal="centerContinuous"/>
    </xf>
    <xf numFmtId="0" fontId="40" fillId="0" borderId="16" xfId="22" applyNumberFormat="1" applyFont="1" applyBorder="1"/>
    <xf numFmtId="0" fontId="11" fillId="0" borderId="14" xfId="43" applyNumberFormat="1" applyFont="1" applyBorder="1" applyAlignment="1">
      <alignment horizontal="center"/>
    </xf>
    <xf numFmtId="0" fontId="11" fillId="0" borderId="8" xfId="43" applyNumberFormat="1" applyFont="1" applyBorder="1" applyAlignment="1">
      <alignment horizontal="center"/>
    </xf>
    <xf numFmtId="220" fontId="11" fillId="0" borderId="14" xfId="43" applyNumberFormat="1" applyFont="1" applyBorder="1" applyAlignment="1">
      <alignment horizontal="center"/>
    </xf>
    <xf numFmtId="220" fontId="20" fillId="0" borderId="14" xfId="43" applyNumberFormat="1" applyFont="1" applyBorder="1" applyAlignment="1">
      <alignment horizontal="center"/>
    </xf>
    <xf numFmtId="0" fontId="79" fillId="0" borderId="0" xfId="22" applyFont="1"/>
    <xf numFmtId="171" fontId="79" fillId="0" borderId="0" xfId="43" applyFont="1" applyAlignment="1">
      <alignment horizontal="center"/>
    </xf>
    <xf numFmtId="171" fontId="22" fillId="0" borderId="0" xfId="43" applyFont="1" applyAlignment="1">
      <alignment horizontal="center"/>
    </xf>
    <xf numFmtId="171" fontId="21" fillId="0" borderId="0" xfId="43" applyFont="1" applyAlignment="1">
      <alignment horizontal="center"/>
    </xf>
    <xf numFmtId="0" fontId="79" fillId="0" borderId="0" xfId="22" applyFont="1" applyAlignment="1">
      <alignment horizontal="center"/>
    </xf>
    <xf numFmtId="0" fontId="21" fillId="0" borderId="0" xfId="22" applyFont="1" applyAlignment="1">
      <alignment horizontal="center"/>
    </xf>
    <xf numFmtId="171" fontId="21" fillId="0" borderId="14" xfId="43" applyFont="1" applyBorder="1" applyAlignment="1">
      <alignment horizontal="center"/>
    </xf>
    <xf numFmtId="0" fontId="79" fillId="0" borderId="14" xfId="22" applyFont="1" applyBorder="1" applyAlignment="1">
      <alignment horizontal="center"/>
    </xf>
    <xf numFmtId="0" fontId="21" fillId="0" borderId="14" xfId="22" applyFont="1" applyBorder="1" applyAlignment="1">
      <alignment horizontal="center"/>
    </xf>
    <xf numFmtId="0" fontId="21" fillId="0" borderId="0" xfId="22" applyFont="1" applyBorder="1" applyAlignment="1">
      <alignment horizontal="center"/>
    </xf>
    <xf numFmtId="171" fontId="21" fillId="0" borderId="0" xfId="43" applyFont="1" applyBorder="1" applyAlignment="1">
      <alignment horizontal="center"/>
    </xf>
    <xf numFmtId="0" fontId="79" fillId="0" borderId="16" xfId="22" applyFont="1" applyBorder="1" applyAlignment="1">
      <alignment horizontal="center"/>
    </xf>
    <xf numFmtId="171" fontId="21" fillId="0" borderId="5" xfId="43" applyFont="1" applyBorder="1" applyAlignment="1">
      <alignment horizontal="center"/>
    </xf>
    <xf numFmtId="171" fontId="21" fillId="0" borderId="1" xfId="43" applyFont="1" applyBorder="1" applyAlignment="1">
      <alignment horizontal="center"/>
    </xf>
    <xf numFmtId="171" fontId="22" fillId="0" borderId="0" xfId="43" applyFont="1" applyBorder="1" applyAlignment="1">
      <alignment horizontal="center"/>
    </xf>
    <xf numFmtId="171" fontId="80" fillId="0" borderId="0" xfId="43" applyFont="1" applyAlignment="1">
      <alignment horizontal="center"/>
    </xf>
    <xf numFmtId="0" fontId="80" fillId="0" borderId="0" xfId="22" applyFont="1" applyAlignment="1">
      <alignment horizontal="center"/>
    </xf>
    <xf numFmtId="0" fontId="40" fillId="0" borderId="0" xfId="22" applyFont="1" applyBorder="1"/>
    <xf numFmtId="0" fontId="40" fillId="0" borderId="1" xfId="22" applyFont="1" applyBorder="1"/>
    <xf numFmtId="0" fontId="8" fillId="0" borderId="0" xfId="22" applyFont="1" applyBorder="1"/>
    <xf numFmtId="5" fontId="40" fillId="0" borderId="0" xfId="22" applyNumberFormat="1" applyFont="1"/>
    <xf numFmtId="5" fontId="40" fillId="0" borderId="0" xfId="22" applyNumberFormat="1" applyFont="1" applyAlignment="1">
      <alignment horizontal="right"/>
    </xf>
    <xf numFmtId="5" fontId="40" fillId="0" borderId="0" xfId="22" applyNumberFormat="1" applyFont="1" applyBorder="1" applyAlignment="1">
      <alignment horizontal="right"/>
    </xf>
    <xf numFmtId="5" fontId="40" fillId="0" borderId="1" xfId="22" applyNumberFormat="1" applyFont="1" applyBorder="1" applyAlignment="1">
      <alignment horizontal="right"/>
    </xf>
    <xf numFmtId="190" fontId="40" fillId="0" borderId="0" xfId="22" applyNumberFormat="1" applyFont="1" applyAlignment="1">
      <alignment horizontal="right"/>
    </xf>
    <xf numFmtId="0" fontId="8" fillId="0" borderId="16" xfId="0" applyFont="1" applyBorder="1"/>
    <xf numFmtId="37" fontId="40" fillId="0" borderId="0" xfId="22" applyNumberFormat="1" applyFont="1"/>
    <xf numFmtId="37" fontId="8" fillId="0" borderId="0" xfId="22" applyNumberFormat="1" applyFont="1" applyFill="1"/>
    <xf numFmtId="37" fontId="12" fillId="0" borderId="0" xfId="22" applyNumberFormat="1" applyFont="1" applyFill="1"/>
    <xf numFmtId="37" fontId="66" fillId="0" borderId="0" xfId="22" applyNumberFormat="1" applyFont="1" applyFill="1"/>
    <xf numFmtId="37" fontId="66" fillId="0" borderId="0" xfId="22" applyNumberFormat="1" applyFont="1"/>
    <xf numFmtId="37" fontId="66" fillId="0" borderId="0" xfId="22" applyNumberFormat="1" applyFont="1" applyBorder="1"/>
    <xf numFmtId="37" fontId="66" fillId="0" borderId="1" xfId="22" applyNumberFormat="1" applyFont="1" applyBorder="1"/>
    <xf numFmtId="0" fontId="8" fillId="0" borderId="1" xfId="0" applyFont="1" applyBorder="1"/>
    <xf numFmtId="7" fontId="40" fillId="0" borderId="0" xfId="22" applyNumberFormat="1" applyFont="1" applyAlignment="1">
      <alignment horizontal="right"/>
    </xf>
    <xf numFmtId="37" fontId="40" fillId="0" borderId="0" xfId="22" applyNumberFormat="1" applyFont="1" applyBorder="1"/>
    <xf numFmtId="37" fontId="40" fillId="0" borderId="1" xfId="22" applyNumberFormat="1" applyFont="1" applyBorder="1"/>
    <xf numFmtId="37" fontId="71" fillId="0" borderId="0" xfId="22" applyNumberFormat="1" applyFont="1"/>
    <xf numFmtId="37" fontId="71" fillId="0" borderId="0" xfId="22" applyNumberFormat="1" applyFont="1" applyBorder="1"/>
    <xf numFmtId="37" fontId="71" fillId="0" borderId="1" xfId="22" applyNumberFormat="1" applyFont="1" applyBorder="1"/>
    <xf numFmtId="0" fontId="71" fillId="0" borderId="0" xfId="0" applyFont="1"/>
    <xf numFmtId="5" fontId="40" fillId="0" borderId="0" xfId="22" applyNumberFormat="1" applyFont="1" applyFill="1" applyAlignment="1">
      <alignment horizontal="right"/>
    </xf>
    <xf numFmtId="168" fontId="40" fillId="0" borderId="0" xfId="22" applyNumberFormat="1" applyFont="1"/>
    <xf numFmtId="168" fontId="40" fillId="0" borderId="0" xfId="22" applyNumberFormat="1" applyFont="1" applyBorder="1"/>
    <xf numFmtId="168" fontId="40" fillId="0" borderId="1" xfId="22" applyNumberFormat="1" applyFont="1" applyBorder="1"/>
    <xf numFmtId="2" fontId="40" fillId="0" borderId="0" xfId="22" applyNumberFormat="1" applyFont="1"/>
    <xf numFmtId="2" fontId="40" fillId="0" borderId="0" xfId="22" applyNumberFormat="1" applyFont="1" applyFill="1"/>
    <xf numFmtId="2" fontId="40" fillId="0" borderId="0" xfId="22" applyNumberFormat="1" applyFont="1" applyBorder="1"/>
    <xf numFmtId="2" fontId="40" fillId="0" borderId="1" xfId="22" applyNumberFormat="1" applyFont="1" applyBorder="1"/>
    <xf numFmtId="37" fontId="40" fillId="0" borderId="0" xfId="22" applyNumberFormat="1" applyFont="1" applyBorder="1" applyAlignment="1">
      <alignment horizontal="right"/>
    </xf>
    <xf numFmtId="190" fontId="40" fillId="0" borderId="0" xfId="22" applyNumberFormat="1" applyFont="1"/>
    <xf numFmtId="190" fontId="40" fillId="0" borderId="0" xfId="22" applyNumberFormat="1" applyFont="1" applyBorder="1"/>
    <xf numFmtId="190" fontId="40" fillId="0" borderId="1" xfId="22" applyNumberFormat="1" applyFont="1" applyBorder="1"/>
    <xf numFmtId="5" fontId="40" fillId="0" borderId="15" xfId="22" applyNumberFormat="1" applyFont="1" applyBorder="1"/>
    <xf numFmtId="5" fontId="40" fillId="0" borderId="5" xfId="22" applyNumberFormat="1" applyFont="1" applyBorder="1" applyAlignment="1">
      <alignment horizontal="right"/>
    </xf>
    <xf numFmtId="7" fontId="40" fillId="0" borderId="5" xfId="22" applyNumberFormat="1" applyFont="1" applyBorder="1" applyAlignment="1">
      <alignment horizontal="right"/>
    </xf>
    <xf numFmtId="7" fontId="40" fillId="0" borderId="15" xfId="22" applyNumberFormat="1" applyFont="1" applyBorder="1" applyAlignment="1">
      <alignment horizontal="right"/>
    </xf>
    <xf numFmtId="168" fontId="40" fillId="0" borderId="0" xfId="22" applyNumberFormat="1" applyFont="1" applyAlignment="1">
      <alignment horizontal="right"/>
    </xf>
    <xf numFmtId="168" fontId="40" fillId="0" borderId="0" xfId="22" applyNumberFormat="1" applyFont="1" applyBorder="1" applyAlignment="1">
      <alignment horizontal="right"/>
    </xf>
    <xf numFmtId="168" fontId="40" fillId="0" borderId="1" xfId="22" applyNumberFormat="1" applyFont="1" applyBorder="1" applyAlignment="1">
      <alignment horizontal="right"/>
    </xf>
    <xf numFmtId="168" fontId="40" fillId="0" borderId="0" xfId="22" applyNumberFormat="1" applyFont="1" applyFill="1" applyBorder="1" applyAlignment="1">
      <alignment horizontal="right"/>
    </xf>
    <xf numFmtId="168" fontId="40" fillId="0" borderId="0" xfId="22" applyNumberFormat="1" applyFont="1" applyFill="1" applyAlignment="1">
      <alignment horizontal="right"/>
    </xf>
    <xf numFmtId="7" fontId="40" fillId="0" borderId="0" xfId="22" applyNumberFormat="1" applyFont="1"/>
    <xf numFmtId="7" fontId="40" fillId="0" borderId="0" xfId="22" applyNumberFormat="1" applyFont="1" applyBorder="1"/>
    <xf numFmtId="7" fontId="40" fillId="0" borderId="1" xfId="22" applyNumberFormat="1" applyFont="1" applyBorder="1"/>
    <xf numFmtId="174" fontId="40" fillId="0" borderId="0" xfId="22" applyNumberFormat="1" applyFont="1" applyAlignment="1">
      <alignment horizontal="right"/>
    </xf>
    <xf numFmtId="166" fontId="40" fillId="0" borderId="0" xfId="22" applyNumberFormat="1" applyFont="1" applyAlignment="1">
      <alignment horizontal="right"/>
    </xf>
    <xf numFmtId="166" fontId="40" fillId="0" borderId="0" xfId="22" applyNumberFormat="1" applyFont="1" applyBorder="1" applyAlignment="1">
      <alignment horizontal="right"/>
    </xf>
    <xf numFmtId="166" fontId="40" fillId="0" borderId="0" xfId="35" applyNumberFormat="1" applyFont="1" applyBorder="1" applyAlignment="1">
      <alignment horizontal="right"/>
    </xf>
    <xf numFmtId="166" fontId="40" fillId="0" borderId="1" xfId="35" applyNumberFormat="1" applyFont="1" applyBorder="1" applyAlignment="1">
      <alignment horizontal="right"/>
    </xf>
    <xf numFmtId="166" fontId="40" fillId="0" borderId="0" xfId="35" applyNumberFormat="1" applyFont="1" applyAlignment="1">
      <alignment horizontal="right"/>
    </xf>
    <xf numFmtId="166" fontId="66" fillId="0" borderId="0" xfId="35" applyNumberFormat="1" applyFont="1" applyAlignment="1">
      <alignment horizontal="right"/>
    </xf>
    <xf numFmtId="166" fontId="66" fillId="0" borderId="0" xfId="35" applyNumberFormat="1" applyFont="1" applyBorder="1" applyAlignment="1">
      <alignment horizontal="right"/>
    </xf>
    <xf numFmtId="166" fontId="40" fillId="0" borderId="0" xfId="22" applyNumberFormat="1" applyFont="1"/>
    <xf numFmtId="166" fontId="40" fillId="0" borderId="0" xfId="22" applyNumberFormat="1" applyFont="1" applyBorder="1"/>
    <xf numFmtId="166" fontId="40" fillId="0" borderId="1" xfId="22" applyNumberFormat="1" applyFont="1" applyBorder="1"/>
    <xf numFmtId="191" fontId="40" fillId="0" borderId="0" xfId="28" applyNumberFormat="1" applyFont="1" applyAlignment="1">
      <alignment horizontal="right"/>
    </xf>
    <xf numFmtId="166" fontId="40" fillId="0" borderId="0" xfId="28" applyNumberFormat="1" applyFont="1" applyAlignment="1">
      <alignment horizontal="right"/>
    </xf>
    <xf numFmtId="171" fontId="40" fillId="0" borderId="0" xfId="10" applyNumberFormat="1" applyFont="1" applyAlignment="1">
      <alignment horizontal="right"/>
    </xf>
    <xf numFmtId="166" fontId="28" fillId="0" borderId="0" xfId="35" applyNumberFormat="1" applyFont="1" applyAlignment="1">
      <alignment horizontal="right"/>
    </xf>
    <xf numFmtId="166" fontId="40" fillId="0" borderId="0" xfId="10" applyNumberFormat="1" applyFont="1" applyAlignment="1">
      <alignment horizontal="right"/>
    </xf>
    <xf numFmtId="166" fontId="28" fillId="0" borderId="0" xfId="35" applyNumberFormat="1" applyFont="1" applyBorder="1" applyAlignment="1">
      <alignment horizontal="right"/>
    </xf>
    <xf numFmtId="166" fontId="28" fillId="0" borderId="1" xfId="35" applyNumberFormat="1" applyFont="1" applyBorder="1" applyAlignment="1">
      <alignment horizontal="right"/>
    </xf>
    <xf numFmtId="166" fontId="36" fillId="0" borderId="2" xfId="35" applyNumberFormat="1" applyFont="1" applyBorder="1" applyAlignment="1">
      <alignment horizontal="right"/>
    </xf>
    <xf numFmtId="166" fontId="40" fillId="0" borderId="2" xfId="22" applyNumberFormat="1" applyFont="1" applyBorder="1" applyAlignment="1">
      <alignment horizontal="right"/>
    </xf>
    <xf numFmtId="166" fontId="40" fillId="0" borderId="2" xfId="35" applyNumberFormat="1" applyFont="1" applyBorder="1" applyAlignment="1">
      <alignment horizontal="right"/>
    </xf>
    <xf numFmtId="166" fontId="40" fillId="0" borderId="16" xfId="22" applyNumberFormat="1" applyFont="1" applyBorder="1" applyAlignment="1">
      <alignment horizontal="right"/>
    </xf>
    <xf numFmtId="166" fontId="40" fillId="0" borderId="17" xfId="35" applyNumberFormat="1" applyFont="1" applyBorder="1" applyAlignment="1">
      <alignment horizontal="right"/>
    </xf>
    <xf numFmtId="168" fontId="40" fillId="0" borderId="0" xfId="22" applyNumberFormat="1" applyFont="1" applyAlignment="1">
      <alignment horizontal="centerContinuous"/>
    </xf>
    <xf numFmtId="168" fontId="40" fillId="0" borderId="0" xfId="22" applyNumberFormat="1" applyFont="1" applyBorder="1" applyAlignment="1">
      <alignment horizontal="centerContinuous"/>
    </xf>
    <xf numFmtId="0" fontId="79" fillId="0" borderId="8" xfId="22" applyFont="1" applyBorder="1"/>
    <xf numFmtId="0" fontId="79" fillId="0" borderId="14" xfId="22" applyFont="1" applyBorder="1"/>
    <xf numFmtId="0" fontId="79" fillId="0" borderId="14" xfId="22" applyFont="1" applyBorder="1" applyAlignment="1">
      <alignment horizontal="right"/>
    </xf>
    <xf numFmtId="220" fontId="21" fillId="0" borderId="14" xfId="43" applyNumberFormat="1" applyFont="1" applyBorder="1" applyAlignment="1">
      <alignment horizontal="right"/>
    </xf>
    <xf numFmtId="0" fontId="21" fillId="0" borderId="14" xfId="43" applyNumberFormat="1" applyFont="1" applyBorder="1" applyAlignment="1">
      <alignment horizontal="right"/>
    </xf>
    <xf numFmtId="0" fontId="40" fillId="0" borderId="14" xfId="22" applyNumberFormat="1" applyFont="1" applyBorder="1"/>
    <xf numFmtId="220" fontId="21" fillId="0" borderId="19" xfId="43" applyNumberFormat="1" applyFont="1" applyBorder="1" applyAlignment="1">
      <alignment horizontal="right"/>
    </xf>
    <xf numFmtId="0" fontId="79" fillId="0" borderId="8" xfId="22" applyFont="1" applyFill="1" applyBorder="1"/>
    <xf numFmtId="248" fontId="79" fillId="0" borderId="14" xfId="22" applyNumberFormat="1" applyFont="1" applyBorder="1" applyAlignment="1">
      <alignment horizontal="right"/>
    </xf>
    <xf numFmtId="174" fontId="40" fillId="0" borderId="1" xfId="22" applyNumberFormat="1" applyFont="1" applyBorder="1" applyAlignment="1">
      <alignment horizontal="left"/>
    </xf>
    <xf numFmtId="174" fontId="40" fillId="0" borderId="0" xfId="22" applyNumberFormat="1" applyFont="1" applyBorder="1" applyAlignment="1">
      <alignment horizontal="left"/>
    </xf>
    <xf numFmtId="174" fontId="40" fillId="0" borderId="0" xfId="22" applyNumberFormat="1" applyFont="1" applyBorder="1" applyAlignment="1">
      <alignment horizontal="right"/>
    </xf>
    <xf numFmtId="39" fontId="40" fillId="0" borderId="0" xfId="22" applyNumberFormat="1" applyFont="1" applyBorder="1" applyAlignment="1">
      <alignment horizontal="right"/>
    </xf>
    <xf numFmtId="39" fontId="40" fillId="0" borderId="0" xfId="22" quotePrefix="1" applyNumberFormat="1" applyFont="1" applyBorder="1" applyAlignment="1">
      <alignment horizontal="right"/>
    </xf>
    <xf numFmtId="4" fontId="8" fillId="0" borderId="0" xfId="0" applyNumberFormat="1" applyFont="1" applyBorder="1" applyAlignment="1">
      <alignment horizontal="right"/>
    </xf>
    <xf numFmtId="4" fontId="40" fillId="0" borderId="0" xfId="22" applyNumberFormat="1" applyFont="1" applyBorder="1"/>
    <xf numFmtId="174" fontId="40" fillId="0" borderId="1" xfId="22" applyNumberFormat="1" applyFont="1" applyFill="1" applyBorder="1"/>
    <xf numFmtId="37" fontId="40" fillId="0" borderId="16" xfId="22" applyNumberFormat="1" applyFont="1" applyBorder="1" applyAlignment="1">
      <alignment horizontal="right"/>
    </xf>
    <xf numFmtId="37" fontId="40" fillId="0" borderId="1" xfId="22" applyNumberFormat="1" applyFont="1" applyBorder="1" applyAlignment="1">
      <alignment horizontal="left"/>
    </xf>
    <xf numFmtId="37" fontId="40" fillId="0" borderId="0" xfId="22" applyNumberFormat="1" applyFont="1" applyBorder="1" applyAlignment="1">
      <alignment horizontal="left"/>
    </xf>
    <xf numFmtId="9" fontId="40" fillId="0" borderId="0" xfId="22" applyNumberFormat="1" applyFont="1" applyBorder="1" applyAlignment="1">
      <alignment horizontal="right"/>
    </xf>
    <xf numFmtId="9" fontId="40" fillId="0" borderId="0" xfId="35" applyFont="1" applyBorder="1" applyAlignment="1">
      <alignment horizontal="right"/>
    </xf>
    <xf numFmtId="9" fontId="40" fillId="0" borderId="16" xfId="35" applyFont="1" applyBorder="1" applyAlignment="1">
      <alignment horizontal="right"/>
    </xf>
    <xf numFmtId="0" fontId="8" fillId="0" borderId="1" xfId="0" applyFont="1" applyFill="1" applyBorder="1"/>
    <xf numFmtId="0" fontId="40" fillId="0" borderId="1" xfId="22" applyFont="1" applyBorder="1" applyAlignment="1">
      <alignment horizontal="left"/>
    </xf>
    <xf numFmtId="0" fontId="40" fillId="0" borderId="0" xfId="22" applyFont="1" applyBorder="1" applyAlignment="1">
      <alignment horizontal="left"/>
    </xf>
    <xf numFmtId="9" fontId="8" fillId="0" borderId="0" xfId="22" applyNumberFormat="1" applyFont="1" applyBorder="1" applyAlignment="1">
      <alignment horizontal="right"/>
    </xf>
    <xf numFmtId="9" fontId="8" fillId="0" borderId="16" xfId="22" applyNumberFormat="1" applyFont="1" applyBorder="1" applyAlignment="1">
      <alignment horizontal="right"/>
    </xf>
    <xf numFmtId="166" fontId="40" fillId="0" borderId="1" xfId="22" applyNumberFormat="1" applyFont="1" applyBorder="1" applyAlignment="1">
      <alignment horizontal="left"/>
    </xf>
    <xf numFmtId="166" fontId="40" fillId="0" borderId="0" xfId="22" applyNumberFormat="1" applyFont="1" applyBorder="1" applyAlignment="1">
      <alignment horizontal="left"/>
    </xf>
    <xf numFmtId="166" fontId="12" fillId="0" borderId="0" xfId="22" quotePrefix="1" applyNumberFormat="1" applyFont="1" applyBorder="1" applyAlignment="1">
      <alignment horizontal="right"/>
    </xf>
    <xf numFmtId="166" fontId="8" fillId="0" borderId="0" xfId="22" quotePrefix="1" applyNumberFormat="1" applyFont="1" applyBorder="1" applyAlignment="1">
      <alignment horizontal="right"/>
    </xf>
    <xf numFmtId="166" fontId="8" fillId="0" borderId="16" xfId="22" quotePrefix="1" applyNumberFormat="1" applyFont="1" applyBorder="1" applyAlignment="1">
      <alignment horizontal="right"/>
    </xf>
    <xf numFmtId="0" fontId="8" fillId="0" borderId="17" xfId="0" applyFont="1" applyBorder="1"/>
    <xf numFmtId="0" fontId="8" fillId="0" borderId="2" xfId="0" applyFont="1" applyFill="1" applyBorder="1"/>
    <xf numFmtId="165" fontId="8" fillId="0" borderId="2" xfId="0" applyNumberFormat="1" applyFont="1" applyBorder="1"/>
    <xf numFmtId="165" fontId="40" fillId="0" borderId="2" xfId="22" applyNumberFormat="1" applyFont="1" applyBorder="1"/>
    <xf numFmtId="165" fontId="8" fillId="0" borderId="18" xfId="0" applyNumberFormat="1" applyFont="1" applyBorder="1"/>
    <xf numFmtId="168" fontId="40" fillId="0" borderId="0" xfId="22" applyNumberFormat="1" applyFont="1" applyFill="1" applyBorder="1"/>
    <xf numFmtId="0" fontId="21" fillId="0" borderId="8" xfId="0" applyFont="1" applyBorder="1"/>
    <xf numFmtId="6" fontId="40" fillId="0" borderId="14" xfId="14" applyNumberFormat="1" applyFont="1" applyBorder="1" applyAlignment="1">
      <alignment horizontal="right"/>
    </xf>
    <xf numFmtId="166" fontId="40" fillId="0" borderId="14" xfId="22" applyNumberFormat="1" applyFont="1" applyBorder="1" applyAlignment="1">
      <alignment horizontal="left"/>
    </xf>
    <xf numFmtId="166" fontId="40" fillId="0" borderId="14" xfId="22" applyNumberFormat="1" applyFont="1" applyBorder="1" applyAlignment="1">
      <alignment horizontal="right"/>
    </xf>
    <xf numFmtId="168" fontId="40" fillId="0" borderId="14" xfId="22" applyNumberFormat="1" applyFont="1" applyBorder="1"/>
    <xf numFmtId="0" fontId="21" fillId="0" borderId="14" xfId="0" applyFont="1" applyBorder="1" applyAlignment="1">
      <alignment horizontal="center"/>
    </xf>
    <xf numFmtId="0" fontId="21" fillId="0" borderId="19" xfId="0" applyFont="1" applyBorder="1" applyAlignment="1">
      <alignment horizontal="center"/>
    </xf>
    <xf numFmtId="0" fontId="40" fillId="0" borderId="0" xfId="22" applyFont="1" applyFill="1" applyBorder="1"/>
    <xf numFmtId="1" fontId="8" fillId="0" borderId="0" xfId="0" applyNumberFormat="1" applyFont="1" applyBorder="1"/>
    <xf numFmtId="1" fontId="8" fillId="0" borderId="16" xfId="0" applyNumberFormat="1" applyFont="1" applyBorder="1"/>
    <xf numFmtId="168" fontId="40" fillId="0" borderId="1" xfId="22" applyNumberFormat="1" applyFont="1" applyFill="1" applyBorder="1"/>
    <xf numFmtId="166" fontId="8" fillId="0" borderId="0" xfId="35" applyNumberFormat="1" applyFont="1" applyBorder="1"/>
    <xf numFmtId="0" fontId="40" fillId="0" borderId="2" xfId="22" applyNumberFormat="1" applyFont="1" applyBorder="1"/>
    <xf numFmtId="168" fontId="40" fillId="0" borderId="2" xfId="22" applyNumberFormat="1" applyFont="1" applyBorder="1"/>
    <xf numFmtId="168" fontId="40" fillId="0" borderId="2" xfId="22" applyNumberFormat="1" applyFont="1" applyFill="1" applyBorder="1"/>
    <xf numFmtId="1" fontId="8" fillId="0" borderId="2" xfId="0" applyNumberFormat="1" applyFont="1" applyBorder="1"/>
    <xf numFmtId="1" fontId="8" fillId="0" borderId="18" xfId="0" applyNumberFormat="1" applyFont="1" applyBorder="1"/>
    <xf numFmtId="0" fontId="40" fillId="0" borderId="1" xfId="22" applyFont="1" applyFill="1" applyBorder="1"/>
    <xf numFmtId="168" fontId="40" fillId="0" borderId="17" xfId="22" applyNumberFormat="1" applyFont="1" applyFill="1" applyBorder="1"/>
    <xf numFmtId="6" fontId="40" fillId="0" borderId="2" xfId="14" applyNumberFormat="1" applyFont="1" applyBorder="1" applyAlignment="1">
      <alignment horizontal="right"/>
    </xf>
    <xf numFmtId="6" fontId="40" fillId="0" borderId="0" xfId="14" applyNumberFormat="1" applyFont="1" applyBorder="1" applyAlignment="1">
      <alignment horizontal="right"/>
    </xf>
    <xf numFmtId="43" fontId="40" fillId="0" borderId="0" xfId="10" applyFont="1" applyBorder="1"/>
    <xf numFmtId="224" fontId="40" fillId="0" borderId="0" xfId="10" applyNumberFormat="1" applyFont="1"/>
    <xf numFmtId="224" fontId="40" fillId="0" borderId="0" xfId="10" applyNumberFormat="1" applyFont="1" applyBorder="1"/>
    <xf numFmtId="224" fontId="8" fillId="0" borderId="0" xfId="10" applyNumberFormat="1" applyFont="1" applyBorder="1"/>
    <xf numFmtId="224" fontId="40" fillId="0" borderId="0" xfId="10" applyNumberFormat="1" applyFont="1" applyBorder="1" applyAlignment="1">
      <alignment horizontal="right"/>
    </xf>
    <xf numFmtId="166" fontId="8" fillId="0" borderId="0" xfId="35" applyNumberFormat="1" applyFont="1" applyFill="1"/>
    <xf numFmtId="166" fontId="40" fillId="0" borderId="0" xfId="14" applyNumberFormat="1" applyFont="1" applyBorder="1" applyAlignment="1">
      <alignment horizontal="right"/>
    </xf>
    <xf numFmtId="180" fontId="8" fillId="0" borderId="0" xfId="23" applyFont="1" applyAlignment="1"/>
    <xf numFmtId="215" fontId="8" fillId="0" borderId="0" xfId="0" applyNumberFormat="1" applyFont="1"/>
    <xf numFmtId="172" fontId="8" fillId="0" borderId="0" xfId="0" applyNumberFormat="1" applyFont="1"/>
    <xf numFmtId="37" fontId="40" fillId="0" borderId="1" xfId="22" applyNumberFormat="1" applyFont="1" applyBorder="1" applyAlignment="1">
      <alignment horizontal="right"/>
    </xf>
    <xf numFmtId="0" fontId="11" fillId="0" borderId="15" xfId="0" applyFont="1" applyBorder="1" applyAlignment="1">
      <alignment horizontal="centerContinuous"/>
    </xf>
    <xf numFmtId="0" fontId="11" fillId="0" borderId="5" xfId="0" applyFont="1" applyBorder="1" applyAlignment="1">
      <alignment horizontal="centerContinuous"/>
    </xf>
    <xf numFmtId="0" fontId="11" fillId="0" borderId="7" xfId="0" applyFont="1" applyBorder="1" applyAlignment="1">
      <alignment horizontal="centerContinuous"/>
    </xf>
    <xf numFmtId="0" fontId="11" fillId="0" borderId="0" xfId="0" applyFont="1" applyBorder="1" applyAlignment="1">
      <alignment horizontal="centerContinuous"/>
    </xf>
    <xf numFmtId="0" fontId="8" fillId="0" borderId="0" xfId="0" applyFont="1" applyAlignment="1">
      <alignment horizontal="right"/>
    </xf>
    <xf numFmtId="0" fontId="11" fillId="0" borderId="2" xfId="0" applyFont="1" applyBorder="1" applyAlignment="1">
      <alignment horizontal="centerContinuous"/>
    </xf>
    <xf numFmtId="0" fontId="11" fillId="0" borderId="0" xfId="0" quotePrefix="1" applyFont="1" applyAlignment="1">
      <alignment horizontal="center"/>
    </xf>
    <xf numFmtId="0" fontId="11" fillId="0" borderId="0" xfId="0" quotePrefix="1" applyFont="1" applyBorder="1" applyAlignment="1">
      <alignment horizontal="centerContinuous"/>
    </xf>
    <xf numFmtId="197" fontId="21" fillId="0" borderId="0" xfId="0" quotePrefix="1" applyNumberFormat="1" applyFont="1"/>
    <xf numFmtId="197" fontId="22" fillId="0" borderId="0" xfId="0" quotePrefix="1" applyNumberFormat="1" applyFont="1" applyAlignment="1">
      <alignment horizontal="left"/>
    </xf>
    <xf numFmtId="165" fontId="8" fillId="0" borderId="0" xfId="0" applyNumberFormat="1" applyFont="1"/>
    <xf numFmtId="201" fontId="8" fillId="0" borderId="0" xfId="0" applyNumberFormat="1" applyFont="1"/>
    <xf numFmtId="0" fontId="12" fillId="0" borderId="0" xfId="0" applyFont="1" applyAlignment="1">
      <alignment horizontal="right"/>
    </xf>
    <xf numFmtId="182" fontId="8" fillId="0" borderId="0" xfId="0" applyNumberFormat="1" applyFont="1"/>
    <xf numFmtId="178" fontId="8" fillId="0" borderId="0" xfId="0" applyNumberFormat="1" applyFont="1"/>
    <xf numFmtId="172" fontId="40" fillId="0" borderId="0" xfId="0" applyNumberFormat="1" applyFont="1"/>
    <xf numFmtId="179" fontId="8" fillId="0" borderId="0" xfId="0" applyNumberFormat="1" applyFont="1"/>
    <xf numFmtId="164" fontId="8" fillId="0" borderId="0" xfId="0" applyNumberFormat="1" applyFont="1"/>
    <xf numFmtId="4" fontId="8" fillId="0" borderId="0" xfId="0" applyNumberFormat="1" applyFont="1"/>
    <xf numFmtId="3" fontId="8" fillId="0" borderId="0" xfId="0" applyNumberFormat="1" applyFont="1"/>
    <xf numFmtId="1" fontId="8" fillId="0" borderId="0" xfId="0" applyNumberFormat="1" applyFont="1"/>
    <xf numFmtId="201" fontId="8" fillId="0" borderId="2" xfId="0" applyNumberFormat="1" applyFont="1" applyBorder="1"/>
    <xf numFmtId="164" fontId="8" fillId="0" borderId="2" xfId="0" applyNumberFormat="1" applyFont="1" applyBorder="1"/>
    <xf numFmtId="4" fontId="8" fillId="0" borderId="2" xfId="0" applyNumberFormat="1" applyFont="1" applyBorder="1"/>
    <xf numFmtId="172" fontId="40" fillId="0" borderId="2" xfId="0" applyNumberFormat="1" applyFont="1" applyBorder="1"/>
    <xf numFmtId="3" fontId="8" fillId="0" borderId="2" xfId="0" applyNumberFormat="1" applyFont="1" applyBorder="1"/>
    <xf numFmtId="0" fontId="21" fillId="0" borderId="0" xfId="0" quotePrefix="1" applyFont="1" applyAlignment="1">
      <alignment horizontal="left"/>
    </xf>
    <xf numFmtId="197" fontId="21" fillId="0" borderId="0" xfId="0" applyNumberFormat="1" applyFont="1" applyAlignment="1">
      <alignment horizontal="left"/>
    </xf>
    <xf numFmtId="38" fontId="8" fillId="0" borderId="0" xfId="0" applyNumberFormat="1" applyFont="1" applyBorder="1"/>
    <xf numFmtId="201" fontId="8" fillId="0" borderId="0" xfId="0" applyNumberFormat="1" applyFont="1" applyFill="1" applyBorder="1"/>
    <xf numFmtId="201" fontId="8" fillId="0" borderId="0" xfId="0" applyNumberFormat="1" applyFont="1" applyBorder="1"/>
    <xf numFmtId="38" fontId="8" fillId="0" borderId="2" xfId="0" applyNumberFormat="1" applyFont="1" applyBorder="1"/>
    <xf numFmtId="0" fontId="9" fillId="0" borderId="0" xfId="0" applyFont="1"/>
    <xf numFmtId="197" fontId="9" fillId="0" borderId="0" xfId="0" applyNumberFormat="1" applyFont="1" applyAlignment="1">
      <alignment horizontal="left"/>
    </xf>
    <xf numFmtId="0" fontId="12" fillId="0" borderId="0" xfId="0" applyFont="1" applyFill="1"/>
    <xf numFmtId="197" fontId="9" fillId="0" borderId="0" xfId="0" applyNumberFormat="1" applyFont="1" applyBorder="1" applyAlignment="1">
      <alignment horizontal="left"/>
    </xf>
    <xf numFmtId="182" fontId="12" fillId="0" borderId="0" xfId="0" applyNumberFormat="1" applyFont="1" applyBorder="1"/>
    <xf numFmtId="200" fontId="8" fillId="0" borderId="0" xfId="0" applyNumberFormat="1" applyFont="1"/>
    <xf numFmtId="164" fontId="12" fillId="0" borderId="0" xfId="0" applyNumberFormat="1" applyFont="1" applyFill="1" applyBorder="1"/>
    <xf numFmtId="164" fontId="12" fillId="0" borderId="0" xfId="0" applyNumberFormat="1" applyFont="1" applyBorder="1"/>
    <xf numFmtId="1" fontId="9" fillId="0" borderId="0" xfId="0" applyNumberFormat="1" applyFont="1" applyBorder="1" applyAlignment="1">
      <alignment horizontal="left"/>
    </xf>
    <xf numFmtId="182" fontId="12" fillId="0" borderId="0" xfId="0" applyNumberFormat="1" applyFont="1" applyFill="1" applyBorder="1"/>
    <xf numFmtId="9" fontId="8" fillId="0" borderId="0" xfId="35" applyFont="1" applyBorder="1"/>
    <xf numFmtId="200" fontId="8" fillId="0" borderId="2" xfId="0" applyNumberFormat="1" applyFont="1" applyBorder="1"/>
    <xf numFmtId="164" fontId="8" fillId="0" borderId="0" xfId="0" applyNumberFormat="1" applyFont="1" applyBorder="1"/>
    <xf numFmtId="182" fontId="12" fillId="0" borderId="0" xfId="0" applyNumberFormat="1" applyFont="1"/>
    <xf numFmtId="182" fontId="8" fillId="0" borderId="0" xfId="0" applyNumberFormat="1" applyFont="1" applyFill="1"/>
    <xf numFmtId="182" fontId="8" fillId="0" borderId="0" xfId="0" applyNumberFormat="1" applyFont="1" applyFill="1" applyBorder="1"/>
    <xf numFmtId="164" fontId="8" fillId="0" borderId="0" xfId="0" applyNumberFormat="1" applyFont="1" applyFill="1"/>
    <xf numFmtId="165" fontId="8" fillId="0" borderId="0" xfId="0" applyNumberFormat="1" applyFont="1" applyFill="1"/>
    <xf numFmtId="164" fontId="8" fillId="0" borderId="2" xfId="0" applyNumberFormat="1" applyFont="1" applyFill="1" applyBorder="1"/>
    <xf numFmtId="0" fontId="9" fillId="0" borderId="0" xfId="0" applyFont="1" applyBorder="1"/>
    <xf numFmtId="1" fontId="8" fillId="0" borderId="0" xfId="0" applyNumberFormat="1" applyFont="1" applyFill="1" applyBorder="1"/>
    <xf numFmtId="172" fontId="40" fillId="0" borderId="0" xfId="0" applyNumberFormat="1" applyFont="1" applyFill="1"/>
    <xf numFmtId="200" fontId="8" fillId="0" borderId="0" xfId="0" applyNumberFormat="1" applyFont="1" applyFill="1"/>
    <xf numFmtId="1" fontId="8" fillId="0" borderId="0" xfId="0" applyNumberFormat="1" applyFont="1" applyFill="1"/>
    <xf numFmtId="0" fontId="8" fillId="0" borderId="0" xfId="0" applyFont="1" applyFill="1" applyAlignment="1">
      <alignment horizontal="center"/>
    </xf>
    <xf numFmtId="1" fontId="8" fillId="0" borderId="2" xfId="0" applyNumberFormat="1" applyFont="1" applyFill="1" applyBorder="1"/>
    <xf numFmtId="172" fontId="8" fillId="0" borderId="0" xfId="0" applyNumberFormat="1" applyFont="1" applyFill="1"/>
    <xf numFmtId="200" fontId="8" fillId="0" borderId="2" xfId="0" applyNumberFormat="1" applyFont="1" applyFill="1" applyBorder="1"/>
    <xf numFmtId="172" fontId="36" fillId="0" borderId="0" xfId="0" applyNumberFormat="1" applyFont="1" applyFill="1"/>
    <xf numFmtId="172" fontId="12" fillId="0" borderId="0" xfId="0" applyNumberFormat="1" applyFont="1" applyFill="1"/>
    <xf numFmtId="182" fontId="12" fillId="0" borderId="0" xfId="0" applyNumberFormat="1" applyFont="1" applyFill="1"/>
    <xf numFmtId="1" fontId="8" fillId="0" borderId="0" xfId="0" applyNumberFormat="1" applyFont="1" applyFill="1" applyBorder="1" applyAlignment="1">
      <alignment horizontal="right"/>
    </xf>
    <xf numFmtId="164" fontId="12" fillId="0" borderId="0" xfId="0" applyNumberFormat="1" applyFont="1" applyFill="1"/>
    <xf numFmtId="165" fontId="8" fillId="0" borderId="2" xfId="0" applyNumberFormat="1" applyFont="1" applyFill="1" applyBorder="1"/>
    <xf numFmtId="164" fontId="12" fillId="0" borderId="2" xfId="0" applyNumberFormat="1" applyFont="1" applyBorder="1"/>
    <xf numFmtId="0" fontId="21" fillId="0" borderId="0" xfId="0" quotePrefix="1" applyFont="1" applyFill="1" applyAlignment="1">
      <alignment horizontal="left"/>
    </xf>
    <xf numFmtId="197" fontId="21" fillId="0" borderId="0" xfId="0" applyNumberFormat="1" applyFont="1" applyFill="1" applyAlignment="1">
      <alignment horizontal="left"/>
    </xf>
    <xf numFmtId="1" fontId="9" fillId="0" borderId="0" xfId="0" applyNumberFormat="1" applyFont="1" applyFill="1" applyBorder="1" applyAlignment="1">
      <alignment horizontal="left"/>
    </xf>
    <xf numFmtId="0" fontId="8" fillId="0" borderId="0" xfId="0" applyFont="1" applyFill="1" applyAlignment="1">
      <alignment horizontal="left"/>
    </xf>
    <xf numFmtId="200" fontId="8" fillId="0" borderId="0" xfId="0" applyNumberFormat="1" applyFont="1" applyFill="1" applyBorder="1"/>
    <xf numFmtId="178" fontId="8" fillId="0" borderId="0" xfId="0" applyNumberFormat="1" applyFont="1" applyFill="1"/>
    <xf numFmtId="179" fontId="8" fillId="0" borderId="0" xfId="0" applyNumberFormat="1" applyFont="1" applyFill="1"/>
    <xf numFmtId="9" fontId="12" fillId="0" borderId="0" xfId="35" applyFont="1" applyFill="1"/>
    <xf numFmtId="9" fontId="8" fillId="0" borderId="0" xfId="35" applyFont="1" applyFill="1"/>
    <xf numFmtId="4" fontId="8" fillId="0" borderId="0" xfId="0" applyNumberFormat="1" applyFont="1" applyFill="1"/>
    <xf numFmtId="3" fontId="8" fillId="0" borderId="0" xfId="0" applyNumberFormat="1" applyFont="1" applyFill="1"/>
    <xf numFmtId="164" fontId="12" fillId="0" borderId="2" xfId="0" applyNumberFormat="1" applyFont="1" applyFill="1" applyBorder="1"/>
    <xf numFmtId="4" fontId="8" fillId="0" borderId="2" xfId="0" applyNumberFormat="1" applyFont="1" applyFill="1" applyBorder="1"/>
    <xf numFmtId="201" fontId="8" fillId="0" borderId="2" xfId="0" applyNumberFormat="1" applyFont="1" applyFill="1" applyBorder="1"/>
    <xf numFmtId="172" fontId="40" fillId="0" borderId="2" xfId="0" applyNumberFormat="1" applyFont="1" applyFill="1" applyBorder="1"/>
    <xf numFmtId="3" fontId="8" fillId="0" borderId="2" xfId="0" applyNumberFormat="1" applyFont="1" applyFill="1" applyBorder="1"/>
    <xf numFmtId="201" fontId="8" fillId="0" borderId="0" xfId="0" applyNumberFormat="1" applyFont="1" applyFill="1"/>
    <xf numFmtId="199" fontId="22" fillId="0" borderId="0" xfId="0" applyNumberFormat="1" applyFont="1" applyFill="1" applyAlignment="1">
      <alignment horizontal="left"/>
    </xf>
    <xf numFmtId="164" fontId="88" fillId="0" borderId="0" xfId="0" applyNumberFormat="1" applyFont="1" applyFill="1" applyBorder="1"/>
    <xf numFmtId="1" fontId="12" fillId="0" borderId="2" xfId="0" applyNumberFormat="1" applyFont="1" applyFill="1" applyBorder="1"/>
    <xf numFmtId="164" fontId="28" fillId="0" borderId="2" xfId="0" applyNumberFormat="1" applyFont="1" applyFill="1" applyBorder="1"/>
    <xf numFmtId="172" fontId="28" fillId="0" borderId="0" xfId="0" applyNumberFormat="1" applyFont="1" applyFill="1"/>
    <xf numFmtId="43" fontId="8" fillId="0" borderId="0" xfId="10" applyFont="1" applyFill="1"/>
    <xf numFmtId="165" fontId="8" fillId="0" borderId="0" xfId="0" applyNumberFormat="1" applyFont="1" applyFill="1" applyBorder="1"/>
    <xf numFmtId="200" fontId="8" fillId="0" borderId="0" xfId="0" applyNumberFormat="1" applyFont="1" applyBorder="1"/>
    <xf numFmtId="2" fontId="8" fillId="0" borderId="0" xfId="0" applyNumberFormat="1" applyFont="1" applyBorder="1"/>
    <xf numFmtId="0" fontId="8" fillId="0" borderId="2" xfId="0" applyFont="1" applyBorder="1" applyAlignment="1">
      <alignment horizontal="left"/>
    </xf>
    <xf numFmtId="0" fontId="8" fillId="0" borderId="2" xfId="0" applyFont="1" applyBorder="1" applyAlignment="1">
      <alignment horizontal="center"/>
    </xf>
    <xf numFmtId="182" fontId="8" fillId="0" borderId="2" xfId="0" applyNumberFormat="1" applyFont="1" applyBorder="1"/>
    <xf numFmtId="178" fontId="8" fillId="0" borderId="2" xfId="0" applyNumberFormat="1" applyFont="1" applyBorder="1"/>
    <xf numFmtId="179" fontId="8" fillId="0" borderId="2" xfId="0" applyNumberFormat="1" applyFont="1" applyBorder="1"/>
    <xf numFmtId="182" fontId="8" fillId="0" borderId="2" xfId="0" applyNumberFormat="1" applyFont="1" applyFill="1" applyBorder="1"/>
    <xf numFmtId="9" fontId="8" fillId="0" borderId="2" xfId="35" applyFont="1" applyBorder="1"/>
    <xf numFmtId="200" fontId="27" fillId="0" borderId="0" xfId="0" applyNumberFormat="1" applyFont="1" applyAlignment="1">
      <alignment horizontal="center"/>
    </xf>
    <xf numFmtId="0" fontId="11" fillId="5" borderId="0" xfId="0" applyFont="1" applyFill="1"/>
    <xf numFmtId="0" fontId="8" fillId="5" borderId="0" xfId="0" applyFont="1" applyFill="1" applyAlignment="1">
      <alignment horizontal="center"/>
    </xf>
    <xf numFmtId="182" fontId="8" fillId="5" borderId="0" xfId="0" applyNumberFormat="1" applyFont="1" applyFill="1"/>
    <xf numFmtId="201" fontId="8" fillId="0" borderId="0" xfId="0" applyNumberFormat="1" applyFont="1" applyBorder="1" applyAlignment="1">
      <alignment horizontal="right"/>
    </xf>
    <xf numFmtId="201" fontId="12" fillId="0" borderId="0" xfId="0" applyNumberFormat="1" applyFont="1" applyBorder="1" applyAlignment="1">
      <alignment horizontal="right"/>
    </xf>
    <xf numFmtId="164" fontId="8" fillId="5" borderId="0" xfId="0" applyNumberFormat="1" applyFont="1" applyFill="1"/>
    <xf numFmtId="164" fontId="8" fillId="5" borderId="2" xfId="0" applyNumberFormat="1" applyFont="1" applyFill="1" applyBorder="1"/>
    <xf numFmtId="201" fontId="8" fillId="0" borderId="2" xfId="0" applyNumberFormat="1" applyFont="1" applyBorder="1" applyAlignment="1">
      <alignment horizontal="right"/>
    </xf>
    <xf numFmtId="201" fontId="12" fillId="0" borderId="2" xfId="0" applyNumberFormat="1" applyFont="1" applyBorder="1" applyAlignment="1">
      <alignment horizontal="right"/>
    </xf>
    <xf numFmtId="0" fontId="8" fillId="0" borderId="0" xfId="0" applyNumberFormat="1" applyFont="1"/>
    <xf numFmtId="0" fontId="8" fillId="0" borderId="0" xfId="35" applyNumberFormat="1" applyFont="1"/>
    <xf numFmtId="221" fontId="8" fillId="0" borderId="0" xfId="10" applyNumberFormat="1" applyFont="1"/>
    <xf numFmtId="37" fontId="27" fillId="0" borderId="0" xfId="21" applyFont="1"/>
    <xf numFmtId="171" fontId="12" fillId="0" borderId="0" xfId="0" applyNumberFormat="1" applyFont="1"/>
    <xf numFmtId="171" fontId="8" fillId="0" borderId="0" xfId="0" applyNumberFormat="1" applyFont="1"/>
    <xf numFmtId="198" fontId="8" fillId="0" borderId="0" xfId="0" applyNumberFormat="1" applyFont="1" applyFill="1" applyAlignment="1">
      <alignment horizontal="left"/>
    </xf>
    <xf numFmtId="171" fontId="12" fillId="0" borderId="2" xfId="0" applyNumberFormat="1" applyFont="1" applyBorder="1"/>
    <xf numFmtId="171" fontId="8" fillId="0" borderId="2" xfId="0" applyNumberFormat="1" applyFont="1" applyBorder="1"/>
    <xf numFmtId="173" fontId="8" fillId="0" borderId="0" xfId="0" applyNumberFormat="1" applyFont="1"/>
    <xf numFmtId="193" fontId="8" fillId="0" borderId="0" xfId="35" applyNumberFormat="1" applyFont="1"/>
    <xf numFmtId="173" fontId="12" fillId="0" borderId="0" xfId="0" applyNumberFormat="1" applyFont="1"/>
    <xf numFmtId="171" fontId="12" fillId="0" borderId="0" xfId="0" applyNumberFormat="1" applyFont="1" applyFill="1"/>
    <xf numFmtId="193" fontId="8" fillId="0" borderId="0" xfId="35" applyNumberFormat="1" applyFont="1" applyFill="1"/>
    <xf numFmtId="171" fontId="8" fillId="0" borderId="0" xfId="0" applyNumberFormat="1" applyFont="1" applyFill="1"/>
    <xf numFmtId="171" fontId="8" fillId="0" borderId="2" xfId="0" applyNumberFormat="1" applyFont="1" applyFill="1" applyBorder="1"/>
    <xf numFmtId="173" fontId="8" fillId="0" borderId="0" xfId="0" applyNumberFormat="1" applyFont="1" applyFill="1"/>
    <xf numFmtId="171" fontId="66" fillId="0" borderId="0" xfId="0" applyNumberFormat="1" applyFont="1"/>
    <xf numFmtId="0" fontId="11" fillId="0" borderId="0" xfId="0" applyFont="1" applyFill="1" applyAlignment="1">
      <alignment horizontal="center"/>
    </xf>
    <xf numFmtId="44" fontId="8" fillId="0" borderId="0" xfId="14" applyFont="1" applyFill="1"/>
    <xf numFmtId="0" fontId="9" fillId="0" borderId="0" xfId="0" applyFont="1" applyBorder="1" applyAlignment="1">
      <alignment horizontal="center"/>
    </xf>
    <xf numFmtId="182" fontId="8" fillId="0" borderId="20" xfId="0" applyNumberFormat="1" applyFont="1" applyFill="1" applyBorder="1"/>
    <xf numFmtId="164" fontId="8" fillId="0" borderId="4" xfId="0" applyNumberFormat="1" applyFont="1" applyBorder="1"/>
    <xf numFmtId="182" fontId="11" fillId="0" borderId="6" xfId="0" applyNumberFormat="1" applyFont="1" applyBorder="1"/>
    <xf numFmtId="0" fontId="72" fillId="0" borderId="0" xfId="0" applyFont="1"/>
    <xf numFmtId="1" fontId="12" fillId="0" borderId="0" xfId="0" applyNumberFormat="1" applyFont="1" applyFill="1" applyBorder="1" applyAlignment="1">
      <alignment horizontal="right"/>
    </xf>
    <xf numFmtId="1" fontId="8" fillId="0" borderId="2" xfId="0" applyNumberFormat="1" applyFont="1" applyFill="1" applyBorder="1" applyAlignment="1">
      <alignment horizontal="right"/>
    </xf>
    <xf numFmtId="164" fontId="8" fillId="0" borderId="4" xfId="0" applyNumberFormat="1" applyFont="1" applyBorder="1" applyAlignment="1">
      <alignment horizontal="right"/>
    </xf>
    <xf numFmtId="0" fontId="9" fillId="0" borderId="0" xfId="0" applyFont="1" applyFill="1" applyBorder="1" applyAlignment="1">
      <alignment horizontal="center"/>
    </xf>
    <xf numFmtId="0" fontId="72" fillId="0" borderId="0" xfId="0" applyFont="1" applyFill="1"/>
    <xf numFmtId="164" fontId="8" fillId="0" borderId="4" xfId="0" applyNumberFormat="1" applyFont="1" applyFill="1" applyBorder="1"/>
    <xf numFmtId="164" fontId="8" fillId="0" borderId="4" xfId="0" applyNumberFormat="1" applyFont="1" applyFill="1" applyBorder="1" applyAlignment="1">
      <alignment horizontal="right"/>
    </xf>
    <xf numFmtId="0" fontId="12" fillId="0" borderId="2" xfId="0" applyFont="1" applyFill="1" applyBorder="1"/>
    <xf numFmtId="182" fontId="11" fillId="0" borderId="6" xfId="0" applyNumberFormat="1" applyFont="1" applyFill="1" applyBorder="1"/>
    <xf numFmtId="182" fontId="11" fillId="0" borderId="0" xfId="0" applyNumberFormat="1" applyFont="1" applyFill="1" applyBorder="1"/>
    <xf numFmtId="40" fontId="8" fillId="0" borderId="0" xfId="0" applyNumberFormat="1" applyFont="1"/>
    <xf numFmtId="0" fontId="88" fillId="0" borderId="0" xfId="0" applyFont="1" applyFill="1"/>
    <xf numFmtId="0" fontId="28" fillId="0" borderId="0" xfId="0" applyFont="1" applyFill="1"/>
    <xf numFmtId="9" fontId="11" fillId="0" borderId="0" xfId="35" applyFont="1"/>
    <xf numFmtId="0" fontId="27" fillId="0" borderId="0" xfId="0" applyFont="1" applyAlignment="1" applyProtection="1">
      <alignment horizontal="left"/>
    </xf>
    <xf numFmtId="224" fontId="12" fillId="0" borderId="0" xfId="10" applyNumberFormat="1" applyFont="1" applyAlignment="1">
      <alignment horizontal="left"/>
    </xf>
    <xf numFmtId="197" fontId="20" fillId="0" borderId="2" xfId="0" applyNumberFormat="1" applyFont="1" applyBorder="1" applyAlignment="1">
      <alignment horizontal="centerContinuous"/>
    </xf>
    <xf numFmtId="0" fontId="8" fillId="0" borderId="2" xfId="0" applyFont="1" applyBorder="1" applyAlignment="1">
      <alignment horizontal="centerContinuous"/>
    </xf>
    <xf numFmtId="197" fontId="11" fillId="0" borderId="2" xfId="0" applyNumberFormat="1" applyFont="1" applyBorder="1" applyAlignment="1">
      <alignment horizontal="centerContinuous"/>
    </xf>
    <xf numFmtId="197" fontId="11" fillId="0" borderId="0" xfId="0" applyNumberFormat="1" applyFont="1" applyBorder="1" applyAlignment="1">
      <alignment horizontal="centerContinuous"/>
    </xf>
    <xf numFmtId="197" fontId="11" fillId="0" borderId="0" xfId="0" applyNumberFormat="1" applyFont="1" applyBorder="1" applyAlignment="1">
      <alignment horizontal="left"/>
    </xf>
    <xf numFmtId="197" fontId="11" fillId="0" borderId="2" xfId="0" applyNumberFormat="1" applyFont="1" applyBorder="1" applyAlignment="1">
      <alignment horizontal="center"/>
    </xf>
    <xf numFmtId="197" fontId="20" fillId="0" borderId="2" xfId="0" applyNumberFormat="1" applyFont="1" applyBorder="1" applyAlignment="1">
      <alignment horizontal="center"/>
    </xf>
    <xf numFmtId="0" fontId="21" fillId="0" borderId="0" xfId="0" applyFont="1"/>
    <xf numFmtId="0" fontId="22" fillId="0" borderId="0" xfId="0" applyFont="1"/>
    <xf numFmtId="0" fontId="22" fillId="0" borderId="0" xfId="0" applyFont="1" applyAlignment="1">
      <alignment horizontal="centerContinuous"/>
    </xf>
    <xf numFmtId="0" fontId="8" fillId="0" borderId="0" xfId="0" applyFont="1" applyAlignment="1">
      <alignment horizontal="centerContinuous"/>
    </xf>
    <xf numFmtId="0" fontId="8" fillId="0" borderId="0" xfId="0" applyFont="1" applyFill="1" applyAlignment="1">
      <alignment horizontal="centerContinuous"/>
    </xf>
    <xf numFmtId="0" fontId="22" fillId="0" borderId="0" xfId="0" applyFont="1" applyFill="1" applyAlignment="1">
      <alignment horizontal="centerContinuous"/>
    </xf>
    <xf numFmtId="0" fontId="22" fillId="0" borderId="0" xfId="0" applyFont="1" applyFill="1" applyAlignment="1">
      <alignment horizontal="left"/>
    </xf>
    <xf numFmtId="174" fontId="12" fillId="0" borderId="0" xfId="0" applyNumberFormat="1" applyFont="1"/>
    <xf numFmtId="193" fontId="28" fillId="0" borderId="0" xfId="35" applyNumberFormat="1" applyFont="1"/>
    <xf numFmtId="198" fontId="12" fillId="0" borderId="0" xfId="0" applyNumberFormat="1" applyFont="1" applyAlignment="1">
      <alignment horizontal="left"/>
    </xf>
    <xf numFmtId="198" fontId="12" fillId="0" borderId="0" xfId="0" applyNumberFormat="1" applyFont="1" applyFill="1" applyAlignment="1">
      <alignment horizontal="left"/>
    </xf>
    <xf numFmtId="174" fontId="12" fillId="0" borderId="0" xfId="0" applyNumberFormat="1" applyFont="1" applyFill="1"/>
    <xf numFmtId="166" fontId="8" fillId="0" borderId="0" xfId="35" applyNumberFormat="1" applyFont="1" applyAlignment="1">
      <alignment horizontal="left"/>
    </xf>
    <xf numFmtId="174" fontId="12" fillId="0" borderId="0" xfId="0" applyNumberFormat="1" applyFont="1" applyFill="1" applyBorder="1"/>
    <xf numFmtId="174" fontId="8" fillId="0" borderId="0" xfId="0" applyNumberFormat="1" applyFont="1" applyFill="1" applyBorder="1"/>
    <xf numFmtId="198" fontId="8" fillId="0" borderId="0" xfId="0" applyNumberFormat="1" applyFont="1" applyAlignment="1">
      <alignment horizontal="left"/>
    </xf>
    <xf numFmtId="247" fontId="8" fillId="0" borderId="0" xfId="0" applyNumberFormat="1" applyFont="1"/>
    <xf numFmtId="183" fontId="12" fillId="0" borderId="0" xfId="0" applyNumberFormat="1" applyFont="1"/>
    <xf numFmtId="183" fontId="12" fillId="0" borderId="0" xfId="0" applyNumberFormat="1" applyFont="1" applyFill="1"/>
    <xf numFmtId="183" fontId="88" fillId="0" borderId="0" xfId="0" applyNumberFormat="1" applyFont="1" applyFill="1"/>
    <xf numFmtId="198" fontId="88" fillId="0" borderId="0" xfId="0" applyNumberFormat="1" applyFont="1" applyAlignment="1">
      <alignment horizontal="left"/>
    </xf>
    <xf numFmtId="183" fontId="8" fillId="0" borderId="0" xfId="0" applyNumberFormat="1" applyFont="1" applyFill="1"/>
    <xf numFmtId="198" fontId="8" fillId="0" borderId="0" xfId="0" applyNumberFormat="1" applyFont="1"/>
    <xf numFmtId="183" fontId="12" fillId="0" borderId="2" xfId="0" applyNumberFormat="1" applyFont="1" applyBorder="1"/>
    <xf numFmtId="183" fontId="12" fillId="0" borderId="2" xfId="0" applyNumberFormat="1" applyFont="1" applyFill="1" applyBorder="1"/>
    <xf numFmtId="173" fontId="8" fillId="0" borderId="14" xfId="0" applyNumberFormat="1" applyFont="1" applyBorder="1"/>
    <xf numFmtId="227" fontId="8" fillId="0" borderId="0" xfId="35" applyNumberFormat="1" applyFont="1"/>
    <xf numFmtId="219" fontId="8" fillId="0" borderId="0" xfId="0" applyNumberFormat="1" applyFont="1"/>
    <xf numFmtId="2" fontId="8" fillId="0" borderId="0" xfId="35" applyNumberFormat="1" applyFont="1" applyFill="1"/>
    <xf numFmtId="187" fontId="8" fillId="0" borderId="0" xfId="0" applyNumberFormat="1" applyFont="1"/>
    <xf numFmtId="214" fontId="8" fillId="0" borderId="0" xfId="0" applyNumberFormat="1" applyFont="1" applyFill="1"/>
    <xf numFmtId="192" fontId="8" fillId="0" borderId="0" xfId="0" applyNumberFormat="1" applyFont="1" applyFill="1"/>
    <xf numFmtId="192" fontId="8" fillId="0" borderId="0" xfId="0" applyNumberFormat="1" applyFont="1"/>
    <xf numFmtId="214" fontId="8" fillId="0" borderId="0" xfId="0" applyNumberFormat="1" applyFont="1"/>
    <xf numFmtId="265" fontId="8" fillId="0" borderId="0" xfId="0" applyNumberFormat="1" applyFont="1"/>
    <xf numFmtId="265" fontId="8" fillId="0" borderId="0" xfId="0" applyNumberFormat="1" applyFont="1" applyFill="1"/>
    <xf numFmtId="193" fontId="8" fillId="0" borderId="0" xfId="0" applyNumberFormat="1" applyFont="1" applyFill="1"/>
    <xf numFmtId="37" fontId="8" fillId="0" borderId="0" xfId="0" applyNumberFormat="1" applyFont="1" applyFill="1"/>
    <xf numFmtId="224" fontId="8" fillId="0" borderId="0" xfId="0" applyNumberFormat="1" applyFont="1"/>
    <xf numFmtId="183" fontId="88" fillId="0" borderId="0" xfId="0" applyNumberFormat="1" applyFont="1"/>
    <xf numFmtId="183" fontId="8" fillId="0" borderId="2" xfId="0" applyNumberFormat="1" applyFont="1" applyBorder="1"/>
    <xf numFmtId="245" fontId="8" fillId="0" borderId="0" xfId="0" applyNumberFormat="1" applyFont="1"/>
    <xf numFmtId="196" fontId="8" fillId="0" borderId="0" xfId="0" applyNumberFormat="1" applyFont="1"/>
    <xf numFmtId="192" fontId="8" fillId="0" borderId="0" xfId="0" applyNumberFormat="1" applyFont="1" applyAlignment="1">
      <alignment horizontal="centerContinuous"/>
    </xf>
    <xf numFmtId="9" fontId="8" fillId="0" borderId="0" xfId="0" applyNumberFormat="1" applyFont="1" applyFill="1"/>
    <xf numFmtId="174" fontId="8" fillId="0" borderId="0" xfId="0" applyNumberFormat="1" applyFont="1"/>
    <xf numFmtId="174" fontId="8" fillId="0" borderId="0" xfId="0" applyNumberFormat="1" applyFont="1" applyFill="1"/>
    <xf numFmtId="7" fontId="8" fillId="0" borderId="0" xfId="0" applyNumberFormat="1" applyFont="1" applyBorder="1"/>
    <xf numFmtId="192" fontId="12" fillId="0" borderId="0" xfId="0" applyNumberFormat="1" applyFont="1" applyBorder="1"/>
    <xf numFmtId="192" fontId="8" fillId="0" borderId="0" xfId="0" applyNumberFormat="1" applyFont="1" applyBorder="1"/>
    <xf numFmtId="183" fontId="8" fillId="0" borderId="2" xfId="0" applyNumberFormat="1" applyFont="1" applyFill="1" applyBorder="1"/>
    <xf numFmtId="173" fontId="8" fillId="0" borderId="0" xfId="0" applyNumberFormat="1" applyFont="1" applyBorder="1"/>
    <xf numFmtId="171" fontId="8" fillId="0" borderId="0" xfId="0" applyNumberFormat="1" applyFont="1" applyBorder="1"/>
    <xf numFmtId="169" fontId="8" fillId="0" borderId="0" xfId="0" applyNumberFormat="1" applyFont="1"/>
    <xf numFmtId="0" fontId="8" fillId="0" borderId="0" xfId="0" applyNumberFormat="1" applyFont="1" applyAlignment="1">
      <alignment horizontal="centerContinuous"/>
    </xf>
    <xf numFmtId="0" fontId="8" fillId="0" borderId="0" xfId="0" applyNumberFormat="1" applyFont="1" applyFill="1" applyAlignment="1">
      <alignment horizontal="centerContinuous"/>
    </xf>
    <xf numFmtId="0" fontId="22" fillId="0" borderId="0" xfId="0" applyNumberFormat="1" applyFont="1" applyAlignment="1">
      <alignment horizontal="centerContinuous"/>
    </xf>
    <xf numFmtId="0" fontId="8" fillId="0" borderId="0" xfId="0" applyNumberFormat="1" applyFont="1" applyAlignment="1">
      <alignment horizontal="right"/>
    </xf>
    <xf numFmtId="183" fontId="28" fillId="0" borderId="0" xfId="0" applyNumberFormat="1" applyFont="1" applyFill="1" applyBorder="1"/>
    <xf numFmtId="183" fontId="28" fillId="0" borderId="0" xfId="0" applyNumberFormat="1" applyFont="1" applyBorder="1"/>
    <xf numFmtId="183" fontId="28" fillId="0" borderId="2" xfId="0" applyNumberFormat="1" applyFont="1" applyFill="1" applyBorder="1"/>
    <xf numFmtId="183" fontId="28" fillId="0" borderId="2" xfId="0" applyNumberFormat="1" applyFont="1" applyBorder="1"/>
    <xf numFmtId="193" fontId="8" fillId="0" borderId="0" xfId="0" applyNumberFormat="1" applyFont="1" applyAlignment="1">
      <alignment horizontal="centerContinuous"/>
    </xf>
    <xf numFmtId="171" fontId="8" fillId="0" borderId="0" xfId="0" applyNumberFormat="1" applyFont="1" applyAlignment="1">
      <alignment horizontal="centerContinuous"/>
    </xf>
    <xf numFmtId="169" fontId="8" fillId="0" borderId="0" xfId="0" applyNumberFormat="1" applyFont="1" applyAlignment="1">
      <alignment horizontal="centerContinuous"/>
    </xf>
    <xf numFmtId="214" fontId="8" fillId="0" borderId="0" xfId="0" applyNumberFormat="1" applyFont="1" applyAlignment="1">
      <alignment horizontal="centerContinuous"/>
    </xf>
    <xf numFmtId="192" fontId="8" fillId="0" borderId="0" xfId="0" applyNumberFormat="1" applyFont="1" applyFill="1" applyAlignment="1">
      <alignment horizontal="centerContinuous"/>
    </xf>
    <xf numFmtId="193" fontId="8" fillId="0" borderId="0" xfId="0" applyNumberFormat="1" applyFont="1" applyFill="1" applyAlignment="1">
      <alignment horizontal="centerContinuous"/>
    </xf>
    <xf numFmtId="171" fontId="8" fillId="0" borderId="0" xfId="0" applyNumberFormat="1" applyFont="1" applyFill="1" applyAlignment="1">
      <alignment horizontal="centerContinuous"/>
    </xf>
    <xf numFmtId="40" fontId="8" fillId="0" borderId="0" xfId="0" applyNumberFormat="1" applyFont="1" applyFill="1"/>
    <xf numFmtId="174" fontId="12" fillId="0" borderId="0" xfId="0" applyNumberFormat="1" applyFont="1" applyBorder="1"/>
    <xf numFmtId="174" fontId="66" fillId="0" borderId="0" xfId="0" applyNumberFormat="1" applyFont="1"/>
    <xf numFmtId="174" fontId="71" fillId="0" borderId="0" xfId="0" applyNumberFormat="1" applyFont="1"/>
    <xf numFmtId="174" fontId="71" fillId="0" borderId="0" xfId="0" applyNumberFormat="1" applyFont="1" applyFill="1"/>
    <xf numFmtId="0" fontId="8" fillId="0" borderId="0" xfId="0" quotePrefix="1" applyFont="1"/>
    <xf numFmtId="183" fontId="12" fillId="0" borderId="0" xfId="0" applyNumberFormat="1" applyFont="1" applyBorder="1"/>
    <xf numFmtId="183" fontId="66" fillId="0" borderId="0" xfId="0" applyNumberFormat="1" applyFont="1"/>
    <xf numFmtId="183" fontId="66" fillId="0" borderId="0" xfId="0" applyNumberFormat="1" applyFont="1" applyFill="1"/>
    <xf numFmtId="183" fontId="66" fillId="0" borderId="2" xfId="0" applyNumberFormat="1" applyFont="1" applyBorder="1"/>
    <xf numFmtId="183" fontId="66" fillId="0" borderId="2" xfId="0" applyNumberFormat="1" applyFont="1" applyFill="1" applyBorder="1"/>
    <xf numFmtId="174" fontId="28" fillId="0" borderId="0" xfId="0" applyNumberFormat="1" applyFont="1"/>
    <xf numFmtId="174" fontId="28" fillId="0" borderId="0" xfId="0" applyNumberFormat="1" applyFont="1" applyFill="1"/>
    <xf numFmtId="183" fontId="12" fillId="0" borderId="0" xfId="0" applyNumberFormat="1" applyFont="1" applyFill="1" applyBorder="1"/>
    <xf numFmtId="183" fontId="88" fillId="0" borderId="0" xfId="0" applyNumberFormat="1" applyFont="1" applyFill="1" applyBorder="1"/>
    <xf numFmtId="183" fontId="28" fillId="0" borderId="0" xfId="0" applyNumberFormat="1" applyFont="1"/>
    <xf numFmtId="183" fontId="28" fillId="0" borderId="0" xfId="0" applyNumberFormat="1" applyFont="1" applyFill="1"/>
    <xf numFmtId="0" fontId="21" fillId="0" borderId="0" xfId="0" applyFont="1" applyAlignment="1">
      <alignment horizontal="centerContinuous"/>
    </xf>
    <xf numFmtId="0" fontId="21" fillId="0" borderId="0" xfId="0" applyFont="1" applyFill="1" applyAlignment="1">
      <alignment horizontal="centerContinuous"/>
    </xf>
    <xf numFmtId="0" fontId="21" fillId="0" borderId="0" xfId="0" applyFont="1" applyFill="1" applyAlignment="1">
      <alignment horizontal="left"/>
    </xf>
    <xf numFmtId="225" fontId="8" fillId="0" borderId="0" xfId="0" applyNumberFormat="1" applyFont="1"/>
    <xf numFmtId="225" fontId="8" fillId="0" borderId="0" xfId="0" applyNumberFormat="1" applyFont="1" applyFill="1"/>
    <xf numFmtId="171" fontId="88" fillId="0" borderId="0" xfId="0" applyNumberFormat="1" applyFont="1"/>
    <xf numFmtId="244" fontId="8" fillId="0" borderId="0" xfId="0" applyNumberFormat="1" applyFont="1"/>
    <xf numFmtId="266" fontId="8" fillId="0" borderId="0" xfId="0" applyNumberFormat="1" applyFont="1"/>
    <xf numFmtId="0" fontId="81" fillId="0" borderId="0" xfId="0" applyFont="1" applyBorder="1" applyAlignment="1">
      <alignment horizontal="center"/>
    </xf>
    <xf numFmtId="0" fontId="45" fillId="0" borderId="0" xfId="0" applyFont="1" applyBorder="1"/>
    <xf numFmtId="8" fontId="8" fillId="0" borderId="0" xfId="0" applyNumberFormat="1" applyFont="1" applyFill="1" applyBorder="1"/>
    <xf numFmtId="2" fontId="82" fillId="0" borderId="0" xfId="0" applyNumberFormat="1" applyFont="1"/>
    <xf numFmtId="8" fontId="72" fillId="0" borderId="0" xfId="0" applyNumberFormat="1" applyFont="1"/>
    <xf numFmtId="8" fontId="45" fillId="0" borderId="0" xfId="0" applyNumberFormat="1" applyFont="1" applyBorder="1" applyAlignment="1">
      <alignment horizontal="center"/>
    </xf>
    <xf numFmtId="8" fontId="45" fillId="0" borderId="0" xfId="0" applyNumberFormat="1" applyFont="1" applyBorder="1" applyAlignment="1">
      <alignment horizontal="right"/>
    </xf>
    <xf numFmtId="39" fontId="8" fillId="0" borderId="0" xfId="0" applyNumberFormat="1" applyFont="1" applyBorder="1"/>
    <xf numFmtId="40" fontId="8" fillId="0" borderId="0" xfId="0" applyNumberFormat="1" applyFont="1" applyFill="1" applyBorder="1"/>
    <xf numFmtId="40" fontId="72" fillId="0" borderId="0" xfId="0" applyNumberFormat="1" applyFont="1"/>
    <xf numFmtId="40" fontId="8" fillId="0" borderId="2" xfId="0" applyNumberFormat="1" applyFont="1" applyBorder="1"/>
    <xf numFmtId="245" fontId="8" fillId="0" borderId="0" xfId="0" applyNumberFormat="1" applyFont="1" applyAlignment="1">
      <alignment horizontal="right"/>
    </xf>
    <xf numFmtId="193" fontId="8" fillId="0" borderId="0" xfId="0" applyNumberFormat="1" applyFont="1" applyAlignment="1">
      <alignment horizontal="right"/>
    </xf>
    <xf numFmtId="40" fontId="72" fillId="0" borderId="2" xfId="0" applyNumberFormat="1" applyFont="1" applyBorder="1"/>
    <xf numFmtId="8" fontId="45" fillId="0" borderId="2" xfId="0" applyNumberFormat="1" applyFont="1" applyBorder="1" applyAlignment="1">
      <alignment horizontal="center"/>
    </xf>
    <xf numFmtId="8" fontId="45" fillId="0" borderId="2" xfId="0" applyNumberFormat="1" applyFont="1" applyBorder="1" applyAlignment="1">
      <alignment horizontal="right"/>
    </xf>
    <xf numFmtId="8" fontId="8" fillId="0" borderId="0" xfId="0" applyNumberFormat="1" applyFont="1" applyFill="1"/>
    <xf numFmtId="8" fontId="82" fillId="0" borderId="0" xfId="0" applyNumberFormat="1" applyFont="1"/>
    <xf numFmtId="204" fontId="45" fillId="0" borderId="0" xfId="10" applyNumberFormat="1" applyFont="1" applyBorder="1" applyAlignment="1">
      <alignment horizontal="left"/>
    </xf>
    <xf numFmtId="2" fontId="8" fillId="0" borderId="0" xfId="0" applyNumberFormat="1" applyFont="1" applyBorder="1" applyAlignment="1">
      <alignment horizontal="right"/>
    </xf>
    <xf numFmtId="2" fontId="72" fillId="0" borderId="0" xfId="0" applyNumberFormat="1" applyFont="1"/>
    <xf numFmtId="244" fontId="72" fillId="0" borderId="0" xfId="0" applyNumberFormat="1" applyFont="1"/>
    <xf numFmtId="8" fontId="22" fillId="0" borderId="0" xfId="0" applyNumberFormat="1" applyFont="1" applyAlignment="1">
      <alignment horizontal="centerContinuous"/>
    </xf>
    <xf numFmtId="44" fontId="8" fillId="0" borderId="0" xfId="14" applyFont="1" applyAlignment="1">
      <alignment horizontal="centerContinuous"/>
    </xf>
    <xf numFmtId="168" fontId="12" fillId="0" borderId="0" xfId="0" applyNumberFormat="1" applyFont="1"/>
    <xf numFmtId="168" fontId="12" fillId="0" borderId="0" xfId="0" applyNumberFormat="1" applyFont="1" applyFill="1"/>
    <xf numFmtId="8" fontId="8" fillId="0" borderId="0" xfId="0" applyNumberFormat="1" applyFont="1" applyAlignment="1">
      <alignment horizontal="center"/>
    </xf>
    <xf numFmtId="168" fontId="88" fillId="0" borderId="0" xfId="0" applyNumberFormat="1" applyFont="1"/>
    <xf numFmtId="168" fontId="12" fillId="0" borderId="2" xfId="0" applyNumberFormat="1" applyFont="1" applyBorder="1"/>
    <xf numFmtId="168" fontId="8" fillId="0" borderId="0" xfId="0" applyNumberFormat="1" applyFont="1" applyAlignment="1">
      <alignment horizontal="center"/>
    </xf>
    <xf numFmtId="44" fontId="8" fillId="0" borderId="0" xfId="14" applyFont="1" applyAlignment="1">
      <alignment horizontal="center"/>
    </xf>
    <xf numFmtId="169" fontId="8" fillId="0" borderId="0" xfId="0" applyNumberFormat="1" applyFont="1" applyAlignment="1">
      <alignment horizontal="center"/>
    </xf>
    <xf numFmtId="39" fontId="8" fillId="0" borderId="0" xfId="0" applyNumberFormat="1" applyFont="1"/>
    <xf numFmtId="43" fontId="8" fillId="0" borderId="0" xfId="10" applyFont="1" applyAlignment="1">
      <alignment horizontal="center"/>
    </xf>
    <xf numFmtId="2" fontId="27" fillId="0" borderId="0" xfId="0" applyNumberFormat="1" applyFont="1"/>
    <xf numFmtId="168" fontId="8" fillId="0" borderId="2" xfId="0" applyNumberFormat="1" applyFont="1" applyBorder="1"/>
    <xf numFmtId="39" fontId="12" fillId="0" borderId="0" xfId="0" applyNumberFormat="1" applyFont="1"/>
    <xf numFmtId="39" fontId="88" fillId="0" borderId="0" xfId="0" applyNumberFormat="1" applyFont="1"/>
    <xf numFmtId="39" fontId="12" fillId="0" borderId="2" xfId="0" applyNumberFormat="1" applyFont="1" applyBorder="1"/>
    <xf numFmtId="39" fontId="8" fillId="0" borderId="2" xfId="0" applyNumberFormat="1" applyFont="1" applyBorder="1"/>
    <xf numFmtId="168" fontId="66" fillId="0" borderId="0" xfId="17" applyNumberFormat="1" applyFont="1" applyFill="1" applyBorder="1"/>
    <xf numFmtId="166" fontId="66" fillId="0" borderId="0" xfId="35" applyNumberFormat="1" applyFont="1" applyFill="1" applyBorder="1"/>
    <xf numFmtId="166" fontId="12" fillId="0" borderId="0" xfId="35" applyNumberFormat="1" applyFont="1" applyFill="1" applyBorder="1" applyAlignment="1"/>
    <xf numFmtId="199" fontId="20" fillId="0" borderId="2" xfId="0" applyNumberFormat="1" applyFont="1" applyBorder="1" applyAlignment="1">
      <alignment horizontal="center"/>
    </xf>
    <xf numFmtId="199" fontId="20" fillId="0" borderId="0" xfId="0" applyNumberFormat="1" applyFont="1" applyBorder="1" applyAlignment="1">
      <alignment horizontal="center"/>
    </xf>
    <xf numFmtId="7" fontId="8" fillId="0" borderId="0" xfId="0" applyNumberFormat="1" applyFont="1"/>
    <xf numFmtId="164" fontId="12" fillId="0" borderId="0" xfId="0" applyNumberFormat="1" applyFont="1"/>
    <xf numFmtId="168" fontId="12" fillId="0" borderId="2" xfId="0" applyNumberFormat="1" applyFont="1" applyFill="1" applyBorder="1"/>
    <xf numFmtId="168" fontId="12" fillId="0" borderId="0" xfId="0" applyNumberFormat="1" applyFont="1" applyBorder="1"/>
    <xf numFmtId="176" fontId="8" fillId="0" borderId="0" xfId="0" applyNumberFormat="1" applyFont="1"/>
    <xf numFmtId="203" fontId="12" fillId="0" borderId="2" xfId="0" applyNumberFormat="1" applyFont="1" applyBorder="1"/>
    <xf numFmtId="203" fontId="8" fillId="0" borderId="0" xfId="0" applyNumberFormat="1" applyFont="1"/>
    <xf numFmtId="173" fontId="8" fillId="0" borderId="5" xfId="0" applyNumberFormat="1" applyFont="1" applyBorder="1"/>
    <xf numFmtId="173" fontId="8" fillId="0" borderId="5" xfId="0" applyNumberFormat="1" applyFont="1" applyFill="1" applyBorder="1"/>
    <xf numFmtId="168" fontId="12" fillId="0" borderId="0" xfId="0" applyNumberFormat="1" applyFont="1" applyFill="1" applyBorder="1"/>
    <xf numFmtId="173" fontId="8" fillId="0" borderId="14" xfId="0" applyNumberFormat="1" applyFont="1" applyFill="1" applyBorder="1"/>
    <xf numFmtId="168" fontId="8" fillId="0" borderId="0" xfId="0" applyNumberFormat="1" applyFont="1" applyBorder="1"/>
    <xf numFmtId="0" fontId="8" fillId="0" borderId="5" xfId="0" applyFont="1" applyBorder="1"/>
    <xf numFmtId="0" fontId="45" fillId="0" borderId="0" xfId="0" applyFont="1"/>
    <xf numFmtId="44" fontId="45" fillId="0" borderId="0" xfId="14" applyFont="1"/>
    <xf numFmtId="0" fontId="83" fillId="0" borderId="39" xfId="0" applyFont="1" applyBorder="1"/>
    <xf numFmtId="0" fontId="45" fillId="0" borderId="39" xfId="0" applyFont="1" applyBorder="1"/>
    <xf numFmtId="171" fontId="45" fillId="0" borderId="0" xfId="10" applyNumberFormat="1" applyFont="1" applyFill="1"/>
    <xf numFmtId="43" fontId="45" fillId="0" borderId="0" xfId="10" applyFont="1" applyFill="1"/>
    <xf numFmtId="171" fontId="81" fillId="0" borderId="0" xfId="10" applyNumberFormat="1" applyFont="1" applyFill="1"/>
    <xf numFmtId="0" fontId="81" fillId="0" borderId="0" xfId="0" applyFont="1" applyFill="1"/>
    <xf numFmtId="43" fontId="81" fillId="0" borderId="0" xfId="10" applyFont="1" applyFill="1"/>
    <xf numFmtId="167" fontId="45" fillId="0" borderId="0" xfId="0" applyNumberFormat="1" applyFont="1" applyAlignment="1" applyProtection="1"/>
    <xf numFmtId="166" fontId="12" fillId="0" borderId="0" xfId="35" applyNumberFormat="1" applyFont="1"/>
    <xf numFmtId="165" fontId="8" fillId="0" borderId="0" xfId="0" applyNumberFormat="1" applyFont="1" applyAlignment="1">
      <alignment horizontal="center"/>
    </xf>
    <xf numFmtId="0" fontId="34" fillId="0" borderId="5" xfId="0" applyFont="1" applyBorder="1"/>
    <xf numFmtId="0" fontId="34" fillId="0" borderId="0" xfId="0" applyFont="1" applyBorder="1"/>
    <xf numFmtId="0" fontId="21" fillId="0" borderId="0" xfId="20" applyFont="1"/>
    <xf numFmtId="0" fontId="8" fillId="0" borderId="0" xfId="20" applyFont="1" applyAlignment="1">
      <alignment horizontal="left"/>
    </xf>
    <xf numFmtId="0" fontId="11" fillId="0" borderId="0" xfId="20" applyFont="1" applyAlignment="1">
      <alignment horizontal="left" indent="1"/>
    </xf>
    <xf numFmtId="168" fontId="11" fillId="0" borderId="0" xfId="0" applyNumberFormat="1" applyFont="1"/>
    <xf numFmtId="0" fontId="8" fillId="0" borderId="0" xfId="20" applyFont="1"/>
    <xf numFmtId="165" fontId="12" fillId="0" borderId="2" xfId="0" applyNumberFormat="1" applyFont="1" applyBorder="1"/>
    <xf numFmtId="165" fontId="12" fillId="5" borderId="2" xfId="0" applyNumberFormat="1" applyFont="1" applyFill="1" applyBorder="1"/>
    <xf numFmtId="165" fontId="12" fillId="5" borderId="0" xfId="0" applyNumberFormat="1" applyFont="1" applyFill="1" applyBorder="1"/>
    <xf numFmtId="165" fontId="11" fillId="0" borderId="0" xfId="0" applyNumberFormat="1" applyFont="1"/>
    <xf numFmtId="171" fontId="11" fillId="0" borderId="0" xfId="0" applyNumberFormat="1" applyFont="1"/>
    <xf numFmtId="165" fontId="11" fillId="0" borderId="21" xfId="0" applyNumberFormat="1" applyFont="1" applyBorder="1"/>
    <xf numFmtId="168" fontId="11" fillId="0" borderId="21" xfId="0" applyNumberFormat="1" applyFont="1" applyBorder="1"/>
    <xf numFmtId="168" fontId="11" fillId="0" borderId="0" xfId="0" applyNumberFormat="1" applyFont="1" applyBorder="1"/>
    <xf numFmtId="0" fontId="11" fillId="0" borderId="0" xfId="20" applyFont="1" applyAlignment="1">
      <alignment horizontal="left"/>
    </xf>
    <xf numFmtId="168" fontId="8" fillId="0" borderId="0" xfId="0" applyNumberFormat="1" applyFont="1" applyAlignment="1">
      <alignment horizontal="right"/>
    </xf>
    <xf numFmtId="0" fontId="49" fillId="0" borderId="0" xfId="0" applyFont="1" applyAlignment="1" applyProtection="1">
      <alignment horizontal="left"/>
    </xf>
    <xf numFmtId="0" fontId="81" fillId="0" borderId="0" xfId="0" applyFont="1"/>
    <xf numFmtId="0" fontId="46" fillId="0" borderId="0" xfId="0" applyFont="1"/>
    <xf numFmtId="175" fontId="46" fillId="0" borderId="0" xfId="0" applyNumberFormat="1" applyFont="1"/>
    <xf numFmtId="216" fontId="46" fillId="0" borderId="0" xfId="0" applyNumberFormat="1" applyFont="1" applyFill="1"/>
    <xf numFmtId="216" fontId="46" fillId="0" borderId="0" xfId="0" applyNumberFormat="1" applyFont="1"/>
    <xf numFmtId="222" fontId="46" fillId="0" borderId="0" xfId="0" applyNumberFormat="1" applyFont="1"/>
    <xf numFmtId="0" fontId="21" fillId="0" borderId="2" xfId="0" applyFont="1" applyFill="1" applyBorder="1" applyAlignment="1">
      <alignment horizontal="center"/>
    </xf>
    <xf numFmtId="197" fontId="8" fillId="0" borderId="1" xfId="0" applyNumberFormat="1" applyFont="1" applyBorder="1"/>
    <xf numFmtId="197" fontId="8" fillId="0" borderId="0" xfId="0" applyNumberFormat="1" applyFont="1"/>
    <xf numFmtId="171" fontId="12" fillId="2" borderId="0" xfId="0" applyNumberFormat="1" applyFont="1" applyFill="1"/>
    <xf numFmtId="168" fontId="8" fillId="0" borderId="0" xfId="0" applyNumberFormat="1" applyFont="1" applyFill="1"/>
    <xf numFmtId="169" fontId="8" fillId="0" borderId="1" xfId="0" applyNumberFormat="1" applyFont="1" applyBorder="1"/>
    <xf numFmtId="169" fontId="8" fillId="0" borderId="16" xfId="0" applyNumberFormat="1" applyFont="1" applyBorder="1"/>
    <xf numFmtId="176" fontId="12" fillId="0" borderId="0" xfId="0" applyNumberFormat="1" applyFont="1" applyFill="1"/>
    <xf numFmtId="0" fontId="8" fillId="0" borderId="16" xfId="0" applyFont="1" applyFill="1" applyBorder="1"/>
    <xf numFmtId="168" fontId="12" fillId="2" borderId="2" xfId="0" applyNumberFormat="1" applyFont="1" applyFill="1" applyBorder="1"/>
    <xf numFmtId="171" fontId="8" fillId="0" borderId="1" xfId="0" applyNumberFormat="1" applyFont="1" applyBorder="1"/>
    <xf numFmtId="186" fontId="8" fillId="0" borderId="0" xfId="0" applyNumberFormat="1" applyFont="1"/>
    <xf numFmtId="175" fontId="8" fillId="0" borderId="0" xfId="0" applyNumberFormat="1" applyFont="1" applyFill="1"/>
    <xf numFmtId="174" fontId="8" fillId="0" borderId="5" xfId="0" applyNumberFormat="1" applyFont="1" applyBorder="1"/>
    <xf numFmtId="174" fontId="8" fillId="0" borderId="5" xfId="0" applyNumberFormat="1" applyFont="1" applyFill="1" applyBorder="1"/>
    <xf numFmtId="174" fontId="8" fillId="0" borderId="0" xfId="0" applyNumberFormat="1" applyFont="1" applyBorder="1"/>
    <xf numFmtId="0" fontId="9" fillId="0" borderId="2" xfId="0" applyFont="1" applyBorder="1"/>
    <xf numFmtId="0" fontId="21" fillId="0" borderId="2" xfId="0" applyFont="1" applyBorder="1" applyAlignment="1">
      <alignment horizontal="center"/>
    </xf>
    <xf numFmtId="0" fontId="9" fillId="0" borderId="2" xfId="0" applyFont="1" applyFill="1" applyBorder="1"/>
    <xf numFmtId="203" fontId="12" fillId="0" borderId="0" xfId="0" applyNumberFormat="1" applyFont="1"/>
    <xf numFmtId="203" fontId="12" fillId="0" borderId="0" xfId="0" applyNumberFormat="1" applyFont="1" applyFill="1"/>
    <xf numFmtId="203" fontId="8" fillId="0" borderId="0" xfId="0" applyNumberFormat="1" applyFont="1" applyFill="1"/>
    <xf numFmtId="186" fontId="8" fillId="0" borderId="16" xfId="0" applyNumberFormat="1" applyFont="1" applyBorder="1"/>
    <xf numFmtId="186" fontId="8" fillId="0" borderId="1" xfId="0" applyNumberFormat="1" applyFont="1" applyBorder="1"/>
    <xf numFmtId="168" fontId="36" fillId="0" borderId="0" xfId="0" applyNumberFormat="1" applyFont="1" applyFill="1"/>
    <xf numFmtId="184" fontId="8" fillId="0" borderId="0" xfId="10" applyNumberFormat="1" applyFont="1"/>
    <xf numFmtId="205" fontId="8" fillId="0" borderId="0" xfId="0" applyNumberFormat="1" applyFont="1"/>
    <xf numFmtId="191" fontId="8" fillId="0" borderId="0" xfId="35" applyNumberFormat="1" applyFont="1" applyBorder="1"/>
    <xf numFmtId="38" fontId="8" fillId="0" borderId="0" xfId="0" applyNumberFormat="1" applyFont="1"/>
    <xf numFmtId="8" fontId="12" fillId="0" borderId="0" xfId="0" applyNumberFormat="1" applyFont="1" applyBorder="1"/>
    <xf numFmtId="0" fontId="8" fillId="0" borderId="0" xfId="0" applyFont="1" applyBorder="1" applyAlignment="1">
      <alignment horizontal="left" indent="1"/>
    </xf>
    <xf numFmtId="171" fontId="12" fillId="0" borderId="0" xfId="0" applyNumberFormat="1" applyFont="1" applyBorder="1"/>
    <xf numFmtId="0" fontId="27" fillId="0" borderId="0" xfId="0" applyFont="1" applyFill="1" applyBorder="1"/>
    <xf numFmtId="0" fontId="83" fillId="0" borderId="39" xfId="0" applyFont="1" applyBorder="1" applyAlignment="1">
      <alignment horizontal="right"/>
    </xf>
    <xf numFmtId="197" fontId="83" fillId="0" borderId="39" xfId="0" applyNumberFormat="1" applyFont="1" applyBorder="1" applyAlignment="1">
      <alignment horizontal="right"/>
    </xf>
    <xf numFmtId="165" fontId="45" fillId="0" borderId="0" xfId="0" applyNumberFormat="1" applyFont="1"/>
    <xf numFmtId="171" fontId="45" fillId="0" borderId="0" xfId="0" applyNumberFormat="1" applyFont="1"/>
    <xf numFmtId="1" fontId="45" fillId="0" borderId="0" xfId="0" applyNumberFormat="1" applyFont="1"/>
    <xf numFmtId="38" fontId="45" fillId="0" borderId="0" xfId="0" applyNumberFormat="1" applyFont="1"/>
    <xf numFmtId="9" fontId="45" fillId="0" borderId="0" xfId="35" applyFont="1"/>
    <xf numFmtId="180" fontId="45" fillId="0" borderId="0" xfId="27" applyFont="1"/>
    <xf numFmtId="0" fontId="8" fillId="0" borderId="15" xfId="0" applyFont="1" applyBorder="1"/>
    <xf numFmtId="0" fontId="71" fillId="0" borderId="0" xfId="0" applyFont="1" applyBorder="1"/>
    <xf numFmtId="183" fontId="88" fillId="0" borderId="2" xfId="0" applyNumberFormat="1" applyFont="1" applyBorder="1"/>
    <xf numFmtId="168" fontId="88" fillId="0" borderId="0" xfId="0" applyNumberFormat="1" applyFont="1" applyBorder="1"/>
    <xf numFmtId="168" fontId="88" fillId="0" borderId="2" xfId="0" applyNumberFormat="1" applyFont="1" applyBorder="1"/>
    <xf numFmtId="44" fontId="12" fillId="0" borderId="0" xfId="14" applyFont="1" applyFill="1" applyBorder="1"/>
    <xf numFmtId="269" fontId="62" fillId="0" borderId="0" xfId="0" applyNumberFormat="1" applyFont="1" applyBorder="1" applyAlignment="1">
      <alignment horizontal="center"/>
    </xf>
    <xf numFmtId="0" fontId="84" fillId="0" borderId="0" xfId="0" applyFont="1" applyAlignment="1">
      <alignment horizontal="left"/>
    </xf>
    <xf numFmtId="0" fontId="21" fillId="4" borderId="0" xfId="0" quotePrefix="1" applyFont="1" applyFill="1" applyAlignment="1">
      <alignment horizontal="left"/>
    </xf>
    <xf numFmtId="197" fontId="21" fillId="4" borderId="0" xfId="0" applyNumberFormat="1" applyFont="1" applyFill="1" applyAlignment="1">
      <alignment horizontal="left"/>
    </xf>
    <xf numFmtId="0" fontId="8" fillId="4" borderId="0" xfId="0" applyFont="1" applyFill="1"/>
    <xf numFmtId="165" fontId="8" fillId="4" borderId="0" xfId="0" applyNumberFormat="1" applyFont="1" applyFill="1"/>
    <xf numFmtId="201" fontId="8" fillId="4" borderId="0" xfId="0" applyNumberFormat="1" applyFont="1" applyFill="1"/>
    <xf numFmtId="200" fontId="8" fillId="4" borderId="0" xfId="0" applyNumberFormat="1" applyFont="1" applyFill="1"/>
    <xf numFmtId="1" fontId="8" fillId="4" borderId="0" xfId="0" applyNumberFormat="1" applyFont="1" applyFill="1"/>
    <xf numFmtId="0" fontId="8" fillId="4" borderId="0" xfId="0" applyFont="1" applyFill="1" applyAlignment="1">
      <alignment horizontal="center"/>
    </xf>
    <xf numFmtId="1" fontId="8" fillId="4" borderId="0" xfId="0" applyNumberFormat="1" applyFont="1" applyFill="1" applyBorder="1"/>
    <xf numFmtId="0" fontId="8" fillId="4" borderId="0" xfId="0" applyFont="1" applyFill="1" applyBorder="1"/>
    <xf numFmtId="182" fontId="8" fillId="4" borderId="0" xfId="0" applyNumberFormat="1" applyFont="1" applyFill="1"/>
    <xf numFmtId="178" fontId="8" fillId="4" borderId="0" xfId="0" applyNumberFormat="1" applyFont="1" applyFill="1"/>
    <xf numFmtId="201" fontId="8" fillId="4" borderId="0" xfId="0" applyNumberFormat="1" applyFont="1" applyFill="1" applyBorder="1"/>
    <xf numFmtId="172" fontId="40" fillId="4" borderId="0" xfId="0" applyNumberFormat="1" applyFont="1" applyFill="1"/>
    <xf numFmtId="179" fontId="8" fillId="4" borderId="0" xfId="0" applyNumberFormat="1" applyFont="1" applyFill="1"/>
    <xf numFmtId="0" fontId="8" fillId="4" borderId="0" xfId="0" applyFont="1" applyFill="1" applyAlignment="1">
      <alignment horizontal="left"/>
    </xf>
    <xf numFmtId="200" fontId="8" fillId="4" borderId="0" xfId="0" applyNumberFormat="1" applyFont="1" applyFill="1" applyBorder="1"/>
    <xf numFmtId="164" fontId="12" fillId="4" borderId="0" xfId="0" applyNumberFormat="1" applyFont="1" applyFill="1" applyBorder="1"/>
    <xf numFmtId="172" fontId="8" fillId="4" borderId="0" xfId="0" applyNumberFormat="1" applyFont="1" applyFill="1"/>
    <xf numFmtId="164" fontId="88" fillId="4" borderId="0" xfId="0" applyNumberFormat="1" applyFont="1" applyFill="1" applyBorder="1"/>
    <xf numFmtId="4" fontId="8" fillId="4" borderId="0" xfId="0" applyNumberFormat="1" applyFont="1" applyFill="1"/>
    <xf numFmtId="164" fontId="8" fillId="4" borderId="0" xfId="0" applyNumberFormat="1" applyFont="1" applyFill="1"/>
    <xf numFmtId="3" fontId="8" fillId="4" borderId="0" xfId="0" applyNumberFormat="1" applyFont="1" applyFill="1"/>
    <xf numFmtId="165" fontId="8" fillId="4" borderId="2" xfId="0" applyNumberFormat="1" applyFont="1" applyFill="1" applyBorder="1"/>
    <xf numFmtId="200" fontId="8" fillId="4" borderId="2" xfId="0" applyNumberFormat="1" applyFont="1" applyFill="1" applyBorder="1"/>
    <xf numFmtId="1" fontId="8" fillId="4" borderId="2" xfId="0" applyNumberFormat="1" applyFont="1" applyFill="1" applyBorder="1"/>
    <xf numFmtId="164" fontId="12" fillId="4" borderId="2" xfId="0" applyNumberFormat="1" applyFont="1" applyFill="1" applyBorder="1"/>
    <xf numFmtId="4" fontId="8" fillId="4" borderId="2" xfId="0" applyNumberFormat="1" applyFont="1" applyFill="1" applyBorder="1"/>
    <xf numFmtId="201" fontId="8" fillId="4" borderId="2" xfId="0" applyNumberFormat="1" applyFont="1" applyFill="1" applyBorder="1"/>
    <xf numFmtId="172" fontId="40" fillId="4" borderId="2" xfId="0" applyNumberFormat="1" applyFont="1" applyFill="1" applyBorder="1"/>
    <xf numFmtId="164" fontId="8" fillId="4" borderId="2" xfId="0" applyNumberFormat="1" applyFont="1" applyFill="1" applyBorder="1"/>
    <xf numFmtId="3" fontId="8" fillId="4" borderId="2" xfId="0" applyNumberFormat="1" applyFont="1" applyFill="1" applyBorder="1"/>
    <xf numFmtId="199" fontId="22" fillId="4" borderId="0" xfId="0" applyNumberFormat="1" applyFont="1" applyFill="1" applyAlignment="1">
      <alignment horizontal="left"/>
    </xf>
    <xf numFmtId="43" fontId="8" fillId="4" borderId="0" xfId="10" applyFont="1" applyFill="1"/>
    <xf numFmtId="165" fontId="8" fillId="4" borderId="0" xfId="0" applyNumberFormat="1" applyFont="1" applyFill="1" applyBorder="1"/>
    <xf numFmtId="1" fontId="12" fillId="4" borderId="2" xfId="0" applyNumberFormat="1" applyFont="1" applyFill="1" applyBorder="1"/>
    <xf numFmtId="164" fontId="28" fillId="4" borderId="2" xfId="0" applyNumberFormat="1" applyFont="1" applyFill="1" applyBorder="1"/>
    <xf numFmtId="0" fontId="8" fillId="0" borderId="0" xfId="0" applyNumberFormat="1" applyFont="1" applyFill="1"/>
    <xf numFmtId="165" fontId="11" fillId="4" borderId="0" xfId="0" applyNumberFormat="1" applyFont="1" applyFill="1"/>
    <xf numFmtId="200" fontId="20" fillId="0" borderId="2" xfId="0" applyNumberFormat="1" applyFont="1" applyFill="1" applyBorder="1"/>
    <xf numFmtId="0" fontId="89" fillId="0" borderId="0" xfId="0" applyFont="1" applyFill="1"/>
    <xf numFmtId="164" fontId="89" fillId="0" borderId="2" xfId="0" applyNumberFormat="1" applyFont="1" applyFill="1" applyBorder="1"/>
    <xf numFmtId="0" fontId="84" fillId="0" borderId="2" xfId="0" applyFont="1" applyBorder="1" applyAlignment="1">
      <alignment horizontal="left"/>
    </xf>
    <xf numFmtId="0" fontId="8" fillId="0" borderId="2" xfId="0" applyFont="1" applyFill="1" applyBorder="1" applyAlignment="1">
      <alignment horizontal="center"/>
    </xf>
    <xf numFmtId="178" fontId="8" fillId="0" borderId="2" xfId="0" applyNumberFormat="1" applyFont="1" applyFill="1" applyBorder="1"/>
    <xf numFmtId="179" fontId="8" fillId="0" borderId="2" xfId="0" applyNumberFormat="1" applyFont="1" applyFill="1" applyBorder="1"/>
    <xf numFmtId="9" fontId="8" fillId="0" borderId="0" xfId="36" applyFont="1" applyFill="1" applyBorder="1" applyAlignment="1">
      <alignment horizontal="right"/>
    </xf>
    <xf numFmtId="174" fontId="8" fillId="0" borderId="0" xfId="0" applyNumberFormat="1" applyFont="1" applyAlignment="1">
      <alignment horizontal="centerContinuous"/>
    </xf>
    <xf numFmtId="174" fontId="11" fillId="0" borderId="0" xfId="0" applyNumberFormat="1" applyFont="1" applyAlignment="1">
      <alignment horizontal="centerContinuous"/>
    </xf>
    <xf numFmtId="271" fontId="0" fillId="0" borderId="0" xfId="0" applyNumberFormat="1"/>
    <xf numFmtId="272" fontId="0" fillId="0" borderId="0" xfId="0" applyNumberFormat="1"/>
    <xf numFmtId="2" fontId="4" fillId="0" borderId="0" xfId="35" applyNumberFormat="1" applyFont="1"/>
    <xf numFmtId="2" fontId="0" fillId="0" borderId="0" xfId="0" applyNumberFormat="1"/>
    <xf numFmtId="268" fontId="0" fillId="0" borderId="0" xfId="0" applyNumberFormat="1"/>
    <xf numFmtId="44" fontId="0" fillId="0" borderId="0" xfId="0" applyNumberFormat="1"/>
    <xf numFmtId="169" fontId="8" fillId="0" borderId="2" xfId="0" applyNumberFormat="1" applyFont="1" applyBorder="1"/>
    <xf numFmtId="173" fontId="88" fillId="0" borderId="0" xfId="0" applyNumberFormat="1" applyFont="1"/>
    <xf numFmtId="183" fontId="88" fillId="0" borderId="2" xfId="0" applyNumberFormat="1" applyFont="1" applyFill="1" applyBorder="1"/>
    <xf numFmtId="0" fontId="90" fillId="0" borderId="0" xfId="16" applyFont="1"/>
    <xf numFmtId="0" fontId="8" fillId="0" borderId="0" xfId="16" applyFont="1"/>
    <xf numFmtId="0" fontId="91" fillId="0" borderId="2" xfId="16" applyFont="1" applyBorder="1"/>
    <xf numFmtId="0" fontId="11" fillId="0" borderId="0" xfId="16" applyFont="1"/>
    <xf numFmtId="17" fontId="11" fillId="0" borderId="0" xfId="16" applyNumberFormat="1" applyFont="1"/>
    <xf numFmtId="0" fontId="91" fillId="0" borderId="0" xfId="16" applyFont="1"/>
    <xf numFmtId="177" fontId="8" fillId="0" borderId="0" xfId="12" applyNumberFormat="1" applyFont="1"/>
    <xf numFmtId="9" fontId="8" fillId="0" borderId="0" xfId="37" applyFont="1"/>
    <xf numFmtId="166" fontId="8" fillId="0" borderId="0" xfId="37" applyNumberFormat="1" applyFont="1"/>
    <xf numFmtId="0" fontId="93" fillId="0" borderId="0" xfId="16" applyFont="1"/>
    <xf numFmtId="9" fontId="27" fillId="0" borderId="0" xfId="16" applyNumberFormat="1" applyFont="1"/>
    <xf numFmtId="0" fontId="27" fillId="0" borderId="0" xfId="16" applyFont="1"/>
    <xf numFmtId="177" fontId="8" fillId="0" borderId="2" xfId="12" applyNumberFormat="1" applyFont="1" applyBorder="1"/>
    <xf numFmtId="177" fontId="8" fillId="0" borderId="0" xfId="16" applyNumberFormat="1" applyFont="1"/>
    <xf numFmtId="9" fontId="94" fillId="0" borderId="0" xfId="37" applyFont="1"/>
    <xf numFmtId="166" fontId="94" fillId="0" borderId="0" xfId="37" applyNumberFormat="1" applyFont="1"/>
    <xf numFmtId="0" fontId="94" fillId="0" borderId="0" xfId="16" applyFont="1"/>
    <xf numFmtId="177" fontId="90" fillId="0" borderId="0" xfId="12" quotePrefix="1" applyNumberFormat="1" applyFont="1"/>
    <xf numFmtId="9" fontId="96" fillId="0" borderId="0" xfId="37" applyFont="1"/>
    <xf numFmtId="0" fontId="8" fillId="0" borderId="2" xfId="16" applyFont="1" applyBorder="1"/>
    <xf numFmtId="177" fontId="11" fillId="0" borderId="0" xfId="16" applyNumberFormat="1" applyFont="1"/>
    <xf numFmtId="9" fontId="95" fillId="4" borderId="0" xfId="37" applyFont="1" applyFill="1"/>
    <xf numFmtId="0" fontId="96" fillId="0" borderId="0" xfId="16" applyFont="1"/>
    <xf numFmtId="177" fontId="97" fillId="0" borderId="0" xfId="12" applyNumberFormat="1" applyFont="1" applyAlignment="1">
      <alignment horizontal="center"/>
    </xf>
    <xf numFmtId="0" fontId="98" fillId="0" borderId="0" xfId="16" applyFont="1" applyAlignment="1">
      <alignment horizontal="center"/>
    </xf>
    <xf numFmtId="0" fontId="97" fillId="0" borderId="0" xfId="16" applyFont="1" applyAlignment="1">
      <alignment horizontal="center"/>
    </xf>
    <xf numFmtId="177" fontId="90" fillId="0" borderId="0" xfId="12" applyNumberFormat="1" applyFont="1"/>
    <xf numFmtId="43" fontId="99" fillId="0" borderId="0" xfId="12" applyNumberFormat="1" applyFont="1"/>
    <xf numFmtId="177" fontId="91" fillId="7" borderId="15" xfId="12" applyNumberFormat="1" applyFont="1" applyFill="1" applyBorder="1"/>
    <xf numFmtId="177" fontId="8" fillId="7" borderId="5" xfId="12" applyNumberFormat="1" applyFont="1" applyFill="1" applyBorder="1"/>
    <xf numFmtId="177" fontId="8" fillId="7" borderId="7" xfId="12" applyNumberFormat="1" applyFont="1" applyFill="1" applyBorder="1"/>
    <xf numFmtId="177" fontId="90" fillId="7" borderId="15" xfId="12" applyNumberFormat="1" applyFont="1" applyFill="1" applyBorder="1"/>
    <xf numFmtId="0" fontId="8" fillId="7" borderId="5" xfId="16" applyFont="1" applyFill="1" applyBorder="1"/>
    <xf numFmtId="166" fontId="8" fillId="0" borderId="0" xfId="37" applyNumberFormat="1" applyFont="1" applyAlignment="1">
      <alignment horizontal="right"/>
    </xf>
    <xf numFmtId="177" fontId="90" fillId="0" borderId="2" xfId="12" applyNumberFormat="1" applyFont="1" applyBorder="1"/>
    <xf numFmtId="177" fontId="91" fillId="0" borderId="0" xfId="12" applyNumberFormat="1" applyFont="1"/>
    <xf numFmtId="177" fontId="93" fillId="0" borderId="0" xfId="12" applyNumberFormat="1" applyFont="1"/>
    <xf numFmtId="166" fontId="93" fillId="0" borderId="0" xfId="37" applyNumberFormat="1" applyFont="1"/>
    <xf numFmtId="177" fontId="93" fillId="0" borderId="0" xfId="12" applyNumberFormat="1" applyFont="1" applyAlignment="1">
      <alignment horizontal="center"/>
    </xf>
    <xf numFmtId="166" fontId="90" fillId="0" borderId="0" xfId="37" applyNumberFormat="1" applyFont="1"/>
    <xf numFmtId="9" fontId="90" fillId="0" borderId="0" xfId="37" applyFont="1"/>
    <xf numFmtId="9" fontId="93" fillId="0" borderId="0" xfId="37" applyFont="1" applyAlignment="1">
      <alignment horizontal="center"/>
    </xf>
    <xf numFmtId="177" fontId="91" fillId="7" borderId="5" xfId="12" applyNumberFormat="1" applyFont="1" applyFill="1" applyBorder="1" applyAlignment="1">
      <alignment horizontal="center"/>
    </xf>
    <xf numFmtId="166" fontId="91" fillId="7" borderId="7" xfId="37" applyNumberFormat="1" applyFont="1" applyFill="1" applyBorder="1"/>
    <xf numFmtId="177" fontId="90" fillId="0" borderId="0" xfId="12" applyNumberFormat="1" applyFont="1" applyBorder="1"/>
    <xf numFmtId="177" fontId="90" fillId="0" borderId="2" xfId="12" applyNumberFormat="1" applyFont="1" applyBorder="1" applyAlignment="1">
      <alignment horizontal="center"/>
    </xf>
    <xf numFmtId="192" fontId="8" fillId="0" borderId="0" xfId="0" applyNumberFormat="1" applyFont="1" applyAlignment="1">
      <alignment horizontal="right"/>
    </xf>
    <xf numFmtId="0" fontId="72" fillId="0" borderId="0" xfId="0" applyFont="1" applyFill="1" applyBorder="1"/>
    <xf numFmtId="0" fontId="8" fillId="0" borderId="0" xfId="0" applyFont="1" applyFill="1" applyBorder="1" applyAlignment="1">
      <alignment horizontal="center"/>
    </xf>
    <xf numFmtId="4" fontId="8" fillId="0" borderId="0" xfId="0" applyNumberFormat="1" applyFont="1" applyFill="1" applyBorder="1"/>
    <xf numFmtId="172" fontId="40" fillId="0" borderId="0" xfId="0" applyNumberFormat="1" applyFont="1" applyFill="1" applyBorder="1"/>
    <xf numFmtId="3" fontId="8" fillId="0" borderId="0" xfId="0" applyNumberFormat="1" applyFont="1" applyFill="1" applyBorder="1"/>
    <xf numFmtId="0" fontId="8" fillId="4" borderId="0" xfId="0" applyFont="1" applyFill="1" applyBorder="1" applyAlignment="1">
      <alignment horizontal="center"/>
    </xf>
    <xf numFmtId="4" fontId="8" fillId="4" borderId="0" xfId="0" applyNumberFormat="1" applyFont="1" applyFill="1" applyBorder="1"/>
    <xf numFmtId="172" fontId="28" fillId="4" borderId="0" xfId="0" applyNumberFormat="1" applyFont="1" applyFill="1" applyBorder="1"/>
    <xf numFmtId="172" fontId="40" fillId="4" borderId="0" xfId="0" applyNumberFormat="1" applyFont="1" applyFill="1" applyBorder="1"/>
    <xf numFmtId="164" fontId="8" fillId="4" borderId="0" xfId="0" applyNumberFormat="1" applyFont="1" applyFill="1" applyBorder="1"/>
    <xf numFmtId="3" fontId="8" fillId="4" borderId="0" xfId="0" applyNumberFormat="1" applyFont="1" applyFill="1" applyBorder="1"/>
    <xf numFmtId="37" fontId="89" fillId="4" borderId="0" xfId="0" applyNumberFormat="1" applyFont="1" applyFill="1" applyBorder="1"/>
    <xf numFmtId="0" fontId="79" fillId="0" borderId="0" xfId="22" applyFont="1" applyBorder="1"/>
    <xf numFmtId="0" fontId="0" fillId="0" borderId="14" xfId="0" applyBorder="1"/>
    <xf numFmtId="0" fontId="4" fillId="0" borderId="14" xfId="0" applyFont="1" applyBorder="1"/>
    <xf numFmtId="39" fontId="88" fillId="0" borderId="2" xfId="0" applyNumberFormat="1" applyFont="1" applyBorder="1"/>
    <xf numFmtId="164" fontId="88" fillId="4" borderId="2" xfId="0" applyNumberFormat="1" applyFont="1" applyFill="1" applyBorder="1"/>
    <xf numFmtId="164" fontId="88" fillId="0" borderId="2" xfId="0" applyNumberFormat="1" applyFont="1" applyFill="1" applyBorder="1"/>
    <xf numFmtId="0" fontId="90" fillId="0" borderId="0" xfId="0" applyFont="1" applyFill="1"/>
    <xf numFmtId="195" fontId="88" fillId="0" borderId="0" xfId="31" applyNumberFormat="1" applyFont="1" applyFill="1" applyProtection="1"/>
    <xf numFmtId="174" fontId="88" fillId="0" borderId="0" xfId="0" applyNumberFormat="1" applyFont="1"/>
    <xf numFmtId="174" fontId="88" fillId="0" borderId="0" xfId="0" applyNumberFormat="1" applyFont="1" applyFill="1"/>
    <xf numFmtId="174" fontId="88" fillId="0" borderId="0" xfId="0" applyNumberFormat="1" applyFont="1" applyBorder="1"/>
    <xf numFmtId="224" fontId="88" fillId="0" borderId="0" xfId="10" applyNumberFormat="1" applyFont="1"/>
    <xf numFmtId="168" fontId="88" fillId="0" borderId="0" xfId="0" applyNumberFormat="1" applyFont="1" applyFill="1"/>
    <xf numFmtId="0" fontId="11" fillId="8" borderId="0" xfId="0" applyFont="1" applyFill="1"/>
    <xf numFmtId="0" fontId="8" fillId="8" borderId="0" xfId="0" applyFont="1" applyFill="1"/>
    <xf numFmtId="168" fontId="88" fillId="0" borderId="0" xfId="17" applyNumberFormat="1" applyFont="1" applyFill="1" applyBorder="1"/>
    <xf numFmtId="193" fontId="8" fillId="8" borderId="0" xfId="0" applyNumberFormat="1" applyFont="1" applyFill="1"/>
    <xf numFmtId="265" fontId="8" fillId="8" borderId="0" xfId="0" applyNumberFormat="1" applyFont="1" applyFill="1"/>
    <xf numFmtId="245" fontId="8" fillId="8" borderId="0" xfId="0" applyNumberFormat="1" applyFont="1" applyFill="1" applyAlignment="1">
      <alignment horizontal="right"/>
    </xf>
    <xf numFmtId="193" fontId="8" fillId="8" borderId="0" xfId="35" applyNumberFormat="1" applyFont="1" applyFill="1"/>
    <xf numFmtId="0" fontId="78" fillId="8" borderId="14" xfId="22" applyFont="1" applyFill="1" applyBorder="1" applyAlignment="1"/>
    <xf numFmtId="0" fontId="40" fillId="8" borderId="0" xfId="22" applyFont="1" applyFill="1"/>
    <xf numFmtId="0" fontId="78" fillId="8" borderId="2" xfId="22" applyFont="1" applyFill="1" applyBorder="1" applyAlignment="1"/>
    <xf numFmtId="0" fontId="78" fillId="8" borderId="0" xfId="22" applyFont="1" applyFill="1" applyBorder="1" applyAlignment="1"/>
    <xf numFmtId="188" fontId="11" fillId="8" borderId="0" xfId="17" applyNumberFormat="1" applyFont="1" applyFill="1" applyBorder="1" applyAlignment="1">
      <alignment horizontal="left"/>
    </xf>
    <xf numFmtId="188" fontId="9" fillId="8" borderId="0" xfId="17" applyNumberFormat="1" applyFont="1" applyFill="1" applyBorder="1" applyAlignment="1">
      <alignment horizontal="right"/>
    </xf>
    <xf numFmtId="0" fontId="8" fillId="4" borderId="0" xfId="17" applyFont="1" applyFill="1" applyBorder="1"/>
    <xf numFmtId="0" fontId="8" fillId="4" borderId="2" xfId="17" applyFont="1" applyFill="1" applyBorder="1"/>
    <xf numFmtId="188" fontId="9" fillId="4" borderId="0" xfId="17" applyNumberFormat="1" applyFont="1" applyFill="1" applyBorder="1" applyAlignment="1">
      <alignment horizontal="right"/>
    </xf>
    <xf numFmtId="197" fontId="11" fillId="4" borderId="2" xfId="17" applyNumberFormat="1" applyFont="1" applyFill="1" applyBorder="1" applyAlignment="1">
      <alignment horizontal="center"/>
    </xf>
    <xf numFmtId="174" fontId="8" fillId="4" borderId="0" xfId="17" applyNumberFormat="1" applyFont="1" applyFill="1" applyBorder="1"/>
    <xf numFmtId="166" fontId="8" fillId="4" borderId="0" xfId="35" applyNumberFormat="1" applyFont="1" applyFill="1" applyBorder="1"/>
    <xf numFmtId="168" fontId="8" fillId="4" borderId="0" xfId="17" applyNumberFormat="1" applyFont="1" applyFill="1" applyBorder="1"/>
    <xf numFmtId="177" fontId="8" fillId="4" borderId="0" xfId="10" applyNumberFormat="1" applyFont="1" applyFill="1" applyBorder="1"/>
    <xf numFmtId="168" fontId="12" fillId="4" borderId="0" xfId="17" applyNumberFormat="1" applyFont="1" applyFill="1" applyBorder="1"/>
    <xf numFmtId="166" fontId="12" fillId="4" borderId="0" xfId="35" applyNumberFormat="1" applyFont="1" applyFill="1" applyBorder="1"/>
    <xf numFmtId="224" fontId="8" fillId="4" borderId="0" xfId="10" applyNumberFormat="1" applyFont="1" applyFill="1" applyBorder="1"/>
    <xf numFmtId="168" fontId="66" fillId="4" borderId="0" xfId="17" applyNumberFormat="1" applyFont="1" applyFill="1" applyBorder="1"/>
    <xf numFmtId="166" fontId="66" fillId="4" borderId="0" xfId="35" applyNumberFormat="1" applyFont="1" applyFill="1" applyBorder="1"/>
    <xf numFmtId="168" fontId="28" fillId="4" borderId="0" xfId="17" applyNumberFormat="1" applyFont="1" applyFill="1" applyBorder="1"/>
    <xf numFmtId="166" fontId="8" fillId="4" borderId="0" xfId="35" applyNumberFormat="1" applyFont="1" applyFill="1" applyBorder="1" applyAlignment="1"/>
    <xf numFmtId="39" fontId="72" fillId="4" borderId="0" xfId="17" applyNumberFormat="1" applyFont="1" applyFill="1" applyBorder="1"/>
    <xf numFmtId="7" fontId="8" fillId="4" borderId="0" xfId="17" applyNumberFormat="1" applyFont="1" applyFill="1" applyBorder="1"/>
    <xf numFmtId="202" fontId="8" fillId="4" borderId="0" xfId="35" applyNumberFormat="1" applyFont="1" applyFill="1" applyBorder="1"/>
    <xf numFmtId="39" fontId="8" fillId="4" borderId="0" xfId="17" applyNumberFormat="1" applyFont="1" applyFill="1" applyBorder="1"/>
    <xf numFmtId="7" fontId="71" fillId="4" borderId="0" xfId="17" applyNumberFormat="1" applyFont="1" applyFill="1" applyBorder="1"/>
    <xf numFmtId="9" fontId="8" fillId="4" borderId="0" xfId="35" applyFont="1" applyFill="1" applyBorder="1"/>
    <xf numFmtId="178" fontId="50" fillId="4" borderId="0" xfId="17" applyNumberFormat="1" applyFont="1" applyFill="1" applyBorder="1" applyAlignment="1">
      <alignment horizontal="right"/>
    </xf>
    <xf numFmtId="9" fontId="8" fillId="4" borderId="0" xfId="35" applyFont="1" applyFill="1"/>
    <xf numFmtId="2" fontId="8" fillId="4" borderId="0" xfId="0" applyNumberFormat="1" applyFont="1" applyFill="1"/>
    <xf numFmtId="44" fontId="12" fillId="4" borderId="0" xfId="14" applyFont="1" applyFill="1"/>
    <xf numFmtId="166" fontId="8" fillId="4" borderId="0" xfId="35" applyNumberFormat="1" applyFont="1" applyFill="1"/>
    <xf numFmtId="168" fontId="8" fillId="4" borderId="0" xfId="0" applyNumberFormat="1" applyFont="1" applyFill="1"/>
    <xf numFmtId="166" fontId="8" fillId="4" borderId="0" xfId="0" applyNumberFormat="1" applyFont="1" applyFill="1"/>
    <xf numFmtId="8" fontId="8" fillId="4" borderId="0" xfId="0" applyNumberFormat="1" applyFont="1" applyFill="1"/>
    <xf numFmtId="180" fontId="8" fillId="4" borderId="2" xfId="31" applyFont="1" applyFill="1" applyBorder="1"/>
    <xf numFmtId="180" fontId="8" fillId="4" borderId="0" xfId="31" applyFont="1" applyFill="1" applyBorder="1"/>
    <xf numFmtId="180" fontId="8" fillId="4" borderId="0" xfId="31" applyFont="1" applyFill="1"/>
    <xf numFmtId="5" fontId="28" fillId="4" borderId="0" xfId="31" applyNumberFormat="1" applyFont="1" applyFill="1" applyBorder="1" applyProtection="1"/>
    <xf numFmtId="5" fontId="8" fillId="4" borderId="0" xfId="31" applyNumberFormat="1" applyFont="1" applyFill="1" applyBorder="1" applyProtection="1"/>
    <xf numFmtId="166" fontId="8" fillId="4" borderId="0" xfId="35" applyNumberFormat="1" applyFont="1" applyFill="1" applyBorder="1" applyProtection="1"/>
    <xf numFmtId="185" fontId="28" fillId="4" borderId="0" xfId="31" applyNumberFormat="1" applyFont="1" applyFill="1" applyProtection="1"/>
    <xf numFmtId="9" fontId="8" fillId="4" borderId="0" xfId="35" applyFont="1" applyFill="1" applyProtection="1"/>
    <xf numFmtId="185" fontId="75" fillId="4" borderId="0" xfId="31" applyNumberFormat="1" applyFont="1" applyFill="1" applyProtection="1"/>
    <xf numFmtId="9" fontId="27" fillId="4" borderId="0" xfId="35" applyFont="1" applyFill="1" applyProtection="1"/>
    <xf numFmtId="5" fontId="8" fillId="4" borderId="0" xfId="31" applyNumberFormat="1" applyFont="1" applyFill="1" applyProtection="1"/>
    <xf numFmtId="166" fontId="8" fillId="4" borderId="0" xfId="31" applyNumberFormat="1" applyFont="1" applyFill="1" applyProtection="1"/>
    <xf numFmtId="177" fontId="8" fillId="4" borderId="0" xfId="10" applyNumberFormat="1" applyFont="1" applyFill="1" applyProtection="1"/>
    <xf numFmtId="185" fontId="8" fillId="4" borderId="0" xfId="31" applyNumberFormat="1" applyFont="1" applyFill="1" applyProtection="1"/>
    <xf numFmtId="185" fontId="12" fillId="4" borderId="0" xfId="31" applyNumberFormat="1" applyFont="1" applyFill="1" applyProtection="1"/>
    <xf numFmtId="180" fontId="12" fillId="4" borderId="0" xfId="35" applyNumberFormat="1" applyFont="1" applyFill="1" applyProtection="1"/>
    <xf numFmtId="9" fontId="12" fillId="4" borderId="0" xfId="35" applyFont="1" applyFill="1" applyProtection="1"/>
    <xf numFmtId="180" fontId="8" fillId="4" borderId="0" xfId="31" applyNumberFormat="1" applyFont="1" applyFill="1" applyProtection="1"/>
    <xf numFmtId="180" fontId="8" fillId="4" borderId="0" xfId="31" applyNumberFormat="1" applyFont="1" applyFill="1" applyBorder="1" applyProtection="1"/>
    <xf numFmtId="37" fontId="8" fillId="4" borderId="0" xfId="31" applyNumberFormat="1" applyFont="1" applyFill="1" applyProtection="1"/>
    <xf numFmtId="180" fontId="12" fillId="4" borderId="0" xfId="31" applyNumberFormat="1" applyFont="1" applyFill="1" applyProtection="1"/>
    <xf numFmtId="187" fontId="8" fillId="4" borderId="0" xfId="31" applyNumberFormat="1" applyFont="1" applyFill="1" applyProtection="1"/>
    <xf numFmtId="191" fontId="8" fillId="4" borderId="0" xfId="32" applyNumberFormat="1" applyFont="1" applyFill="1" applyProtection="1"/>
    <xf numFmtId="195" fontId="8" fillId="4" borderId="0" xfId="31" applyNumberFormat="1" applyFont="1" applyFill="1" applyProtection="1"/>
    <xf numFmtId="195" fontId="12" fillId="4" borderId="0" xfId="31" applyNumberFormat="1" applyFont="1" applyFill="1" applyProtection="1"/>
    <xf numFmtId="1" fontId="8" fillId="4" borderId="0" xfId="31" applyNumberFormat="1" applyFont="1" applyFill="1"/>
    <xf numFmtId="191" fontId="12" fillId="4" borderId="0" xfId="32" applyNumberFormat="1" applyFont="1" applyFill="1" applyProtection="1"/>
    <xf numFmtId="37" fontId="12" fillId="4" borderId="0" xfId="31" applyNumberFormat="1" applyFont="1" applyFill="1" applyProtection="1"/>
    <xf numFmtId="6" fontId="8" fillId="4" borderId="0" xfId="14" applyNumberFormat="1" applyFont="1" applyFill="1"/>
    <xf numFmtId="0" fontId="27" fillId="4" borderId="0" xfId="0" applyFont="1" applyFill="1"/>
    <xf numFmtId="6" fontId="8" fillId="4" borderId="0" xfId="31" applyNumberFormat="1" applyFont="1" applyFill="1"/>
    <xf numFmtId="180" fontId="8" fillId="0" borderId="2" xfId="31" applyFont="1" applyFill="1" applyBorder="1"/>
    <xf numFmtId="5" fontId="8" fillId="0" borderId="0" xfId="31" applyNumberFormat="1" applyFont="1" applyFill="1" applyBorder="1" applyProtection="1"/>
    <xf numFmtId="166" fontId="8" fillId="0" borderId="0" xfId="35" applyNumberFormat="1" applyFont="1" applyFill="1" applyBorder="1" applyProtection="1"/>
    <xf numFmtId="9" fontId="27" fillId="0" borderId="0" xfId="35" applyFont="1" applyFill="1" applyProtection="1"/>
    <xf numFmtId="177" fontId="8" fillId="0" borderId="0" xfId="10" applyNumberFormat="1" applyFont="1" applyFill="1" applyProtection="1"/>
    <xf numFmtId="37" fontId="8" fillId="0" borderId="0" xfId="31" applyNumberFormat="1" applyFont="1" applyFill="1" applyProtection="1"/>
    <xf numFmtId="187" fontId="8" fillId="0" borderId="0" xfId="31" applyNumberFormat="1" applyFont="1" applyFill="1" applyProtection="1"/>
    <xf numFmtId="1" fontId="8" fillId="0" borderId="0" xfId="31" applyNumberFormat="1" applyFont="1" applyFill="1"/>
    <xf numFmtId="6" fontId="8" fillId="0" borderId="0" xfId="14" applyNumberFormat="1" applyFont="1" applyFill="1"/>
    <xf numFmtId="6" fontId="8" fillId="0" borderId="0" xfId="31" applyNumberFormat="1" applyFont="1" applyFill="1"/>
    <xf numFmtId="5" fontId="28" fillId="0" borderId="0" xfId="31" applyNumberFormat="1" applyFont="1" applyFill="1" applyBorder="1" applyProtection="1"/>
    <xf numFmtId="185" fontId="28" fillId="0" borderId="0" xfId="31" applyNumberFormat="1" applyFont="1" applyFill="1" applyProtection="1"/>
    <xf numFmtId="191" fontId="12" fillId="0" borderId="0" xfId="32" applyNumberFormat="1" applyFont="1" applyFill="1" applyProtection="1"/>
    <xf numFmtId="174" fontId="88" fillId="0" borderId="0" xfId="0" applyNumberFormat="1" applyFont="1" applyFill="1" applyBorder="1"/>
    <xf numFmtId="183" fontId="88" fillId="0" borderId="0" xfId="0" applyNumberFormat="1" applyFont="1" applyBorder="1"/>
    <xf numFmtId="171" fontId="88" fillId="0" borderId="0" xfId="0" applyNumberFormat="1" applyFont="1" applyBorder="1"/>
    <xf numFmtId="192" fontId="8" fillId="0" borderId="0" xfId="0" applyNumberFormat="1" applyFont="1" applyFill="1" applyBorder="1"/>
    <xf numFmtId="37" fontId="8" fillId="4" borderId="0" xfId="0" applyNumberFormat="1" applyFont="1" applyFill="1" applyBorder="1"/>
    <xf numFmtId="185" fontId="28" fillId="0" borderId="16" xfId="31" applyNumberFormat="1" applyFont="1" applyBorder="1" applyProtection="1"/>
    <xf numFmtId="172" fontId="100" fillId="0" borderId="0" xfId="0" applyNumberFormat="1" applyFont="1" applyFill="1"/>
    <xf numFmtId="168" fontId="0" fillId="0" borderId="0" xfId="0" applyNumberFormat="1"/>
    <xf numFmtId="164" fontId="28" fillId="0" borderId="0" xfId="0" applyNumberFormat="1" applyFont="1" applyFill="1" applyBorder="1"/>
    <xf numFmtId="182" fontId="8" fillId="4" borderId="0" xfId="0" applyNumberFormat="1" applyFont="1" applyFill="1" applyBorder="1"/>
    <xf numFmtId="164" fontId="89" fillId="0" borderId="0" xfId="0" applyNumberFormat="1" applyFont="1" applyFill="1" applyBorder="1"/>
    <xf numFmtId="164" fontId="28" fillId="4" borderId="0" xfId="0" applyNumberFormat="1" applyFont="1" applyFill="1" applyBorder="1"/>
    <xf numFmtId="192" fontId="88" fillId="0" borderId="0" xfId="0" applyNumberFormat="1" applyFont="1" applyFill="1"/>
    <xf numFmtId="192" fontId="88" fillId="0" borderId="0" xfId="0" applyNumberFormat="1" applyFont="1" applyFill="1" applyBorder="1"/>
    <xf numFmtId="0" fontId="89" fillId="0" borderId="0" xfId="0" applyFont="1" applyFill="1" applyBorder="1"/>
    <xf numFmtId="1" fontId="88" fillId="0" borderId="0" xfId="0" applyNumberFormat="1" applyFont="1" applyFill="1" applyBorder="1"/>
    <xf numFmtId="200" fontId="20" fillId="4" borderId="0" xfId="0" applyNumberFormat="1" applyFont="1" applyFill="1" applyBorder="1"/>
    <xf numFmtId="200" fontId="101" fillId="0" borderId="0" xfId="0" applyNumberFormat="1" applyFont="1" applyFill="1" applyBorder="1"/>
    <xf numFmtId="164" fontId="4" fillId="0" borderId="0" xfId="0" applyNumberFormat="1" applyFont="1" applyFill="1"/>
    <xf numFmtId="0" fontId="100" fillId="0" borderId="0" xfId="0" applyFont="1"/>
    <xf numFmtId="171" fontId="100" fillId="0" borderId="0" xfId="0" applyNumberFormat="1" applyFont="1" applyBorder="1"/>
    <xf numFmtId="4" fontId="8" fillId="0" borderId="16" xfId="0" applyNumberFormat="1" applyFont="1" applyBorder="1"/>
    <xf numFmtId="0" fontId="8" fillId="0" borderId="0" xfId="29" applyFont="1"/>
    <xf numFmtId="0" fontId="39" fillId="0" borderId="4" xfId="29" applyFont="1" applyBorder="1"/>
    <xf numFmtId="0" fontId="8" fillId="0" borderId="0" xfId="29" applyFont="1" applyAlignment="1">
      <alignment horizontal="right"/>
    </xf>
    <xf numFmtId="0" fontId="8" fillId="0" borderId="0" xfId="29" applyFont="1" applyBorder="1"/>
    <xf numFmtId="0" fontId="29" fillId="0" borderId="0" xfId="29" applyFont="1"/>
    <xf numFmtId="0" fontId="8" fillId="0" borderId="0" xfId="29" applyFont="1" applyAlignment="1">
      <alignment wrapText="1"/>
    </xf>
    <xf numFmtId="0" fontId="8" fillId="4" borderId="0" xfId="29" applyFont="1" applyFill="1"/>
    <xf numFmtId="0" fontId="39" fillId="4" borderId="4" xfId="29" applyFont="1" applyFill="1" applyBorder="1"/>
    <xf numFmtId="0" fontId="4" fillId="4" borderId="0" xfId="26" applyFill="1"/>
    <xf numFmtId="166" fontId="8" fillId="4" borderId="0" xfId="26" applyNumberFormat="1" applyFont="1" applyFill="1" applyBorder="1" applyAlignment="1">
      <alignment horizontal="center"/>
    </xf>
    <xf numFmtId="0" fontId="8" fillId="4" borderId="0" xfId="29" applyFont="1" applyFill="1" applyBorder="1"/>
    <xf numFmtId="0" fontId="8" fillId="4" borderId="0" xfId="26" applyFont="1" applyFill="1" applyBorder="1" applyAlignment="1">
      <alignment horizontal="center"/>
    </xf>
    <xf numFmtId="0" fontId="8" fillId="4" borderId="0" xfId="26" applyFont="1" applyFill="1" applyBorder="1"/>
    <xf numFmtId="0" fontId="29" fillId="4" borderId="0" xfId="29" applyFont="1" applyFill="1"/>
    <xf numFmtId="0" fontId="8" fillId="4" borderId="0" xfId="29" applyFont="1" applyFill="1" applyAlignment="1">
      <alignment wrapText="1"/>
    </xf>
    <xf numFmtId="164" fontId="8" fillId="4" borderId="0" xfId="26" applyNumberFormat="1" applyFont="1" applyFill="1" applyBorder="1" applyAlignment="1">
      <alignment horizontal="center"/>
    </xf>
    <xf numFmtId="164" fontId="66" fillId="4" borderId="0" xfId="26" applyNumberFormat="1" applyFont="1" applyFill="1" applyBorder="1" applyAlignment="1">
      <alignment horizontal="center"/>
    </xf>
    <xf numFmtId="0" fontId="66" fillId="4" borderId="0" xfId="26" applyFont="1" applyFill="1" applyBorder="1" applyAlignment="1">
      <alignment horizontal="center"/>
    </xf>
    <xf numFmtId="0" fontId="69" fillId="4" borderId="0" xfId="26" applyFont="1" applyFill="1"/>
    <xf numFmtId="0" fontId="8" fillId="4" borderId="0" xfId="26" applyFont="1" applyFill="1" applyBorder="1" applyAlignment="1">
      <alignment horizontal="right"/>
    </xf>
    <xf numFmtId="166" fontId="8" fillId="4" borderId="0" xfId="26" applyNumberFormat="1" applyFont="1" applyFill="1" applyBorder="1" applyAlignment="1">
      <alignment horizontal="right"/>
    </xf>
    <xf numFmtId="177" fontId="8" fillId="4" borderId="0" xfId="11" applyNumberFormat="1" applyFont="1" applyFill="1" applyBorder="1" applyAlignment="1">
      <alignment horizontal="right"/>
    </xf>
    <xf numFmtId="0" fontId="8" fillId="0" borderId="0" xfId="29" applyFont="1" applyFill="1"/>
    <xf numFmtId="0" fontId="8" fillId="0" borderId="0" xfId="29" applyFont="1" applyFill="1" applyBorder="1"/>
    <xf numFmtId="0" fontId="29" fillId="0" borderId="0" xfId="29" applyFont="1" applyFill="1"/>
    <xf numFmtId="0" fontId="8" fillId="0" borderId="0" xfId="29" applyFont="1" applyFill="1" applyAlignment="1">
      <alignment wrapText="1"/>
    </xf>
    <xf numFmtId="0" fontId="4" fillId="4" borderId="0" xfId="26" applyFill="1" applyBorder="1" applyAlignment="1">
      <alignment horizontal="right"/>
    </xf>
    <xf numFmtId="0" fontId="4" fillId="4" borderId="0" xfId="26" applyFill="1" applyBorder="1" applyAlignment="1">
      <alignment horizontal="center"/>
    </xf>
    <xf numFmtId="0" fontId="4" fillId="4" borderId="0" xfId="26" applyFill="1" applyBorder="1"/>
    <xf numFmtId="0" fontId="39" fillId="4" borderId="0" xfId="26" applyFont="1" applyFill="1"/>
    <xf numFmtId="0" fontId="8" fillId="4" borderId="0" xfId="26" applyFont="1" applyFill="1"/>
    <xf numFmtId="0" fontId="8" fillId="0" borderId="0" xfId="29" applyFont="1" applyFill="1" applyAlignment="1">
      <alignment horizontal="right"/>
    </xf>
    <xf numFmtId="0" fontId="8" fillId="0" borderId="0" xfId="29" applyFont="1" applyFill="1" applyBorder="1" applyAlignment="1">
      <alignment horizontal="right"/>
    </xf>
    <xf numFmtId="0" fontId="39" fillId="0" borderId="4" xfId="29" applyFont="1" applyFill="1" applyBorder="1"/>
    <xf numFmtId="0" fontId="34" fillId="0" borderId="0" xfId="29" applyFont="1" applyFill="1" applyBorder="1"/>
    <xf numFmtId="273" fontId="8" fillId="0" borderId="5" xfId="29" applyNumberFormat="1" applyFont="1" applyFill="1" applyBorder="1"/>
    <xf numFmtId="273" fontId="8" fillId="0" borderId="5" xfId="29" applyNumberFormat="1" applyFont="1" applyFill="1" applyBorder="1" applyAlignment="1">
      <alignment horizontal="right"/>
    </xf>
    <xf numFmtId="273" fontId="11" fillId="4" borderId="5" xfId="29" applyNumberFormat="1" applyFont="1" applyFill="1" applyBorder="1" applyAlignment="1">
      <alignment horizontal="right"/>
    </xf>
    <xf numFmtId="0" fontId="20" fillId="0" borderId="0" xfId="29" applyFont="1" applyFill="1" applyBorder="1"/>
    <xf numFmtId="0" fontId="8" fillId="0" borderId="0" xfId="29" applyFont="1" applyFill="1" applyAlignment="1">
      <alignment horizontal="center"/>
    </xf>
    <xf numFmtId="0" fontId="39" fillId="0" borderId="4" xfId="29" applyFont="1" applyFill="1" applyBorder="1" applyAlignment="1">
      <alignment horizontal="center"/>
    </xf>
    <xf numFmtId="0" fontId="8" fillId="0" borderId="0" xfId="29" applyFont="1" applyFill="1" applyBorder="1" applyAlignment="1">
      <alignment horizontal="center"/>
    </xf>
    <xf numFmtId="0" fontId="29" fillId="0" borderId="0" xfId="29" applyFont="1" applyFill="1" applyAlignment="1">
      <alignment horizontal="center"/>
    </xf>
    <xf numFmtId="0" fontId="8" fillId="0" borderId="0" xfId="29" applyFont="1" applyFill="1" applyAlignment="1">
      <alignment horizontal="center" wrapText="1"/>
    </xf>
    <xf numFmtId="185" fontId="8" fillId="0" borderId="0" xfId="25" applyNumberFormat="1" applyFont="1" applyFill="1" applyBorder="1" applyAlignment="1" applyProtection="1">
      <alignment horizontal="left"/>
    </xf>
    <xf numFmtId="0" fontId="46" fillId="0" borderId="0" xfId="29" applyFont="1" applyFill="1" applyBorder="1"/>
    <xf numFmtId="185" fontId="11" fillId="0" borderId="0" xfId="25" applyNumberFormat="1" applyFont="1" applyFill="1" applyBorder="1" applyAlignment="1" applyProtection="1">
      <alignment horizontal="left"/>
    </xf>
    <xf numFmtId="177" fontId="46" fillId="0" borderId="0" xfId="13" applyNumberFormat="1" applyFont="1" applyFill="1" applyBorder="1"/>
    <xf numFmtId="185" fontId="66" fillId="0" borderId="0" xfId="25" applyNumberFormat="1" applyFont="1" applyFill="1" applyBorder="1" applyAlignment="1" applyProtection="1">
      <alignment horizontal="left"/>
    </xf>
    <xf numFmtId="165" fontId="8" fillId="0" borderId="0" xfId="29" applyNumberFormat="1" applyFont="1" applyFill="1" applyBorder="1" applyAlignment="1">
      <alignment horizontal="right"/>
    </xf>
    <xf numFmtId="246" fontId="29" fillId="0" borderId="0" xfId="29" applyNumberFormat="1" applyFont="1" applyFill="1" applyBorder="1"/>
    <xf numFmtId="0" fontId="8" fillId="0" borderId="0" xfId="29" applyFont="1" applyFill="1" applyBorder="1" applyAlignment="1">
      <alignment wrapText="1"/>
    </xf>
    <xf numFmtId="167" fontId="8" fillId="0" borderId="0" xfId="29" applyNumberFormat="1" applyFont="1" applyFill="1" applyBorder="1" applyAlignment="1">
      <alignment horizontal="right"/>
    </xf>
    <xf numFmtId="246" fontId="29" fillId="0" borderId="0" xfId="29" applyNumberFormat="1" applyFont="1" applyFill="1"/>
    <xf numFmtId="167" fontId="8" fillId="0" borderId="0" xfId="29" applyNumberFormat="1" applyFont="1" applyFill="1" applyAlignment="1">
      <alignment horizontal="right"/>
    </xf>
    <xf numFmtId="0" fontId="8" fillId="0" borderId="0" xfId="25" applyNumberFormat="1" applyFont="1" applyFill="1" applyBorder="1" applyAlignment="1" applyProtection="1">
      <alignment horizontal="left"/>
    </xf>
    <xf numFmtId="246" fontId="8" fillId="0" borderId="0" xfId="29" applyNumberFormat="1" applyFont="1" applyFill="1"/>
    <xf numFmtId="246" fontId="8" fillId="0" borderId="0" xfId="29" applyNumberFormat="1" applyFont="1" applyFill="1" applyBorder="1"/>
    <xf numFmtId="257" fontId="8" fillId="0" borderId="0" xfId="18" applyNumberFormat="1" applyFont="1" applyFill="1" applyBorder="1" applyAlignment="1">
      <alignment horizontal="right"/>
    </xf>
    <xf numFmtId="255" fontId="20" fillId="0" borderId="12" xfId="18" applyNumberFormat="1" applyFont="1" applyFill="1" applyBorder="1" applyAlignment="1">
      <alignment horizontal="right"/>
    </xf>
    <xf numFmtId="0" fontId="11" fillId="0" borderId="0" xfId="29" applyFont="1" applyFill="1" applyBorder="1"/>
    <xf numFmtId="0" fontId="8" fillId="0" borderId="0" xfId="26" applyNumberFormat="1" applyFont="1" applyFill="1"/>
    <xf numFmtId="9" fontId="20" fillId="4" borderId="12" xfId="36" applyFont="1" applyFill="1" applyBorder="1" applyAlignment="1">
      <alignment horizontal="right"/>
    </xf>
    <xf numFmtId="246" fontId="8" fillId="0" borderId="0" xfId="29" applyNumberFormat="1" applyFont="1" applyFill="1" applyBorder="1" applyAlignment="1">
      <alignment horizontal="right"/>
    </xf>
    <xf numFmtId="253" fontId="20" fillId="0" borderId="0" xfId="24" applyNumberFormat="1" applyFont="1" applyBorder="1" applyAlignment="1">
      <alignment horizontal="right"/>
    </xf>
    <xf numFmtId="254" fontId="11" fillId="0" borderId="0" xfId="18" applyNumberFormat="1" applyFont="1" applyBorder="1" applyAlignment="1">
      <alignment horizontal="right"/>
    </xf>
    <xf numFmtId="258" fontId="11" fillId="0" borderId="5" xfId="24" applyNumberFormat="1" applyFont="1" applyBorder="1" applyAlignment="1">
      <alignment horizontal="right"/>
    </xf>
    <xf numFmtId="0" fontId="11" fillId="0" borderId="0" xfId="29" applyFont="1" applyBorder="1"/>
    <xf numFmtId="246" fontId="8" fillId="0" borderId="0" xfId="29" applyNumberFormat="1" applyFont="1" applyAlignment="1">
      <alignment horizontal="right"/>
    </xf>
    <xf numFmtId="167" fontId="8" fillId="0" borderId="0" xfId="29" applyNumberFormat="1" applyFont="1" applyAlignment="1">
      <alignment horizontal="right"/>
    </xf>
    <xf numFmtId="246" fontId="8" fillId="0" borderId="0" xfId="29" applyNumberFormat="1" applyFont="1" applyBorder="1" applyAlignment="1">
      <alignment horizontal="right"/>
    </xf>
    <xf numFmtId="179" fontId="8" fillId="0" borderId="0" xfId="29" applyNumberFormat="1" applyFont="1" applyBorder="1"/>
    <xf numFmtId="179" fontId="39" fillId="0" borderId="4" xfId="29" applyNumberFormat="1" applyFont="1" applyBorder="1"/>
    <xf numFmtId="246" fontId="8" fillId="0" borderId="0" xfId="13" applyNumberFormat="1" applyFont="1" applyBorder="1" applyAlignment="1">
      <alignment horizontal="right"/>
    </xf>
    <xf numFmtId="246" fontId="8" fillId="0" borderId="0" xfId="13" applyNumberFormat="1" applyFont="1" applyFill="1" applyBorder="1" applyAlignment="1">
      <alignment horizontal="right"/>
    </xf>
    <xf numFmtId="0" fontId="29" fillId="0" borderId="0" xfId="29" applyFont="1" applyBorder="1"/>
    <xf numFmtId="179" fontId="8" fillId="0" borderId="0" xfId="29" applyNumberFormat="1" applyFont="1" applyBorder="1" applyAlignment="1">
      <alignment wrapText="1"/>
    </xf>
    <xf numFmtId="179" fontId="8" fillId="0" borderId="0" xfId="29" applyNumberFormat="1" applyFont="1"/>
    <xf numFmtId="179" fontId="29" fillId="0" borderId="0" xfId="29" applyNumberFormat="1" applyFont="1"/>
    <xf numFmtId="179" fontId="8" fillId="0" borderId="0" xfId="29" applyNumberFormat="1" applyFont="1" applyAlignment="1">
      <alignment wrapText="1"/>
    </xf>
    <xf numFmtId="167" fontId="8" fillId="0" borderId="0" xfId="13" applyNumberFormat="1" applyFont="1" applyFill="1" applyBorder="1" applyAlignment="1">
      <alignment horizontal="right"/>
    </xf>
    <xf numFmtId="179" fontId="8" fillId="0" borderId="0" xfId="29" applyNumberFormat="1" applyFont="1" applyFill="1"/>
    <xf numFmtId="179" fontId="39" fillId="0" borderId="4" xfId="29" applyNumberFormat="1" applyFont="1" applyFill="1" applyBorder="1"/>
    <xf numFmtId="179" fontId="8" fillId="0" borderId="0" xfId="29" applyNumberFormat="1" applyFont="1" applyFill="1" applyAlignment="1">
      <alignment wrapText="1"/>
    </xf>
    <xf numFmtId="165" fontId="29" fillId="0" borderId="0" xfId="29" applyNumberFormat="1" applyFont="1" applyFill="1"/>
    <xf numFmtId="253" fontId="8" fillId="0" borderId="0" xfId="24" applyNumberFormat="1" applyFont="1" applyBorder="1" applyAlignment="1">
      <alignment horizontal="right"/>
    </xf>
    <xf numFmtId="254" fontId="8" fillId="0" borderId="0" xfId="18" applyNumberFormat="1" applyFont="1" applyBorder="1" applyAlignment="1">
      <alignment horizontal="right"/>
    </xf>
    <xf numFmtId="0" fontId="29" fillId="0" borderId="0" xfId="29" applyFont="1" applyBorder="1" applyAlignment="1">
      <alignment vertical="center" textRotation="90" readingOrder="2"/>
    </xf>
    <xf numFmtId="246" fontId="21" fillId="0" borderId="0" xfId="13" applyNumberFormat="1" applyFont="1" applyFill="1" applyBorder="1" applyAlignment="1">
      <alignment horizontal="left" indent="1"/>
    </xf>
    <xf numFmtId="177" fontId="8" fillId="0" borderId="0" xfId="13" applyNumberFormat="1" applyFont="1" applyFill="1" applyBorder="1"/>
    <xf numFmtId="0" fontId="29" fillId="0" borderId="0" xfId="29" applyFont="1" applyFill="1" applyAlignment="1">
      <alignment vertical="justify" textRotation="90" readingOrder="2"/>
    </xf>
    <xf numFmtId="177" fontId="66" fillId="0" borderId="0" xfId="13" applyNumberFormat="1" applyFont="1" applyFill="1" applyBorder="1"/>
    <xf numFmtId="0" fontId="29" fillId="0" borderId="0" xfId="29" applyFont="1" applyFill="1" applyBorder="1" applyAlignment="1">
      <alignment vertical="justify" textRotation="90" readingOrder="2"/>
    </xf>
    <xf numFmtId="3" fontId="8" fillId="0" borderId="0" xfId="29" applyNumberFormat="1" applyFont="1"/>
    <xf numFmtId="246" fontId="8" fillId="0" borderId="0" xfId="13" applyNumberFormat="1" applyFont="1" applyFill="1" applyAlignment="1">
      <alignment horizontal="right"/>
    </xf>
    <xf numFmtId="185" fontId="8" fillId="0" borderId="0" xfId="25" applyNumberFormat="1" applyFont="1" applyBorder="1" applyAlignment="1" applyProtection="1">
      <alignment horizontal="left"/>
    </xf>
    <xf numFmtId="246" fontId="12" fillId="0" borderId="18" xfId="13" applyNumberFormat="1" applyFont="1" applyFill="1" applyBorder="1" applyAlignment="1">
      <alignment horizontal="right"/>
    </xf>
    <xf numFmtId="246" fontId="12" fillId="0" borderId="2" xfId="13" applyNumberFormat="1" applyFont="1" applyFill="1" applyBorder="1" applyAlignment="1">
      <alignment horizontal="right"/>
    </xf>
    <xf numFmtId="246" fontId="12" fillId="0" borderId="17" xfId="13" applyNumberFormat="1" applyFont="1" applyFill="1" applyBorder="1" applyAlignment="1">
      <alignment horizontal="right"/>
    </xf>
    <xf numFmtId="246" fontId="12" fillId="0" borderId="16" xfId="13" applyNumberFormat="1" applyFont="1" applyFill="1" applyBorder="1" applyAlignment="1">
      <alignment horizontal="right"/>
    </xf>
    <xf numFmtId="246" fontId="12" fillId="0" borderId="0" xfId="13" applyNumberFormat="1" applyFont="1" applyFill="1" applyBorder="1" applyAlignment="1">
      <alignment horizontal="right"/>
    </xf>
    <xf numFmtId="246" fontId="12" fillId="0" borderId="1" xfId="13" applyNumberFormat="1" applyFont="1" applyFill="1" applyBorder="1" applyAlignment="1">
      <alignment horizontal="right"/>
    </xf>
    <xf numFmtId="246" fontId="12" fillId="0" borderId="19" xfId="13" applyNumberFormat="1" applyFont="1" applyFill="1" applyBorder="1" applyAlignment="1">
      <alignment horizontal="right"/>
    </xf>
    <xf numFmtId="246" fontId="12" fillId="0" borderId="14" xfId="13" applyNumberFormat="1" applyFont="1" applyFill="1" applyBorder="1" applyAlignment="1">
      <alignment horizontal="right"/>
    </xf>
    <xf numFmtId="246" fontId="12" fillId="0" borderId="8" xfId="13" applyNumberFormat="1" applyFont="1" applyFill="1" applyBorder="1" applyAlignment="1">
      <alignment horizontal="right"/>
    </xf>
    <xf numFmtId="246" fontId="12" fillId="0" borderId="0" xfId="13" applyNumberFormat="1" applyFont="1" applyBorder="1" applyAlignment="1">
      <alignment horizontal="right"/>
    </xf>
    <xf numFmtId="0" fontId="8" fillId="0" borderId="0" xfId="29" applyFont="1" applyBorder="1" applyAlignment="1">
      <alignment horizontal="left"/>
    </xf>
    <xf numFmtId="246" fontId="12" fillId="0" borderId="0" xfId="24" applyNumberFormat="1" applyFont="1" applyBorder="1" applyAlignment="1">
      <alignment horizontal="right"/>
    </xf>
    <xf numFmtId="9" fontId="12" fillId="0" borderId="0" xfId="36" applyFont="1" applyFill="1" applyBorder="1" applyAlignment="1">
      <alignment horizontal="right"/>
    </xf>
    <xf numFmtId="3" fontId="12" fillId="0" borderId="0" xfId="36" applyNumberFormat="1" applyFont="1" applyFill="1" applyBorder="1" applyAlignment="1">
      <alignment horizontal="right"/>
    </xf>
    <xf numFmtId="166" fontId="8" fillId="0" borderId="0" xfId="36" applyNumberFormat="1" applyFont="1" applyAlignment="1">
      <alignment horizontal="right"/>
    </xf>
    <xf numFmtId="9" fontId="8" fillId="0" borderId="0" xfId="36" applyFont="1" applyAlignment="1">
      <alignment horizontal="right"/>
    </xf>
    <xf numFmtId="177" fontId="12" fillId="0" borderId="0" xfId="11" applyNumberFormat="1" applyFont="1" applyFill="1" applyBorder="1"/>
    <xf numFmtId="191" fontId="8" fillId="0" borderId="0" xfId="36" applyNumberFormat="1" applyFont="1" applyBorder="1" applyAlignment="1">
      <alignment horizontal="right"/>
    </xf>
    <xf numFmtId="9" fontId="8" fillId="0" borderId="0" xfId="36" applyNumberFormat="1" applyFont="1" applyAlignment="1">
      <alignment horizontal="right"/>
    </xf>
    <xf numFmtId="0" fontId="27" fillId="0" borderId="0" xfId="29" applyFont="1" applyBorder="1" applyAlignment="1">
      <alignment horizontal="left" indent="2"/>
    </xf>
    <xf numFmtId="246" fontId="11" fillId="0" borderId="0" xfId="13" applyNumberFormat="1" applyFont="1" applyBorder="1" applyAlignment="1">
      <alignment horizontal="right"/>
    </xf>
    <xf numFmtId="246" fontId="64" fillId="0" borderId="0" xfId="24" applyNumberFormat="1" applyFont="1" applyFill="1" applyBorder="1" applyAlignment="1">
      <alignment horizontal="right"/>
    </xf>
    <xf numFmtId="166" fontId="12" fillId="0" borderId="0" xfId="36" applyNumberFormat="1" applyFont="1" applyFill="1" applyBorder="1" applyAlignment="1">
      <alignment horizontal="right"/>
    </xf>
    <xf numFmtId="166" fontId="8" fillId="0" borderId="0" xfId="36" applyNumberFormat="1" applyFont="1" applyFill="1" applyBorder="1" applyAlignment="1">
      <alignment horizontal="right"/>
    </xf>
    <xf numFmtId="0" fontId="8" fillId="0" borderId="0" xfId="29" applyFont="1" applyBorder="1" applyAlignment="1">
      <alignment horizontal="left" indent="1"/>
    </xf>
    <xf numFmtId="246" fontId="8" fillId="0" borderId="0" xfId="24" applyNumberFormat="1" applyFont="1" applyFill="1" applyBorder="1" applyAlignment="1">
      <alignment horizontal="right"/>
    </xf>
    <xf numFmtId="253" fontId="12" fillId="0" borderId="0" xfId="24" applyNumberFormat="1" applyFont="1" applyFill="1" applyBorder="1" applyAlignment="1">
      <alignment horizontal="right"/>
    </xf>
    <xf numFmtId="164" fontId="12" fillId="0" borderId="0" xfId="24" applyNumberFormat="1" applyFont="1" applyFill="1" applyBorder="1" applyAlignment="1">
      <alignment horizontal="right"/>
    </xf>
    <xf numFmtId="164" fontId="8" fillId="0" borderId="0" xfId="18" applyNumberFormat="1" applyFont="1" applyFill="1" applyBorder="1" applyAlignment="1">
      <alignment horizontal="right"/>
    </xf>
    <xf numFmtId="9" fontId="44" fillId="0" borderId="0" xfId="36" applyFont="1" applyFill="1" applyBorder="1" applyAlignment="1">
      <alignment horizontal="right"/>
    </xf>
    <xf numFmtId="0" fontId="11" fillId="0" borderId="0" xfId="29" applyFont="1"/>
    <xf numFmtId="0" fontId="38" fillId="0" borderId="4" xfId="29" applyFont="1" applyBorder="1"/>
    <xf numFmtId="166" fontId="11" fillId="0" borderId="0" xfId="36" applyNumberFormat="1" applyFont="1" applyFill="1" applyBorder="1" applyAlignment="1">
      <alignment horizontal="right"/>
    </xf>
    <xf numFmtId="0" fontId="41" fillId="0" borderId="0" xfId="29" applyFont="1" applyBorder="1"/>
    <xf numFmtId="0" fontId="11" fillId="0" borderId="0" xfId="29" applyFont="1" applyAlignment="1">
      <alignment wrapText="1"/>
    </xf>
    <xf numFmtId="9" fontId="12" fillId="4" borderId="0" xfId="36" applyNumberFormat="1" applyFont="1" applyFill="1" applyBorder="1" applyAlignment="1">
      <alignment horizontal="right"/>
    </xf>
    <xf numFmtId="166" fontId="8" fillId="4" borderId="0" xfId="36" applyNumberFormat="1" applyFont="1" applyFill="1" applyBorder="1" applyAlignment="1">
      <alignment horizontal="right"/>
    </xf>
    <xf numFmtId="0" fontId="8" fillId="0" borderId="0" xfId="26" applyNumberFormat="1" applyFont="1"/>
    <xf numFmtId="166" fontId="20" fillId="2" borderId="12" xfId="36" applyNumberFormat="1" applyFont="1" applyFill="1" applyBorder="1" applyAlignment="1">
      <alignment horizontal="right"/>
    </xf>
    <xf numFmtId="166" fontId="8" fillId="0" borderId="0" xfId="36" applyNumberFormat="1" applyFont="1" applyBorder="1" applyAlignment="1">
      <alignment horizontal="right"/>
    </xf>
    <xf numFmtId="246" fontId="8" fillId="0" borderId="0" xfId="24" applyNumberFormat="1" applyFont="1" applyBorder="1" applyAlignment="1">
      <alignment horizontal="right"/>
    </xf>
    <xf numFmtId="253" fontId="12" fillId="0" borderId="0" xfId="24" applyNumberFormat="1" applyFont="1" applyBorder="1" applyAlignment="1">
      <alignment horizontal="right"/>
    </xf>
    <xf numFmtId="252" fontId="8" fillId="0" borderId="0" xfId="18" applyNumberFormat="1" applyFont="1" applyBorder="1" applyAlignment="1">
      <alignment horizontal="right"/>
    </xf>
    <xf numFmtId="166" fontId="8" fillId="0" borderId="0" xfId="18" quotePrefix="1" applyNumberFormat="1" applyFont="1" applyBorder="1" applyAlignment="1">
      <alignment horizontal="right"/>
    </xf>
    <xf numFmtId="246" fontId="8" fillId="0" borderId="0" xfId="13" applyNumberFormat="1" applyFont="1" applyAlignment="1">
      <alignment horizontal="right"/>
    </xf>
    <xf numFmtId="246" fontId="12" fillId="0" borderId="0" xfId="13" applyNumberFormat="1" applyFont="1" applyFill="1" applyAlignment="1">
      <alignment horizontal="right"/>
    </xf>
    <xf numFmtId="165" fontId="8" fillId="0" borderId="0" xfId="29" applyNumberFormat="1" applyFont="1" applyFill="1" applyAlignment="1">
      <alignment horizontal="right"/>
    </xf>
    <xf numFmtId="166" fontId="12" fillId="0" borderId="0" xfId="36" applyNumberFormat="1" applyFont="1" applyFill="1" applyBorder="1"/>
    <xf numFmtId="166" fontId="8" fillId="4" borderId="0" xfId="29" applyNumberFormat="1" applyFont="1" applyFill="1" applyAlignment="1"/>
    <xf numFmtId="0" fontId="69" fillId="4" borderId="4" xfId="26" applyFont="1" applyFill="1" applyBorder="1"/>
    <xf numFmtId="166" fontId="12" fillId="4" borderId="0" xfId="36" applyNumberFormat="1" applyFont="1" applyFill="1" applyBorder="1"/>
    <xf numFmtId="166" fontId="12" fillId="4" borderId="0" xfId="29" applyNumberFormat="1" applyFont="1" applyFill="1" applyAlignment="1">
      <alignment wrapText="1"/>
    </xf>
    <xf numFmtId="166" fontId="29" fillId="4" borderId="0" xfId="29" applyNumberFormat="1" applyFont="1" applyFill="1" applyAlignment="1">
      <alignment wrapText="1"/>
    </xf>
    <xf numFmtId="166" fontId="8" fillId="4" borderId="0" xfId="29" applyNumberFormat="1" applyFont="1" applyFill="1" applyAlignment="1">
      <alignment wrapText="1"/>
    </xf>
    <xf numFmtId="166" fontId="8" fillId="3" borderId="0" xfId="29" applyNumberFormat="1" applyFont="1" applyFill="1" applyAlignment="1">
      <alignment wrapText="1"/>
    </xf>
    <xf numFmtId="166" fontId="8" fillId="3" borderId="0" xfId="29" applyNumberFormat="1" applyFont="1" applyFill="1" applyAlignment="1"/>
    <xf numFmtId="166" fontId="49" fillId="4" borderId="0" xfId="29" applyNumberFormat="1" applyFont="1" applyFill="1" applyBorder="1" applyAlignment="1">
      <alignment horizontal="right"/>
    </xf>
    <xf numFmtId="0" fontId="27" fillId="0" borderId="0" xfId="29" applyFont="1"/>
    <xf numFmtId="0" fontId="102" fillId="0" borderId="4" xfId="29" applyFont="1" applyBorder="1"/>
    <xf numFmtId="0" fontId="27" fillId="0" borderId="0" xfId="29" applyFont="1" applyBorder="1"/>
    <xf numFmtId="0" fontId="48" fillId="0" borderId="0" xfId="29" applyFont="1"/>
    <xf numFmtId="0" fontId="27" fillId="0" borderId="0" xfId="29" applyFont="1" applyAlignment="1">
      <alignment wrapText="1"/>
    </xf>
    <xf numFmtId="0" fontId="35" fillId="0" borderId="0" xfId="29" applyFont="1" applyBorder="1"/>
    <xf numFmtId="0" fontId="8" fillId="0" borderId="0" xfId="29" applyFont="1" applyBorder="1" applyAlignment="1">
      <alignment wrapText="1"/>
    </xf>
    <xf numFmtId="166" fontId="8" fillId="0" borderId="0" xfId="29" applyNumberFormat="1" applyFont="1" applyAlignment="1">
      <alignment horizontal="right"/>
    </xf>
    <xf numFmtId="246" fontId="8" fillId="0" borderId="0" xfId="29" applyNumberFormat="1" applyFont="1" applyFill="1" applyAlignment="1">
      <alignment horizontal="right"/>
    </xf>
    <xf numFmtId="0" fontId="11" fillId="0" borderId="0" xfId="29" applyFont="1" applyBorder="1" applyAlignment="1">
      <alignment horizontal="left" indent="1"/>
    </xf>
    <xf numFmtId="246" fontId="11" fillId="0" borderId="0" xfId="13" applyNumberFormat="1" applyFont="1" applyFill="1" applyAlignment="1">
      <alignment horizontal="right"/>
    </xf>
    <xf numFmtId="0" fontId="8" fillId="0" borderId="0" xfId="25" applyFont="1" applyFill="1" applyBorder="1"/>
    <xf numFmtId="246" fontId="11" fillId="0" borderId="0" xfId="29" applyNumberFormat="1" applyFont="1" applyFill="1" applyAlignment="1">
      <alignment horizontal="right"/>
    </xf>
    <xf numFmtId="0" fontId="11" fillId="0" borderId="0" xfId="25" applyFont="1" applyBorder="1"/>
    <xf numFmtId="9" fontId="8" fillId="4" borderId="0" xfId="36" applyFont="1" applyFill="1"/>
    <xf numFmtId="9" fontId="8" fillId="4" borderId="0" xfId="36" applyFont="1" applyFill="1" applyAlignment="1">
      <alignment horizontal="right"/>
    </xf>
    <xf numFmtId="0" fontId="11" fillId="4" borderId="0" xfId="29" applyFont="1" applyFill="1" applyBorder="1"/>
    <xf numFmtId="246" fontId="64" fillId="0" borderId="0" xfId="29" applyNumberFormat="1" applyFont="1" applyAlignment="1">
      <alignment horizontal="right"/>
    </xf>
    <xf numFmtId="0" fontId="8" fillId="0" borderId="0" xfId="25" applyFont="1" applyFill="1" applyBorder="1" applyAlignment="1">
      <alignment horizontal="left" indent="1"/>
    </xf>
    <xf numFmtId="0" fontId="11" fillId="0" borderId="0" xfId="25" applyFont="1" applyFill="1" applyBorder="1" applyAlignment="1">
      <alignment horizontal="left" indent="1"/>
    </xf>
    <xf numFmtId="0" fontId="41" fillId="0" borderId="0" xfId="29" applyFont="1"/>
    <xf numFmtId="246" fontId="8" fillId="0" borderId="2" xfId="29" applyNumberFormat="1" applyFont="1" applyFill="1" applyBorder="1" applyAlignment="1">
      <alignment horizontal="right"/>
    </xf>
    <xf numFmtId="0" fontId="8" fillId="0" borderId="0" xfId="25" applyFont="1" applyFill="1" applyBorder="1" applyAlignment="1">
      <alignment horizontal="left" indent="2"/>
    </xf>
    <xf numFmtId="0" fontId="8" fillId="0" borderId="0" xfId="29" applyFont="1" applyFill="1" applyBorder="1" applyAlignment="1">
      <alignment horizontal="left" indent="1"/>
    </xf>
    <xf numFmtId="0" fontId="8" fillId="0" borderId="0" xfId="25" applyFont="1" applyFill="1" applyBorder="1" applyAlignment="1">
      <alignment horizontal="left"/>
    </xf>
    <xf numFmtId="37" fontId="11" fillId="0" borderId="0" xfId="26" applyNumberFormat="1" applyFont="1" applyFill="1" applyBorder="1"/>
    <xf numFmtId="37" fontId="35" fillId="0" borderId="0" xfId="26" applyNumberFormat="1" applyFont="1" applyFill="1" applyBorder="1"/>
    <xf numFmtId="246" fontId="29" fillId="0" borderId="0" xfId="29" applyNumberFormat="1" applyFont="1"/>
    <xf numFmtId="253" fontId="20" fillId="0" borderId="0" xfId="24" applyNumberFormat="1" applyFont="1" applyFill="1" applyBorder="1" applyAlignment="1">
      <alignment horizontal="right"/>
    </xf>
    <xf numFmtId="254" fontId="11" fillId="0" borderId="0" xfId="18" applyNumberFormat="1" applyFont="1" applyFill="1" applyBorder="1" applyAlignment="1">
      <alignment horizontal="right"/>
    </xf>
    <xf numFmtId="179" fontId="8" fillId="0" borderId="0" xfId="29" applyNumberFormat="1" applyFont="1" applyFill="1" applyAlignment="1">
      <alignment horizontal="right"/>
    </xf>
    <xf numFmtId="179" fontId="8" fillId="0" borderId="0" xfId="29" applyNumberFormat="1" applyFont="1" applyFill="1" applyBorder="1" applyAlignment="1">
      <alignment horizontal="right"/>
    </xf>
    <xf numFmtId="0" fontId="11" fillId="0" borderId="0" xfId="25" applyFont="1" applyFill="1" applyBorder="1"/>
    <xf numFmtId="246" fontId="8" fillId="0" borderId="2" xfId="13" applyNumberFormat="1" applyFont="1" applyFill="1" applyBorder="1" applyAlignment="1">
      <alignment horizontal="right"/>
    </xf>
    <xf numFmtId="179" fontId="8" fillId="0" borderId="0" xfId="29" applyNumberFormat="1" applyFont="1" applyAlignment="1">
      <alignment horizontal="right"/>
    </xf>
    <xf numFmtId="185" fontId="8" fillId="0" borderId="0" xfId="25" applyNumberFormat="1" applyFont="1" applyFill="1" applyBorder="1"/>
    <xf numFmtId="185" fontId="11" fillId="0" borderId="0" xfId="25" applyNumberFormat="1" applyFont="1" applyFill="1" applyBorder="1"/>
    <xf numFmtId="273" fontId="11" fillId="0" borderId="5" xfId="24" applyNumberFormat="1" applyFont="1" applyBorder="1" applyAlignment="1">
      <alignment horizontal="right"/>
    </xf>
    <xf numFmtId="1" fontId="8" fillId="0" borderId="0" xfId="24" applyNumberFormat="1" applyFont="1" applyBorder="1" applyAlignment="1">
      <alignment horizontal="right"/>
    </xf>
    <xf numFmtId="0" fontId="41" fillId="0" borderId="0" xfId="24" applyFont="1" applyBorder="1"/>
    <xf numFmtId="0" fontId="29" fillId="0" borderId="0" xfId="29" applyFont="1" applyAlignment="1">
      <alignment wrapText="1"/>
    </xf>
    <xf numFmtId="0" fontId="29" fillId="4" borderId="0" xfId="29" applyFont="1" applyFill="1" applyAlignment="1">
      <alignment horizontal="right"/>
    </xf>
    <xf numFmtId="0" fontId="8" fillId="0" borderId="0" xfId="29" applyNumberFormat="1" applyFont="1" applyBorder="1"/>
    <xf numFmtId="0" fontId="20" fillId="0" borderId="0" xfId="24" applyFont="1" applyBorder="1"/>
    <xf numFmtId="0" fontId="29" fillId="0" borderId="0" xfId="29" applyFont="1" applyAlignment="1">
      <alignment horizontal="right"/>
    </xf>
    <xf numFmtId="1" fontId="63" fillId="0" borderId="0" xfId="42" applyNumberFormat="1" applyFont="1" applyFill="1" applyBorder="1" applyAlignment="1">
      <alignment horizontal="center" wrapText="1"/>
    </xf>
    <xf numFmtId="0" fontId="35" fillId="0" borderId="0" xfId="26" applyFont="1" applyBorder="1"/>
    <xf numFmtId="14" fontId="60" fillId="0" borderId="0" xfId="24" applyNumberFormat="1" applyFont="1" applyFill="1" applyAlignment="1">
      <alignment horizontal="right"/>
    </xf>
    <xf numFmtId="0" fontId="29" fillId="0" borderId="0" xfId="29" applyFont="1" applyFill="1" applyBorder="1"/>
    <xf numFmtId="0" fontId="11" fillId="0" borderId="0" xfId="42" applyNumberFormat="1" applyFont="1" applyFill="1" applyBorder="1" applyAlignment="1">
      <alignment horizontal="center" wrapText="1"/>
    </xf>
    <xf numFmtId="0" fontId="20" fillId="0" borderId="0" xfId="24" applyFont="1" applyFill="1" applyBorder="1"/>
    <xf numFmtId="0" fontId="35" fillId="0" borderId="0" xfId="26" applyFont="1" applyFill="1" applyBorder="1"/>
    <xf numFmtId="0" fontId="39" fillId="0" borderId="0" xfId="29" applyFont="1" applyFill="1" applyAlignment="1">
      <alignment horizontal="right"/>
    </xf>
    <xf numFmtId="0" fontId="71" fillId="0" borderId="0" xfId="29" applyFont="1" applyFill="1" applyAlignment="1">
      <alignment horizontal="right"/>
    </xf>
    <xf numFmtId="0" fontId="71" fillId="4" borderId="0" xfId="29" applyFont="1" applyFill="1" applyBorder="1" applyAlignment="1">
      <alignment horizontal="right"/>
    </xf>
    <xf numFmtId="0" fontId="8" fillId="4" borderId="0" xfId="29" applyFont="1" applyFill="1" applyBorder="1" applyAlignment="1">
      <alignment horizontal="right"/>
    </xf>
    <xf numFmtId="0" fontId="8" fillId="4" borderId="0" xfId="29" applyFont="1" applyFill="1" applyBorder="1" applyAlignment="1">
      <alignment horizontal="left"/>
    </xf>
    <xf numFmtId="0" fontId="12" fillId="3" borderId="31" xfId="24" applyFont="1" applyFill="1" applyBorder="1" applyAlignment="1">
      <alignment horizontal="center"/>
    </xf>
    <xf numFmtId="0" fontId="103" fillId="8" borderId="31" xfId="29" applyFont="1" applyFill="1" applyBorder="1" applyAlignment="1">
      <alignment horizontal="center"/>
    </xf>
    <xf numFmtId="0" fontId="8" fillId="2" borderId="0" xfId="29" applyFont="1" applyFill="1"/>
    <xf numFmtId="0" fontId="8" fillId="2" borderId="0" xfId="29" applyFont="1" applyFill="1" applyAlignment="1">
      <alignment horizontal="right"/>
    </xf>
    <xf numFmtId="0" fontId="104" fillId="2" borderId="0" xfId="29" applyFont="1" applyFill="1" applyAlignment="1">
      <alignment horizontal="right"/>
    </xf>
    <xf numFmtId="0" fontId="8" fillId="2" borderId="0" xfId="29" applyFont="1" applyFill="1" applyBorder="1"/>
    <xf numFmtId="0" fontId="29" fillId="2" borderId="0" xfId="29" applyFont="1" applyFill="1"/>
    <xf numFmtId="0" fontId="8" fillId="2" borderId="0" xfId="29" applyFont="1" applyFill="1" applyAlignment="1">
      <alignment wrapText="1"/>
    </xf>
    <xf numFmtId="0" fontId="4" fillId="0" borderId="0" xfId="29" applyFont="1"/>
    <xf numFmtId="0" fontId="69" fillId="0" borderId="4" xfId="29" applyFont="1" applyBorder="1"/>
    <xf numFmtId="0" fontId="4" fillId="0" borderId="33" xfId="29" applyFont="1" applyBorder="1"/>
    <xf numFmtId="0" fontId="4" fillId="0" borderId="10" xfId="29" applyFont="1" applyBorder="1"/>
    <xf numFmtId="0" fontId="4" fillId="0" borderId="10" xfId="29" applyFont="1" applyBorder="1" applyAlignment="1">
      <alignment horizontal="right"/>
    </xf>
    <xf numFmtId="0" fontId="60" fillId="0" borderId="10" xfId="29" applyFont="1" applyBorder="1" applyAlignment="1">
      <alignment horizontal="right"/>
    </xf>
    <xf numFmtId="0" fontId="61" fillId="4" borderId="10" xfId="26" applyFont="1" applyFill="1" applyBorder="1" applyAlignment="1">
      <alignment vertical="center"/>
    </xf>
    <xf numFmtId="0" fontId="60" fillId="0" borderId="10" xfId="29" applyFont="1" applyBorder="1"/>
    <xf numFmtId="0" fontId="4" fillId="0" borderId="32" xfId="29" applyFont="1" applyBorder="1" applyAlignment="1">
      <alignment wrapText="1"/>
    </xf>
    <xf numFmtId="7" fontId="40" fillId="0" borderId="5" xfId="22" applyNumberFormat="1" applyFont="1" applyFill="1" applyBorder="1" applyAlignment="1">
      <alignment horizontal="right"/>
    </xf>
    <xf numFmtId="0" fontId="4" fillId="4" borderId="0" xfId="33" applyNumberFormat="1" applyFont="1" applyFill="1" applyAlignment="1">
      <alignment horizontal="right"/>
    </xf>
    <xf numFmtId="7" fontId="10" fillId="2" borderId="25" xfId="0" applyNumberFormat="1" applyFont="1" applyFill="1" applyBorder="1" applyAlignment="1" applyProtection="1">
      <alignment horizontal="center"/>
    </xf>
    <xf numFmtId="183" fontId="105" fillId="0" borderId="0" xfId="0" applyNumberFormat="1" applyFont="1" applyFill="1"/>
    <xf numFmtId="198" fontId="105" fillId="0" borderId="0" xfId="0" applyNumberFormat="1" applyFont="1" applyAlignment="1">
      <alignment horizontal="left"/>
    </xf>
    <xf numFmtId="183" fontId="105" fillId="0" borderId="2" xfId="0" applyNumberFormat="1" applyFont="1" applyBorder="1"/>
    <xf numFmtId="199" fontId="20" fillId="8" borderId="2" xfId="17" applyNumberFormat="1" applyFont="1" applyFill="1" applyBorder="1" applyAlignment="1">
      <alignment horizontal="center"/>
    </xf>
    <xf numFmtId="17" fontId="11" fillId="8" borderId="0" xfId="16" applyNumberFormat="1" applyFont="1" applyFill="1"/>
    <xf numFmtId="177" fontId="8" fillId="8" borderId="0" xfId="12" applyNumberFormat="1" applyFont="1" applyFill="1"/>
    <xf numFmtId="166" fontId="92" fillId="8" borderId="0" xfId="37" applyNumberFormat="1" applyFont="1" applyFill="1"/>
    <xf numFmtId="9" fontId="92" fillId="8" borderId="0" xfId="37" applyNumberFormat="1" applyFont="1" applyFill="1"/>
    <xf numFmtId="177" fontId="8" fillId="8" borderId="2" xfId="12" applyNumberFormat="1" applyFont="1" applyFill="1" applyBorder="1"/>
    <xf numFmtId="177" fontId="8" fillId="8" borderId="0" xfId="16" applyNumberFormat="1" applyFont="1" applyFill="1"/>
    <xf numFmtId="166" fontId="95" fillId="8" borderId="0" xfId="37" applyNumberFormat="1" applyFont="1" applyFill="1"/>
    <xf numFmtId="0" fontId="8" fillId="8" borderId="0" xfId="16" applyFont="1" applyFill="1"/>
    <xf numFmtId="166" fontId="8" fillId="8" borderId="0" xfId="37" applyNumberFormat="1" applyFont="1" applyFill="1"/>
    <xf numFmtId="177" fontId="8" fillId="8" borderId="0" xfId="12" quotePrefix="1" applyNumberFormat="1" applyFont="1" applyFill="1"/>
    <xf numFmtId="9" fontId="95" fillId="8" borderId="0" xfId="37" applyFont="1" applyFill="1"/>
    <xf numFmtId="0" fontId="8" fillId="8" borderId="2" xfId="16" applyFont="1" applyFill="1" applyBorder="1"/>
    <xf numFmtId="177" fontId="11" fillId="8" borderId="0" xfId="16" applyNumberFormat="1" applyFont="1" applyFill="1"/>
    <xf numFmtId="166" fontId="106" fillId="0" borderId="0" xfId="16" applyNumberFormat="1" applyFont="1"/>
    <xf numFmtId="166" fontId="106" fillId="0" borderId="0" xfId="37" applyNumberFormat="1" applyFont="1" applyAlignment="1">
      <alignment horizontal="right"/>
    </xf>
    <xf numFmtId="166" fontId="106" fillId="4" borderId="0" xfId="37" applyNumberFormat="1" applyFont="1" applyFill="1" applyAlignment="1">
      <alignment horizontal="right"/>
    </xf>
    <xf numFmtId="177" fontId="40" fillId="0" borderId="0" xfId="12" applyNumberFormat="1" applyFont="1"/>
    <xf numFmtId="166" fontId="107" fillId="0" borderId="0" xfId="37" applyNumberFormat="1" applyFont="1"/>
    <xf numFmtId="44" fontId="91" fillId="7" borderId="15" xfId="14" applyFont="1" applyFill="1" applyBorder="1"/>
    <xf numFmtId="0" fontId="0" fillId="0" borderId="0" xfId="0"/>
    <xf numFmtId="0" fontId="0" fillId="0" borderId="0" xfId="0"/>
    <xf numFmtId="0" fontId="79" fillId="0" borderId="0" xfId="22" applyFont="1" applyFill="1" applyBorder="1"/>
    <xf numFmtId="174" fontId="40" fillId="0" borderId="0" xfId="22" applyNumberFormat="1" applyFont="1" applyFill="1" applyBorder="1"/>
    <xf numFmtId="171" fontId="108" fillId="0" borderId="14" xfId="43" applyFont="1" applyBorder="1" applyAlignment="1">
      <alignment horizontal="center"/>
    </xf>
    <xf numFmtId="1" fontId="109" fillId="0" borderId="0" xfId="0" applyNumberFormat="1" applyFont="1" applyFill="1" applyBorder="1" applyAlignment="1">
      <alignment horizontal="right"/>
    </xf>
    <xf numFmtId="0" fontId="109" fillId="0" borderId="0" xfId="0" applyFont="1"/>
    <xf numFmtId="0" fontId="0" fillId="0" borderId="0" xfId="0"/>
    <xf numFmtId="0" fontId="8" fillId="10" borderId="0" xfId="0" applyFont="1" applyFill="1"/>
    <xf numFmtId="0" fontId="8" fillId="10" borderId="0" xfId="0" applyFont="1" applyFill="1" applyAlignment="1">
      <alignment horizontal="left"/>
    </xf>
    <xf numFmtId="165" fontId="8" fillId="10" borderId="0" xfId="0" applyNumberFormat="1" applyFont="1" applyFill="1"/>
    <xf numFmtId="201" fontId="8" fillId="10" borderId="0" xfId="0" applyNumberFormat="1" applyFont="1" applyFill="1"/>
    <xf numFmtId="200" fontId="8" fillId="10" borderId="0" xfId="0" applyNumberFormat="1" applyFont="1" applyFill="1"/>
    <xf numFmtId="1" fontId="8" fillId="10" borderId="0" xfId="0" applyNumberFormat="1" applyFont="1" applyFill="1"/>
    <xf numFmtId="0" fontId="8" fillId="10" borderId="0" xfId="0" applyFont="1" applyFill="1" applyAlignment="1">
      <alignment horizontal="center"/>
    </xf>
    <xf numFmtId="1" fontId="8" fillId="10" borderId="0" xfId="0" applyNumberFormat="1" applyFont="1" applyFill="1" applyBorder="1"/>
    <xf numFmtId="0" fontId="8" fillId="10" borderId="0" xfId="0" applyFont="1" applyFill="1" applyBorder="1"/>
    <xf numFmtId="182" fontId="8" fillId="10" borderId="0" xfId="0" applyNumberFormat="1" applyFont="1" applyFill="1"/>
    <xf numFmtId="178" fontId="8" fillId="10" borderId="0" xfId="0" applyNumberFormat="1" applyFont="1" applyFill="1"/>
    <xf numFmtId="201" fontId="8" fillId="10" borderId="0" xfId="0" applyNumberFormat="1" applyFont="1" applyFill="1" applyBorder="1"/>
    <xf numFmtId="172" fontId="40" fillId="10" borderId="0" xfId="0" applyNumberFormat="1" applyFont="1" applyFill="1"/>
    <xf numFmtId="179" fontId="8" fillId="10" borderId="0" xfId="0" applyNumberFormat="1" applyFont="1" applyFill="1"/>
    <xf numFmtId="0" fontId="89" fillId="10" borderId="0" xfId="0" applyFont="1" applyFill="1"/>
    <xf numFmtId="1" fontId="109" fillId="0" borderId="0" xfId="0" applyNumberFormat="1" applyFont="1" applyFill="1" applyBorder="1"/>
    <xf numFmtId="165" fontId="8" fillId="10" borderId="0" xfId="0" applyNumberFormat="1" applyFont="1" applyFill="1" applyBorder="1"/>
    <xf numFmtId="200" fontId="20" fillId="10" borderId="0" xfId="0" applyNumberFormat="1" applyFont="1" applyFill="1" applyBorder="1"/>
    <xf numFmtId="37" fontId="89" fillId="10" borderId="0" xfId="0" applyNumberFormat="1" applyFont="1" applyFill="1" applyBorder="1"/>
    <xf numFmtId="0" fontId="8" fillId="10" borderId="0" xfId="0" applyFont="1" applyFill="1" applyBorder="1" applyAlignment="1">
      <alignment horizontal="center"/>
    </xf>
    <xf numFmtId="1" fontId="88" fillId="10" borderId="0" xfId="0" applyNumberFormat="1" applyFont="1" applyFill="1" applyBorder="1"/>
    <xf numFmtId="165" fontId="8" fillId="10" borderId="2" xfId="0" applyNumberFormat="1" applyFont="1" applyFill="1" applyBorder="1"/>
    <xf numFmtId="200" fontId="20" fillId="10" borderId="2" xfId="0" applyNumberFormat="1" applyFont="1" applyFill="1" applyBorder="1"/>
    <xf numFmtId="1" fontId="8" fillId="10" borderId="2" xfId="0" applyNumberFormat="1" applyFont="1" applyFill="1" applyBorder="1"/>
    <xf numFmtId="1" fontId="12" fillId="10" borderId="2" xfId="0" applyNumberFormat="1" applyFont="1" applyFill="1" applyBorder="1"/>
    <xf numFmtId="1" fontId="109" fillId="4" borderId="0" xfId="0" applyNumberFormat="1" applyFont="1" applyFill="1" applyBorder="1"/>
    <xf numFmtId="0" fontId="109" fillId="0" borderId="0" xfId="0" applyFont="1" applyFill="1"/>
    <xf numFmtId="200" fontId="110" fillId="0" borderId="2" xfId="0" applyNumberFormat="1" applyFont="1" applyFill="1" applyBorder="1"/>
    <xf numFmtId="1" fontId="109" fillId="0" borderId="2" xfId="0" applyNumberFormat="1" applyFont="1" applyFill="1" applyBorder="1"/>
    <xf numFmtId="174" fontId="1" fillId="0" borderId="0" xfId="0" applyNumberFormat="1" applyFont="1" applyFill="1" applyBorder="1"/>
    <xf numFmtId="183" fontId="1" fillId="0" borderId="0" xfId="0" applyNumberFormat="1" applyFont="1" applyFill="1" applyBorder="1"/>
    <xf numFmtId="183" fontId="1" fillId="0" borderId="2" xfId="0" applyNumberFormat="1" applyFont="1" applyFill="1" applyBorder="1"/>
    <xf numFmtId="198" fontId="1" fillId="0" borderId="0" xfId="0" applyNumberFormat="1" applyFont="1" applyAlignment="1">
      <alignment horizontal="left"/>
    </xf>
    <xf numFmtId="192" fontId="109" fillId="0" borderId="0" xfId="0" applyNumberFormat="1" applyFont="1"/>
    <xf numFmtId="192" fontId="109" fillId="0" borderId="0" xfId="0" applyNumberFormat="1" applyFont="1" applyFill="1" applyBorder="1"/>
    <xf numFmtId="191" fontId="1" fillId="0" borderId="0" xfId="32" applyNumberFormat="1" applyFont="1" applyProtection="1"/>
    <xf numFmtId="168" fontId="1" fillId="0" borderId="0" xfId="17" applyNumberFormat="1" applyFont="1" applyFill="1" applyBorder="1"/>
    <xf numFmtId="185" fontId="28" fillId="0" borderId="0" xfId="31" applyNumberFormat="1" applyFont="1" applyBorder="1" applyProtection="1"/>
    <xf numFmtId="6" fontId="40" fillId="0" borderId="16" xfId="14" applyNumberFormat="1" applyFont="1" applyBorder="1" applyAlignment="1">
      <alignment horizontal="right"/>
    </xf>
    <xf numFmtId="165" fontId="1" fillId="0" borderId="2" xfId="0" applyNumberFormat="1" applyFont="1" applyFill="1" applyBorder="1"/>
    <xf numFmtId="0" fontId="1" fillId="0" borderId="0" xfId="0" applyFont="1" applyFill="1"/>
    <xf numFmtId="1" fontId="1" fillId="0" borderId="2" xfId="0" applyNumberFormat="1" applyFont="1" applyFill="1" applyBorder="1"/>
    <xf numFmtId="0" fontId="1" fillId="0" borderId="0" xfId="0" applyFont="1" applyFill="1" applyAlignment="1">
      <alignment horizontal="center"/>
    </xf>
    <xf numFmtId="177" fontId="8" fillId="0" borderId="0" xfId="10" applyNumberFormat="1" applyFont="1"/>
    <xf numFmtId="9" fontId="109" fillId="4" borderId="0" xfId="35" applyFont="1" applyFill="1" applyProtection="1"/>
    <xf numFmtId="9" fontId="109" fillId="0" borderId="0" xfId="35" applyFont="1" applyProtection="1"/>
    <xf numFmtId="9" fontId="11" fillId="0" borderId="0" xfId="35" applyFont="1" applyBorder="1" applyAlignment="1">
      <alignment horizontal="centerContinuous"/>
    </xf>
    <xf numFmtId="4" fontId="8" fillId="0" borderId="0" xfId="0" applyNumberFormat="1" applyFont="1" applyBorder="1"/>
    <xf numFmtId="0" fontId="21" fillId="0" borderId="19" xfId="43" applyNumberFormat="1" applyFont="1" applyFill="1" applyBorder="1" applyAlignment="1">
      <alignment horizontal="right"/>
    </xf>
    <xf numFmtId="168" fontId="28" fillId="0" borderId="0" xfId="0" applyNumberFormat="1" applyFont="1" applyFill="1" applyBorder="1"/>
    <xf numFmtId="168" fontId="28" fillId="0" borderId="2" xfId="0" applyNumberFormat="1" applyFont="1" applyFill="1" applyBorder="1"/>
    <xf numFmtId="165" fontId="1" fillId="0" borderId="0" xfId="0" applyNumberFormat="1" applyFont="1" applyFill="1"/>
    <xf numFmtId="183" fontId="109" fillId="0" borderId="0" xfId="0" applyNumberFormat="1" applyFont="1" applyFill="1"/>
    <xf numFmtId="198" fontId="109" fillId="0" borderId="0" xfId="0" applyNumberFormat="1" applyFont="1" applyAlignment="1">
      <alignment horizontal="left"/>
    </xf>
    <xf numFmtId="183" fontId="109" fillId="0" borderId="0" xfId="0" applyNumberFormat="1" applyFont="1" applyBorder="1"/>
    <xf numFmtId="192" fontId="1" fillId="0" borderId="0" xfId="0" applyNumberFormat="1" applyFont="1" applyFill="1" applyBorder="1"/>
    <xf numFmtId="183" fontId="109" fillId="0" borderId="0" xfId="0" applyNumberFormat="1" applyFont="1" applyFill="1" applyBorder="1"/>
    <xf numFmtId="192" fontId="1" fillId="0" borderId="0" xfId="0" applyNumberFormat="1" applyFont="1" applyFill="1"/>
    <xf numFmtId="164" fontId="109" fillId="4" borderId="0" xfId="0" applyNumberFormat="1" applyFont="1" applyFill="1" applyBorder="1"/>
    <xf numFmtId="200" fontId="1" fillId="4" borderId="0" xfId="0" applyNumberFormat="1" applyFont="1" applyFill="1" applyBorder="1"/>
    <xf numFmtId="164" fontId="109" fillId="0" borderId="0" xfId="0" applyNumberFormat="1" applyFont="1" applyFill="1" applyBorder="1"/>
    <xf numFmtId="200" fontId="1" fillId="0" borderId="0" xfId="0" applyNumberFormat="1" applyFont="1" applyFill="1" applyBorder="1"/>
    <xf numFmtId="37" fontId="1" fillId="4" borderId="0" xfId="0" applyNumberFormat="1" applyFont="1" applyFill="1" applyBorder="1"/>
    <xf numFmtId="0" fontId="1" fillId="0" borderId="0" xfId="0" applyFont="1" applyFill="1" applyBorder="1"/>
    <xf numFmtId="172" fontId="111" fillId="0" borderId="0" xfId="0" applyNumberFormat="1" applyFont="1"/>
    <xf numFmtId="168" fontId="109" fillId="0" borderId="0" xfId="0" applyNumberFormat="1" applyFont="1" applyBorder="1"/>
    <xf numFmtId="39" fontId="109" fillId="0" borderId="0" xfId="0" applyNumberFormat="1" applyFont="1"/>
    <xf numFmtId="39" fontId="1" fillId="0" borderId="0" xfId="0" applyNumberFormat="1" applyFont="1"/>
    <xf numFmtId="240" fontId="62" fillId="0" borderId="0" xfId="0" applyNumberFormat="1" applyFont="1" applyBorder="1" applyAlignment="1">
      <alignment horizontal="center"/>
    </xf>
    <xf numFmtId="240" fontId="0" fillId="0" borderId="0" xfId="0" applyNumberFormat="1"/>
    <xf numFmtId="39" fontId="109" fillId="0" borderId="2" xfId="0" applyNumberFormat="1" applyFont="1" applyBorder="1"/>
    <xf numFmtId="197" fontId="11" fillId="0" borderId="2" xfId="0" applyNumberFormat="1" applyFont="1" applyBorder="1" applyAlignment="1">
      <alignment horizontal="center"/>
    </xf>
    <xf numFmtId="0" fontId="0" fillId="0" borderId="0" xfId="0"/>
    <xf numFmtId="183" fontId="109" fillId="0" borderId="2" xfId="0" applyNumberFormat="1" applyFont="1" applyBorder="1"/>
    <xf numFmtId="183" fontId="109" fillId="0" borderId="2" xfId="0" applyNumberFormat="1" applyFont="1" applyFill="1" applyBorder="1"/>
    <xf numFmtId="173" fontId="109" fillId="0" borderId="0" xfId="0" applyNumberFormat="1" applyFont="1"/>
    <xf numFmtId="171" fontId="109" fillId="0" borderId="2" xfId="0" applyNumberFormat="1" applyFont="1" applyBorder="1"/>
    <xf numFmtId="168" fontId="109" fillId="0" borderId="2" xfId="0" applyNumberFormat="1" applyFont="1" applyBorder="1"/>
    <xf numFmtId="168" fontId="109" fillId="0" borderId="0" xfId="0" applyNumberFormat="1" applyFont="1"/>
    <xf numFmtId="200" fontId="1" fillId="4" borderId="2" xfId="0" applyNumberFormat="1" applyFont="1" applyFill="1" applyBorder="1"/>
    <xf numFmtId="200" fontId="1" fillId="0" borderId="2" xfId="0" applyNumberFormat="1" applyFont="1" applyFill="1" applyBorder="1"/>
    <xf numFmtId="172" fontId="1" fillId="0" borderId="0" xfId="0" applyNumberFormat="1" applyFont="1" applyFill="1"/>
    <xf numFmtId="164" fontId="109" fillId="4" borderId="2" xfId="0" applyNumberFormat="1" applyFont="1" applyFill="1" applyBorder="1"/>
    <xf numFmtId="164" fontId="109" fillId="0" borderId="2" xfId="0" applyNumberFormat="1" applyFont="1" applyFill="1" applyBorder="1"/>
    <xf numFmtId="171" fontId="109" fillId="0" borderId="0" xfId="0" applyNumberFormat="1" applyFont="1"/>
    <xf numFmtId="174" fontId="109" fillId="0" borderId="0" xfId="0" applyNumberFormat="1" applyFont="1"/>
    <xf numFmtId="174" fontId="109" fillId="0" borderId="0" xfId="0" applyNumberFormat="1" applyFont="1" applyFill="1"/>
    <xf numFmtId="168" fontId="109" fillId="0" borderId="0" xfId="0" applyNumberFormat="1" applyFont="1" applyFill="1"/>
    <xf numFmtId="169" fontId="109" fillId="0" borderId="0" xfId="0" applyNumberFormat="1" applyFont="1" applyBorder="1"/>
    <xf numFmtId="171" fontId="12" fillId="0" borderId="0" xfId="0" applyNumberFormat="1" applyFont="1" applyFill="1" applyBorder="1"/>
    <xf numFmtId="0" fontId="11" fillId="0" borderId="0" xfId="0" applyFont="1" applyFill="1" applyBorder="1"/>
    <xf numFmtId="0" fontId="11" fillId="0" borderId="2" xfId="0" applyFont="1" applyFill="1" applyBorder="1"/>
    <xf numFmtId="174" fontId="109" fillId="0" borderId="0" xfId="0" applyNumberFormat="1" applyFont="1" applyFill="1" applyBorder="1"/>
    <xf numFmtId="186" fontId="8" fillId="0" borderId="0" xfId="0" applyNumberFormat="1" applyFont="1" applyFill="1"/>
    <xf numFmtId="173" fontId="8" fillId="0" borderId="0" xfId="0" applyNumberFormat="1" applyFont="1" applyFill="1" applyBorder="1"/>
    <xf numFmtId="171" fontId="8" fillId="0" borderId="0" xfId="0" applyNumberFormat="1" applyFont="1" applyFill="1" applyBorder="1"/>
    <xf numFmtId="191" fontId="8" fillId="0" borderId="0" xfId="35" applyNumberFormat="1" applyFont="1" applyFill="1" applyBorder="1"/>
    <xf numFmtId="38" fontId="8" fillId="0" borderId="0" xfId="0" applyNumberFormat="1" applyFont="1" applyFill="1" applyBorder="1"/>
    <xf numFmtId="8" fontId="12" fillId="0" borderId="0" xfId="0" applyNumberFormat="1" applyFont="1" applyFill="1" applyBorder="1"/>
    <xf numFmtId="197" fontId="83" fillId="0" borderId="39" xfId="0" applyNumberFormat="1" applyFont="1" applyFill="1" applyBorder="1" applyAlignment="1">
      <alignment horizontal="right"/>
    </xf>
    <xf numFmtId="171" fontId="45" fillId="0" borderId="0" xfId="0" applyNumberFormat="1" applyFont="1" applyFill="1"/>
    <xf numFmtId="38" fontId="45" fillId="0" borderId="0" xfId="0" applyNumberFormat="1" applyFont="1" applyFill="1"/>
    <xf numFmtId="165" fontId="45" fillId="0" borderId="0" xfId="0" applyNumberFormat="1" applyFont="1" applyFill="1"/>
    <xf numFmtId="220" fontId="20" fillId="0" borderId="5" xfId="35" applyNumberFormat="1" applyFont="1" applyBorder="1" applyAlignment="1">
      <alignment horizontal="center"/>
    </xf>
    <xf numFmtId="197" fontId="20" fillId="0" borderId="2" xfId="0" applyNumberFormat="1" applyFont="1" applyBorder="1" applyAlignment="1">
      <alignment horizontal="center"/>
    </xf>
    <xf numFmtId="197" fontId="11" fillId="0" borderId="2" xfId="0" applyNumberFormat="1" applyFont="1" applyBorder="1" applyAlignment="1">
      <alignment horizontal="center"/>
    </xf>
    <xf numFmtId="248" fontId="10" fillId="0" borderId="2" xfId="0" applyNumberFormat="1" applyFont="1" applyBorder="1" applyAlignment="1">
      <alignment horizontal="center"/>
    </xf>
    <xf numFmtId="0" fontId="11" fillId="4" borderId="0" xfId="16" applyFont="1" applyFill="1" applyAlignment="1">
      <alignment horizontal="center"/>
    </xf>
    <xf numFmtId="0" fontId="11" fillId="8" borderId="0" xfId="16" applyFont="1" applyFill="1" applyAlignment="1">
      <alignment horizontal="center"/>
    </xf>
    <xf numFmtId="0" fontId="1" fillId="11" borderId="0" xfId="44" applyFont="1" applyFill="1" applyAlignment="1">
      <alignment vertical="top"/>
    </xf>
    <xf numFmtId="0" fontId="1" fillId="11" borderId="0" xfId="1" applyFill="1" applyAlignment="1">
      <alignment vertical="top"/>
    </xf>
    <xf numFmtId="0" fontId="1" fillId="11" borderId="0" xfId="1" applyFill="1"/>
    <xf numFmtId="0" fontId="26" fillId="11" borderId="0" xfId="44" applyFont="1" applyFill="1" applyAlignment="1">
      <alignment horizontal="left" vertical="top"/>
    </xf>
    <xf numFmtId="0" fontId="1" fillId="11" borderId="0" xfId="1" applyFont="1" applyFill="1" applyAlignment="1">
      <alignment vertical="top"/>
    </xf>
    <xf numFmtId="0" fontId="27" fillId="11" borderId="0" xfId="44" applyFont="1" applyFill="1" applyAlignment="1">
      <alignment vertical="top"/>
    </xf>
    <xf numFmtId="0" fontId="0" fillId="11" borderId="0" xfId="0" applyFill="1" applyAlignment="1">
      <alignment vertical="top"/>
    </xf>
    <xf numFmtId="0" fontId="112" fillId="11" borderId="0" xfId="0" applyFont="1" applyFill="1" applyAlignment="1">
      <alignment vertical="top"/>
    </xf>
    <xf numFmtId="0" fontId="113" fillId="11" borderId="0" xfId="0" applyFont="1" applyFill="1" applyAlignment="1">
      <alignment vertical="top"/>
    </xf>
    <xf numFmtId="0" fontId="113" fillId="11" borderId="0" xfId="0" applyFont="1" applyFill="1" applyAlignment="1">
      <alignment vertical="top"/>
    </xf>
    <xf numFmtId="0" fontId="112" fillId="11" borderId="0" xfId="0" applyFont="1" applyFill="1" applyAlignment="1">
      <alignment vertical="top"/>
    </xf>
    <xf numFmtId="0" fontId="0" fillId="11" borderId="0" xfId="0" applyFill="1" applyAlignment="1">
      <alignment vertical="top"/>
    </xf>
    <xf numFmtId="0" fontId="0" fillId="11" borderId="44" xfId="0" applyFill="1" applyBorder="1" applyAlignment="1">
      <alignment vertical="top"/>
    </xf>
    <xf numFmtId="0" fontId="112" fillId="11" borderId="40" xfId="0" applyFont="1" applyFill="1" applyBorder="1" applyAlignment="1">
      <alignment vertical="top"/>
    </xf>
    <xf numFmtId="0" fontId="112" fillId="11" borderId="41" xfId="0" applyFont="1" applyFill="1" applyBorder="1" applyAlignment="1">
      <alignment vertical="top"/>
    </xf>
    <xf numFmtId="0" fontId="112" fillId="11" borderId="42" xfId="0" applyFont="1" applyFill="1" applyBorder="1" applyAlignment="1">
      <alignment vertical="top"/>
    </xf>
    <xf numFmtId="0" fontId="112" fillId="11" borderId="43" xfId="0" applyFont="1" applyFill="1" applyBorder="1" applyAlignment="1">
      <alignment vertical="top"/>
    </xf>
    <xf numFmtId="9" fontId="112" fillId="11" borderId="40" xfId="0" applyNumberFormat="1" applyFont="1" applyFill="1" applyBorder="1" applyAlignment="1">
      <alignment vertical="top"/>
    </xf>
    <xf numFmtId="3" fontId="112" fillId="11" borderId="40" xfId="0" applyNumberFormat="1" applyFont="1" applyFill="1" applyBorder="1" applyAlignment="1">
      <alignment vertical="top"/>
    </xf>
    <xf numFmtId="0" fontId="0" fillId="11" borderId="45" xfId="0" applyFill="1" applyBorder="1" applyAlignment="1">
      <alignment vertical="top"/>
    </xf>
    <xf numFmtId="2" fontId="1" fillId="0" borderId="0" xfId="1" applyNumberFormat="1" applyAlignment="1">
      <alignment horizontal="left"/>
    </xf>
    <xf numFmtId="0" fontId="1" fillId="0" borderId="0" xfId="1" applyNumberFormat="1" applyAlignment="1">
      <alignment horizontal="left"/>
    </xf>
    <xf numFmtId="1" fontId="1" fillId="0" borderId="0" xfId="1" applyNumberFormat="1" applyAlignment="1">
      <alignment horizontal="left"/>
    </xf>
    <xf numFmtId="0" fontId="1" fillId="0" borderId="0" xfId="1" applyFont="1"/>
    <xf numFmtId="279" fontId="1" fillId="0" borderId="0" xfId="1" applyNumberFormat="1" applyAlignment="1">
      <alignment horizontal="left"/>
    </xf>
    <xf numFmtId="49" fontId="1" fillId="0" borderId="0" xfId="1" applyNumberFormat="1"/>
  </cellXfs>
  <cellStyles count="45">
    <cellStyle name=" 1" xfId="2"/>
    <cellStyle name="******************************************" xfId="3"/>
    <cellStyle name="_FY Guidancev2 " xfId="4"/>
    <cellStyle name="_SUMMARY " xfId="6"/>
    <cellStyle name="0_Capex &amp; Depreciation " xfId="7"/>
    <cellStyle name="0_Valuing BP " xfId="8"/>
    <cellStyle name="c_HardInc " xfId="9"/>
    <cellStyle name="Comma" xfId="10" builtinId="3"/>
    <cellStyle name="Comma 2" xfId="11"/>
    <cellStyle name="Comma 3" xfId="12"/>
    <cellStyle name="Comma_Lease Module TPG example 30062004 capex 2" xfId="13"/>
    <cellStyle name="Currency" xfId="14" builtinId="4"/>
    <cellStyle name="Hyperlink 2" xfId="15"/>
    <cellStyle name="Normal" xfId="0" builtinId="0"/>
    <cellStyle name="Normal 2" xfId="16"/>
    <cellStyle name="Normal 3" xfId="1"/>
    <cellStyle name="Normal_ABSANUAL" xfId="17"/>
    <cellStyle name="Normal_Analysis V5 2" xfId="18"/>
    <cellStyle name="Normal_AXP_interactive_final" xfId="19"/>
    <cellStyle name="Normal_BALSHEET" xfId="20"/>
    <cellStyle name="Normal_dabr" xfId="21"/>
    <cellStyle name="Normal_DHQTR" xfId="22"/>
    <cellStyle name="Normal_DisclaimerSheet Samples" xfId="44"/>
    <cellStyle name="Normal_GAPQOR1" xfId="23"/>
    <cellStyle name="Normal_GM Demo 2" xfId="24"/>
    <cellStyle name="Normal_hd roic 2" xfId="25"/>
    <cellStyle name="Normal_LeaseT_Testing_Original (version 1)" xfId="26"/>
    <cellStyle name="Normal_NEWFLOW" xfId="27"/>
    <cellStyle name="Normal_QtrlyDIV" xfId="28"/>
    <cellStyle name="Normal_RSH 2" xfId="29"/>
    <cellStyle name="Normal_Sheet1_1" xfId="30"/>
    <cellStyle name="Normal_STORESUM" xfId="31"/>
    <cellStyle name="Normal_Total" xfId="32"/>
    <cellStyle name="Normal_UA Model" xfId="33"/>
    <cellStyle name="p " xfId="34"/>
    <cellStyle name="Percent" xfId="35" builtinId="5"/>
    <cellStyle name="Percent 2" xfId="36"/>
    <cellStyle name="Percent 3" xfId="37"/>
    <cellStyle name="RRSInstruction" xfId="38"/>
    <cellStyle name="RRSInstruction 2" xfId="5"/>
    <cellStyle name="s_HardInc " xfId="39"/>
    <cellStyle name="s_Valuation " xfId="40"/>
    <cellStyle name="ssp " xfId="41"/>
    <cellStyle name="Style 32 2" xfId="42"/>
    <cellStyle name="Underline" xfId="43"/>
  </cellStyles>
  <dxfs count="2">
    <dxf>
      <font>
        <condense val="0"/>
        <extend val="0"/>
        <color indexed="10"/>
      </font>
      <fill>
        <patternFill patternType="solid">
          <bgColor indexed="22"/>
        </patternFill>
      </fill>
    </dxf>
    <dxf>
      <fill>
        <patternFill>
          <bgColor indexed="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42763</v>
        <stp/>
        <stp>75aff3c4-205f-4f0b-a8cf-99f1b7bdb33f</stp>
        <tr r="I4" s="74"/>
      </tp>
      <tp t="e">
        <v>#N/A</v>
        <stp/>
        <stp>b78c510a-c4ad-41d2-a9df-6d4d0b433851</stp>
        <tr r="F13" s="65"/>
      </tp>
      <tp>
        <v>128</v>
        <stp/>
        <stp>15541cf5-861c-473b-9068-17ac1bcbdbb2</stp>
        <tr r="H77" s="74"/>
      </tp>
      <tp>
        <v>252</v>
        <stp/>
        <stp>5880d21b-c108-4fa2-8485-89f4938faf92</stp>
        <tr r="H68" s="74"/>
      </tp>
      <tp t="e">
        <v>#N/A</v>
        <stp/>
        <stp>4a4db1cb-2910-4044-b9a3-e970febb2dfe</stp>
        <tr r="F22" s="65"/>
      </tp>
      <tp>
        <v>0</v>
        <stp/>
        <stp>739d7b5a-ff81-4b55-a6a8-9396f930cfd1</stp>
        <tr r="P190" s="74"/>
      </tp>
      <tp t="e">
        <v>#N/A</v>
        <stp/>
        <stp>2af2943e-8712-4c2c-8712-d41c5967024c</stp>
        <tr r="F16" s="65"/>
      </tp>
      <tp>
        <v>0</v>
        <stp/>
        <stp>db934326-637d-47ff-807c-f26b83a48725</stp>
        <tr r="H190" s="74"/>
      </tp>
      <tp>
        <v>155</v>
        <stp/>
        <stp>14025de8-eb95-439b-aa08-1cb343c54586</stp>
        <tr r="H76" s="74"/>
      </tp>
      <tp t="s">
        <v xml:space="preserve">                                                    -                                          </v>
        <stp/>
        <stp>1b157d26-da4a-425f-9c45-e57a04e32230</stp>
        <tr r="H196" s="74"/>
      </tp>
      <tp>
        <v>0</v>
        <stp/>
        <stp>93e6d1ec-4394-4d11-a9b2-f5e57e2bd371</stp>
        <tr r="J190" s="74"/>
      </tp>
      <tp t="s">
        <v xml:space="preserve">                                                    -                                          </v>
        <stp/>
        <stp>f229940a-9dc1-44e5-9915-e0b0d51ddf99</stp>
        <tr r="H194" s="74"/>
      </tp>
      <tp>
        <v>0</v>
        <stp/>
        <stp>1e51292a-5674-4566-a2c9-be23f0d341af</stp>
        <tr r="I190" s="74"/>
      </tp>
      <tp>
        <v>0</v>
        <stp/>
        <stp>3d0f3eba-cb91-4ed8-9604-3cee4be7a2a5</stp>
        <tr r="O190" s="74"/>
      </tp>
      <tp t="e">
        <v>#N/A</v>
        <stp/>
        <stp>c07039d2-d956-4612-8f25-121b1e2eac6f</stp>
        <tr r="F8" s="65"/>
      </tp>
      <tp>
        <v>0</v>
        <stp/>
        <stp>78666b11-a02e-4d3a-8b3c-bd9d4060ed7f</stp>
        <tr r="I191" s="74"/>
      </tp>
      <tp t="s">
        <v>Chico's FAS Inc</v>
        <stp/>
        <stp>fc13e407-86ee-43f3-bf3f-e891a945a7a5</stp>
        <tr r="C4" s="74"/>
      </tp>
      <tp>
        <v>113</v>
        <stp/>
        <stp>046ac07c-6c3e-49ca-ab97-ee8bc61a2b73</stp>
        <tr r="H79" s="74"/>
      </tp>
      <tp>
        <v>0</v>
        <stp/>
        <stp>e44b9efd-6d93-476c-9fc6-cdf96a286988</stp>
        <tr r="L190" s="74"/>
      </tp>
      <tp>
        <v>0</v>
        <stp/>
        <stp>e5b836c1-2821-464c-9910-4b61cc1b1963</stp>
        <tr r="N190" s="74"/>
      </tp>
      <tp>
        <v>0</v>
        <stp/>
        <stp>19d87cb6-2ad8-4618-acb4-aa8c66d5c9c8</stp>
        <tr r="K190" s="74"/>
      </tp>
      <tp t="e">
        <v>#N/A</v>
        <stp/>
        <stp>8fbf80fd-96c1-4f20-ae44-30ceabe81e3d</stp>
        <tr r="F20" s="65"/>
      </tp>
      <tp>
        <v>86</v>
        <stp/>
        <stp>4e5b06e6-2973-4749-a42e-eebda65ebece</stp>
        <tr r="H81" s="74"/>
      </tp>
      <tp>
        <v>0</v>
        <stp/>
        <stp>192c7f83-5340-4b14-8e30-656c95c4125a</stp>
        <tr r="G56" s="74"/>
      </tp>
      <tp>
        <v>122</v>
        <stp/>
        <stp>7359c10f-f60d-4b9b-8790-d161ce12d995</stp>
        <tr r="H78" s="74"/>
      </tp>
      <tp>
        <v>0</v>
        <stp/>
        <stp>c90b1cbb-7da8-41d3-a8ce-48354e77f38f</stp>
        <tr r="M190" s="74"/>
      </tp>
      <tp t="s">
        <v xml:space="preserve">                                                    -                                          </v>
        <stp/>
        <stp>7700b6f0-f452-48df-99a2-d0e020a06395</stp>
        <tr r="H195" s="74"/>
      </tp>
      <tp t="e">
        <v>#N/A</v>
        <stp/>
        <stp>ff921cbe-0b06-4642-af1b-8df601371043</stp>
        <tr r="F4" s="65"/>
      </tp>
      <tp>
        <v>100</v>
        <stp/>
        <stp>b68113ed-01bf-41dd-bb32-d2ccd7711329</stp>
        <tr r="H80" s="74"/>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externalLinks/externalLink1.xml" Type="http://schemas.openxmlformats.org/officeDocument/2006/relationships/externalLink"/>
<Relationship Id="rId23" Target="externalLinks/externalLink2.xml" Type="http://schemas.openxmlformats.org/officeDocument/2006/relationships/externalLink"/>
<Relationship Id="rId24" Target="externalLinks/externalLink3.xml" Type="http://schemas.openxmlformats.org/officeDocument/2006/relationships/externalLink"/>
<Relationship Id="rId25" Target="externalLinks/externalLink4.xml" Type="http://schemas.openxmlformats.org/officeDocument/2006/relationships/externalLink"/>
<Relationship Id="rId26" Target="externalLinks/externalLink5.xml" Type="http://schemas.openxmlformats.org/officeDocument/2006/relationships/externalLink"/>
<Relationship Id="rId27" Target="externalLinks/externalLink6.xml" Type="http://schemas.openxmlformats.org/officeDocument/2006/relationships/externalLink"/>
<Relationship Id="rId28" Target="externalLinks/externalLink7.xml" Type="http://schemas.openxmlformats.org/officeDocument/2006/relationships/externalLink"/>
<Relationship Id="rId29" Target="externalLinks/externalLink8.xml" Type="http://schemas.openxmlformats.org/officeDocument/2006/relationships/externalLink"/>
<Relationship Id="rId3" Target="worksheets/sheet3.xml" Type="http://schemas.openxmlformats.org/officeDocument/2006/relationships/worksheet"/>
<Relationship Id="rId30" Target="externalLinks/externalLink9.xml" Type="http://schemas.openxmlformats.org/officeDocument/2006/relationships/externalLink"/>
<Relationship Id="rId31" Target="externalLinks/externalLink10.xml" Type="http://schemas.openxmlformats.org/officeDocument/2006/relationships/externalLink"/>
<Relationship Id="rId32" Target="externalLinks/externalLink11.xml" Type="http://schemas.openxmlformats.org/officeDocument/2006/relationships/externalLink"/>
<Relationship Id="rId33" Target="externalLinks/externalLink12.xml" Type="http://schemas.openxmlformats.org/officeDocument/2006/relationships/externalLink"/>
<Relationship Id="rId34" Target="externalLinks/externalLink13.xml" Type="http://schemas.openxmlformats.org/officeDocument/2006/relationships/externalLink"/>
<Relationship Id="rId35" Target="externalLinks/externalLink14.xml" Type="http://schemas.openxmlformats.org/officeDocument/2006/relationships/externalLink"/>
<Relationship Id="rId36" Target="externalLinks/externalLink15.xml" Type="http://schemas.openxmlformats.org/officeDocument/2006/relationships/externalLink"/>
<Relationship Id="rId37" Target="theme/theme1.xml" Type="http://schemas.openxmlformats.org/officeDocument/2006/relationships/theme"/>
<Relationship Id="rId38" Target="styles.xml" Type="http://schemas.openxmlformats.org/officeDocument/2006/relationships/styles"/>
<Relationship Id="rId39" Target="sharedStrings.xml" Type="http://schemas.openxmlformats.org/officeDocument/2006/relationships/sharedStrings"/>
<Relationship Id="rId4" Target="worksheets/sheet4.xml" Type="http://schemas.openxmlformats.org/officeDocument/2006/relationships/worksheet"/>
<Relationship Id="rId40" Target="calcChain.xml" Type="http://schemas.openxmlformats.org/officeDocument/2006/relationships/calcChain"/>
<Relationship Id="rId41" Target="../customXml/item1.xml" Type="http://schemas.openxmlformats.org/officeDocument/2006/relationships/customXml"/>
<Relationship Id="rId42" Target="../customXml/item2.xml" Type="http://schemas.openxmlformats.org/officeDocument/2006/relationships/customXml"/>
<Relationship Id="rId43" Target="volatileDependencies.xml" Type="http://schemas.openxmlformats.org/officeDocument/2006/relationships/volatileDependencies"/>
<Relationship Id="rId44"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5.png" Type="http://schemas.openxmlformats.org/officeDocument/2006/relationships/image"/>
</Relationships>

</file>

<file path=xl/drawings/_rels/vmlDrawing13.vml.rels><?xml version="1.0" encoding="UTF-8" standalone="yes"?>
<Relationships xmlns="http://schemas.openxmlformats.org/package/2006/relationships">
<Relationship Id="rId1" Target="../media/image4.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161</xdr:row>
      <xdr:rowOff>0</xdr:rowOff>
    </xdr:from>
    <xdr:to>
      <xdr:col>7</xdr:col>
      <xdr:colOff>390525</xdr:colOff>
      <xdr:row>184</xdr:row>
      <xdr:rowOff>104775</xdr:rowOff>
    </xdr:to>
    <xdr:pic>
      <xdr:nvPicPr>
        <xdr:cNvPr id="6998017" name="Picture 1" descr="C:\Users\edouardd\AppData\Local\Temp\MercuryPriceRatingHistoryChart\CHS.N_2018_04_08_18_54_30.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46983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absoluteAnchor>
    <xdr:pos x="19050" y="609600"/>
    <xdr:ext cx="7259171" cy="376518"/>
    <xdr:sp macro="" textlink="">
      <xdr:nvSpPr>
        <xdr:cNvPr id="2" name="Text Box 7"/>
        <xdr:cNvSpPr txBox="1">
          <a:spLocks noChangeArrowheads="1"/>
        </xdr:cNvSpPr>
      </xdr:nvSpPr>
      <xdr:spPr bwMode="auto">
        <a:xfrm>
          <a:off x="19050" y="609600"/>
          <a:ext cx="7259171" cy="3765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1. Enter Ticker in I3 and press refresh button.</a:t>
          </a:r>
        </a:p>
        <a:p>
          <a:pPr algn="l" rtl="0">
            <a:defRPr sz="1000"/>
          </a:pPr>
          <a:r>
            <a:rPr lang="en-GB" sz="1000" b="0" i="0" u="none" strike="noStrike" baseline="0">
              <a:solidFill>
                <a:srgbClr val="000000"/>
              </a:solidFill>
              <a:latin typeface="Arial"/>
              <a:cs typeface="Arial"/>
            </a:rPr>
            <a:t>2. Check all data in </a:t>
          </a:r>
          <a:r>
            <a:rPr lang="en-GB" sz="1000" b="1" i="0" u="none" strike="noStrike" baseline="0">
              <a:solidFill>
                <a:srgbClr val="0000FF"/>
              </a:solidFill>
              <a:latin typeface="Arial"/>
              <a:cs typeface="Arial"/>
            </a:rPr>
            <a:t>blue</a:t>
          </a:r>
          <a:r>
            <a:rPr lang="en-GB" sz="1000" b="0" i="0" u="none" strike="noStrike" baseline="0">
              <a:solidFill>
                <a:srgbClr val="000000"/>
              </a:solidFill>
              <a:latin typeface="Arial"/>
              <a:cs typeface="Arial"/>
            </a:rPr>
            <a:t> for accuracy.</a:t>
          </a:r>
          <a:endParaRPr lang="en-GB" sz="1000" b="1" i="0" u="none" strike="noStrike" baseline="0">
            <a:solidFill>
              <a:srgbClr val="000000"/>
            </a:solidFill>
            <a:latin typeface="Arial"/>
            <a:cs typeface="Arial"/>
          </a:endParaRPr>
        </a:p>
        <a:p>
          <a:pPr algn="l" rtl="0">
            <a:defRPr sz="1000"/>
          </a:pPr>
          <a:endParaRPr lang="en-GB" sz="1000" b="1" i="0" u="none" strike="noStrike" baseline="0">
            <a:solidFill>
              <a:srgbClr val="000000"/>
            </a:solidFill>
            <a:latin typeface="Arial"/>
            <a:cs typeface="Arial"/>
          </a:endParaRPr>
        </a:p>
      </xdr:txBody>
    </xdr:sp>
    <xdr:clientData/>
  </xdr:absoluteAnchor>
  <xdr:twoCellAnchor>
    <xdr:from>
      <xdr:col>2</xdr:col>
      <xdr:colOff>66675</xdr:colOff>
      <xdr:row>0</xdr:row>
      <xdr:rowOff>19050</xdr:rowOff>
    </xdr:from>
    <xdr:to>
      <xdr:col>4</xdr:col>
      <xdr:colOff>57150</xdr:colOff>
      <xdr:row>0</xdr:row>
      <xdr:rowOff>447675</xdr:rowOff>
    </xdr:to>
    <xdr:pic>
      <xdr:nvPicPr>
        <xdr:cNvPr id="6955912" name="Picture 8" descr="MS ModelWar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9050"/>
          <a:ext cx="17811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485775</xdr:colOff>
          <xdr:row>1</xdr:row>
          <xdr:rowOff>57150</xdr:rowOff>
        </xdr:from>
        <xdr:to>
          <xdr:col>16</xdr:col>
          <xdr:colOff>352425</xdr:colOff>
          <xdr:row>1</xdr:row>
          <xdr:rowOff>381000</xdr:rowOff>
        </xdr:to>
        <xdr:sp macro="" textlink="">
          <xdr:nvSpPr>
            <xdr:cNvPr id="6955028" name="CommandButton2" hidden="1">
              <a:extLst>
                <a:ext uri="{63B3BB69-23CF-44E3-9099-C40C66FF867C}">
                  <a14:compatExt spid="_x0000_s6955028"/>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RETAIL/Softlines/Apparel/Earnings/At%20a%20Glance.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RETAIL/Apparel/Earnings/Bull%20Bear%20Base%20Charts_2.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RETAIL/Softlines/Apparel/Analyses/GPS/2009_10%20Note/GPS_analyst%20meeting%20charts_SMU_2009_10_15.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RETAIL/Softlines/Apparel/Valuation/Softlines%20Playbook.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RETAIL/Softlines/Apparel/ANALYSES/Industry/INDUSTRY%20STATS/Summary_Industry_2011.xls" TargetMode="External" Type="http://schemas.microsoft.com/office/2006/relationships/xlExternalLinkPath/xlAlternateStartup"/>
</Relationships>

</file>

<file path=xl/externalLinks/_rels/externalLink10.xml.rels><?xml version="1.0" encoding="UTF-8" standalone="yes"?>
<Relationships xmlns="http://schemas.openxmlformats.org/package/2006/relationships">
<Relationship Id="rId1" Target="RETAIL/Softlines/Apparel/Analyses/GPS/2010_01%20Note/GPS_Rosk%20Reward%20View%20Analyses_021010.xls" TargetMode="External" Type="http://schemas.microsoft.com/office/2006/relationships/xlExternalLinkPath/xlAlternateStartup"/>
</Relationships>

</file>

<file path=xl/externalLinks/_rels/externalLink11.xml.rels><?xml version="1.0" encoding="UTF-8" standalone="yes"?>
<Relationships xmlns="http://schemas.openxmlformats.org/package/2006/relationships">
<Relationship Id="rId1" Target="RETAIL/Softlines/Apparel/MODELS/WORKING%20MODELS/M_working2.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RETAIL/Greenberger/Companies/JWN/Model/JWN_Model2.xls" TargetMode="External" Type="http://schemas.microsoft.com/office/2006/relationships/xlExternalLinkPath/xlAlternateStartup"/>
</Relationships>

</file>

<file path=xl/externalLinks/_rels/externalLink13.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4.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Good 12-00 (2)"/>
      <sheetName val="Good 11-36"/>
      <sheetName val="Good 11-50"/>
      <sheetName val="Sheet3 (5)"/>
      <sheetName val="Inputs"/>
      <sheetName val="Interims"/>
      <sheetName val="Financial Statements"/>
      <sheetName val="FX"/>
      <sheetName val="CPB"/>
      <sheetName val="Total_Food_Promo"/>
      <sheetName val="CPB_2yr"/>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WP Detail "/>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Sheet4"/>
      <sheetName val="ForeignStake"/>
      <sheetName val="Model"/>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ommodity Index"/>
      <sheetName val="Prices_Quarterly"/>
      <sheetName val="Inflation_Monthly"/>
      <sheetName val="Inflation_Quarterly"/>
      <sheetName val="Prices_Monthly"/>
      <sheetName val="Exposure"/>
      <sheetName val="Chart 6"/>
      <sheetName val="Front page benchmarks_9x3"/>
      <sheetName val="Front page benchmarks_6x5"/>
      <sheetName val="Benchmarks_All_gray2"/>
      <sheetName val="Sector yardstick_OLD"/>
      <sheetName val="Front page benchmarks_6x3"/>
      <sheetName val="Benchmarks_All_gray1"/>
      <sheetName val="P&amp;L"/>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ables"/>
      <sheetName val="URBN Sales"/>
      <sheetName val="JWN Variance Chart"/>
      <sheetName val="JCP Variance Chart"/>
      <sheetName val="COH Variance Chart Data"/>
      <sheetName val="TJX Variance Chart Data"/>
      <sheetName val="SKS Variance Chart Data"/>
      <sheetName val="KSS Variance Chart Data"/>
      <sheetName val="M Variance Chart Data"/>
      <sheetName val="LTD Variance Chart Data"/>
      <sheetName val="VS. Consensus"/>
    </sheetNames>
    <sheetDataSet>
      <sheetData sheetId="0"/>
      <sheetData sheetId="1">
        <row r="1">
          <cell r="A1" t="str">
            <v>COH</v>
          </cell>
        </row>
        <row r="2">
          <cell r="A2" t="str">
            <v>As a % of Sales</v>
          </cell>
          <cell r="B2" t="str">
            <v>3Q10</v>
          </cell>
          <cell r="C2" t="str">
            <v>3Q09</v>
          </cell>
          <cell r="D2" t="str">
            <v>MS Estimate</v>
          </cell>
          <cell r="F2" t="str">
            <v>y/y∆ (bp)</v>
          </cell>
          <cell r="G2" t="str">
            <v>∆ vs 
Est. (bp)</v>
          </cell>
          <cell r="J2" t="str">
            <v>FQ1</v>
          </cell>
          <cell r="K2" t="str">
            <v>FQ2</v>
          </cell>
          <cell r="L2" t="str">
            <v>FQ3</v>
          </cell>
          <cell r="M2" t="str">
            <v>FY1</v>
          </cell>
          <cell r="N2" t="str">
            <v>FY2</v>
          </cell>
        </row>
        <row r="3">
          <cell r="A3" t="str">
            <v>Gross Income</v>
          </cell>
          <cell r="B3">
            <v>0.74116245487364618</v>
          </cell>
          <cell r="C3">
            <v>0.7096030889032745</v>
          </cell>
          <cell r="D3">
            <v>0.72560308890327452</v>
          </cell>
          <cell r="F3">
            <v>315.59365970371675</v>
          </cell>
          <cell r="G3">
            <v>155.59365970371664</v>
          </cell>
          <cell r="I3" t="str">
            <v>Consensus</v>
          </cell>
          <cell r="J3">
            <v>0.72</v>
          </cell>
          <cell r="K3">
            <v>0.42599999999999999</v>
          </cell>
          <cell r="M3">
            <v>2.081</v>
          </cell>
          <cell r="N3">
            <v>2.2749999999999999</v>
          </cell>
        </row>
        <row r="4">
          <cell r="A4" t="str">
            <v>SG&amp;A Expense</v>
          </cell>
          <cell r="B4">
            <v>0.44097833935018049</v>
          </cell>
          <cell r="C4">
            <v>0.44101067790723286</v>
          </cell>
          <cell r="D4">
            <v>0.43692237117798643</v>
          </cell>
          <cell r="F4">
            <v>-0.32338557052369321</v>
          </cell>
          <cell r="G4">
            <v>40.559681721940578</v>
          </cell>
          <cell r="I4" t="str">
            <v>MS Est.</v>
          </cell>
          <cell r="J4">
            <v>0.7264395435116795</v>
          </cell>
          <cell r="K4">
            <v>0.44398364879993413</v>
          </cell>
          <cell r="L4">
            <v>0.52239948825870619</v>
          </cell>
          <cell r="M4">
            <v>2.1327424509456789</v>
          </cell>
          <cell r="N4">
            <v>2.3543180587690742</v>
          </cell>
        </row>
        <row r="5">
          <cell r="A5" t="str">
            <v>Operating Income</v>
          </cell>
          <cell r="B5">
            <v>0.30018411552346569</v>
          </cell>
          <cell r="C5">
            <v>0.26859241099604159</v>
          </cell>
          <cell r="D5">
            <v>0.28868071772528814</v>
          </cell>
          <cell r="F5">
            <v>315.91704527424105</v>
          </cell>
          <cell r="G5">
            <v>115.03397798177551</v>
          </cell>
          <cell r="I5" t="str">
            <v>MS/C</v>
          </cell>
          <cell r="J5">
            <v>6.4395435116795241E-3</v>
          </cell>
          <cell r="K5">
            <v>1.7983648799934138E-2</v>
          </cell>
          <cell r="L5">
            <v>0.52239948825870619</v>
          </cell>
          <cell r="M5">
            <v>5.1742450945678975E-2</v>
          </cell>
          <cell r="N5">
            <v>7.9318058769074273E-2</v>
          </cell>
        </row>
        <row r="6">
          <cell r="A6" t="str">
            <v>Interest Expense</v>
          </cell>
          <cell r="B6">
            <v>-1.2515042117930205E-4</v>
          </cell>
          <cell r="C6">
            <v>1.6352699344135126E-4</v>
          </cell>
          <cell r="D6">
            <v>-1.7061939941546975E-3</v>
          </cell>
          <cell r="F6">
            <v>-2.8867741462065335</v>
          </cell>
          <cell r="G6">
            <v>15.810435729753955</v>
          </cell>
          <cell r="I6" t="str">
            <v>M Guidance</v>
          </cell>
          <cell r="J6">
            <v>0.67</v>
          </cell>
          <cell r="K6" t="str">
            <v>NA</v>
          </cell>
          <cell r="L6" t="str">
            <v>NA</v>
          </cell>
          <cell r="M6">
            <v>2.25</v>
          </cell>
          <cell r="N6" t="str">
            <v>NA</v>
          </cell>
        </row>
        <row r="7">
          <cell r="A7" t="str">
            <v>Earnings b4 Taxes</v>
          </cell>
          <cell r="B7">
            <v>0.30030926594464497</v>
          </cell>
          <cell r="C7">
            <v>0.26842888400260023</v>
          </cell>
          <cell r="D7">
            <v>0.29038691171944286</v>
          </cell>
          <cell r="F7">
            <v>318.80381942044733</v>
          </cell>
          <cell r="G7">
            <v>99.223542252021019</v>
          </cell>
          <cell r="I7" t="str">
            <v>N Guidance</v>
          </cell>
        </row>
        <row r="8">
          <cell r="A8" t="str">
            <v>Net Income</v>
          </cell>
          <cell r="B8">
            <v>0.19009265944645004</v>
          </cell>
          <cell r="C8">
            <v>0.16642588105235703</v>
          </cell>
          <cell r="D8">
            <v>0.182943754383249</v>
          </cell>
          <cell r="F8">
            <v>236.66778394093006</v>
          </cell>
          <cell r="G8">
            <v>71.48905063201039</v>
          </cell>
        </row>
        <row r="10">
          <cell r="A10" t="str">
            <v>EPS</v>
          </cell>
          <cell r="B10">
            <v>0.50314371257485024</v>
          </cell>
          <cell r="C10">
            <v>0.38320548925642983</v>
          </cell>
          <cell r="D10">
            <v>0.46802614782621577</v>
          </cell>
          <cell r="F10">
            <v>0.11993822331842041</v>
          </cell>
          <cell r="G10">
            <v>3.5117564748634478E-2</v>
          </cell>
        </row>
        <row r="12">
          <cell r="A12" t="str">
            <v>EPS Upsides/Downsides</v>
          </cell>
        </row>
        <row r="13">
          <cell r="A13" t="str">
            <v>Revenues</v>
          </cell>
          <cell r="B13">
            <v>1.3795699767058796E-2</v>
          </cell>
        </row>
        <row r="14">
          <cell r="A14" t="str">
            <v>Operating Margin</v>
          </cell>
          <cell r="B14">
            <v>1.8744559330757776E-2</v>
          </cell>
        </row>
        <row r="15">
          <cell r="A15" t="str">
            <v>Interest Expense</v>
          </cell>
          <cell r="B15">
            <v>-2.5705300518566792E-3</v>
          </cell>
        </row>
        <row r="16">
          <cell r="A16" t="str">
            <v>Tax Rate</v>
          </cell>
          <cell r="B16">
            <v>2.376385526818688E-3</v>
          </cell>
        </row>
        <row r="17">
          <cell r="A17" t="str">
            <v>Share Count</v>
          </cell>
          <cell r="B17">
            <v>3.11827661271602E-3</v>
          </cell>
        </row>
        <row r="18">
          <cell r="A18" t="str">
            <v>Total</v>
          </cell>
          <cell r="B18">
            <v>3.5464391185494604E-2</v>
          </cell>
        </row>
        <row r="20">
          <cell r="A20" t="str">
            <v>M</v>
          </cell>
        </row>
        <row r="21">
          <cell r="A21" t="str">
            <v>As a % of Sales</v>
          </cell>
          <cell r="B21" t="str">
            <v>4Q09</v>
          </cell>
          <cell r="C21" t="str">
            <v>4Q08</v>
          </cell>
          <cell r="D21" t="str">
            <v>MS Est.</v>
          </cell>
          <cell r="F21" t="str">
            <v>y/y∆ (bp)</v>
          </cell>
          <cell r="G21" t="str">
            <v>∆ vs MS
Est. (bp)</v>
          </cell>
          <cell r="J21" t="str">
            <v>FQ1</v>
          </cell>
          <cell r="K21" t="str">
            <v>FQ2</v>
          </cell>
          <cell r="M21" t="str">
            <v>FY1</v>
          </cell>
          <cell r="N21" t="str">
            <v>FY2</v>
          </cell>
        </row>
        <row r="22">
          <cell r="A22" t="str">
            <v>Same Store Sales</v>
          </cell>
          <cell r="B22">
            <v>-8.0000000000000002E-3</v>
          </cell>
          <cell r="C22">
            <v>-7.0000000000000007E-2</v>
          </cell>
          <cell r="D22">
            <v>-5.8421857088268997E-3</v>
          </cell>
          <cell r="F22">
            <v>620.00000000000011</v>
          </cell>
          <cell r="G22">
            <v>-21.578142911731003</v>
          </cell>
        </row>
        <row r="23">
          <cell r="A23" t="str">
            <v>Gross Income</v>
          </cell>
          <cell r="B23">
            <v>0.41686839087781885</v>
          </cell>
          <cell r="C23">
            <v>0.39349634484497104</v>
          </cell>
          <cell r="D23">
            <v>0.4229823306319937</v>
          </cell>
          <cell r="F23">
            <v>233.72046032847814</v>
          </cell>
          <cell r="G23">
            <v>-61.139397541748465</v>
          </cell>
          <cell r="I23" t="str">
            <v>Consensus</v>
          </cell>
          <cell r="J23">
            <v>-7.0000000000000007E-2</v>
          </cell>
          <cell r="K23">
            <v>1.1399999999999999</v>
          </cell>
          <cell r="M23">
            <v>1.1499999999999999</v>
          </cell>
          <cell r="N23">
            <v>1.47</v>
          </cell>
          <cell r="P23" t="str">
            <v>Bloomberg as of 8/11/09</v>
          </cell>
        </row>
        <row r="24">
          <cell r="A24" t="str">
            <v>SG&amp;A Expense</v>
          </cell>
          <cell r="B24">
            <v>0.2818193400433176</v>
          </cell>
          <cell r="C24">
            <v>0.28434585328963952</v>
          </cell>
          <cell r="D24">
            <v>0.29238058846006876</v>
          </cell>
          <cell r="F24">
            <v>-25.265132463219153</v>
          </cell>
          <cell r="G24">
            <v>-105.61248416751157</v>
          </cell>
          <cell r="I24" t="str">
            <v>MS Est.</v>
          </cell>
          <cell r="J24">
            <v>1.3152087854175281</v>
          </cell>
          <cell r="K24">
            <v>1.22</v>
          </cell>
          <cell r="M24">
            <v>1.25</v>
          </cell>
          <cell r="N24">
            <v>1.36</v>
          </cell>
        </row>
        <row r="25">
          <cell r="A25" t="str">
            <v>Operating Income</v>
          </cell>
          <cell r="B25">
            <v>0.13504905083450122</v>
          </cell>
          <cell r="C25">
            <v>0.10915049155533149</v>
          </cell>
          <cell r="D25">
            <v>0.13060174217192488</v>
          </cell>
          <cell r="F25">
            <v>258.98559279169729</v>
          </cell>
          <cell r="G25">
            <v>44.473086625763379</v>
          </cell>
          <cell r="I25" t="str">
            <v>MS/C</v>
          </cell>
          <cell r="K25">
            <v>8.0000000000000071E-2</v>
          </cell>
          <cell r="M25">
            <v>0.10000000000000009</v>
          </cell>
          <cell r="N25">
            <v>-0.10999999999999988</v>
          </cell>
        </row>
        <row r="26">
          <cell r="A26" t="str">
            <v>Interest Expense</v>
          </cell>
          <cell r="B26">
            <v>1.7709262326411009E-2</v>
          </cell>
          <cell r="C26">
            <v>1.8023695487774136E-2</v>
          </cell>
          <cell r="D26">
            <v>1.6762872564004581E-2</v>
          </cell>
          <cell r="F26">
            <v>-3.1443316136312709</v>
          </cell>
          <cell r="G26">
            <v>9.4638976240642858</v>
          </cell>
          <cell r="I26" t="str">
            <v>MG</v>
          </cell>
        </row>
        <row r="27">
          <cell r="A27" t="str">
            <v>Earnings b4 Taxes</v>
          </cell>
          <cell r="B27">
            <v>9.3642502229583383E-2</v>
          </cell>
          <cell r="C27">
            <v>6.3524073607259895E-2</v>
          </cell>
          <cell r="D27">
            <v>8.9001269302226765E-2</v>
          </cell>
          <cell r="F27">
            <v>301.18428622323489</v>
          </cell>
          <cell r="G27">
            <v>46.412329273566172</v>
          </cell>
          <cell r="I27" t="str">
            <v>NMG</v>
          </cell>
        </row>
        <row r="28">
          <cell r="A28" t="str">
            <v>Tax Rate</v>
          </cell>
          <cell r="B28">
            <v>0.37893593919652552</v>
          </cell>
          <cell r="C28">
            <v>0.38035961272475793</v>
          </cell>
          <cell r="D28">
            <v>0.40020087706019697</v>
          </cell>
          <cell r="F28">
            <v>-14.236735282324165</v>
          </cell>
          <cell r="G28">
            <v>-212.64937863671452</v>
          </cell>
        </row>
        <row r="29">
          <cell r="A29" t="str">
            <v>Net Income</v>
          </cell>
          <cell r="B29">
            <v>5.6695120397502866E-2</v>
          </cell>
          <cell r="C29">
            <v>5.6000000000000001E-2</v>
          </cell>
          <cell r="D29">
            <v>5.6070438993390141E-2</v>
          </cell>
          <cell r="F29">
            <v>6.9512039750286441</v>
          </cell>
          <cell r="G29">
            <v>6.2468140411272435</v>
          </cell>
        </row>
        <row r="31">
          <cell r="A31" t="str">
            <v>EPS</v>
          </cell>
          <cell r="B31">
            <v>1.3487385050695591</v>
          </cell>
          <cell r="C31">
            <v>1.2932312985703269</v>
          </cell>
          <cell r="D31">
            <v>1.3152087854175281</v>
          </cell>
          <cell r="F31">
            <v>5.5507206499232131E-2</v>
          </cell>
          <cell r="G31">
            <v>3.3529719652030998E-2</v>
          </cell>
        </row>
        <row r="33">
          <cell r="A33" t="str">
            <v>EPS Upsides/Downsides</v>
          </cell>
        </row>
        <row r="34">
          <cell r="A34" t="str">
            <v>Sales Variance</v>
          </cell>
          <cell r="B34">
            <v>-3.436359757770527E-4</v>
          </cell>
        </row>
        <row r="35">
          <cell r="A35" t="str">
            <v>Gross Margin</v>
          </cell>
          <cell r="B35">
            <v>-7.028610225707739E-2</v>
          </cell>
        </row>
        <row r="36">
          <cell r="A36" t="str">
            <v>SG&amp;A</v>
          </cell>
          <cell r="B36">
            <v>0.12141254510649906</v>
          </cell>
        </row>
        <row r="37">
          <cell r="A37" t="str">
            <v>Operating Margin</v>
          </cell>
          <cell r="B37">
            <v>5.1126442849421666E-2</v>
          </cell>
        </row>
        <row r="38">
          <cell r="A38" t="str">
            <v>Interest Expense</v>
          </cell>
          <cell r="B38">
            <v>-1.0827872995755723E-2</v>
          </cell>
        </row>
        <row r="39">
          <cell r="A39" t="str">
            <v>Tax Rate</v>
          </cell>
          <cell r="B39">
            <v>1.3911813251584314E-4</v>
          </cell>
        </row>
        <row r="40">
          <cell r="A40" t="str">
            <v>Shares</v>
          </cell>
          <cell r="B40">
            <v>-6.7117318972655937E-3</v>
          </cell>
        </row>
        <row r="41">
          <cell r="A41" t="str">
            <v>Total</v>
          </cell>
          <cell r="B41">
            <v>3.3382320113139144E-2</v>
          </cell>
        </row>
        <row r="43">
          <cell r="A43" t="str">
            <v>JCP</v>
          </cell>
        </row>
        <row r="44">
          <cell r="A44" t="str">
            <v>As a % of Sales</v>
          </cell>
          <cell r="B44" t="str">
            <v>2Q09</v>
          </cell>
          <cell r="C44" t="str">
            <v>2Q08</v>
          </cell>
          <cell r="D44" t="str">
            <v>MS Est.</v>
          </cell>
          <cell r="F44" t="str">
            <v>y/y∆ (bp)</v>
          </cell>
          <cell r="G44" t="str">
            <v>∆ vs MS
Est. (bp)</v>
          </cell>
          <cell r="J44" t="str">
            <v>FQ1</v>
          </cell>
          <cell r="K44" t="str">
            <v>FQ2</v>
          </cell>
          <cell r="L44" t="str">
            <v>FY1</v>
          </cell>
          <cell r="M44" t="str">
            <v>FY2</v>
          </cell>
        </row>
        <row r="45">
          <cell r="A45" t="str">
            <v>Gross Income</v>
          </cell>
          <cell r="B45">
            <v>0.39052747901801327</v>
          </cell>
          <cell r="C45">
            <v>0.40880043961122103</v>
          </cell>
          <cell r="D45">
            <v>0.37998198198198196</v>
          </cell>
          <cell r="F45">
            <v>-182.72960593207765</v>
          </cell>
          <cell r="G45">
            <v>105.45497036031304</v>
          </cell>
          <cell r="I45" t="str">
            <v>Consensus</v>
          </cell>
          <cell r="J45">
            <v>-0.01</v>
          </cell>
          <cell r="K45">
            <v>0.13</v>
          </cell>
          <cell r="L45">
            <v>0.88</v>
          </cell>
          <cell r="M45">
            <v>1.36</v>
          </cell>
          <cell r="N45" t="str">
            <v>Bloomberg</v>
          </cell>
          <cell r="O45">
            <v>40038</v>
          </cell>
        </row>
        <row r="46">
          <cell r="A46" t="str">
            <v>SG&amp;A Expense</v>
          </cell>
          <cell r="B46">
            <v>0.3160165321976135</v>
          </cell>
          <cell r="C46">
            <v>0.33123431892985855</v>
          </cell>
          <cell r="D46">
            <v>0.27389189189189189</v>
          </cell>
          <cell r="F46">
            <v>-152.17786732245054</v>
          </cell>
          <cell r="G46">
            <v>421.24640305721607</v>
          </cell>
          <cell r="I46" t="str">
            <v>MS Est.</v>
          </cell>
          <cell r="J46">
            <v>0.8553594903233469</v>
          </cell>
          <cell r="K46">
            <v>0.13</v>
          </cell>
          <cell r="L46">
            <v>0.87</v>
          </cell>
          <cell r="M46">
            <v>1.33</v>
          </cell>
        </row>
        <row r="47">
          <cell r="A47" t="str">
            <v>Operating Income</v>
          </cell>
          <cell r="B47">
            <v>2.7892927545231563E-2</v>
          </cell>
          <cell r="C47">
            <v>3.1873435876103265E-2</v>
          </cell>
          <cell r="D47">
            <v>6.9661501885608032E-2</v>
          </cell>
          <cell r="F47">
            <v>-39.805083308717023</v>
          </cell>
          <cell r="G47">
            <v>-417.68574340376466</v>
          </cell>
          <cell r="I47" t="str">
            <v>MS/C</v>
          </cell>
          <cell r="J47">
            <v>0.86535949032334691</v>
          </cell>
          <cell r="K47">
            <v>0</v>
          </cell>
          <cell r="L47">
            <v>-1.0000000000000009E-2</v>
          </cell>
          <cell r="M47">
            <v>-3.0000000000000027E-2</v>
          </cell>
        </row>
        <row r="48">
          <cell r="A48" t="str">
            <v>Interest Expense</v>
          </cell>
          <cell r="B48">
            <v>0</v>
          </cell>
          <cell r="C48">
            <v>0</v>
          </cell>
          <cell r="D48">
            <v>0</v>
          </cell>
          <cell r="F48">
            <v>0</v>
          </cell>
          <cell r="G48">
            <v>0</v>
          </cell>
          <cell r="I48" t="str">
            <v>MG</v>
          </cell>
        </row>
        <row r="49">
          <cell r="A49" t="str">
            <v>Earnings b4 Taxes</v>
          </cell>
          <cell r="B49">
            <v>138.16690201280809</v>
          </cell>
          <cell r="C49">
            <v>77.36492887791303</v>
          </cell>
          <cell r="D49">
            <v>20.474558308592531</v>
          </cell>
          <cell r="F49">
            <v>608019.73134895065</v>
          </cell>
          <cell r="G49">
            <v>1176923.4370421555</v>
          </cell>
          <cell r="I49" t="str">
            <v>MGN</v>
          </cell>
        </row>
        <row r="50">
          <cell r="A50" t="str">
            <v>Tax Rate</v>
          </cell>
          <cell r="B50">
            <v>0</v>
          </cell>
          <cell r="C50">
            <v>0</v>
          </cell>
          <cell r="D50">
            <v>0</v>
          </cell>
          <cell r="F50">
            <v>0</v>
          </cell>
          <cell r="G50">
            <v>0</v>
          </cell>
        </row>
        <row r="51">
          <cell r="A51" t="str">
            <v>Net Income</v>
          </cell>
          <cell r="B51">
            <v>85.658406517953949</v>
          </cell>
          <cell r="C51">
            <v>47.152740872066616</v>
          </cell>
          <cell r="D51">
            <v>10.820352277453523</v>
          </cell>
          <cell r="F51">
            <v>385056.65645887336</v>
          </cell>
          <cell r="G51">
            <v>748380.54240500426</v>
          </cell>
        </row>
        <row r="53">
          <cell r="A53" t="str">
            <v>EPS</v>
          </cell>
          <cell r="B53">
            <v>0.14074219483202524</v>
          </cell>
          <cell r="C53">
            <v>0.19354741634065173</v>
          </cell>
          <cell r="D53">
            <v>0.8553594903233469</v>
          </cell>
          <cell r="F53">
            <v>-5.2805221508626488E-2</v>
          </cell>
          <cell r="G53">
            <v>-0.71461729549132169</v>
          </cell>
        </row>
        <row r="55">
          <cell r="A55" t="str">
            <v>EPS Upsides/Downsides</v>
          </cell>
        </row>
        <row r="56">
          <cell r="A56" t="str">
            <v>Gross Margin</v>
          </cell>
          <cell r="B56">
            <v>-9.617582778843134E-2</v>
          </cell>
        </row>
        <row r="57">
          <cell r="A57" t="str">
            <v>Operating Expenses</v>
          </cell>
          <cell r="B57">
            <v>0.14882953124199277</v>
          </cell>
        </row>
        <row r="58">
          <cell r="A58" t="str">
            <v>Real Estate + Other Exp. (Inc.)</v>
          </cell>
          <cell r="B58">
            <v>-5.5156676128457718E-2</v>
          </cell>
        </row>
        <row r="59">
          <cell r="A59" t="str">
            <v>Operating Income</v>
          </cell>
          <cell r="B59">
            <v>-2.5029726748962895E-3</v>
          </cell>
        </row>
        <row r="60">
          <cell r="A60" t="str">
            <v>LIFO Charge</v>
          </cell>
          <cell r="B60">
            <v>0</v>
          </cell>
        </row>
        <row r="61">
          <cell r="A61" t="str">
            <v>Interest Expense</v>
          </cell>
          <cell r="B61">
            <v>2.3887504428639367E-3</v>
          </cell>
        </row>
        <row r="62">
          <cell r="A62" t="str">
            <v>Tax Rate</v>
          </cell>
          <cell r="B62">
            <v>4.3826380109566214E-3</v>
          </cell>
        </row>
        <row r="63">
          <cell r="A63" t="str">
            <v>Shares</v>
          </cell>
          <cell r="B63">
            <v>1.3564864172863622E-3</v>
          </cell>
        </row>
        <row r="64">
          <cell r="A64" t="str">
            <v>Total</v>
          </cell>
          <cell r="B64">
            <v>5.6249021962106304E-3</v>
          </cell>
        </row>
        <row r="66">
          <cell r="A66" t="str">
            <v>KSS</v>
          </cell>
        </row>
        <row r="67">
          <cell r="A67" t="str">
            <v>As a % of Sales</v>
          </cell>
          <cell r="B67" t="str">
            <v>4Q09</v>
          </cell>
          <cell r="C67" t="str">
            <v>4Q08</v>
          </cell>
          <cell r="D67" t="str">
            <v>MS Est.</v>
          </cell>
          <cell r="F67" t="str">
            <v>y/y∆ (bp)</v>
          </cell>
          <cell r="G67" t="str">
            <v>∆ vs MS
Est. (bp)</v>
          </cell>
          <cell r="J67" t="str">
            <v>FQ1</v>
          </cell>
          <cell r="K67" t="str">
            <v>FQ2</v>
          </cell>
          <cell r="L67" t="str">
            <v>FY1</v>
          </cell>
          <cell r="M67" t="str">
            <v>FY2</v>
          </cell>
        </row>
        <row r="68">
          <cell r="A68" t="str">
            <v>Gross Income</v>
          </cell>
          <cell r="B68">
            <v>0.36430834213305174</v>
          </cell>
          <cell r="C68">
            <v>0.34804202483285579</v>
          </cell>
          <cell r="D68">
            <v>0.35754202483285574</v>
          </cell>
          <cell r="F68">
            <v>162.66317300195954</v>
          </cell>
          <cell r="G68">
            <v>67.663173001960004</v>
          </cell>
          <cell r="I68" t="str">
            <v>Consensus</v>
          </cell>
          <cell r="J68">
            <v>0.60699999999999998</v>
          </cell>
          <cell r="K68">
            <v>1.232</v>
          </cell>
          <cell r="L68">
            <v>3.0419999999999998</v>
          </cell>
          <cell r="M68">
            <v>3.4220000000000002</v>
          </cell>
          <cell r="N68" t="str">
            <v>Bloomberg</v>
          </cell>
          <cell r="O68">
            <v>40128</v>
          </cell>
        </row>
        <row r="69">
          <cell r="A69" t="str">
            <v>SG&amp;A Expense</v>
          </cell>
          <cell r="B69">
            <v>0.20943329813445971</v>
          </cell>
          <cell r="C69">
            <v>0.21050620821394461</v>
          </cell>
          <cell r="D69">
            <v>0.20550620821394461</v>
          </cell>
          <cell r="F69">
            <v>-10.72910079484901</v>
          </cell>
          <cell r="G69">
            <v>39.270899205151032</v>
          </cell>
          <cell r="I69" t="str">
            <v>MS Est.</v>
          </cell>
          <cell r="J69">
            <v>1.37</v>
          </cell>
          <cell r="K69">
            <v>1.27</v>
          </cell>
          <cell r="L69">
            <v>3.08</v>
          </cell>
          <cell r="M69">
            <v>3.59</v>
          </cell>
        </row>
        <row r="70">
          <cell r="A70" t="str">
            <v>Operating Income</v>
          </cell>
          <cell r="B70">
            <v>0.12706793382611756</v>
          </cell>
          <cell r="C70">
            <v>0.10945558739255014</v>
          </cell>
          <cell r="D70">
            <v>0.12398231433098438</v>
          </cell>
          <cell r="F70">
            <v>176.12346433567419</v>
          </cell>
          <cell r="G70">
            <v>30.856194951331823</v>
          </cell>
          <cell r="I70" t="str">
            <v>MS/C</v>
          </cell>
          <cell r="J70">
            <v>0.76300000000000012</v>
          </cell>
          <cell r="K70">
            <v>3.8000000000000034E-2</v>
          </cell>
          <cell r="L70">
            <v>3.8000000000000256E-2</v>
          </cell>
          <cell r="M70">
            <v>0.16799999999999971</v>
          </cell>
        </row>
        <row r="71">
          <cell r="A71" t="str">
            <v>Interest Expense</v>
          </cell>
          <cell r="B71">
            <v>5.4558254135867656E-3</v>
          </cell>
          <cell r="C71">
            <v>5.7306590257879654E-3</v>
          </cell>
          <cell r="D71">
            <v>5.8271922900633606E-3</v>
          </cell>
          <cell r="F71">
            <v>-2.7483361220119984</v>
          </cell>
          <cell r="G71">
            <v>-3.7136687647659499</v>
          </cell>
          <cell r="I71" t="str">
            <v>MG</v>
          </cell>
        </row>
        <row r="72">
          <cell r="A72" t="str">
            <v>Earnings b4 Taxes</v>
          </cell>
          <cell r="B72">
            <v>0.1216121084125308</v>
          </cell>
          <cell r="C72">
            <v>0.10372492836676218</v>
          </cell>
          <cell r="D72">
            <v>0.11815512204092102</v>
          </cell>
          <cell r="F72">
            <v>178.87180045768613</v>
          </cell>
          <cell r="G72">
            <v>34.5698637160978</v>
          </cell>
        </row>
        <row r="73">
          <cell r="A73" t="str">
            <v>Net Income</v>
          </cell>
          <cell r="B73">
            <v>7.5853572685674053E-2</v>
          </cell>
          <cell r="C73">
            <v>6.4183381088825209E-2</v>
          </cell>
          <cell r="D73">
            <v>7.3610641031493798E-2</v>
          </cell>
          <cell r="F73">
            <v>116.70191596848845</v>
          </cell>
          <cell r="G73">
            <v>22.429316541802553</v>
          </cell>
        </row>
        <row r="75">
          <cell r="A75" t="str">
            <v>EPS</v>
          </cell>
          <cell r="B75">
            <v>1.4</v>
          </cell>
          <cell r="C75">
            <v>1.1000000000000001</v>
          </cell>
          <cell r="D75">
            <v>1.37</v>
          </cell>
          <cell r="F75">
            <v>0.29999999999999982</v>
          </cell>
          <cell r="G75">
            <v>2.9999999999999805E-2</v>
          </cell>
        </row>
        <row r="77">
          <cell r="A77" t="str">
            <v>EPS Upsides/Downsides</v>
          </cell>
        </row>
        <row r="78">
          <cell r="A78" t="str">
            <v>Reported Sales Variance</v>
          </cell>
          <cell r="B78">
            <v>0</v>
          </cell>
        </row>
        <row r="79">
          <cell r="A79" t="str">
            <v>Gross Margin</v>
          </cell>
          <cell r="B79">
            <v>7.7857794189564164E-2</v>
          </cell>
        </row>
        <row r="80">
          <cell r="A80" t="str">
            <v>SG&amp;A Expenses</v>
          </cell>
          <cell r="B80">
            <v>-4.5187735843620652E-2</v>
          </cell>
        </row>
        <row r="81">
          <cell r="A81" t="str">
            <v>Preopening Expense</v>
          </cell>
          <cell r="B81">
            <v>2.835153269306672E-3</v>
          </cell>
        </row>
        <row r="82">
          <cell r="A82" t="str">
            <v>Depreciation/Amortization</v>
          </cell>
          <cell r="B82">
            <v>0</v>
          </cell>
        </row>
        <row r="83">
          <cell r="A83" t="str">
            <v>Interest Expense, Net</v>
          </cell>
          <cell r="B83">
            <v>4.2731968594937973E-3</v>
          </cell>
        </row>
        <row r="84">
          <cell r="A84" t="str">
            <v>Tax Rate</v>
          </cell>
          <cell r="B84">
            <v>1.6461038961039123E-3</v>
          </cell>
        </row>
        <row r="85">
          <cell r="A85" t="str">
            <v>Shares</v>
          </cell>
          <cell r="B85">
            <v>-8.4967320261439827E-3</v>
          </cell>
        </row>
        <row r="86">
          <cell r="A86" t="str">
            <v>Total</v>
          </cell>
          <cell r="B86">
            <v>3.2927780344703908E-2</v>
          </cell>
        </row>
        <row r="88">
          <cell r="A88" t="str">
            <v>JWN</v>
          </cell>
        </row>
        <row r="89">
          <cell r="A89" t="str">
            <v>As a % of Sales</v>
          </cell>
          <cell r="B89" t="str">
            <v>3Q08</v>
          </cell>
          <cell r="C89" t="str">
            <v>3Q07</v>
          </cell>
          <cell r="D89" t="str">
            <v>MS Est.</v>
          </cell>
          <cell r="F89" t="str">
            <v>y/y∆ (bp)</v>
          </cell>
          <cell r="G89" t="str">
            <v>∆ vs MS
Est. (bp)</v>
          </cell>
          <cell r="J89" t="str">
            <v>FQ1</v>
          </cell>
          <cell r="K89" t="str">
            <v>FQ2</v>
          </cell>
          <cell r="L89" t="str">
            <v>FY1</v>
          </cell>
          <cell r="M89" t="str">
            <v>FY2</v>
          </cell>
        </row>
        <row r="90">
          <cell r="A90" t="str">
            <v>Gross Income</v>
          </cell>
          <cell r="B90">
            <v>0</v>
          </cell>
          <cell r="C90">
            <v>0</v>
          </cell>
          <cell r="D90">
            <v>0</v>
          </cell>
          <cell r="F90">
            <v>0</v>
          </cell>
          <cell r="G90">
            <v>0</v>
          </cell>
          <cell r="I90" t="str">
            <v>Consensus</v>
          </cell>
          <cell r="J90">
            <v>0.38200000000000001</v>
          </cell>
          <cell r="K90">
            <v>0.59599999999999997</v>
          </cell>
          <cell r="L90">
            <v>1.806</v>
          </cell>
          <cell r="M90">
            <v>2.1389999999999998</v>
          </cell>
          <cell r="N90" t="str">
            <v>Bloomberg</v>
          </cell>
          <cell r="O90">
            <v>40128</v>
          </cell>
        </row>
        <row r="91">
          <cell r="A91" t="str">
            <v>SG&amp;A Expense</v>
          </cell>
          <cell r="B91">
            <v>0</v>
          </cell>
          <cell r="C91">
            <v>0</v>
          </cell>
          <cell r="D91">
            <v>0</v>
          </cell>
          <cell r="F91">
            <v>0</v>
          </cell>
          <cell r="G91">
            <v>0</v>
          </cell>
          <cell r="I91" t="str">
            <v>MS Est.</v>
          </cell>
          <cell r="J91">
            <v>0</v>
          </cell>
          <cell r="K91">
            <v>0.2</v>
          </cell>
          <cell r="L91">
            <v>1.8</v>
          </cell>
          <cell r="M91">
            <v>1.07</v>
          </cell>
        </row>
        <row r="92">
          <cell r="A92" t="str">
            <v>Operating Income</v>
          </cell>
          <cell r="B92">
            <v>0</v>
          </cell>
          <cell r="C92">
            <v>0</v>
          </cell>
          <cell r="D92">
            <v>0</v>
          </cell>
          <cell r="F92">
            <v>0</v>
          </cell>
          <cell r="G92">
            <v>0</v>
          </cell>
          <cell r="I92" t="str">
            <v>MS/C</v>
          </cell>
          <cell r="J92">
            <v>-0.38200000000000001</v>
          </cell>
          <cell r="K92">
            <v>-0.39599999999999996</v>
          </cell>
          <cell r="L92">
            <v>-6.0000000000000053E-3</v>
          </cell>
          <cell r="M92">
            <v>-1.0689999999999997</v>
          </cell>
        </row>
        <row r="93">
          <cell r="A93" t="str">
            <v>Interest Expense</v>
          </cell>
          <cell r="B93">
            <v>0</v>
          </cell>
          <cell r="C93">
            <v>0</v>
          </cell>
          <cell r="D93">
            <v>0</v>
          </cell>
          <cell r="F93">
            <v>0</v>
          </cell>
          <cell r="G93">
            <v>0</v>
          </cell>
          <cell r="I93" t="str">
            <v>MG</v>
          </cell>
        </row>
        <row r="94">
          <cell r="A94" t="str">
            <v>Service &amp; Other</v>
          </cell>
          <cell r="B94">
            <v>0</v>
          </cell>
          <cell r="C94">
            <v>0</v>
          </cell>
          <cell r="D94">
            <v>0</v>
          </cell>
          <cell r="F94">
            <v>0</v>
          </cell>
          <cell r="G94">
            <v>0</v>
          </cell>
          <cell r="I94" t="str">
            <v>New</v>
          </cell>
        </row>
        <row r="95">
          <cell r="A95" t="str">
            <v>Earnings b4 Taxes</v>
          </cell>
          <cell r="B95">
            <v>0</v>
          </cell>
          <cell r="C95">
            <v>0</v>
          </cell>
          <cell r="D95">
            <v>0</v>
          </cell>
          <cell r="F95">
            <v>0</v>
          </cell>
          <cell r="G95">
            <v>0</v>
          </cell>
        </row>
        <row r="96">
          <cell r="A96" t="str">
            <v>Tax Rate</v>
          </cell>
          <cell r="B96">
            <v>0</v>
          </cell>
          <cell r="C96">
            <v>0</v>
          </cell>
          <cell r="D96">
            <v>0</v>
          </cell>
          <cell r="F96">
            <v>0</v>
          </cell>
          <cell r="G96">
            <v>0</v>
          </cell>
        </row>
        <row r="97">
          <cell r="A97" t="str">
            <v>Net Income</v>
          </cell>
          <cell r="B97">
            <v>0</v>
          </cell>
          <cell r="C97">
            <v>0</v>
          </cell>
          <cell r="D97">
            <v>0</v>
          </cell>
          <cell r="F97">
            <v>0</v>
          </cell>
          <cell r="G97">
            <v>0</v>
          </cell>
        </row>
        <row r="99">
          <cell r="A99" t="str">
            <v>EPS</v>
          </cell>
          <cell r="B99">
            <v>0</v>
          </cell>
          <cell r="C99">
            <v>0</v>
          </cell>
          <cell r="D99">
            <v>0</v>
          </cell>
          <cell r="F99">
            <v>0</v>
          </cell>
          <cell r="G99">
            <v>0</v>
          </cell>
        </row>
        <row r="101">
          <cell r="A101" t="str">
            <v>EPS Upsides/Downsides</v>
          </cell>
        </row>
        <row r="102">
          <cell r="A102">
            <v>0</v>
          </cell>
          <cell r="B102">
            <v>0</v>
          </cell>
        </row>
        <row r="103">
          <cell r="A103" t="str">
            <v>Source: Company data, Morgan Stanley Research  E = Morgan Stanley Research Estimate</v>
          </cell>
          <cell r="B103">
            <v>0</v>
          </cell>
        </row>
        <row r="104">
          <cell r="A104" t="str">
            <v>EPS Upsides/Downsides</v>
          </cell>
          <cell r="B104">
            <v>0</v>
          </cell>
        </row>
        <row r="105">
          <cell r="A105" t="str">
            <v>Reported Sales Variance</v>
          </cell>
          <cell r="B105">
            <v>-2.1583430631226738E-3</v>
          </cell>
        </row>
        <row r="106">
          <cell r="A106" t="str">
            <v>Gross Margin</v>
          </cell>
          <cell r="B106">
            <v>9.3948964248107891E-2</v>
          </cell>
        </row>
        <row r="107">
          <cell r="A107" t="str">
            <v>Total SG&amp;A</v>
          </cell>
          <cell r="B107">
            <v>-0.13372107319019222</v>
          </cell>
        </row>
        <row r="108">
          <cell r="A108" t="str">
            <v>Operating Margin</v>
          </cell>
          <cell r="B108">
            <v>0</v>
          </cell>
        </row>
        <row r="109">
          <cell r="A109" t="str">
            <v>Tax Rate</v>
          </cell>
          <cell r="B109">
            <v>9.3948964248107891E-2</v>
          </cell>
        </row>
        <row r="110">
          <cell r="A110" t="str">
            <v>Shares</v>
          </cell>
          <cell r="B110">
            <v>-0.13372107319019222</v>
          </cell>
        </row>
        <row r="111">
          <cell r="A111" t="str">
            <v>Total</v>
          </cell>
          <cell r="B111">
            <v>-4.1930452005207008E-2</v>
          </cell>
        </row>
        <row r="113">
          <cell r="A113" t="str">
            <v>SKS</v>
          </cell>
        </row>
        <row r="114">
          <cell r="A114" t="str">
            <v>As a % of Sales</v>
          </cell>
          <cell r="B114" t="str">
            <v>3Q09</v>
          </cell>
          <cell r="C114" t="str">
            <v>3Q08</v>
          </cell>
          <cell r="D114" t="str">
            <v>MS Est.</v>
          </cell>
          <cell r="F114" t="str">
            <v>y/y∆ (bp)</v>
          </cell>
          <cell r="G114" t="str">
            <v>∆ vs MS
Est. (bp)</v>
          </cell>
          <cell r="J114" t="str">
            <v>FQ1</v>
          </cell>
          <cell r="K114" t="str">
            <v>FQ2</v>
          </cell>
          <cell r="L114" t="str">
            <v>FY1</v>
          </cell>
          <cell r="M114" t="str">
            <v>FY2</v>
          </cell>
        </row>
        <row r="115">
          <cell r="A115" t="str">
            <v>Gross Income</v>
          </cell>
          <cell r="B115">
            <v>0.3907231769028765</v>
          </cell>
          <cell r="C115">
            <v>0.33156390807654762</v>
          </cell>
          <cell r="D115">
            <v>0.39027636388805009</v>
          </cell>
          <cell r="F115">
            <v>591.59268826328878</v>
          </cell>
          <cell r="G115">
            <v>4.4681301482640823</v>
          </cell>
          <cell r="I115" t="str">
            <v>Consensus</v>
          </cell>
          <cell r="J115">
            <v>-0.113</v>
          </cell>
          <cell r="K115">
            <v>-3.7999999999999999E-2</v>
          </cell>
          <cell r="L115">
            <v>-0.57499999999999996</v>
          </cell>
          <cell r="M115">
            <v>-0.34899999999999998</v>
          </cell>
          <cell r="N115" t="str">
            <v>Bloomberg</v>
          </cell>
          <cell r="O115">
            <v>40133</v>
          </cell>
        </row>
        <row r="116">
          <cell r="A116" t="str">
            <v>SG&amp;A Expense</v>
          </cell>
          <cell r="B116">
            <v>0.2428184106076488</v>
          </cell>
          <cell r="C116">
            <v>0.272497270340676</v>
          </cell>
          <cell r="D116">
            <v>0.2548642423756452</v>
          </cell>
          <cell r="F116">
            <v>-296.78859733027195</v>
          </cell>
          <cell r="G116">
            <v>-120.45831767996395</v>
          </cell>
          <cell r="I116" t="str">
            <v>MS Est.</v>
          </cell>
          <cell r="J116">
            <v>-1.5781525121147805E-2</v>
          </cell>
          <cell r="K116">
            <v>-7.0000000000000007E-2</v>
          </cell>
          <cell r="L116">
            <v>-0.59</v>
          </cell>
          <cell r="M116">
            <v>-0.35</v>
          </cell>
        </row>
        <row r="117">
          <cell r="A117" t="str">
            <v>Other Operating Expenses</v>
          </cell>
          <cell r="B117">
            <v>0.1287210309271713</v>
          </cell>
          <cell r="C117">
            <v>0.14260560872785277</v>
          </cell>
          <cell r="D117">
            <v>0.11997295045879695</v>
          </cell>
          <cell r="F117">
            <v>-138.84577800681475</v>
          </cell>
          <cell r="G117">
            <v>87.480804683743443</v>
          </cell>
          <cell r="I117" t="str">
            <v>MS/C</v>
          </cell>
          <cell r="J117">
            <v>9.7218474878852199E-2</v>
          </cell>
          <cell r="K117">
            <v>-3.2000000000000008E-2</v>
          </cell>
          <cell r="L117">
            <v>-1.5000000000000013E-2</v>
          </cell>
          <cell r="M117">
            <v>-1.0000000000000009E-3</v>
          </cell>
        </row>
        <row r="118">
          <cell r="A118" t="str">
            <v>Operating Income</v>
          </cell>
          <cell r="B118">
            <v>1.8221202599182782E-2</v>
          </cell>
          <cell r="C118">
            <v>-8.4795773424491586E-2</v>
          </cell>
          <cell r="D118">
            <v>1.4627638389771777E-2</v>
          </cell>
          <cell r="F118">
            <v>1030.1697602367437</v>
          </cell>
          <cell r="G118">
            <v>35.935642094110044</v>
          </cell>
        </row>
        <row r="119">
          <cell r="A119" t="str">
            <v>Interest Expense</v>
          </cell>
          <cell r="B119">
            <v>2.0676050365587218E-2</v>
          </cell>
          <cell r="C119">
            <v>2.2905626388730099E-2</v>
          </cell>
          <cell r="D119">
            <v>2.0468421239228773E-2</v>
          </cell>
          <cell r="F119">
            <v>-22.295760231428805</v>
          </cell>
          <cell r="G119">
            <v>2.0762912635844537</v>
          </cell>
        </row>
        <row r="120">
          <cell r="A120" t="str">
            <v>Earnings b4 Taxes</v>
          </cell>
          <cell r="B120">
            <v>5.6698146463637996E-5</v>
          </cell>
          <cell r="C120">
            <v>5.6698146463637996E-5</v>
          </cell>
          <cell r="D120">
            <v>5.6698146463637996E-5</v>
          </cell>
          <cell r="F120">
            <v>0</v>
          </cell>
          <cell r="G120">
            <v>0</v>
          </cell>
        </row>
        <row r="121">
          <cell r="A121" t="str">
            <v>Net Income</v>
          </cell>
          <cell r="B121">
            <v>-1.5571584659782067E-3</v>
          </cell>
          <cell r="C121">
            <v>-6.6810020735004902E-2</v>
          </cell>
          <cell r="D121">
            <v>-3.6564382174707932E-3</v>
          </cell>
          <cell r="F121">
            <v>652.52862269026696</v>
          </cell>
          <cell r="G121">
            <v>20.992797514925869</v>
          </cell>
        </row>
        <row r="123">
          <cell r="A123" t="str">
            <v>EPS</v>
          </cell>
          <cell r="B123">
            <v>-6.6533490389486675E-3</v>
          </cell>
          <cell r="C123">
            <v>-0.25767632111798916</v>
          </cell>
          <cell r="D123">
            <v>-1.5781525121147805E-2</v>
          </cell>
          <cell r="F123">
            <v>0.25102297207904051</v>
          </cell>
          <cell r="G123">
            <v>9.1281760821991381E-3</v>
          </cell>
        </row>
        <row r="125">
          <cell r="A125" t="str">
            <v>EPS Upsides/Downsides</v>
          </cell>
        </row>
        <row r="126">
          <cell r="A126" t="str">
            <v>Reported Sales Variance</v>
          </cell>
          <cell r="B126">
            <v>7.3141706523534907E-4</v>
          </cell>
        </row>
        <row r="127">
          <cell r="A127" t="str">
            <v>Gross Margin</v>
          </cell>
          <cell r="B127">
            <v>9.0502516031737673E-2</v>
          </cell>
        </row>
        <row r="128">
          <cell r="A128" t="str">
            <v>SG&amp;A Expenses</v>
          </cell>
          <cell r="B128">
            <v>9.135785673203356E-2</v>
          </cell>
        </row>
        <row r="129">
          <cell r="A129" t="str">
            <v>Other Operating Expenses</v>
          </cell>
          <cell r="B129">
            <v>0.14148159111000269</v>
          </cell>
        </row>
        <row r="130">
          <cell r="A130" t="str">
            <v>Operating Margin</v>
          </cell>
          <cell r="B130">
            <v>0.3233419638737739</v>
          </cell>
        </row>
        <row r="131">
          <cell r="A131" t="str">
            <v>Interest Expense, Net</v>
          </cell>
          <cell r="B131">
            <v>-2.9209222303217691E-2</v>
          </cell>
        </row>
        <row r="132">
          <cell r="A132" t="str">
            <v>Other (Income)</v>
          </cell>
          <cell r="B132">
            <v>-1.1491989190871084E-3</v>
          </cell>
        </row>
        <row r="133">
          <cell r="A133" t="str">
            <v>Tax Rate</v>
          </cell>
          <cell r="B133">
            <v>0.11636249147294966</v>
          </cell>
        </row>
        <row r="134">
          <cell r="A134" t="str">
            <v>Shares</v>
          </cell>
          <cell r="B134">
            <v>0</v>
          </cell>
        </row>
        <row r="135">
          <cell r="A135" t="str">
            <v>Total</v>
          </cell>
          <cell r="B135">
            <v>0.40934603412441872</v>
          </cell>
        </row>
        <row r="137">
          <cell r="A137" t="str">
            <v>LTD</v>
          </cell>
        </row>
        <row r="138">
          <cell r="A138" t="str">
            <v>As a % of Sales</v>
          </cell>
          <cell r="B138" t="str">
            <v>4Q09</v>
          </cell>
          <cell r="C138" t="str">
            <v>4Q08</v>
          </cell>
          <cell r="D138" t="str">
            <v>MS Est.</v>
          </cell>
          <cell r="F138" t="str">
            <v>y/y∆ (bp)</v>
          </cell>
          <cell r="G138" t="str">
            <v>∆ vs MS
Est. (bp)</v>
          </cell>
          <cell r="J138" t="str">
            <v>FQ1</v>
          </cell>
          <cell r="K138" t="str">
            <v>FQ2</v>
          </cell>
          <cell r="L138" t="str">
            <v>FQ3</v>
          </cell>
          <cell r="M138" t="str">
            <v>FY1</v>
          </cell>
          <cell r="N138" t="str">
            <v>FY2</v>
          </cell>
        </row>
        <row r="139">
          <cell r="A139" t="str">
            <v>Gross Income</v>
          </cell>
          <cell r="B139">
            <v>0.35943311437115333</v>
          </cell>
          <cell r="C139">
            <v>0.31784386724838393</v>
          </cell>
          <cell r="D139">
            <v>0.35784386724838391</v>
          </cell>
          <cell r="F139">
            <v>415.89247122769399</v>
          </cell>
          <cell r="G139">
            <v>15.892471227694216</v>
          </cell>
          <cell r="I139" t="str">
            <v>Consensus</v>
          </cell>
          <cell r="J139">
            <v>0.98499999999999999</v>
          </cell>
          <cell r="K139">
            <v>7.5999999999999998E-2</v>
          </cell>
          <cell r="M139">
            <v>0.98299999999999998</v>
          </cell>
          <cell r="N139">
            <v>1.202</v>
          </cell>
          <cell r="O139" t="str">
            <v>Bloomberg 2/24</v>
          </cell>
        </row>
        <row r="140">
          <cell r="A140" t="str">
            <v>SG&amp;A Expense</v>
          </cell>
          <cell r="B140">
            <v>0.26366684338267576</v>
          </cell>
          <cell r="C140">
            <v>0.28004500251269832</v>
          </cell>
          <cell r="D140">
            <v>0.26902521392184064</v>
          </cell>
          <cell r="F140">
            <v>-163.78159130022553</v>
          </cell>
          <cell r="G140">
            <v>-53.583705391648806</v>
          </cell>
          <cell r="I140" t="str">
            <v>MS Est.</v>
          </cell>
          <cell r="J140">
            <v>0.225114276362679</v>
          </cell>
          <cell r="K140" t="str">
            <v>none</v>
          </cell>
          <cell r="M140">
            <v>1.1010266280936629</v>
          </cell>
          <cell r="N140">
            <v>1.2665067931582552</v>
          </cell>
        </row>
        <row r="141">
          <cell r="A141" t="str">
            <v>Operating Income</v>
          </cell>
          <cell r="B141">
            <v>9.5766270988477592E-2</v>
          </cell>
          <cell r="C141">
            <v>3.779886473568559E-2</v>
          </cell>
          <cell r="D141">
            <v>8.8818653326543262E-2</v>
          </cell>
          <cell r="F141">
            <v>579.67406252792</v>
          </cell>
          <cell r="G141">
            <v>69.476176619343306</v>
          </cell>
          <cell r="I141" t="str">
            <v>MS/C</v>
          </cell>
          <cell r="J141">
            <v>-0.75988572363732099</v>
          </cell>
          <cell r="K141" t="e">
            <v>#VALUE!</v>
          </cell>
          <cell r="L141">
            <v>0</v>
          </cell>
          <cell r="M141">
            <v>0</v>
          </cell>
          <cell r="N141">
            <v>0</v>
          </cell>
        </row>
        <row r="142">
          <cell r="A142" t="str">
            <v>Interest Expense</v>
          </cell>
          <cell r="B142">
            <v>3.1643210377647633E-2</v>
          </cell>
          <cell r="C142">
            <v>3.5762043127987642E-2</v>
          </cell>
          <cell r="D142">
            <v>3.1378458603900941E-2</v>
          </cell>
          <cell r="F142">
            <v>-41.188327503400082</v>
          </cell>
          <cell r="G142">
            <v>2.6475177374669228</v>
          </cell>
          <cell r="I142" t="str">
            <v>MGT Guid</v>
          </cell>
          <cell r="J142" t="str">
            <v>$0.00-$(0.04)</v>
          </cell>
        </row>
        <row r="143">
          <cell r="A143" t="str">
            <v>Other Expense (Income)</v>
          </cell>
          <cell r="B143">
            <v>-7.3910090208000262E-3</v>
          </cell>
          <cell r="C143">
            <v>1.628761729547883E-4</v>
          </cell>
          <cell r="D143">
            <v>-3.6241263266891016E-3</v>
          </cell>
          <cell r="F143">
            <v>-75.538851937548145</v>
          </cell>
          <cell r="G143">
            <v>-37.668826941109245</v>
          </cell>
        </row>
        <row r="144">
          <cell r="A144" t="str">
            <v>Tax Rate</v>
          </cell>
          <cell r="B144">
            <v>0.40006660295948787</v>
          </cell>
          <cell r="C144">
            <v>0.195484070522735</v>
          </cell>
          <cell r="D144">
            <v>0.38</v>
          </cell>
          <cell r="F144">
            <v>2045.8253243675288</v>
          </cell>
          <cell r="G144">
            <v>200.66602959487867</v>
          </cell>
        </row>
        <row r="145">
          <cell r="A145" t="str">
            <v>Net Income</v>
          </cell>
          <cell r="B145">
            <v>4.2903678730295505E-2</v>
          </cell>
          <cell r="C145">
            <v>1.5076189532220727E-3</v>
          </cell>
          <cell r="D145">
            <v>3.7859879050585479E-2</v>
          </cell>
          <cell r="F145">
            <v>413.9605977707343</v>
          </cell>
          <cell r="G145">
            <v>50.437996797100261</v>
          </cell>
        </row>
        <row r="147">
          <cell r="A147" t="str">
            <v>EPS</v>
          </cell>
          <cell r="B147">
            <v>0.24893510925268417</v>
          </cell>
          <cell r="C147">
            <v>8.04553257961238E-3</v>
          </cell>
          <cell r="D147">
            <v>0.225114276362679</v>
          </cell>
          <cell r="F147">
            <v>0.24088957667307179</v>
          </cell>
          <cell r="G147">
            <v>2.3820832890005167E-2</v>
          </cell>
        </row>
        <row r="149">
          <cell r="A149" t="str">
            <v>EPS Upsides/Downsides</v>
          </cell>
        </row>
        <row r="150">
          <cell r="A150" t="str">
            <v>Gross Margin</v>
          </cell>
          <cell r="B150">
            <v>5.555265989990261E-3</v>
          </cell>
        </row>
        <row r="151">
          <cell r="A151" t="str">
            <v>SG&amp;A</v>
          </cell>
          <cell r="B151">
            <v>1.8634632007562379E-2</v>
          </cell>
        </row>
        <row r="152">
          <cell r="A152" t="str">
            <v>Operating Margin</v>
          </cell>
          <cell r="B152">
            <v>2.418989799755264E-2</v>
          </cell>
        </row>
        <row r="153">
          <cell r="A153" t="str">
            <v>Interest Expense, Net</v>
          </cell>
          <cell r="B153">
            <v>-9.2361681188376816E-4</v>
          </cell>
        </row>
        <row r="154">
          <cell r="A154" t="str">
            <v>Other expense (income)</v>
          </cell>
          <cell r="B154">
            <v>1.3112471077827939E-2</v>
          </cell>
        </row>
        <row r="155">
          <cell r="A155" t="str">
            <v>Tax Rate</v>
          </cell>
          <cell r="B155">
            <v>-8.3263942709177457E-3</v>
          </cell>
        </row>
        <row r="156">
          <cell r="A156" t="str">
            <v>Shares</v>
          </cell>
          <cell r="B156">
            <v>-6.1742795380068938E-3</v>
          </cell>
        </row>
        <row r="157">
          <cell r="A157" t="str">
            <v>Total</v>
          </cell>
          <cell r="B157">
            <v>2.1878078454572167E-2</v>
          </cell>
        </row>
        <row r="159">
          <cell r="A159" t="str">
            <v>GPS</v>
          </cell>
          <cell r="J159" t="str">
            <v>4Q09</v>
          </cell>
          <cell r="K159" t="str">
            <v>1Q10</v>
          </cell>
        </row>
        <row r="160">
          <cell r="A160" t="str">
            <v>As a % of Sales</v>
          </cell>
          <cell r="B160" t="str">
            <v>4Q09</v>
          </cell>
          <cell r="C160" t="str">
            <v>4Q08</v>
          </cell>
          <cell r="D160" t="str">
            <v>MS Est.</v>
          </cell>
          <cell r="F160" t="str">
            <v>y/y∆ (bp)</v>
          </cell>
          <cell r="G160" t="str">
            <v>∆ vs MS
Est. (bp)</v>
          </cell>
          <cell r="J160" t="str">
            <v>FQ1</v>
          </cell>
          <cell r="K160" t="str">
            <v>FQ2</v>
          </cell>
          <cell r="L160" t="str">
            <v>FQ3</v>
          </cell>
          <cell r="M160" t="str">
            <v>FY1</v>
          </cell>
          <cell r="N160" t="str">
            <v>FY2</v>
          </cell>
        </row>
        <row r="161">
          <cell r="A161" t="str">
            <v>Gross Income</v>
          </cell>
          <cell r="B161">
            <v>0.3922743753062225</v>
          </cell>
          <cell r="C161">
            <v>0.34027437530622245</v>
          </cell>
          <cell r="D161">
            <v>0.42196995226060091</v>
          </cell>
          <cell r="F161">
            <v>520.00000000000045</v>
          </cell>
          <cell r="G161">
            <v>-296.95576954378413</v>
          </cell>
          <cell r="I161" t="str">
            <v>Consensus</v>
          </cell>
          <cell r="J161">
            <v>0.5</v>
          </cell>
          <cell r="K161">
            <v>0.35399999999999998</v>
          </cell>
          <cell r="M161">
            <v>1.5029999999999999</v>
          </cell>
          <cell r="N161">
            <v>1.6339999999999999</v>
          </cell>
        </row>
        <row r="162">
          <cell r="A162" t="str">
            <v>SG&amp;A Expense</v>
          </cell>
          <cell r="B162">
            <v>0.25777315041646254</v>
          </cell>
          <cell r="C162">
            <v>0.24277315041646252</v>
          </cell>
          <cell r="D162">
            <v>0.2828268744734625</v>
          </cell>
          <cell r="F162">
            <v>150.00000000000014</v>
          </cell>
          <cell r="G162">
            <v>-250.5372405699996</v>
          </cell>
          <cell r="I162" t="str">
            <v>MS Est.</v>
          </cell>
          <cell r="J162">
            <v>0.50455187729779205</v>
          </cell>
          <cell r="K162">
            <v>0.43607954545454547</v>
          </cell>
          <cell r="M162">
            <v>1.5717170524816499</v>
          </cell>
          <cell r="N162">
            <v>1.6307831306006146</v>
          </cell>
        </row>
        <row r="163">
          <cell r="A163" t="str">
            <v>Operating Income</v>
          </cell>
          <cell r="B163">
            <v>0.13450122488975996</v>
          </cell>
          <cell r="C163">
            <v>9.7501224889759916E-2</v>
          </cell>
          <cell r="D163">
            <v>0.13914307778713844</v>
          </cell>
          <cell r="F163">
            <v>370.00000000000045</v>
          </cell>
          <cell r="G163">
            <v>-46.418528973784788</v>
          </cell>
          <cell r="I163" t="str">
            <v>MS/C</v>
          </cell>
          <cell r="J163">
            <v>4.5518772977920507E-3</v>
          </cell>
          <cell r="K163">
            <v>8.2079545454545488E-2</v>
          </cell>
          <cell r="M163">
            <v>6.8717052481650054E-2</v>
          </cell>
          <cell r="N163">
            <v>-3.2168693993852582E-3</v>
          </cell>
        </row>
        <row r="164">
          <cell r="A164" t="str">
            <v>Interest Expense</v>
          </cell>
          <cell r="B164">
            <v>0</v>
          </cell>
          <cell r="C164">
            <v>0</v>
          </cell>
          <cell r="D164">
            <v>0</v>
          </cell>
          <cell r="F164">
            <v>0</v>
          </cell>
          <cell r="G164">
            <v>0</v>
          </cell>
          <cell r="I164" t="str">
            <v>Guidance</v>
          </cell>
          <cell r="J164" t="str">
            <v>$0.33-$0.35</v>
          </cell>
        </row>
        <row r="165">
          <cell r="A165" t="str">
            <v>Earnings b4 Taxes</v>
          </cell>
          <cell r="B165">
            <v>0.13450122488975996</v>
          </cell>
          <cell r="C165">
            <v>9.8236158745712884E-2</v>
          </cell>
          <cell r="D165">
            <v>0.13949061485667194</v>
          </cell>
          <cell r="F165">
            <v>362.6506614404708</v>
          </cell>
          <cell r="G165">
            <v>-49.893899669119776</v>
          </cell>
        </row>
        <row r="166">
          <cell r="A166" t="str">
            <v>Tax Rate</v>
          </cell>
          <cell r="B166">
            <v>0.39</v>
          </cell>
          <cell r="C166">
            <v>0.3940149625935162</v>
          </cell>
          <cell r="D166">
            <v>0.39</v>
          </cell>
          <cell r="F166">
            <v>-40.149625935161914</v>
          </cell>
          <cell r="G166">
            <v>0</v>
          </cell>
        </row>
        <row r="167">
          <cell r="A167" t="str">
            <v>Net Income</v>
          </cell>
          <cell r="B167">
            <v>0.39</v>
          </cell>
          <cell r="C167">
            <v>0.3940149625935162</v>
          </cell>
          <cell r="D167">
            <v>8.5089275062569872E-2</v>
          </cell>
          <cell r="F167">
            <v>-40.149625935161914</v>
          </cell>
          <cell r="G167">
            <v>3049.1072493743018</v>
          </cell>
        </row>
        <row r="169">
          <cell r="A169" t="str">
            <v>EPS</v>
          </cell>
          <cell r="B169">
            <v>0.50455187729779205</v>
          </cell>
          <cell r="C169">
            <v>0.34219263456090654</v>
          </cell>
          <cell r="D169">
            <v>0.43995659234339185</v>
          </cell>
          <cell r="F169">
            <v>0.16235924273688551</v>
          </cell>
          <cell r="G169">
            <v>6.4595284954400201E-2</v>
          </cell>
        </row>
        <row r="171">
          <cell r="A171" t="str">
            <v>EPS Upsides/Downsides</v>
          </cell>
        </row>
        <row r="172">
          <cell r="A172" t="str">
            <v>Sales</v>
          </cell>
          <cell r="B172">
            <v>0</v>
          </cell>
        </row>
        <row r="173">
          <cell r="A173" t="str">
            <v>Gross Margin</v>
          </cell>
          <cell r="B173">
            <v>0</v>
          </cell>
        </row>
        <row r="174">
          <cell r="A174" t="str">
            <v>SG&amp;A Expenses</v>
          </cell>
          <cell r="B174">
            <v>0</v>
          </cell>
        </row>
        <row r="175">
          <cell r="A175" t="str">
            <v>Operating Margin</v>
          </cell>
          <cell r="B175" t="e">
            <v>#REF!</v>
          </cell>
        </row>
        <row r="176">
          <cell r="A176" t="str">
            <v>Interest Expense</v>
          </cell>
          <cell r="B176">
            <v>0</v>
          </cell>
        </row>
        <row r="177">
          <cell r="A177" t="str">
            <v>Interest Income</v>
          </cell>
          <cell r="B177">
            <v>0</v>
          </cell>
        </row>
        <row r="178">
          <cell r="A178" t="str">
            <v>Tax Rate</v>
          </cell>
          <cell r="B178">
            <v>0</v>
          </cell>
        </row>
        <row r="179">
          <cell r="A179" t="str">
            <v>Shares</v>
          </cell>
          <cell r="B179">
            <v>0</v>
          </cell>
        </row>
        <row r="180">
          <cell r="A180" t="str">
            <v>Total</v>
          </cell>
          <cell r="B180">
            <v>0</v>
          </cell>
        </row>
        <row r="182">
          <cell r="A182" t="str">
            <v>ROST</v>
          </cell>
        </row>
        <row r="183">
          <cell r="A183" t="str">
            <v>As a % of Sales</v>
          </cell>
          <cell r="B183" t="str">
            <v>2Q09</v>
          </cell>
          <cell r="C183" t="str">
            <v>2Q08</v>
          </cell>
          <cell r="D183" t="str">
            <v>MS Est.</v>
          </cell>
          <cell r="F183" t="str">
            <v>y/y∆ (bp)</v>
          </cell>
          <cell r="G183" t="str">
            <v>∆ vs MS
Est. (bp)</v>
          </cell>
          <cell r="J183" t="str">
            <v>FQ1</v>
          </cell>
          <cell r="K183" t="str">
            <v>FQ2</v>
          </cell>
          <cell r="L183" t="str">
            <v>FY1</v>
          </cell>
          <cell r="M183" t="str">
            <v>FY2</v>
          </cell>
        </row>
        <row r="184">
          <cell r="A184" t="str">
            <v>Gross Income</v>
          </cell>
          <cell r="B184">
            <v>0</v>
          </cell>
          <cell r="C184">
            <v>0</v>
          </cell>
          <cell r="D184">
            <v>0</v>
          </cell>
          <cell r="F184">
            <v>0</v>
          </cell>
          <cell r="G184">
            <v>0</v>
          </cell>
          <cell r="I184" t="str">
            <v>Consensus</v>
          </cell>
          <cell r="J184">
            <v>0.82</v>
          </cell>
          <cell r="K184">
            <v>0.56000000000000005</v>
          </cell>
          <cell r="L184">
            <v>3</v>
          </cell>
          <cell r="M184">
            <v>3.27</v>
          </cell>
          <cell r="N184" t="str">
            <v>Bloomberg</v>
          </cell>
          <cell r="O184">
            <v>40045</v>
          </cell>
        </row>
        <row r="185">
          <cell r="A185" t="str">
            <v>SG&amp;A Expense</v>
          </cell>
          <cell r="B185">
            <v>0</v>
          </cell>
          <cell r="C185">
            <v>0</v>
          </cell>
          <cell r="D185">
            <v>0</v>
          </cell>
          <cell r="F185">
            <v>0</v>
          </cell>
          <cell r="G185">
            <v>0</v>
          </cell>
          <cell r="I185" t="str">
            <v>MS Est.</v>
          </cell>
          <cell r="J185">
            <v>0</v>
          </cell>
          <cell r="K185">
            <v>0.56000000000000005</v>
          </cell>
          <cell r="L185">
            <v>3.03</v>
          </cell>
          <cell r="M185">
            <v>3.43</v>
          </cell>
        </row>
        <row r="186">
          <cell r="A186" t="str">
            <v>Operating Income</v>
          </cell>
          <cell r="B186">
            <v>0</v>
          </cell>
          <cell r="C186">
            <v>0</v>
          </cell>
          <cell r="D186">
            <v>0</v>
          </cell>
          <cell r="F186">
            <v>0</v>
          </cell>
          <cell r="G186">
            <v>0</v>
          </cell>
          <cell r="I186" t="str">
            <v>MS/C</v>
          </cell>
          <cell r="J186">
            <v>-0.82</v>
          </cell>
          <cell r="K186">
            <v>0</v>
          </cell>
          <cell r="L186">
            <v>2.9999999999999805E-2</v>
          </cell>
          <cell r="M186">
            <v>0.16000000000000014</v>
          </cell>
        </row>
        <row r="187">
          <cell r="A187" t="str">
            <v>Interest Expense</v>
          </cell>
          <cell r="B187">
            <v>0</v>
          </cell>
          <cell r="C187">
            <v>0</v>
          </cell>
          <cell r="D187">
            <v>0</v>
          </cell>
          <cell r="F187">
            <v>0</v>
          </cell>
          <cell r="G187">
            <v>0</v>
          </cell>
          <cell r="I187" t="str">
            <v>Guidance</v>
          </cell>
          <cell r="J187" t="str">
            <v>0.81-0.82</v>
          </cell>
        </row>
        <row r="188">
          <cell r="A188" t="str">
            <v>Earnings b4 Taxes</v>
          </cell>
          <cell r="B188">
            <v>0</v>
          </cell>
          <cell r="C188">
            <v>0</v>
          </cell>
          <cell r="D188">
            <v>0</v>
          </cell>
          <cell r="F188">
            <v>0</v>
          </cell>
          <cell r="G188">
            <v>0</v>
          </cell>
          <cell r="I188" t="str">
            <v>N Guidance</v>
          </cell>
        </row>
        <row r="189">
          <cell r="A189" t="str">
            <v>Tax Rate</v>
          </cell>
          <cell r="B189">
            <v>0</v>
          </cell>
          <cell r="C189">
            <v>0</v>
          </cell>
          <cell r="D189">
            <v>0</v>
          </cell>
          <cell r="F189">
            <v>0</v>
          </cell>
          <cell r="G189">
            <v>0</v>
          </cell>
        </row>
        <row r="190">
          <cell r="A190" t="str">
            <v>Net Income</v>
          </cell>
          <cell r="B190">
            <v>0</v>
          </cell>
          <cell r="C190">
            <v>0</v>
          </cell>
          <cell r="D190">
            <v>0</v>
          </cell>
          <cell r="F190">
            <v>0</v>
          </cell>
          <cell r="G190">
            <v>0</v>
          </cell>
        </row>
        <row r="192">
          <cell r="A192" t="str">
            <v>EPS</v>
          </cell>
          <cell r="B192">
            <v>0</v>
          </cell>
          <cell r="C192">
            <v>0</v>
          </cell>
          <cell r="D192">
            <v>0</v>
          </cell>
          <cell r="F192">
            <v>0</v>
          </cell>
          <cell r="G192">
            <v>0</v>
          </cell>
        </row>
        <row r="194">
          <cell r="A194" t="str">
            <v>EPS Upsides/Downsides</v>
          </cell>
        </row>
        <row r="195">
          <cell r="A195" t="str">
            <v>Gross Margin</v>
          </cell>
          <cell r="B195">
            <v>-9.3079415940881156E-3</v>
          </cell>
        </row>
        <row r="196">
          <cell r="A196" t="str">
            <v>SG&amp;A</v>
          </cell>
          <cell r="B196">
            <v>-4.1553199556378624E-3</v>
          </cell>
        </row>
        <row r="197">
          <cell r="A197" t="str">
            <v>Interest Expense, Net</v>
          </cell>
          <cell r="B197">
            <v>1.4972157034199365E-3</v>
          </cell>
        </row>
        <row r="198">
          <cell r="A198" t="str">
            <v>Tax Rate</v>
          </cell>
          <cell r="B198">
            <v>6.994656953981741E-3</v>
          </cell>
        </row>
        <row r="199">
          <cell r="A199" t="str">
            <v>Shares</v>
          </cell>
          <cell r="B199">
            <v>4.7205651805766191E-3</v>
          </cell>
        </row>
        <row r="200">
          <cell r="A200" t="str">
            <v>Total</v>
          </cell>
          <cell r="B200">
            <v>-2.508237117476806E-4</v>
          </cell>
        </row>
        <row r="202">
          <cell r="A202" t="str">
            <v>TJX</v>
          </cell>
        </row>
        <row r="203">
          <cell r="A203" t="str">
            <v>As a % of Sales</v>
          </cell>
          <cell r="B203" t="str">
            <v>3Q09</v>
          </cell>
          <cell r="C203" t="str">
            <v>3Q08</v>
          </cell>
          <cell r="D203" t="str">
            <v>MS Est.</v>
          </cell>
          <cell r="F203" t="str">
            <v>y/y∆ (bp)</v>
          </cell>
          <cell r="G203" t="str">
            <v>∆ vs MS
Est. (bp)</v>
          </cell>
          <cell r="J203" t="str">
            <v>FQ1</v>
          </cell>
          <cell r="K203" t="str">
            <v>FQ2</v>
          </cell>
          <cell r="L203" t="str">
            <v>FY1</v>
          </cell>
          <cell r="M203" t="str">
            <v>FY2</v>
          </cell>
        </row>
        <row r="204">
          <cell r="A204" t="str">
            <v>Gross Income</v>
          </cell>
          <cell r="B204">
            <v>0</v>
          </cell>
          <cell r="C204">
            <v>0</v>
          </cell>
          <cell r="D204">
            <v>0</v>
          </cell>
          <cell r="F204">
            <v>0</v>
          </cell>
          <cell r="G204">
            <v>0</v>
          </cell>
          <cell r="I204" t="str">
            <v>Consensus</v>
          </cell>
          <cell r="J204">
            <v>0.78400000000000003</v>
          </cell>
          <cell r="K204">
            <v>0.70599999999999996</v>
          </cell>
          <cell r="L204">
            <v>2.5819999999999999</v>
          </cell>
          <cell r="M204">
            <v>2.8839999999999999</v>
          </cell>
          <cell r="N204" t="str">
            <v>Bloomberg</v>
          </cell>
          <cell r="O204">
            <v>40133</v>
          </cell>
        </row>
        <row r="205">
          <cell r="A205" t="str">
            <v>SG&amp;A Expense</v>
          </cell>
          <cell r="B205">
            <v>0</v>
          </cell>
          <cell r="C205">
            <v>0</v>
          </cell>
          <cell r="D205">
            <v>0</v>
          </cell>
          <cell r="F205">
            <v>0</v>
          </cell>
          <cell r="G205">
            <v>0</v>
          </cell>
          <cell r="I205" t="str">
            <v>MS Est.</v>
          </cell>
          <cell r="J205">
            <v>0</v>
          </cell>
          <cell r="K205">
            <v>0.81</v>
          </cell>
          <cell r="L205">
            <v>2.7</v>
          </cell>
          <cell r="M205">
            <v>3.13</v>
          </cell>
        </row>
        <row r="206">
          <cell r="A206" t="str">
            <v>Operating Income</v>
          </cell>
          <cell r="B206">
            <v>0</v>
          </cell>
          <cell r="C206">
            <v>0</v>
          </cell>
          <cell r="D206">
            <v>0</v>
          </cell>
          <cell r="F206">
            <v>0</v>
          </cell>
          <cell r="G206">
            <v>0</v>
          </cell>
          <cell r="I206" t="str">
            <v>MS/C</v>
          </cell>
          <cell r="J206">
            <v>-0.78400000000000003</v>
          </cell>
          <cell r="K206">
            <v>0.10400000000000009</v>
          </cell>
          <cell r="L206">
            <v>0.11800000000000033</v>
          </cell>
          <cell r="M206">
            <v>0.246</v>
          </cell>
        </row>
        <row r="207">
          <cell r="A207" t="str">
            <v>Interest Expense</v>
          </cell>
          <cell r="B207">
            <v>0</v>
          </cell>
          <cell r="C207">
            <v>0</v>
          </cell>
          <cell r="D207">
            <v>0</v>
          </cell>
          <cell r="F207">
            <v>0</v>
          </cell>
          <cell r="G207">
            <v>0</v>
          </cell>
          <cell r="I207" t="str">
            <v>Mgt</v>
          </cell>
        </row>
        <row r="208">
          <cell r="A208" t="str">
            <v>Earnings b4 Taxes</v>
          </cell>
          <cell r="B208">
            <v>0</v>
          </cell>
          <cell r="C208">
            <v>0</v>
          </cell>
          <cell r="D208">
            <v>0</v>
          </cell>
          <cell r="F208">
            <v>0</v>
          </cell>
          <cell r="G208">
            <v>0</v>
          </cell>
          <cell r="I208" t="str">
            <v>New Guide</v>
          </cell>
        </row>
        <row r="209">
          <cell r="A209" t="str">
            <v>Tax Rate</v>
          </cell>
          <cell r="B209">
            <v>0</v>
          </cell>
          <cell r="C209">
            <v>0</v>
          </cell>
          <cell r="D209">
            <v>0</v>
          </cell>
          <cell r="F209">
            <v>0</v>
          </cell>
          <cell r="G209">
            <v>0</v>
          </cell>
        </row>
        <row r="210">
          <cell r="A210" t="str">
            <v>Net Income</v>
          </cell>
          <cell r="B210">
            <v>0</v>
          </cell>
          <cell r="C210">
            <v>0</v>
          </cell>
          <cell r="D210">
            <v>0</v>
          </cell>
          <cell r="F210">
            <v>0</v>
          </cell>
          <cell r="G210">
            <v>0</v>
          </cell>
        </row>
        <row r="212">
          <cell r="A212" t="str">
            <v>EPS</v>
          </cell>
          <cell r="B212">
            <v>0</v>
          </cell>
          <cell r="C212">
            <v>0</v>
          </cell>
          <cell r="D212">
            <v>0</v>
          </cell>
          <cell r="F212">
            <v>0</v>
          </cell>
          <cell r="G212">
            <v>0</v>
          </cell>
        </row>
        <row r="214">
          <cell r="A214" t="str">
            <v>EPS Upsides/Downsides</v>
          </cell>
        </row>
        <row r="215">
          <cell r="A215" t="str">
            <v>Reported Sales Variance</v>
          </cell>
          <cell r="B215">
            <v>-9.2385306540772958E-3</v>
          </cell>
        </row>
        <row r="216">
          <cell r="A216" t="str">
            <v>Gross Margin</v>
          </cell>
          <cell r="B216">
            <v>0.12327703340832144</v>
          </cell>
        </row>
        <row r="217">
          <cell r="A217" t="str">
            <v>SG&amp;A</v>
          </cell>
          <cell r="B217">
            <v>-9.2623490996430774E-2</v>
          </cell>
        </row>
        <row r="218">
          <cell r="A218" t="str">
            <v>Interest Expense, Net</v>
          </cell>
          <cell r="B218">
            <v>-1.7995738165169045E-3</v>
          </cell>
        </row>
        <row r="219">
          <cell r="A219" t="str">
            <v>Tax Rate</v>
          </cell>
          <cell r="B219">
            <v>1.0237504860645822E-2</v>
          </cell>
        </row>
        <row r="220">
          <cell r="A220" t="str">
            <v>Shares</v>
          </cell>
          <cell r="B220">
            <v>4.3935790474023406E-3</v>
          </cell>
        </row>
        <row r="221">
          <cell r="A221" t="str">
            <v>Total</v>
          </cell>
          <cell r="B221">
            <v>3.4246521849344624E-2</v>
          </cell>
        </row>
        <row r="223">
          <cell r="A223" t="str">
            <v>URBN</v>
          </cell>
        </row>
        <row r="224">
          <cell r="A224" t="str">
            <v>As a % of Sales</v>
          </cell>
          <cell r="B224" t="str">
            <v>4Q09</v>
          </cell>
          <cell r="C224" t="str">
            <v>4Q08</v>
          </cell>
          <cell r="D224" t="str">
            <v>MS Estimate</v>
          </cell>
          <cell r="F224" t="str">
            <v>y/y∆ (bp)</v>
          </cell>
          <cell r="G224" t="str">
            <v>∆ vs 
Est. (bp)</v>
          </cell>
          <cell r="J224" t="str">
            <v>FQ1</v>
          </cell>
          <cell r="K224" t="str">
            <v>FQ2</v>
          </cell>
          <cell r="L224" t="str">
            <v>FY1</v>
          </cell>
          <cell r="M224" t="str">
            <v>FY2</v>
          </cell>
        </row>
        <row r="225">
          <cell r="A225" t="str">
            <v>Gross Income</v>
          </cell>
          <cell r="B225">
            <v>0.41744081917711845</v>
          </cell>
          <cell r="C225">
            <v>0.34028633398808855</v>
          </cell>
          <cell r="D225">
            <v>0.39338633398808853</v>
          </cell>
          <cell r="F225">
            <v>771.54485189029901</v>
          </cell>
          <cell r="G225">
            <v>240.54485189029919</v>
          </cell>
          <cell r="I225" t="str">
            <v>Consensus</v>
          </cell>
          <cell r="J225">
            <v>0.40300000000000002</v>
          </cell>
          <cell r="K225">
            <v>0.25900000000000001</v>
          </cell>
          <cell r="L225">
            <v>1.234</v>
          </cell>
          <cell r="M225">
            <v>1.5580000000000001</v>
          </cell>
          <cell r="N225" t="str">
            <v>updated 3/3/2010</v>
          </cell>
        </row>
        <row r="226">
          <cell r="A226" t="str">
            <v>SG&amp;A Expense</v>
          </cell>
          <cell r="B226">
            <v>0.21580375637433241</v>
          </cell>
          <cell r="C226">
            <v>0.21590779368522153</v>
          </cell>
          <cell r="D226">
            <v>0.21140779368522153</v>
          </cell>
          <cell r="F226">
            <v>-1.0403731088912127</v>
          </cell>
          <cell r="G226">
            <v>43.959626891108826</v>
          </cell>
          <cell r="I226" t="str">
            <v>MS Est.</v>
          </cell>
          <cell r="J226">
            <v>0.40309878685263067</v>
          </cell>
          <cell r="K226">
            <v>0.38</v>
          </cell>
          <cell r="L226">
            <v>1.21</v>
          </cell>
          <cell r="M226">
            <v>1.5</v>
          </cell>
          <cell r="N226" t="str">
            <v>updated 3/3/2010</v>
          </cell>
        </row>
        <row r="227">
          <cell r="A227" t="str">
            <v>Operating Income</v>
          </cell>
          <cell r="B227">
            <v>0.20163706280278604</v>
          </cell>
          <cell r="C227">
            <v>0.12437854030286699</v>
          </cell>
          <cell r="D227">
            <v>0.18197854030286698</v>
          </cell>
          <cell r="F227">
            <v>772.58522499919047</v>
          </cell>
          <cell r="G227">
            <v>196.58522499919061</v>
          </cell>
          <cell r="I227" t="str">
            <v>MS/C</v>
          </cell>
          <cell r="J227">
            <v>9.8786852630650124E-5</v>
          </cell>
          <cell r="K227">
            <v>-0.25900000000000001</v>
          </cell>
          <cell r="L227">
            <v>-1.234</v>
          </cell>
          <cell r="M227">
            <v>-1.5580000000000001</v>
          </cell>
        </row>
        <row r="228">
          <cell r="A228" t="str">
            <v>Other Expenses (Income)</v>
          </cell>
          <cell r="B228">
            <v>-9.7707194478099143E-4</v>
          </cell>
          <cell r="C228">
            <v>-5.8120997169725901E-3</v>
          </cell>
          <cell r="D228">
            <v>-5.8120997169725901E-3</v>
          </cell>
          <cell r="F228">
            <v>48.350277721915987</v>
          </cell>
          <cell r="G228">
            <v>48.350277721915987</v>
          </cell>
          <cell r="I228" t="str">
            <v>Guidance</v>
          </cell>
          <cell r="J228" t="str">
            <v>NA</v>
          </cell>
          <cell r="K228" t="str">
            <v>NA</v>
          </cell>
          <cell r="L228" t="str">
            <v>NA</v>
          </cell>
          <cell r="M228" t="str">
            <v>NA</v>
          </cell>
        </row>
        <row r="229">
          <cell r="A229" t="str">
            <v>Income Before Taxes</v>
          </cell>
          <cell r="B229">
            <v>0.20261413474756704</v>
          </cell>
          <cell r="C229">
            <v>0.1301906400198396</v>
          </cell>
          <cell r="D229">
            <v>0.18779064001983956</v>
          </cell>
          <cell r="F229">
            <v>724.23494727727439</v>
          </cell>
          <cell r="G229">
            <v>148.23494727727481</v>
          </cell>
        </row>
        <row r="230">
          <cell r="A230" t="str">
            <v>Tax Rate</v>
          </cell>
          <cell r="B230">
            <v>0.34856630072880074</v>
          </cell>
          <cell r="C230">
            <v>0.38704703161141057</v>
          </cell>
          <cell r="D230">
            <v>0.374</v>
          </cell>
          <cell r="F230">
            <v>-384.80730882609839</v>
          </cell>
          <cell r="G230">
            <v>-254.33699271199262</v>
          </cell>
        </row>
        <row r="231">
          <cell r="A231" t="str">
            <v>Net Income</v>
          </cell>
          <cell r="B231">
            <v>0.13198967532324082</v>
          </cell>
          <cell r="C231">
            <v>7.9800739256570954E-2</v>
          </cell>
          <cell r="D231">
            <v>0.11755694065241959</v>
          </cell>
          <cell r="F231">
            <v>521.88936066669874</v>
          </cell>
          <cell r="G231">
            <v>144.32734670821233</v>
          </cell>
        </row>
        <row r="233">
          <cell r="A233" t="str">
            <v>EPS</v>
          </cell>
          <cell r="B233">
            <v>0.45049458331518716</v>
          </cell>
          <cell r="C233">
            <v>0.2383991529512581</v>
          </cell>
          <cell r="D233">
            <v>0.40309878685263067</v>
          </cell>
          <cell r="F233">
            <v>0.21209543036392906</v>
          </cell>
          <cell r="G233">
            <v>4.7395796462556483E-2</v>
          </cell>
        </row>
        <row r="235">
          <cell r="A235" t="str">
            <v>EPS Upsides/Downsides</v>
          </cell>
        </row>
        <row r="236">
          <cell r="A236" t="str">
            <v>Sales</v>
          </cell>
          <cell r="B236" t="e">
            <v>#REF!</v>
          </cell>
        </row>
        <row r="237">
          <cell r="A237" t="str">
            <v>Gross Margin</v>
          </cell>
          <cell r="B237">
            <v>5.3483017340296916E-2</v>
          </cell>
        </row>
        <row r="238">
          <cell r="A238" t="str">
            <v>SG&amp;A</v>
          </cell>
          <cell r="B238">
            <v>-9.7740336939839308E-3</v>
          </cell>
        </row>
        <row r="239">
          <cell r="A239" t="str">
            <v>Other Expenses (Income)</v>
          </cell>
          <cell r="B239">
            <v>-1.0750256018734979E-2</v>
          </cell>
        </row>
        <row r="240">
          <cell r="A240" t="str">
            <v>Tax Rate</v>
          </cell>
          <cell r="B240">
            <v>1.7588503278478228E-2</v>
          </cell>
        </row>
        <row r="241">
          <cell r="A241" t="str">
            <v>Shares</v>
          </cell>
          <cell r="B241">
            <v>-2.0935642207525196E-3</v>
          </cell>
        </row>
        <row r="242">
          <cell r="A242" t="str">
            <v>Total</v>
          </cell>
          <cell r="B242">
            <v>4.8453666685303709E-2</v>
          </cell>
        </row>
        <row r="243">
          <cell r="A243" t="str">
            <v>AEO</v>
          </cell>
        </row>
        <row r="244">
          <cell r="A244" t="str">
            <v>AEO</v>
          </cell>
          <cell r="B244" t="str">
            <v>3Q09</v>
          </cell>
          <cell r="C244" t="str">
            <v>3Q08</v>
          </cell>
          <cell r="D244" t="str">
            <v>MS Estimate</v>
          </cell>
          <cell r="F244" t="str">
            <v>y/y∆ (bp)</v>
          </cell>
          <cell r="G244" t="str">
            <v>∆ vs 
Est. (bp)</v>
          </cell>
          <cell r="J244" t="str">
            <v>FQ1</v>
          </cell>
          <cell r="K244" t="str">
            <v>FQ2</v>
          </cell>
          <cell r="M244" t="str">
            <v>FY1</v>
          </cell>
          <cell r="N244" t="str">
            <v>FY2</v>
          </cell>
        </row>
        <row r="245">
          <cell r="A245" t="str">
            <v>As a % of Sales</v>
          </cell>
          <cell r="B245" t="str">
            <v>4Q09</v>
          </cell>
          <cell r="C245" t="str">
            <v>4Q08</v>
          </cell>
          <cell r="D245" t="str">
            <v>MS Estimate</v>
          </cell>
          <cell r="F245" t="str">
            <v>y/y∆ (bp)</v>
          </cell>
          <cell r="G245" t="str">
            <v>∆ vs 
Est. (bp)</v>
          </cell>
          <cell r="I245" t="str">
            <v>Consensus</v>
          </cell>
          <cell r="J245" t="str">
            <v>FQ1</v>
          </cell>
          <cell r="K245" t="str">
            <v>FQ2</v>
          </cell>
          <cell r="M245" t="str">
            <v>FY1</v>
          </cell>
          <cell r="N245" t="str">
            <v>FY2</v>
          </cell>
          <cell r="O245" t="str">
            <v>updated 11/23/2009</v>
          </cell>
        </row>
        <row r="246">
          <cell r="A246" t="str">
            <v>Gross Income</v>
          </cell>
          <cell r="B246">
            <v>0.38593867923135189</v>
          </cell>
          <cell r="C246">
            <v>0.34406978028044605</v>
          </cell>
          <cell r="D246">
            <v>0.38593867923135189</v>
          </cell>
          <cell r="F246">
            <v>418.68898950905844</v>
          </cell>
          <cell r="G246">
            <v>0</v>
          </cell>
          <cell r="I246" t="str">
            <v>Consensus</v>
          </cell>
          <cell r="J246">
            <v>0.20516677394692481</v>
          </cell>
          <cell r="K246">
            <v>0.34</v>
          </cell>
          <cell r="M246">
            <v>0.77</v>
          </cell>
          <cell r="N246">
            <v>0.97</v>
          </cell>
        </row>
        <row r="247">
          <cell r="A247" t="str">
            <v>SG&amp;A</v>
          </cell>
          <cell r="B247">
            <v>0.26707126698025407</v>
          </cell>
          <cell r="C247">
            <v>0.27777851385668545</v>
          </cell>
          <cell r="D247">
            <v>0.26707126698025407</v>
          </cell>
          <cell r="F247">
            <v>-107.07246876431375</v>
          </cell>
          <cell r="G247">
            <v>0</v>
          </cell>
          <cell r="I247" t="str">
            <v>MS Est.</v>
          </cell>
          <cell r="J247">
            <v>-4.8332260530751792E-3</v>
          </cell>
          <cell r="K247">
            <v>1.8000000000000016E-2</v>
          </cell>
          <cell r="M247">
            <v>2.200000000000002E-2</v>
          </cell>
          <cell r="N247">
            <v>-6.2000000000000055E-2</v>
          </cell>
        </row>
        <row r="248">
          <cell r="A248" t="str">
            <v>Operating Income</v>
          </cell>
          <cell r="B248">
            <v>0.11886741225109779</v>
          </cell>
          <cell r="C248">
            <v>6.6291266423760653E-2</v>
          </cell>
          <cell r="D248">
            <v>0.11886741225109779</v>
          </cell>
          <cell r="F248">
            <v>525.76145827337132</v>
          </cell>
          <cell r="G248">
            <v>0</v>
          </cell>
          <cell r="I248" t="str">
            <v>MS/C</v>
          </cell>
          <cell r="J248" t="str">
            <v>0.20-0.21 op.</v>
          </cell>
        </row>
        <row r="249">
          <cell r="A249" t="str">
            <v>Interest and Other Income, net</v>
          </cell>
          <cell r="B249">
            <v>-4.7111590699647102E-4</v>
          </cell>
          <cell r="C249">
            <v>3.207463840123661E-3</v>
          </cell>
          <cell r="D249">
            <v>-4.7111590699647102E-4</v>
          </cell>
          <cell r="F249">
            <v>-36.78579747120132</v>
          </cell>
          <cell r="G249">
            <v>0</v>
          </cell>
          <cell r="I249" t="str">
            <v>M Guidance</v>
          </cell>
        </row>
        <row r="250">
          <cell r="A250" t="str">
            <v>Income Before Taxes</v>
          </cell>
          <cell r="B250">
            <v>0.11839629634410131</v>
          </cell>
          <cell r="C250">
            <v>6.9498730263884312E-2</v>
          </cell>
          <cell r="D250">
            <v>0.11839629634410131</v>
          </cell>
          <cell r="F250">
            <v>488.97566080217001</v>
          </cell>
          <cell r="G250">
            <v>0</v>
          </cell>
        </row>
        <row r="251">
          <cell r="A251" t="str">
            <v>Tax Rate</v>
          </cell>
          <cell r="B251">
            <v>0.38</v>
          </cell>
          <cell r="C251">
            <v>0.3856064818492333</v>
          </cell>
          <cell r="D251">
            <v>0.38</v>
          </cell>
          <cell r="F251">
            <v>-56.064818492332911</v>
          </cell>
          <cell r="G251">
            <v>0</v>
          </cell>
        </row>
        <row r="252">
          <cell r="A252" t="str">
            <v>Net Income</v>
          </cell>
          <cell r="B252">
            <v>7.340570373334282E-2</v>
          </cell>
          <cell r="C252">
            <v>4.2699569393839044E-2</v>
          </cell>
          <cell r="D252">
            <v>7.340570373334282E-2</v>
          </cell>
          <cell r="F252">
            <v>307.06134339503774</v>
          </cell>
          <cell r="G252">
            <v>0</v>
          </cell>
        </row>
        <row r="253">
          <cell r="A253" t="str">
            <v>EPS</v>
          </cell>
          <cell r="B253">
            <v>0.20516677394692481</v>
          </cell>
          <cell r="C253">
            <v>0.30139292156616848</v>
          </cell>
          <cell r="D253">
            <v>0.20516677394692481</v>
          </cell>
          <cell r="F253">
            <v>-9.6226147619243668E-2</v>
          </cell>
          <cell r="G253">
            <v>0</v>
          </cell>
        </row>
        <row r="254">
          <cell r="A254" t="str">
            <v>EPS</v>
          </cell>
          <cell r="B254">
            <v>0.33751528617009335</v>
          </cell>
          <cell r="C254">
            <v>0.18721951927964575</v>
          </cell>
          <cell r="D254">
            <v>0.33751528617009335</v>
          </cell>
          <cell r="F254">
            <v>0.1502957668904476</v>
          </cell>
          <cell r="G254">
            <v>0</v>
          </cell>
        </row>
        <row r="255">
          <cell r="A255" t="str">
            <v>EPS Upsides/Downsides</v>
          </cell>
        </row>
        <row r="256">
          <cell r="A256" t="str">
            <v>EPS Upsides/Downsides</v>
          </cell>
          <cell r="B256">
            <v>0</v>
          </cell>
        </row>
        <row r="257">
          <cell r="A257" t="str">
            <v>Gross Margin</v>
          </cell>
          <cell r="B257">
            <v>0</v>
          </cell>
        </row>
        <row r="258">
          <cell r="A258" t="str">
            <v>SG&amp;A</v>
          </cell>
          <cell r="B258">
            <v>0</v>
          </cell>
        </row>
        <row r="259">
          <cell r="A259" t="str">
            <v>Interest and Other Income, net</v>
          </cell>
          <cell r="B259">
            <v>0</v>
          </cell>
        </row>
        <row r="260">
          <cell r="A260" t="str">
            <v>Tax Rate</v>
          </cell>
          <cell r="B260">
            <v>0</v>
          </cell>
        </row>
        <row r="261">
          <cell r="A261" t="str">
            <v>Shares</v>
          </cell>
          <cell r="B261">
            <v>0</v>
          </cell>
        </row>
        <row r="262">
          <cell r="A262" t="str">
            <v>Total</v>
          </cell>
          <cell r="B262">
            <v>0</v>
          </cell>
        </row>
        <row r="263">
          <cell r="A263" t="str">
            <v>ANF</v>
          </cell>
          <cell r="I263" t="str">
            <v>From Bloomberg</v>
          </cell>
        </row>
        <row r="264">
          <cell r="A264" t="str">
            <v>ANF</v>
          </cell>
          <cell r="B264" t="str">
            <v>3Q09</v>
          </cell>
          <cell r="C264" t="str">
            <v>3Q08</v>
          </cell>
          <cell r="D264" t="str">
            <v>MS Est.</v>
          </cell>
          <cell r="F264" t="str">
            <v>y/y∆ (bp)</v>
          </cell>
          <cell r="G264" t="str">
            <v>∆ vs MS
Est. (bp)</v>
          </cell>
          <cell r="I264" t="str">
            <v>From Bloomberg</v>
          </cell>
          <cell r="J264" t="str">
            <v>FQ1</v>
          </cell>
          <cell r="K264" t="str">
            <v>FQ2</v>
          </cell>
          <cell r="M264" t="str">
            <v>FY1</v>
          </cell>
          <cell r="N264" t="str">
            <v>FY2</v>
          </cell>
          <cell r="O264" t="str">
            <v>FY3</v>
          </cell>
        </row>
        <row r="265">
          <cell r="A265" t="str">
            <v>As a % of Sales</v>
          </cell>
          <cell r="B265" t="str">
            <v>4Q09</v>
          </cell>
          <cell r="C265" t="str">
            <v>4Q08</v>
          </cell>
          <cell r="D265" t="str">
            <v>MS Est.</v>
          </cell>
          <cell r="F265" t="str">
            <v>y/y∆ (bp)</v>
          </cell>
          <cell r="G265" t="str">
            <v>∆ vs MS
Est. (bp)</v>
          </cell>
          <cell r="I265" t="str">
            <v>Consensus</v>
          </cell>
          <cell r="J265" t="str">
            <v>FQ1</v>
          </cell>
          <cell r="K265" t="str">
            <v>FQ2</v>
          </cell>
          <cell r="M265" t="str">
            <v>FY1</v>
          </cell>
          <cell r="N265" t="str">
            <v>FY2</v>
          </cell>
          <cell r="O265" t="str">
            <v>FY3</v>
          </cell>
          <cell r="P265">
            <v>40129</v>
          </cell>
        </row>
        <row r="266">
          <cell r="A266" t="str">
            <v>Gross Income</v>
          </cell>
          <cell r="B266">
            <v>0.63520055214206117</v>
          </cell>
          <cell r="C266">
            <v>0.64625120691184512</v>
          </cell>
          <cell r="D266">
            <v>0.6389308385648651</v>
          </cell>
          <cell r="F266">
            <v>-110.50654769783952</v>
          </cell>
          <cell r="G266">
            <v>-37.302864228039297</v>
          </cell>
          <cell r="I266" t="str">
            <v>Consensus</v>
          </cell>
          <cell r="J266">
            <v>0.86899999999999999</v>
          </cell>
          <cell r="K266">
            <v>-0.30550645974206669</v>
          </cell>
          <cell r="M266">
            <v>0.89300000000000002</v>
          </cell>
          <cell r="N266">
            <v>1.6679999999999999</v>
          </cell>
          <cell r="O266">
            <v>2.238</v>
          </cell>
          <cell r="P266">
            <v>40225</v>
          </cell>
        </row>
        <row r="267">
          <cell r="A267" t="str">
            <v>SG&amp;A Expense</v>
          </cell>
          <cell r="B267">
            <v>0.50553157028219287</v>
          </cell>
          <cell r="C267">
            <v>0.49192146483158294</v>
          </cell>
          <cell r="D267">
            <v>0.50634691694515288</v>
          </cell>
          <cell r="F267">
            <v>136.10105450609922</v>
          </cell>
          <cell r="G267">
            <v>-8.1534666296001479</v>
          </cell>
          <cell r="I267" t="str">
            <v>MS Est.</v>
          </cell>
          <cell r="J267">
            <v>0.91479700159346322</v>
          </cell>
          <cell r="K267">
            <v>-1.3135064597420667</v>
          </cell>
        </row>
        <row r="268">
          <cell r="A268" t="str">
            <v>Other Operating Expense</v>
          </cell>
          <cell r="B268">
            <v>-7.7650319287258102E-3</v>
          </cell>
          <cell r="C268">
            <v>-5.5372656653843921E-3</v>
          </cell>
          <cell r="D268">
            <v>-6.4792049741721819E-3</v>
          </cell>
          <cell r="F268">
            <v>-22.277662633414181</v>
          </cell>
          <cell r="G268">
            <v>-12.858269545536283</v>
          </cell>
          <cell r="I268" t="str">
            <v>MS/C</v>
          </cell>
          <cell r="J268">
            <v>4.5797001593463227E-2</v>
          </cell>
        </row>
        <row r="269">
          <cell r="A269" t="str">
            <v>Operating Income</v>
          </cell>
          <cell r="B269">
            <v>0.13743401378859399</v>
          </cell>
          <cell r="C269">
            <v>0.15986700774564663</v>
          </cell>
          <cell r="D269">
            <v>0.1390631265938844</v>
          </cell>
          <cell r="F269">
            <v>-224.32993957052645</v>
          </cell>
          <cell r="G269">
            <v>-16.291128052904057</v>
          </cell>
          <cell r="I269" t="str">
            <v>Guidance</v>
          </cell>
        </row>
        <row r="270">
          <cell r="A270" t="str">
            <v>Interest Expense (Income)</v>
          </cell>
          <cell r="B270">
            <v>1.1677462710645722E-3</v>
          </cell>
          <cell r="C270">
            <v>-1.4467648645149055E-3</v>
          </cell>
          <cell r="D270">
            <v>4.1688385501705005E-4</v>
          </cell>
          <cell r="F270">
            <v>26.145111355794779</v>
          </cell>
          <cell r="G270">
            <v>7.5086241604752209</v>
          </cell>
          <cell r="I270" t="str">
            <v>P Guidance</v>
          </cell>
        </row>
        <row r="271">
          <cell r="A271" t="str">
            <v>Earnings Before Taxes</v>
          </cell>
          <cell r="B271">
            <v>0.13626626751752943</v>
          </cell>
          <cell r="C271">
            <v>0.16131377261016155</v>
          </cell>
          <cell r="D271">
            <v>0.13864624273886736</v>
          </cell>
          <cell r="F271">
            <v>-250.47505092632122</v>
          </cell>
          <cell r="G271">
            <v>-23.799752213379264</v>
          </cell>
          <cell r="I271" t="str">
            <v>Consensus Comp</v>
          </cell>
        </row>
        <row r="272">
          <cell r="A272" t="str">
            <v>Tax Rate</v>
          </cell>
          <cell r="B272">
            <v>0.36083845574860479</v>
          </cell>
          <cell r="C272">
            <v>0.44367265418599672</v>
          </cell>
          <cell r="D272">
            <v>0.38500000000000001</v>
          </cell>
          <cell r="F272">
            <v>-828.34198437391922</v>
          </cell>
          <cell r="G272">
            <v>-241.61544251395216</v>
          </cell>
          <cell r="I272" t="str">
            <v>Consensus Comp</v>
          </cell>
        </row>
        <row r="273">
          <cell r="A273" t="str">
            <v>Net Income</v>
          </cell>
          <cell r="B273">
            <v>5.0704547372784445E-2</v>
          </cell>
          <cell r="C273">
            <v>6.974548561442645E-2</v>
          </cell>
          <cell r="D273">
            <v>7.2438837812268814E-2</v>
          </cell>
          <cell r="F273">
            <v>-190.40938241642004</v>
          </cell>
          <cell r="G273">
            <v>-217.34290439484369</v>
          </cell>
          <cell r="I273" t="str">
            <v>MS Est.</v>
          </cell>
        </row>
        <row r="274">
          <cell r="A274" t="str">
            <v>EPS</v>
          </cell>
          <cell r="B274">
            <v>0.29675419812915488</v>
          </cell>
          <cell r="C274">
            <v>0.71954597662320108</v>
          </cell>
          <cell r="D274">
            <v>0.20607553553155786</v>
          </cell>
          <cell r="F274">
            <v>-0.4227917784940462</v>
          </cell>
          <cell r="G274">
            <v>9.0678662597597021E-2</v>
          </cell>
        </row>
        <row r="275">
          <cell r="A275" t="str">
            <v>EPS</v>
          </cell>
          <cell r="B275">
            <v>0.91479700159346322</v>
          </cell>
          <cell r="C275">
            <v>0.9973146910195102</v>
          </cell>
          <cell r="D275">
            <v>0.91348144252652552</v>
          </cell>
          <cell r="F275">
            <v>-8.2517689426046981E-2</v>
          </cell>
          <cell r="G275">
            <v>1.3155590669376993E-3</v>
          </cell>
        </row>
        <row r="276">
          <cell r="A276" t="str">
            <v>EPS Upsides/Downsides</v>
          </cell>
        </row>
        <row r="277">
          <cell r="A277" t="str">
            <v>EPS Upsides/Downsides</v>
          </cell>
          <cell r="B277">
            <v>3.9594538117740255E-3</v>
          </cell>
          <cell r="I277" t="str">
            <v>running tally</v>
          </cell>
        </row>
        <row r="278">
          <cell r="A278" t="str">
            <v>Gross Margin</v>
          </cell>
          <cell r="B278">
            <v>-9.3823838608346158E-2</v>
          </cell>
          <cell r="I278">
            <v>-9.3823838608346158E-2</v>
          </cell>
        </row>
        <row r="279">
          <cell r="A279" t="str">
            <v>Stores and Distribution</v>
          </cell>
          <cell r="B279">
            <v>7.3388432416435279E-2</v>
          </cell>
          <cell r="I279">
            <v>-2.0435406191910879E-2</v>
          </cell>
        </row>
        <row r="280">
          <cell r="A280" t="str">
            <v>Marketing, General and Administrative Expenses</v>
          </cell>
          <cell r="B280">
            <v>-1.3406211970566307E-2</v>
          </cell>
          <cell r="I280">
            <v>-3.3841618162477188E-2</v>
          </cell>
        </row>
        <row r="281">
          <cell r="A281" t="str">
            <v>Other Operating Expense (Income)</v>
          </cell>
          <cell r="B281">
            <v>7.9346580895232471E-3</v>
          </cell>
          <cell r="I281">
            <v>-2.5906960072953941E-2</v>
          </cell>
        </row>
        <row r="282">
          <cell r="A282" t="str">
            <v>Operating Margin</v>
          </cell>
          <cell r="B282">
            <v>-1.1770010098571454E-2</v>
          </cell>
        </row>
        <row r="283">
          <cell r="A283" t="str">
            <v>Interest Expense, Net</v>
          </cell>
          <cell r="B283">
            <v>-4.9958905404242308E-3</v>
          </cell>
          <cell r="I283">
            <v>-3.090285061337817E-2</v>
          </cell>
        </row>
        <row r="284">
          <cell r="A284" t="str">
            <v>Tax Rate</v>
          </cell>
          <cell r="B284">
            <v>3.4581098368381503E-2</v>
          </cell>
          <cell r="I284">
            <v>3.6782477550033332E-3</v>
          </cell>
        </row>
        <row r="285">
          <cell r="A285" t="str">
            <v>Shares</v>
          </cell>
          <cell r="B285">
            <v>-3.5496818885781822E-3</v>
          </cell>
          <cell r="I285">
            <v>1.28565866425151E-4</v>
          </cell>
        </row>
        <row r="286">
          <cell r="A286" t="str">
            <v>Total</v>
          </cell>
          <cell r="B286">
            <v>1.28565866425151E-4</v>
          </cell>
        </row>
        <row r="287">
          <cell r="A287" t="str">
            <v>ARO</v>
          </cell>
        </row>
        <row r="288">
          <cell r="A288" t="str">
            <v>ARO</v>
          </cell>
          <cell r="B288" t="str">
            <v>3Q09</v>
          </cell>
          <cell r="C288" t="str">
            <v>3Q08</v>
          </cell>
          <cell r="D288" t="str">
            <v>MS Est.</v>
          </cell>
          <cell r="F288" t="str">
            <v>y/y∆ (bp)</v>
          </cell>
          <cell r="G288" t="str">
            <v>∆ vs MS
Est. (bp)</v>
          </cell>
          <cell r="J288" t="str">
            <v>FQ1</v>
          </cell>
          <cell r="K288" t="str">
            <v>FQ2</v>
          </cell>
          <cell r="L288" t="str">
            <v>FQ3</v>
          </cell>
          <cell r="M288" t="str">
            <v>FY1</v>
          </cell>
          <cell r="N288" t="str">
            <v>FY2</v>
          </cell>
        </row>
        <row r="289">
          <cell r="A289" t="str">
            <v>As a % of Sales</v>
          </cell>
          <cell r="B289" t="str">
            <v>3Q09</v>
          </cell>
          <cell r="C289" t="str">
            <v>3Q08</v>
          </cell>
          <cell r="D289" t="str">
            <v>MS Est.</v>
          </cell>
          <cell r="F289" t="str">
            <v>y/y∆ (bp)</v>
          </cell>
          <cell r="G289" t="str">
            <v>∆ vs MS
Est. (bp)</v>
          </cell>
          <cell r="I289" t="str">
            <v>Consensus</v>
          </cell>
          <cell r="J289" t="str">
            <v>FQ1</v>
          </cell>
          <cell r="K289" t="str">
            <v>FQ2</v>
          </cell>
          <cell r="L289" t="str">
            <v>FQ3</v>
          </cell>
          <cell r="M289" t="str">
            <v>FY1</v>
          </cell>
          <cell r="N289" t="str">
            <v>FY2</v>
          </cell>
        </row>
        <row r="290">
          <cell r="A290" t="str">
            <v>Gross Income</v>
          </cell>
          <cell r="B290">
            <v>0.39257147284965077</v>
          </cell>
          <cell r="C290">
            <v>0.35982922472756235</v>
          </cell>
          <cell r="D290">
            <v>0.39528365206998789</v>
          </cell>
          <cell r="F290">
            <v>327.42248122088426</v>
          </cell>
          <cell r="G290">
            <v>-27.121792203371186</v>
          </cell>
          <cell r="I290" t="str">
            <v>Consensus</v>
          </cell>
          <cell r="J290">
            <v>0.30712970000000001</v>
          </cell>
          <cell r="K290">
            <v>0.59615390000000001</v>
          </cell>
          <cell r="M290">
            <v>2.1453759999999997</v>
          </cell>
          <cell r="N290">
            <v>2.394126</v>
          </cell>
          <cell r="O290" t="str">
            <v>linked to working2</v>
          </cell>
        </row>
        <row r="291">
          <cell r="A291" t="str">
            <v>SG&amp;A Expense</v>
          </cell>
          <cell r="B291">
            <v>0.20646029325265305</v>
          </cell>
          <cell r="C291">
            <v>0.21385080398392656</v>
          </cell>
          <cell r="D291">
            <v>0.2117429985550526</v>
          </cell>
          <cell r="F291">
            <v>-73.905107312735026</v>
          </cell>
          <cell r="G291">
            <v>-52.827053023995482</v>
          </cell>
          <cell r="I291" t="str">
            <v>MS Est.</v>
          </cell>
          <cell r="J291">
            <v>0.92113662102337024</v>
          </cell>
          <cell r="K291">
            <v>1.3135602997739202</v>
          </cell>
          <cell r="M291">
            <v>3.2066781689519406</v>
          </cell>
          <cell r="N291">
            <v>3.5479305986742777</v>
          </cell>
          <cell r="O291" t="str">
            <v>linked to working2</v>
          </cell>
        </row>
        <row r="292">
          <cell r="A292" t="str">
            <v>Operating Income</v>
          </cell>
          <cell r="B292">
            <v>0.18611117959699769</v>
          </cell>
          <cell r="C292">
            <v>0.14597842074363579</v>
          </cell>
          <cell r="D292">
            <v>0.18354065351493529</v>
          </cell>
          <cell r="F292">
            <v>401.32758853361901</v>
          </cell>
          <cell r="G292">
            <v>25.705260820624019</v>
          </cell>
          <cell r="I292" t="str">
            <v>MS/C</v>
          </cell>
          <cell r="J292">
            <v>0.61400692102337029</v>
          </cell>
          <cell r="K292">
            <v>0.71740639977392018</v>
          </cell>
          <cell r="M292">
            <v>1.0613021689519408</v>
          </cell>
          <cell r="N292">
            <v>1.1538045986742778</v>
          </cell>
        </row>
        <row r="293">
          <cell r="A293" t="str">
            <v>Interest Expense (Income), Net</v>
          </cell>
          <cell r="B293">
            <v>-4.7548772713344299E-5</v>
          </cell>
          <cell r="C293">
            <v>-4.3565120519794122E-4</v>
          </cell>
          <cell r="D293">
            <v>-2.9837499988074993E-4</v>
          </cell>
          <cell r="F293">
            <v>3.8810243248459693</v>
          </cell>
          <cell r="G293">
            <v>2.5082622716740564</v>
          </cell>
          <cell r="I293" t="str">
            <v>M Guidance</v>
          </cell>
          <cell r="J293" t="str">
            <v>$0.61-$0.62</v>
          </cell>
        </row>
        <row r="294">
          <cell r="A294" t="str">
            <v>Income Before Taxes</v>
          </cell>
          <cell r="B294">
            <v>0.18615872836971104</v>
          </cell>
          <cell r="C294">
            <v>0.14641407194883371</v>
          </cell>
          <cell r="D294">
            <v>0.18383902851481601</v>
          </cell>
          <cell r="F294">
            <v>397.44656420877322</v>
          </cell>
          <cell r="G294">
            <v>23.196998548950244</v>
          </cell>
        </row>
        <row r="295">
          <cell r="A295" t="str">
            <v>Tax Provision (Benefit)</v>
          </cell>
          <cell r="B295">
            <v>0.40752828546562242</v>
          </cell>
          <cell r="C295">
            <v>0.39575215721835749</v>
          </cell>
          <cell r="D295">
            <v>0.39900000000000002</v>
          </cell>
          <cell r="F295">
            <v>117.76128247264927</v>
          </cell>
          <cell r="G295">
            <v>85.282854656223989</v>
          </cell>
        </row>
        <row r="296">
          <cell r="A296" t="str">
            <v>Net Income (Pre-Extraordinary)</v>
          </cell>
          <cell r="B296">
            <v>0.11029378097274217</v>
          </cell>
          <cell r="C296">
            <v>8.8470387127958974E-2</v>
          </cell>
          <cell r="D296">
            <v>0.11048725613740441</v>
          </cell>
          <cell r="F296">
            <v>218.23393844783197</v>
          </cell>
          <cell r="G296">
            <v>-1.9347516466224068</v>
          </cell>
        </row>
        <row r="297">
          <cell r="A297" t="str">
            <v>Diluted EPS (Pre-Extraordinary)</v>
          </cell>
          <cell r="B297">
            <v>0.92113662102337024</v>
          </cell>
          <cell r="C297">
            <v>0.6304289980190988</v>
          </cell>
          <cell r="D297">
            <v>0.92709190651576245</v>
          </cell>
          <cell r="F297">
            <v>0.29070762300427144</v>
          </cell>
          <cell r="G297">
            <v>-5.9552854923922149E-3</v>
          </cell>
        </row>
        <row r="298">
          <cell r="A298" t="str">
            <v>EPS Upsides/Downsides</v>
          </cell>
        </row>
        <row r="299">
          <cell r="A299" t="str">
            <v>EPS Upsides/Downsides</v>
          </cell>
          <cell r="B299">
            <v>-1.3419303182105114E-2</v>
          </cell>
        </row>
        <row r="300">
          <cell r="A300" t="str">
            <v>SG&amp;A</v>
          </cell>
          <cell r="B300">
            <v>-1.3419303182105114E-2</v>
          </cell>
        </row>
        <row r="301">
          <cell r="A301" t="str">
            <v>Operating Income</v>
          </cell>
          <cell r="B301">
            <v>2.613773586311971E-2</v>
          </cell>
        </row>
        <row r="302">
          <cell r="A302" t="str">
            <v>Tax Rate</v>
          </cell>
          <cell r="B302">
            <v>-1.2410206745309426E-3</v>
          </cell>
        </row>
        <row r="303">
          <cell r="A303" t="str">
            <v>Shares</v>
          </cell>
          <cell r="B303">
            <v>-1.3259225485726153E-2</v>
          </cell>
        </row>
        <row r="304">
          <cell r="A304" t="str">
            <v>EPS</v>
          </cell>
          <cell r="B304">
            <v>-4.3937840004031337E-3</v>
          </cell>
        </row>
        <row r="305">
          <cell r="A305" t="str">
            <v>Total</v>
          </cell>
          <cell r="B305">
            <v>-6.1755974796456337E-3</v>
          </cell>
        </row>
        <row r="306">
          <cell r="A306" t="str">
            <v>TGT</v>
          </cell>
        </row>
        <row r="307">
          <cell r="A307" t="str">
            <v>TGT</v>
          </cell>
          <cell r="B307" t="str">
            <v>4Q07</v>
          </cell>
          <cell r="C307" t="str">
            <v>4Q06</v>
          </cell>
          <cell r="D307" t="str">
            <v>MS Est.</v>
          </cell>
          <cell r="F307" t="str">
            <v>y/y∆ (bp)</v>
          </cell>
          <cell r="G307" t="str">
            <v>∆ vs MS
Est. (bp)</v>
          </cell>
        </row>
        <row r="308">
          <cell r="A308" t="str">
            <v>As a % of Sales</v>
          </cell>
          <cell r="B308" t="str">
            <v>4Q07</v>
          </cell>
          <cell r="C308" t="str">
            <v>4Q06</v>
          </cell>
          <cell r="D308" t="str">
            <v>MS Est.</v>
          </cell>
          <cell r="F308" t="str">
            <v>y/y∆ (bp)</v>
          </cell>
          <cell r="G308" t="str">
            <v>∆ vs MS
Est. (bp)</v>
          </cell>
        </row>
        <row r="309">
          <cell r="A309" t="str">
            <v>Gross Income</v>
          </cell>
          <cell r="B309">
            <v>0.30149999999999999</v>
          </cell>
          <cell r="C309">
            <v>0.30722922829415122</v>
          </cell>
          <cell r="D309">
            <v>0.30149999999999999</v>
          </cell>
          <cell r="F309">
            <v>-57.29228294151234</v>
          </cell>
          <cell r="G309">
            <v>0</v>
          </cell>
        </row>
        <row r="310">
          <cell r="A310" t="str">
            <v>SG&amp;A Expense</v>
          </cell>
          <cell r="B310">
            <v>0.20180000000000001</v>
          </cell>
          <cell r="C310">
            <v>0.19731174425242617</v>
          </cell>
          <cell r="D310">
            <v>0.20180000000000001</v>
          </cell>
          <cell r="F310">
            <v>44.882557475738324</v>
          </cell>
          <cell r="G310">
            <v>0</v>
          </cell>
        </row>
        <row r="311">
          <cell r="A311" t="str">
            <v>Operating Income</v>
          </cell>
          <cell r="B311">
            <v>7.8299999999999981E-2</v>
          </cell>
          <cell r="C311">
            <v>8.9054958742020865E-2</v>
          </cell>
          <cell r="D311">
            <v>7.8299999999999981E-2</v>
          </cell>
          <cell r="F311">
            <v>-107.54958742020884</v>
          </cell>
          <cell r="G311">
            <v>0</v>
          </cell>
        </row>
        <row r="312">
          <cell r="A312" t="str">
            <v>Interest Expense (Income)</v>
          </cell>
          <cell r="B312">
            <v>8.9523397104446754E-3</v>
          </cell>
          <cell r="C312">
            <v>7.8883180237687475E-3</v>
          </cell>
          <cell r="D312">
            <v>8.9523397104446754E-3</v>
          </cell>
          <cell r="F312">
            <v>10.64021686675928</v>
          </cell>
          <cell r="G312">
            <v>0</v>
          </cell>
        </row>
        <row r="313">
          <cell r="A313" t="str">
            <v>Earnings Before Taxes</v>
          </cell>
          <cell r="B313">
            <v>8.2896011892450883E-2</v>
          </cell>
          <cell r="C313">
            <v>9.367377653225388E-2</v>
          </cell>
          <cell r="D313">
            <v>6.0257749178857754E-2</v>
          </cell>
          <cell r="F313">
            <v>-18.254847645429173</v>
          </cell>
          <cell r="G313">
            <v>-20.000000000000018</v>
          </cell>
        </row>
        <row r="314">
          <cell r="A314" t="str">
            <v>Tax Rate</v>
          </cell>
          <cell r="B314">
            <v>0.38100000000000001</v>
          </cell>
          <cell r="C314">
            <v>0.38282548476454292</v>
          </cell>
          <cell r="D314">
            <v>0.38300000000000001</v>
          </cell>
          <cell r="F314">
            <v>-18.254847645429173</v>
          </cell>
          <cell r="G314">
            <v>-20.000000000000018</v>
          </cell>
        </row>
        <row r="315">
          <cell r="A315" t="str">
            <v>Net Income</v>
          </cell>
          <cell r="B315">
            <v>5.1312631361427101E-2</v>
          </cell>
          <cell r="C315">
            <v>5.781306762156832E-2</v>
          </cell>
          <cell r="D315">
            <v>3.7179031243355233E-2</v>
          </cell>
          <cell r="F315">
            <v>-65.004362601412197</v>
          </cell>
          <cell r="G315">
            <v>141.33600118071868</v>
          </cell>
        </row>
        <row r="316">
          <cell r="A316" t="str">
            <v>EPS</v>
          </cell>
          <cell r="B316">
            <v>1.1961704077679793</v>
          </cell>
          <cell r="C316">
            <v>1.287266004159926</v>
          </cell>
          <cell r="D316">
            <v>1.1961704077679793</v>
          </cell>
          <cell r="F316">
            <v>-9.1095596391946643E-2</v>
          </cell>
          <cell r="G316">
            <v>0</v>
          </cell>
        </row>
        <row r="317">
          <cell r="A317" t="str">
            <v>EPS</v>
          </cell>
          <cell r="B317">
            <v>1.1961704077679793</v>
          </cell>
          <cell r="C317">
            <v>1.287266004159926</v>
          </cell>
          <cell r="D317">
            <v>1.1961704077679793</v>
          </cell>
          <cell r="F317">
            <v>-9.1095596391946643E-2</v>
          </cell>
          <cell r="G317">
            <v>0</v>
          </cell>
        </row>
        <row r="318">
          <cell r="A318" t="str">
            <v>EPS Upsides/Downsides</v>
          </cell>
        </row>
        <row r="319">
          <cell r="A319" t="str">
            <v>EPS Upsides/Downsides</v>
          </cell>
          <cell r="B319">
            <v>2.2495220971553489E-4</v>
          </cell>
        </row>
        <row r="320">
          <cell r="A320" t="str">
            <v>Gross Income</v>
          </cell>
          <cell r="B320">
            <v>2.2495220971553489E-4</v>
          </cell>
        </row>
        <row r="321">
          <cell r="A321" t="str">
            <v>SG&amp;A Expense</v>
          </cell>
          <cell r="B321">
            <v>1.5056502792900478E-4</v>
          </cell>
        </row>
        <row r="322">
          <cell r="A322" t="str">
            <v>Operating Income</v>
          </cell>
          <cell r="B322">
            <v>5.8420424612691138E-5</v>
          </cell>
        </row>
        <row r="323">
          <cell r="A323" t="str">
            <v>Interest Expense (Income)</v>
          </cell>
          <cell r="B323">
            <v>6.6794315090834546E-6</v>
          </cell>
        </row>
        <row r="324">
          <cell r="A324" t="str">
            <v>Earnings Before Taxes</v>
          </cell>
        </row>
        <row r="325">
          <cell r="A325" t="str">
            <v>Tax Rate</v>
          </cell>
          <cell r="B325">
            <v>6.6794315090834546E-6</v>
          </cell>
        </row>
        <row r="326">
          <cell r="A326" t="str">
            <v>Total</v>
          </cell>
          <cell r="B326">
            <v>6.6794315090834546E-6</v>
          </cell>
        </row>
        <row r="327">
          <cell r="A327" t="str">
            <v>shares</v>
          </cell>
          <cell r="B327">
            <v>829.63621578113214</v>
          </cell>
        </row>
        <row r="328">
          <cell r="A328" t="str">
            <v>shares</v>
          </cell>
          <cell r="B328">
            <v>829.63621578113214</v>
          </cell>
        </row>
      </sheetData>
      <sheetData sheetId="2"/>
      <sheetData sheetId="3"/>
      <sheetData sheetId="4"/>
      <sheetData sheetId="5">
        <row r="1">
          <cell r="A1" t="str">
            <v>COH</v>
          </cell>
        </row>
        <row r="2">
          <cell r="B2" t="str">
            <v>3Q10</v>
          </cell>
          <cell r="C2" t="str">
            <v>MS Estimate</v>
          </cell>
          <cell r="D2" t="str">
            <v>FC Consensus</v>
          </cell>
          <cell r="E2" t="str">
            <v>Management Guidance</v>
          </cell>
          <cell r="F2" t="str">
            <v>3Q09</v>
          </cell>
          <cell r="H2" t="str">
            <v>y/y∆ (bp)</v>
          </cell>
          <cell r="I2" t="str">
            <v>∆ vs 
Est. (bp)</v>
          </cell>
        </row>
        <row r="3">
          <cell r="A3" t="str">
            <v>Sales</v>
          </cell>
          <cell r="B3">
            <v>0</v>
          </cell>
          <cell r="C3">
            <v>0</v>
          </cell>
          <cell r="D3">
            <v>659.173</v>
          </cell>
          <cell r="E3">
            <v>655</v>
          </cell>
          <cell r="F3">
            <v>0</v>
          </cell>
          <cell r="H3">
            <v>0</v>
          </cell>
          <cell r="I3">
            <v>0</v>
          </cell>
        </row>
        <row r="4">
          <cell r="A4" t="str">
            <v>EPS</v>
          </cell>
          <cell r="B4">
            <v>1.9105951722867136</v>
          </cell>
          <cell r="C4">
            <v>0.43855628046027123</v>
          </cell>
          <cell r="D4">
            <v>0.36</v>
          </cell>
          <cell r="F4">
            <v>0</v>
          </cell>
          <cell r="H4" t="e">
            <v>#DIV/0!</v>
          </cell>
          <cell r="I4">
            <v>1.4720388918264424</v>
          </cell>
        </row>
        <row r="5">
          <cell r="A5" t="str">
            <v>Operating Margin</v>
          </cell>
          <cell r="B5">
            <v>0</v>
          </cell>
          <cell r="C5">
            <v>0</v>
          </cell>
          <cell r="F5">
            <v>0</v>
          </cell>
          <cell r="H5">
            <v>0</v>
          </cell>
          <cell r="I5">
            <v>0</v>
          </cell>
        </row>
        <row r="6">
          <cell r="A6" t="str">
            <v>SG&amp;A Ratio</v>
          </cell>
          <cell r="B6">
            <v>0</v>
          </cell>
          <cell r="C6">
            <v>0</v>
          </cell>
          <cell r="F6">
            <v>0</v>
          </cell>
          <cell r="H6">
            <v>0</v>
          </cell>
          <cell r="I6">
            <v>0</v>
          </cell>
        </row>
        <row r="7">
          <cell r="A7" t="str">
            <v>Gross Margin</v>
          </cell>
          <cell r="B7">
            <v>-1.2409999999999997</v>
          </cell>
          <cell r="C7">
            <v>0</v>
          </cell>
          <cell r="F7">
            <v>0</v>
          </cell>
          <cell r="H7">
            <v>-12409.999999999996</v>
          </cell>
          <cell r="I7">
            <v>-12409.999999999996</v>
          </cell>
        </row>
        <row r="17">
          <cell r="B17" t="str">
            <v>Floating rate note, no commission after</v>
          </cell>
          <cell r="D17" t="str">
            <v>50K</v>
          </cell>
        </row>
        <row r="18">
          <cell r="B18" t="str">
            <v>Floating Rate Taxable MARS</v>
          </cell>
          <cell r="D18" t="str">
            <v>250K</v>
          </cell>
        </row>
      </sheetData>
      <sheetData sheetId="6">
        <row r="1">
          <cell r="A1" t="str">
            <v>TJX</v>
          </cell>
        </row>
        <row r="2">
          <cell r="A2" t="str">
            <v>FY08</v>
          </cell>
          <cell r="B2" t="str">
            <v>MS Estimate</v>
          </cell>
          <cell r="C2" t="str">
            <v>FC Consensus</v>
          </cell>
          <cell r="D2" t="str">
            <v>Management Guidance</v>
          </cell>
        </row>
        <row r="3">
          <cell r="A3" t="str">
            <v>Sales</v>
          </cell>
          <cell r="B3">
            <v>18626.920587592856</v>
          </cell>
          <cell r="C3">
            <v>18779.7</v>
          </cell>
          <cell r="D3">
            <v>18800</v>
          </cell>
        </row>
        <row r="4">
          <cell r="A4" t="str">
            <v>EPS</v>
          </cell>
          <cell r="B4">
            <v>1.859054126788775</v>
          </cell>
          <cell r="C4">
            <v>1.86</v>
          </cell>
          <cell r="D4">
            <v>1.84</v>
          </cell>
        </row>
        <row r="25">
          <cell r="A25" t="str">
            <v>Segment Profit Margin</v>
          </cell>
        </row>
        <row r="26">
          <cell r="B26" t="str">
            <v>1Q10</v>
          </cell>
          <cell r="C26" t="str">
            <v>1Q09</v>
          </cell>
          <cell r="D26" t="str">
            <v xml:space="preserve">y/y ∆ bps </v>
          </cell>
        </row>
        <row r="27">
          <cell r="A27" t="str">
            <v>Marmaxx</v>
          </cell>
          <cell r="B27">
            <v>0.14292234211059399</v>
          </cell>
          <cell r="C27">
            <v>0.11253751732714293</v>
          </cell>
          <cell r="D27">
            <v>303.84824783451057</v>
          </cell>
        </row>
        <row r="28">
          <cell r="A28" t="str">
            <v>Winners/HomeSense</v>
          </cell>
          <cell r="B28">
            <v>9.7944497097286837E-2</v>
          </cell>
          <cell r="C28">
            <v>4.6515850334361418E-2</v>
          </cell>
          <cell r="D28">
            <v>514.28646762925416</v>
          </cell>
        </row>
        <row r="29">
          <cell r="A29" t="str">
            <v>TK Maxx</v>
          </cell>
          <cell r="B29">
            <v>1.1338405403307196E-2</v>
          </cell>
          <cell r="C29">
            <v>2.2098094327688129E-2</v>
          </cell>
          <cell r="D29">
            <v>-107.59688924380933</v>
          </cell>
        </row>
        <row r="30">
          <cell r="A30" t="str">
            <v>HomeGoods</v>
          </cell>
          <cell r="B30">
            <v>8.8813479222594902E-2</v>
          </cell>
          <cell r="C30">
            <v>3.9737684839051282E-2</v>
          </cell>
          <cell r="D30">
            <v>490.75794383543621</v>
          </cell>
        </row>
        <row r="31">
          <cell r="A31" t="str">
            <v>AJ Wright</v>
          </cell>
          <cell r="B31">
            <v>4.6295989667847801E-2</v>
          </cell>
          <cell r="C31">
            <v>2.4599484932606441E-2</v>
          </cell>
          <cell r="D31">
            <v>216.96504735241359</v>
          </cell>
        </row>
        <row r="33">
          <cell r="A33" t="str">
            <v>Total (Pre-Corp. Expenses)</v>
          </cell>
          <cell r="B33">
            <v>0.11543015704050999</v>
          </cell>
          <cell r="C33">
            <v>8.7197167623898078E-2</v>
          </cell>
          <cell r="D33">
            <v>282.32989416611912</v>
          </cell>
        </row>
        <row r="46">
          <cell r="A46" t="str">
            <v>KSS Guidance</v>
          </cell>
        </row>
        <row r="47">
          <cell r="A47" t="str">
            <v>3Q09</v>
          </cell>
          <cell r="B47" t="str">
            <v>KSS</v>
          </cell>
          <cell r="C47" t="str">
            <v>MS Estimate</v>
          </cell>
        </row>
        <row r="48">
          <cell r="A48" t="str">
            <v>EPS</v>
          </cell>
          <cell r="B48" t="str">
            <v>$0.40-$0.44</v>
          </cell>
          <cell r="C48">
            <v>0.49</v>
          </cell>
        </row>
        <row r="49">
          <cell r="A49" t="str">
            <v>SSS</v>
          </cell>
          <cell r="B49" t="str">
            <v>(5)%-(3)%</v>
          </cell>
          <cell r="C49">
            <v>-1.2999999999999999E-2</v>
          </cell>
        </row>
        <row r="50">
          <cell r="A50" t="str">
            <v>Gross Margin</v>
          </cell>
          <cell r="B50" t="str">
            <v>+10-20 bps</v>
          </cell>
          <cell r="C50" t="str">
            <v>+30 bps</v>
          </cell>
        </row>
        <row r="51">
          <cell r="A51" t="str">
            <v>SG&amp;A</v>
          </cell>
          <cell r="B51" t="str">
            <v>+3-4%</v>
          </cell>
          <cell r="C51" t="str">
            <v>+2.8%</v>
          </cell>
        </row>
        <row r="53">
          <cell r="A53" t="str">
            <v>4Q09</v>
          </cell>
          <cell r="B53" t="str">
            <v>KSS</v>
          </cell>
          <cell r="C53" t="str">
            <v>MS Estimate</v>
          </cell>
        </row>
        <row r="54">
          <cell r="A54" t="str">
            <v>EPS</v>
          </cell>
          <cell r="B54" t="str">
            <v>$0.99-$1.06</v>
          </cell>
          <cell r="C54">
            <v>1.19</v>
          </cell>
        </row>
        <row r="55">
          <cell r="A55" t="str">
            <v>SSS</v>
          </cell>
          <cell r="B55" t="str">
            <v>(5)%-(3)%</v>
          </cell>
          <cell r="C55">
            <v>1.4999999999999999E-2</v>
          </cell>
        </row>
        <row r="56">
          <cell r="A56" t="str">
            <v>Gross Margin</v>
          </cell>
          <cell r="B56" t="str">
            <v>+20-30 bps</v>
          </cell>
          <cell r="C56" t="str">
            <v>+30 bps</v>
          </cell>
        </row>
        <row r="57">
          <cell r="A57" t="str">
            <v>SG&amp;A</v>
          </cell>
          <cell r="B57" t="str">
            <v>+3-4%</v>
          </cell>
          <cell r="C57" t="str">
            <v>+2.4%</v>
          </cell>
        </row>
        <row r="72">
          <cell r="B72" t="str">
            <v>1Q07</v>
          </cell>
          <cell r="C72" t="str">
            <v>2Q07</v>
          </cell>
          <cell r="D72" t="str">
            <v>3Q07</v>
          </cell>
          <cell r="E72" t="str">
            <v>4Q07</v>
          </cell>
        </row>
        <row r="73">
          <cell r="A73" t="str">
            <v>Comp Growth</v>
          </cell>
          <cell r="B73">
            <v>0.02</v>
          </cell>
          <cell r="C73">
            <v>0</v>
          </cell>
          <cell r="D73">
            <v>0.01</v>
          </cell>
          <cell r="E73">
            <v>0.04</v>
          </cell>
        </row>
        <row r="74">
          <cell r="A74" t="str">
            <v>Y/Y Operating Margin Expansion</v>
          </cell>
          <cell r="B74">
            <v>-4.8252690757108478</v>
          </cell>
          <cell r="C74">
            <v>0</v>
          </cell>
          <cell r="D74">
            <v>6.3212983778726528</v>
          </cell>
          <cell r="E74">
            <v>-35.848527742219083</v>
          </cell>
        </row>
      </sheetData>
      <sheetData sheetId="7"/>
      <sheetData sheetId="8"/>
      <sheetData sheetId="9">
        <row r="1">
          <cell r="A1" t="str">
            <v>FD</v>
          </cell>
        </row>
        <row r="2">
          <cell r="A2" t="str">
            <v>FY07</v>
          </cell>
          <cell r="B2" t="str">
            <v>MS Estimate</v>
          </cell>
          <cell r="C2" t="str">
            <v>FC Consensus</v>
          </cell>
          <cell r="D2" t="str">
            <v>Management Guidance</v>
          </cell>
        </row>
        <row r="3">
          <cell r="A3" t="str">
            <v>Sales</v>
          </cell>
          <cell r="B3">
            <v>18626.920587592856</v>
          </cell>
          <cell r="C3">
            <v>18779.7</v>
          </cell>
          <cell r="D3">
            <v>18800</v>
          </cell>
        </row>
        <row r="4">
          <cell r="A4" t="str">
            <v>EPS</v>
          </cell>
          <cell r="B4">
            <v>2.5210916050242727</v>
          </cell>
          <cell r="C4">
            <v>2.84</v>
          </cell>
          <cell r="D4">
            <v>1.84</v>
          </cell>
        </row>
        <row r="26">
          <cell r="A26" t="str">
            <v>FD</v>
          </cell>
        </row>
        <row r="27">
          <cell r="B27" t="str">
            <v>+ or- from 0</v>
          </cell>
          <cell r="C27" t="str">
            <v>N +1</v>
          </cell>
        </row>
        <row r="28">
          <cell r="A28" t="str">
            <v>Management Guidance</v>
          </cell>
          <cell r="B28">
            <v>2.4500000000000002</v>
          </cell>
          <cell r="C28">
            <v>0.15</v>
          </cell>
        </row>
        <row r="30">
          <cell r="B30" t="str">
            <v>Actual</v>
          </cell>
          <cell r="C30" t="str">
            <v>Axis</v>
          </cell>
        </row>
        <row r="31">
          <cell r="A31" t="str">
            <v>Morgan Stanley Estimate</v>
          </cell>
          <cell r="B31">
            <v>2.9</v>
          </cell>
          <cell r="C31">
            <v>50</v>
          </cell>
        </row>
        <row r="32">
          <cell r="A32" t="str">
            <v>Consensus</v>
          </cell>
          <cell r="B32">
            <v>2.84</v>
          </cell>
          <cell r="C32">
            <v>50</v>
          </cell>
        </row>
        <row r="50">
          <cell r="B50" t="str">
            <v>1Q06</v>
          </cell>
          <cell r="C50" t="str">
            <v>2Q06</v>
          </cell>
          <cell r="D50" t="str">
            <v>3Q06</v>
          </cell>
          <cell r="E50" t="str">
            <v>4Q06</v>
          </cell>
        </row>
        <row r="51">
          <cell r="A51" t="str">
            <v>FD Legacy Comp Growth</v>
          </cell>
          <cell r="B51">
            <v>0</v>
          </cell>
          <cell r="C51">
            <v>4.5999999999999999E-2</v>
          </cell>
          <cell r="D51">
            <v>5.8999999999999997E-2</v>
          </cell>
          <cell r="E51">
            <v>6.0999999999999999E-2</v>
          </cell>
        </row>
        <row r="52">
          <cell r="A52" t="str">
            <v>Operating Margin Expansion</v>
          </cell>
          <cell r="B52">
            <v>0</v>
          </cell>
          <cell r="C52">
            <v>0</v>
          </cell>
          <cell r="D52">
            <v>0</v>
          </cell>
          <cell r="E52">
            <v>0</v>
          </cell>
        </row>
      </sheetData>
      <sheetData sheetId="10">
        <row r="1">
          <cell r="A1" t="str">
            <v>LTD</v>
          </cell>
        </row>
        <row r="2">
          <cell r="A2" t="str">
            <v>FY08</v>
          </cell>
          <cell r="B2" t="str">
            <v>MS Estimate</v>
          </cell>
          <cell r="C2" t="str">
            <v>FC Consensus</v>
          </cell>
          <cell r="D2" t="str">
            <v>Management Guidance</v>
          </cell>
        </row>
        <row r="3">
          <cell r="A3" t="str">
            <v>Sales</v>
          </cell>
          <cell r="B3">
            <v>9042.7010000000009</v>
          </cell>
          <cell r="C3">
            <v>9635.4</v>
          </cell>
          <cell r="D3">
            <v>0</v>
          </cell>
        </row>
        <row r="4">
          <cell r="A4" t="str">
            <v>EPS</v>
          </cell>
          <cell r="B4">
            <v>0</v>
          </cell>
          <cell r="C4">
            <v>0</v>
          </cell>
          <cell r="D4">
            <v>0</v>
          </cell>
        </row>
        <row r="25">
          <cell r="A25" t="str">
            <v>Segment Profit Margin</v>
          </cell>
        </row>
        <row r="26">
          <cell r="F26" t="str">
            <v>bps ∆</v>
          </cell>
        </row>
        <row r="27">
          <cell r="B27" t="str">
            <v>1Q10</v>
          </cell>
          <cell r="C27" t="str">
            <v>1Q09</v>
          </cell>
          <cell r="D27" t="str">
            <v>MS Est.</v>
          </cell>
          <cell r="F27" t="str">
            <v>1Q09</v>
          </cell>
          <cell r="G27" t="str">
            <v>MS Est.</v>
          </cell>
        </row>
        <row r="28">
          <cell r="A28" t="str">
            <v>Victoria's Secret</v>
          </cell>
          <cell r="B28">
            <v>0.13238659563759983</v>
          </cell>
          <cell r="C28">
            <v>7.7521804896170138E-2</v>
          </cell>
          <cell r="D28">
            <v>0.14252180489617014</v>
          </cell>
          <cell r="F28">
            <v>548.64790741429692</v>
          </cell>
          <cell r="G28">
            <v>-101.3520925857031</v>
          </cell>
        </row>
        <row r="29">
          <cell r="A29" t="str">
            <v>Bath &amp; Body Works</v>
          </cell>
          <cell r="B29">
            <v>8.7683705624808289E-2</v>
          </cell>
          <cell r="C29">
            <v>9.8268193902651124E-3</v>
          </cell>
          <cell r="D29">
            <v>2.2326819390265113E-2</v>
          </cell>
          <cell r="F29">
            <v>778.56886234543174</v>
          </cell>
          <cell r="G29">
            <v>653.56886234543174</v>
          </cell>
        </row>
        <row r="30">
          <cell r="A30" t="str">
            <v>Apparel Total</v>
          </cell>
          <cell r="B30" t="str">
            <v>NA</v>
          </cell>
          <cell r="C30" t="str">
            <v>NA</v>
          </cell>
          <cell r="D30" t="str">
            <v>NA</v>
          </cell>
          <cell r="F30" t="str">
            <v>NA</v>
          </cell>
          <cell r="G30" t="str">
            <v>NA</v>
          </cell>
        </row>
        <row r="31">
          <cell r="A31" t="str">
            <v>Other</v>
          </cell>
          <cell r="B31">
            <v>-8.4426574604243854E-2</v>
          </cell>
          <cell r="C31">
            <v>-0.13145813191874914</v>
          </cell>
          <cell r="D31">
            <v>-7.6458131918749145E-2</v>
          </cell>
          <cell r="F31">
            <v>470.31557314505284</v>
          </cell>
          <cell r="G31">
            <v>-79.684426854947091</v>
          </cell>
        </row>
        <row r="32">
          <cell r="A32" t="str">
            <v>Total</v>
          </cell>
          <cell r="B32">
            <v>9.5766270988477564E-2</v>
          </cell>
          <cell r="C32">
            <v>3.779886473568559E-2</v>
          </cell>
          <cell r="D32">
            <v>8.881865332654329E-2</v>
          </cell>
          <cell r="F32">
            <v>579.67406252791977</v>
          </cell>
          <cell r="G32">
            <v>69.476176619342738</v>
          </cell>
        </row>
        <row r="37">
          <cell r="A37" t="str">
            <v>TJX</v>
          </cell>
        </row>
        <row r="38">
          <cell r="B38" t="str">
            <v>+ or- from 0</v>
          </cell>
          <cell r="C38" t="str">
            <v>N +1</v>
          </cell>
        </row>
        <row r="39">
          <cell r="A39" t="str">
            <v>Management Guidance</v>
          </cell>
          <cell r="B39">
            <v>1.75</v>
          </cell>
          <cell r="C39">
            <v>0.05</v>
          </cell>
        </row>
        <row r="41">
          <cell r="B41" t="str">
            <v>Actual</v>
          </cell>
          <cell r="C41" t="str">
            <v>Axis</v>
          </cell>
        </row>
        <row r="42">
          <cell r="A42" t="str">
            <v>Morgan Stanley Estimate</v>
          </cell>
          <cell r="B42">
            <v>1.98</v>
          </cell>
          <cell r="C42">
            <v>50</v>
          </cell>
        </row>
        <row r="43">
          <cell r="A43" t="str">
            <v>Consensus</v>
          </cell>
          <cell r="B43">
            <v>1.9</v>
          </cell>
          <cell r="C43">
            <v>50</v>
          </cell>
        </row>
        <row r="58">
          <cell r="X58" t="str">
            <v>2/24/12010</v>
          </cell>
        </row>
        <row r="60">
          <cell r="X60" t="str">
            <v>LTD Guidance</v>
          </cell>
        </row>
        <row r="61">
          <cell r="Y61" t="str">
            <v>1Q10 (Mgmt Guidance)</v>
          </cell>
          <cell r="Z61" t="str">
            <v>FY10 (Mgmt Guidance)</v>
          </cell>
          <cell r="AA61" t="str">
            <v>FY10 (MS estimate)</v>
          </cell>
        </row>
        <row r="62">
          <cell r="X62" t="str">
            <v>Comps</v>
          </cell>
          <cell r="Y62" t="str">
            <v>+2 to +4%</v>
          </cell>
          <cell r="Z62" t="str">
            <v>flat to +LSD</v>
          </cell>
          <cell r="AA62">
            <v>-1.2E-2</v>
          </cell>
        </row>
        <row r="63">
          <cell r="X63" t="str">
            <v>Gross margin rate</v>
          </cell>
          <cell r="Y63" t="str">
            <v>Up from 31.8% LY</v>
          </cell>
          <cell r="Z63" t="str">
            <v>Up from 35.1% LY</v>
          </cell>
          <cell r="AA63">
            <v>0.35899999999999999</v>
          </cell>
        </row>
        <row r="64">
          <cell r="X64" t="str">
            <v>SG&amp;A expense</v>
          </cell>
          <cell r="Y64" t="str">
            <v>About flat as % of sales</v>
          </cell>
          <cell r="Z64" t="str">
            <v>About flat as % of sales</v>
          </cell>
          <cell r="AA64" t="str">
            <v>Flat y/y as % of sales</v>
          </cell>
        </row>
        <row r="65">
          <cell r="X65" t="str">
            <v>Interest expense</v>
          </cell>
          <cell r="Y65" t="str">
            <v>Approx. $61 million</v>
          </cell>
          <cell r="Z65" t="str">
            <v>Approx. $215 million</v>
          </cell>
          <cell r="AA65" t="str">
            <v>$244 million</v>
          </cell>
        </row>
        <row r="66">
          <cell r="X66" t="str">
            <v>Interest income and other income</v>
          </cell>
          <cell r="Y66" t="str">
            <v>About $7 million</v>
          </cell>
          <cell r="Z66" t="str">
            <v>About $40 million</v>
          </cell>
          <cell r="AA66" t="str">
            <v>$14 million</v>
          </cell>
        </row>
        <row r="67">
          <cell r="X67" t="str">
            <v xml:space="preserve">Tax rate </v>
          </cell>
          <cell r="Y67" t="str">
            <v xml:space="preserve">About 38% </v>
          </cell>
          <cell r="Z67" t="str">
            <v xml:space="preserve">About 38% </v>
          </cell>
          <cell r="AA67">
            <v>0.39</v>
          </cell>
        </row>
        <row r="68">
          <cell r="X68" t="str">
            <v>Weighted avg. shares outstanding</v>
          </cell>
          <cell r="Y68" t="str">
            <v>Approx. 330 million</v>
          </cell>
          <cell r="Z68" t="str">
            <v>Approx. 330 million</v>
          </cell>
          <cell r="AA68" t="str">
            <v>318 million</v>
          </cell>
        </row>
        <row r="69">
          <cell r="X69" t="str">
            <v>Earnings per share</v>
          </cell>
          <cell r="Y69" t="str">
            <v>$0.05 - $0.10</v>
          </cell>
          <cell r="Z69" t="str">
            <v>$1.40 - $1.60</v>
          </cell>
          <cell r="AA69">
            <v>1.41</v>
          </cell>
        </row>
        <row r="70">
          <cell r="X70" t="str">
            <v>Capital expenditures</v>
          </cell>
          <cell r="Y70" t="str">
            <v>N/A</v>
          </cell>
          <cell r="Z70" t="str">
            <v>$250 - $300 million</v>
          </cell>
          <cell r="AA70" t="str">
            <v>$225 million</v>
          </cell>
        </row>
        <row r="71">
          <cell r="X71" t="str">
            <v>Depreciation and amortization</v>
          </cell>
          <cell r="Y71" t="str">
            <v>N/A</v>
          </cell>
          <cell r="Z71" t="str">
            <v>About $350 million</v>
          </cell>
          <cell r="AA71" t="str">
            <v>$340 million</v>
          </cell>
        </row>
        <row r="72">
          <cell r="X72" t="str">
            <v>Free cash flow</v>
          </cell>
          <cell r="Y72" t="str">
            <v>N/A</v>
          </cell>
          <cell r="Z72" t="str">
            <v>$500 - $600 million</v>
          </cell>
          <cell r="AA72" t="str">
            <v>$529 million</v>
          </cell>
        </row>
      </sheetData>
      <sheetData sheetId="1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ative Risk Reward Chart"/>
      <sheetName val="LIZ Drivers"/>
      <sheetName val="UA Driver"/>
      <sheetName val="UA Drivers"/>
      <sheetName val="Sheet1"/>
      <sheetName val="MW-Cache"/>
      <sheetName val="__FDSCACHE__"/>
      <sheetName val="Scenario Inputs2"/>
      <sheetName val="Scenario Inputs"/>
      <sheetName val="LIZ"/>
      <sheetName val="R5010 (2)"/>
    </sheetNames>
    <sheetDataSet>
      <sheetData sheetId="0"/>
      <sheetData sheetId="1"/>
      <sheetData sheetId="2"/>
      <sheetData sheetId="3"/>
      <sheetData sheetId="4"/>
      <sheetData sheetId="5"/>
      <sheetData sheetId="6"/>
      <sheetData sheetId="7"/>
      <sheetData sheetId="8">
        <row r="1">
          <cell r="B1">
            <v>39782</v>
          </cell>
          <cell r="C1" t="str">
            <v>Bear</v>
          </cell>
          <cell r="D1" t="str">
            <v>Base</v>
          </cell>
          <cell r="E1" t="str">
            <v>Bull</v>
          </cell>
          <cell r="G1" t="str">
            <v>SOTP</v>
          </cell>
          <cell r="K1" t="str">
            <v>P/E as of today</v>
          </cell>
        </row>
        <row r="2">
          <cell r="A2" t="str">
            <v>LIZ.N</v>
          </cell>
          <cell r="B2" t="str">
            <v>LIZ</v>
          </cell>
          <cell r="K2" t="str">
            <v>LIZ</v>
          </cell>
          <cell r="L2" t="e">
            <v>#VALUE!</v>
          </cell>
        </row>
        <row r="3">
          <cell r="B3" t="str">
            <v>Current Price</v>
          </cell>
          <cell r="D3" t="str">
            <v>#Calc</v>
          </cell>
          <cell r="K3" t="str">
            <v>JNY</v>
          </cell>
          <cell r="L3" t="e">
            <v>#VALUE!</v>
          </cell>
        </row>
        <row r="4">
          <cell r="B4" t="str">
            <v>Net Debt</v>
          </cell>
          <cell r="D4">
            <v>798.01300000000015</v>
          </cell>
          <cell r="K4" t="str">
            <v>WRC</v>
          </cell>
          <cell r="L4" t="e">
            <v>#VALUE!</v>
          </cell>
        </row>
        <row r="5">
          <cell r="B5" t="str">
            <v>Shares</v>
          </cell>
          <cell r="D5">
            <v>93.703999999999994</v>
          </cell>
          <cell r="K5" t="str">
            <v>PVH</v>
          </cell>
          <cell r="L5" t="e">
            <v>#VALUE!</v>
          </cell>
        </row>
        <row r="7">
          <cell r="B7" t="str">
            <v>Revenue</v>
          </cell>
          <cell r="C7">
            <v>-6.6357108530112452E-2</v>
          </cell>
          <cell r="D7">
            <v>-3.3845973767718252E-2</v>
          </cell>
          <cell r="E7">
            <v>-1.4128768261478464E-2</v>
          </cell>
          <cell r="K7" t="str">
            <v>GES</v>
          </cell>
          <cell r="L7" t="e">
            <v>#VALUE!</v>
          </cell>
        </row>
        <row r="8">
          <cell r="B8" t="str">
            <v>Gross Margin</v>
          </cell>
          <cell r="C8">
            <v>-128.72476703079562</v>
          </cell>
          <cell r="D8">
            <v>-90.996036928954197</v>
          </cell>
          <cell r="E8">
            <v>-39.295245448067732</v>
          </cell>
          <cell r="K8" t="str">
            <v>UA</v>
          </cell>
          <cell r="L8" t="e">
            <v>#VALUE!</v>
          </cell>
        </row>
        <row r="9">
          <cell r="B9" t="str">
            <v>Expense Ratio</v>
          </cell>
          <cell r="C9">
            <v>-16.156522960027452</v>
          </cell>
          <cell r="D9">
            <v>-39.565286944746589</v>
          </cell>
          <cell r="E9">
            <v>-82.030885314070545</v>
          </cell>
          <cell r="G9" t="e">
            <v>#VALUE!</v>
          </cell>
          <cell r="K9" t="str">
            <v>RL</v>
          </cell>
          <cell r="L9" t="e">
            <v>#VALUE!</v>
          </cell>
        </row>
        <row r="10">
          <cell r="B10" t="str">
            <v>Operating Margin</v>
          </cell>
          <cell r="C10">
            <v>-112.56824407076829</v>
          </cell>
          <cell r="D10">
            <v>-51.430749984207672</v>
          </cell>
          <cell r="E10">
            <v>42.735639866002749</v>
          </cell>
        </row>
        <row r="12">
          <cell r="B12" t="str">
            <v>P/E Valuation</v>
          </cell>
          <cell r="J12" t="str">
            <v>Liz Claiborne: Base Case Assumptions</v>
          </cell>
        </row>
        <row r="13">
          <cell r="B13" t="str">
            <v>EPS</v>
          </cell>
          <cell r="C13">
            <v>0.39172173589738984</v>
          </cell>
          <cell r="D13">
            <v>0.59632293685253845</v>
          </cell>
          <cell r="E13">
            <v>0.94772161341348582</v>
          </cell>
          <cell r="J13">
            <v>0.59632293685253845</v>
          </cell>
        </row>
        <row r="14">
          <cell r="B14" t="str">
            <v>P/E</v>
          </cell>
          <cell r="C14">
            <v>7</v>
          </cell>
          <cell r="D14">
            <v>9</v>
          </cell>
          <cell r="E14">
            <v>11</v>
          </cell>
        </row>
        <row r="15">
          <cell r="B15" t="str">
            <v>Scenario Price</v>
          </cell>
          <cell r="C15">
            <v>2.7420521512817291</v>
          </cell>
          <cell r="D15">
            <v>5.3669064316728461</v>
          </cell>
          <cell r="E15">
            <v>10.424937747548345</v>
          </cell>
        </row>
        <row r="16">
          <cell r="B16" t="str">
            <v>Ups/Downs</v>
          </cell>
          <cell r="C16" t="e">
            <v>#VALUE!</v>
          </cell>
          <cell r="D16" t="e">
            <v>#VALUE!</v>
          </cell>
          <cell r="E16" t="e">
            <v>#VALUE!</v>
          </cell>
        </row>
        <row r="18">
          <cell r="B18" t="str">
            <v>EBITDA Valuation</v>
          </cell>
        </row>
        <row r="19">
          <cell r="B19" t="str">
            <v>EBITDA</v>
          </cell>
          <cell r="C19">
            <v>286.15685640708614</v>
          </cell>
          <cell r="D19">
            <v>317.84754729244861</v>
          </cell>
          <cell r="E19">
            <v>365.73937752847428</v>
          </cell>
          <cell r="J19">
            <v>317.84754729244861</v>
          </cell>
        </row>
        <row r="20">
          <cell r="B20" t="str">
            <v>EV/EBITDA</v>
          </cell>
          <cell r="C20">
            <v>11</v>
          </cell>
          <cell r="D20">
            <v>0</v>
          </cell>
          <cell r="E20">
            <v>9</v>
          </cell>
          <cell r="G20">
            <v>3.7973007645817578</v>
          </cell>
        </row>
        <row r="21">
          <cell r="B21" t="str">
            <v>EV</v>
          </cell>
          <cell r="C21">
            <v>3147.7254204779474</v>
          </cell>
          <cell r="D21">
            <v>0</v>
          </cell>
          <cell r="E21">
            <v>3291.6543977562687</v>
          </cell>
        </row>
        <row r="22">
          <cell r="B22" t="str">
            <v>Implied Equity</v>
          </cell>
          <cell r="C22">
            <v>25.075903061533634</v>
          </cell>
          <cell r="D22">
            <v>-8.516317339708019</v>
          </cell>
          <cell r="E22">
            <v>26.611899147915448</v>
          </cell>
        </row>
        <row r="23">
          <cell r="B23" t="str">
            <v>Ups/Downs</v>
          </cell>
          <cell r="C23" t="e">
            <v>#VALUE!</v>
          </cell>
          <cell r="D23" t="e">
            <v>#VALUE!</v>
          </cell>
          <cell r="E23" t="e">
            <v>#VALUE!</v>
          </cell>
        </row>
        <row r="25">
          <cell r="B25" t="str">
            <v>Residual Income</v>
          </cell>
        </row>
        <row r="26">
          <cell r="B26" t="str">
            <v>Val-Cur</v>
          </cell>
          <cell r="J26">
            <v>23.757622379140592</v>
          </cell>
        </row>
        <row r="28">
          <cell r="B28" t="str">
            <v>FCF Valuation</v>
          </cell>
        </row>
        <row r="29">
          <cell r="B29" t="str">
            <v>FCF Per Share</v>
          </cell>
          <cell r="C29">
            <v>1.6651496506062415</v>
          </cell>
          <cell r="D29">
            <v>1.7526412115393128</v>
          </cell>
          <cell r="E29">
            <v>2.0397844788766752</v>
          </cell>
          <cell r="J29">
            <v>1.7526412115393128</v>
          </cell>
        </row>
        <row r="30">
          <cell r="B30" t="str">
            <v>Yield</v>
          </cell>
          <cell r="C30">
            <v>0.11971761675992125</v>
          </cell>
          <cell r="D30">
            <v>-1.1129962159385136</v>
          </cell>
          <cell r="E30">
            <v>0.11014895708475064</v>
          </cell>
        </row>
        <row r="32">
          <cell r="C32" t="str">
            <v>Trough</v>
          </cell>
          <cell r="D32" t="str">
            <v>5-Yr.</v>
          </cell>
          <cell r="E32" t="str">
            <v>Peak</v>
          </cell>
          <cell r="G32" t="str">
            <v>New Trough</v>
          </cell>
        </row>
        <row r="33">
          <cell r="B33" t="str">
            <v>P/E</v>
          </cell>
          <cell r="C33">
            <v>4.1204470316534083</v>
          </cell>
          <cell r="D33">
            <v>12.532633475042442</v>
          </cell>
          <cell r="E33">
            <v>20.621219484196743</v>
          </cell>
          <cell r="G33">
            <v>3.1204470316534083</v>
          </cell>
        </row>
        <row r="34">
          <cell r="B34" t="str">
            <v>EV/EBITDA</v>
          </cell>
          <cell r="C34">
            <v>299.1585</v>
          </cell>
          <cell r="D34">
            <v>323.00270076643244</v>
          </cell>
          <cell r="E34">
            <v>315.34630000000004</v>
          </cell>
          <cell r="G34">
            <v>298.6585</v>
          </cell>
        </row>
        <row r="36">
          <cell r="B36" t="str">
            <v>Recession</v>
          </cell>
          <cell r="C36" t="str">
            <v>Trough</v>
          </cell>
          <cell r="D36" t="str">
            <v>Mean</v>
          </cell>
          <cell r="E36" t="str">
            <v>Peak</v>
          </cell>
          <cell r="G36" t="str">
            <v>Average</v>
          </cell>
        </row>
        <row r="37">
          <cell r="B37" t="str">
            <v>P/E</v>
          </cell>
          <cell r="C37">
            <v>38.83488257972796</v>
          </cell>
          <cell r="D37">
            <v>0</v>
          </cell>
          <cell r="E37">
            <v>119.38721139465103</v>
          </cell>
          <cell r="G37">
            <v>19.41744128986398</v>
          </cell>
        </row>
        <row r="38">
          <cell r="B38" t="str">
            <v>EV/EBITDA</v>
          </cell>
          <cell r="C38">
            <v>11.594471180832928</v>
          </cell>
          <cell r="D38">
            <v>0</v>
          </cell>
          <cell r="E38">
            <v>11.010880043757094</v>
          </cell>
          <cell r="G38">
            <v>5.7972355904164639</v>
          </cell>
        </row>
        <row r="40">
          <cell r="B40" t="str">
            <v>Price Targets</v>
          </cell>
          <cell r="C40">
            <v>2.5</v>
          </cell>
          <cell r="D40">
            <v>5</v>
          </cell>
          <cell r="E40">
            <v>10.5</v>
          </cell>
          <cell r="O40">
            <v>2.5</v>
          </cell>
          <cell r="P40">
            <v>5</v>
          </cell>
          <cell r="Q40">
            <v>10.5</v>
          </cell>
        </row>
        <row r="41">
          <cell r="B41" t="str">
            <v>Ups/Downs</v>
          </cell>
          <cell r="C41" t="e">
            <v>#VALUE!</v>
          </cell>
          <cell r="D41" t="e">
            <v>#VALUE!</v>
          </cell>
          <cell r="E41" t="e">
            <v>#VALUE!</v>
          </cell>
        </row>
        <row r="42">
          <cell r="C42">
            <v>6.3820813881384062</v>
          </cell>
          <cell r="D42">
            <v>8.3847185660685462</v>
          </cell>
          <cell r="E42">
            <v>11.079202849644105</v>
          </cell>
        </row>
        <row r="43">
          <cell r="A43" t="str">
            <v>JNY.N</v>
          </cell>
          <cell r="B43" t="str">
            <v>JNY</v>
          </cell>
        </row>
        <row r="44">
          <cell r="B44" t="str">
            <v>Current Price</v>
          </cell>
          <cell r="D44" t="str">
            <v>#Calc</v>
          </cell>
        </row>
        <row r="45">
          <cell r="B45" t="str">
            <v>Net Debt</v>
          </cell>
          <cell r="D45">
            <v>582.83067580048032</v>
          </cell>
        </row>
        <row r="46">
          <cell r="B46" t="str">
            <v>Shares</v>
          </cell>
          <cell r="D46">
            <v>83</v>
          </cell>
        </row>
        <row r="48">
          <cell r="B48" t="str">
            <v>Revenue</v>
          </cell>
          <cell r="C48">
            <v>-2.307901574014426E-2</v>
          </cell>
          <cell r="D48">
            <v>1.7273526849326259E-5</v>
          </cell>
          <cell r="E48">
            <v>3.4790577670898548E-2</v>
          </cell>
          <cell r="G48" t="e">
            <v>#VALUE!</v>
          </cell>
        </row>
        <row r="49">
          <cell r="B49" t="str">
            <v>Gross Margin</v>
          </cell>
          <cell r="C49">
            <v>-117.78645744805694</v>
          </cell>
          <cell r="D49">
            <v>-59.059756967107525</v>
          </cell>
          <cell r="E49">
            <v>28.286142070195751</v>
          </cell>
        </row>
        <row r="50">
          <cell r="B50" t="str">
            <v>Expense Ratio</v>
          </cell>
          <cell r="C50">
            <v>-17.859818164190354</v>
          </cell>
          <cell r="D50">
            <v>-16.397089142762276</v>
          </cell>
          <cell r="E50">
            <v>-45.122434328145332</v>
          </cell>
        </row>
        <row r="51">
          <cell r="B51" t="str">
            <v>Operating Margin</v>
          </cell>
          <cell r="C51">
            <v>-99.926639283867488</v>
          </cell>
          <cell r="D51">
            <v>-42.662667824345732</v>
          </cell>
          <cell r="E51">
            <v>73.408576398340188</v>
          </cell>
        </row>
        <row r="53">
          <cell r="B53" t="str">
            <v>P/E Valuation</v>
          </cell>
          <cell r="J53" t="str">
            <v>Jones New York: Base Case Assumptions</v>
          </cell>
        </row>
        <row r="54">
          <cell r="B54" t="str">
            <v>EPS</v>
          </cell>
          <cell r="C54">
            <v>0.61728823323972237</v>
          </cell>
          <cell r="D54">
            <v>0.79672999545315148</v>
          </cell>
          <cell r="E54">
            <v>1.1656862274518387</v>
          </cell>
          <cell r="J54">
            <v>0.79672999545315148</v>
          </cell>
        </row>
        <row r="55">
          <cell r="B55" t="str">
            <v>P/E</v>
          </cell>
          <cell r="C55">
            <v>7</v>
          </cell>
          <cell r="D55">
            <v>9</v>
          </cell>
          <cell r="E55">
            <v>11</v>
          </cell>
        </row>
        <row r="56">
          <cell r="B56" t="str">
            <v>Scenario Price</v>
          </cell>
          <cell r="C56">
            <v>4.3210176326780569</v>
          </cell>
          <cell r="D56">
            <v>7.1705699590783638</v>
          </cell>
          <cell r="E56">
            <v>12.822548501970225</v>
          </cell>
        </row>
        <row r="57">
          <cell r="B57" t="str">
            <v>Ups/Downs</v>
          </cell>
          <cell r="C57" t="e">
            <v>#VALUE!</v>
          </cell>
          <cell r="D57" t="e">
            <v>#VALUE!</v>
          </cell>
          <cell r="E57" t="e">
            <v>#VALUE!</v>
          </cell>
        </row>
        <row r="59">
          <cell r="B59" t="str">
            <v>EBITDA Valuation</v>
          </cell>
        </row>
        <row r="60">
          <cell r="B60" t="str">
            <v>EBITDA</v>
          </cell>
          <cell r="C60">
            <v>221.06983294688666</v>
          </cell>
          <cell r="D60">
            <v>245.04954641820538</v>
          </cell>
          <cell r="E60">
            <v>294.16843447832446</v>
          </cell>
          <cell r="J60">
            <v>245.04954641820538</v>
          </cell>
        </row>
        <row r="61">
          <cell r="B61" t="str">
            <v>EV/EBITDA</v>
          </cell>
          <cell r="C61">
            <v>11</v>
          </cell>
          <cell r="D61">
            <v>0</v>
          </cell>
          <cell r="E61">
            <v>9</v>
          </cell>
          <cell r="G61">
            <v>4.3145065738565203</v>
          </cell>
        </row>
        <row r="62">
          <cell r="B62" t="str">
            <v>EV</v>
          </cell>
          <cell r="C62">
            <v>2431.7681624157531</v>
          </cell>
          <cell r="D62">
            <v>0</v>
          </cell>
          <cell r="E62">
            <v>2647.51591030492</v>
          </cell>
        </row>
        <row r="63">
          <cell r="B63" t="str">
            <v>Implied Equity</v>
          </cell>
          <cell r="C63">
            <v>22.276355260424975</v>
          </cell>
          <cell r="D63">
            <v>-7.022056334945546</v>
          </cell>
          <cell r="E63">
            <v>24.875725716920964</v>
          </cell>
        </row>
        <row r="64">
          <cell r="B64" t="str">
            <v>Ups/Downs</v>
          </cell>
          <cell r="C64" t="e">
            <v>#VALUE!</v>
          </cell>
          <cell r="D64" t="e">
            <v>#VALUE!</v>
          </cell>
          <cell r="E64" t="e">
            <v>#VALUE!</v>
          </cell>
        </row>
        <row r="66">
          <cell r="B66" t="str">
            <v>Residual Income</v>
          </cell>
        </row>
        <row r="67">
          <cell r="B67" t="str">
            <v>Val-Cur</v>
          </cell>
          <cell r="J67">
            <v>11.026665131182027</v>
          </cell>
        </row>
        <row r="69">
          <cell r="B69" t="str">
            <v>FCF Valuation</v>
          </cell>
        </row>
        <row r="70">
          <cell r="B70" t="str">
            <v>FCF Per Share</v>
          </cell>
          <cell r="C70">
            <v>1.4983974074057604</v>
          </cell>
          <cell r="D70">
            <v>1.6912537539147832</v>
          </cell>
          <cell r="E70">
            <v>2.0737124321978539</v>
          </cell>
          <cell r="J70">
            <v>1.6912537539147832</v>
          </cell>
        </row>
        <row r="71">
          <cell r="B71" t="str">
            <v>Yield</v>
          </cell>
          <cell r="C71">
            <v>0.11267258713316833</v>
          </cell>
          <cell r="D71">
            <v>22.775738775349954</v>
          </cell>
          <cell r="E71">
            <v>0.11001630579463952</v>
          </cell>
        </row>
        <row r="73">
          <cell r="C73" t="str">
            <v>Trough</v>
          </cell>
          <cell r="D73" t="str">
            <v>5-Yr.</v>
          </cell>
          <cell r="E73" t="str">
            <v>Peak</v>
          </cell>
          <cell r="G73" t="str">
            <v>New Trough</v>
          </cell>
        </row>
        <row r="74">
          <cell r="B74" t="str">
            <v>P/E</v>
          </cell>
          <cell r="C74">
            <v>6.4271182083309695</v>
          </cell>
          <cell r="D74">
            <v>12.392891578887301</v>
          </cell>
          <cell r="E74">
            <v>24.731174680467745</v>
          </cell>
          <cell r="G74">
            <v>5.4271182083309695</v>
          </cell>
          <cell r="J74">
            <v>9.4100048936091358</v>
          </cell>
        </row>
        <row r="75">
          <cell r="B75" t="str">
            <v>EV/EBITDA</v>
          </cell>
          <cell r="C75">
            <v>239.84399999999999</v>
          </cell>
          <cell r="D75">
            <v>255.64028263804386</v>
          </cell>
          <cell r="E75">
            <v>253.69650000000001</v>
          </cell>
          <cell r="G75">
            <v>239.34399999999999</v>
          </cell>
        </row>
        <row r="77">
          <cell r="B77" t="str">
            <v>Recession</v>
          </cell>
          <cell r="C77" t="str">
            <v>Trough</v>
          </cell>
          <cell r="D77" t="str">
            <v>Mean</v>
          </cell>
          <cell r="E77" t="str">
            <v>Peak</v>
          </cell>
          <cell r="G77" t="str">
            <v>Average</v>
          </cell>
        </row>
        <row r="78">
          <cell r="B78" t="str">
            <v>P/E</v>
          </cell>
          <cell r="C78">
            <v>32.655768648507156</v>
          </cell>
          <cell r="D78">
            <v>0</v>
          </cell>
          <cell r="E78">
            <v>132.64806136481181</v>
          </cell>
          <cell r="G78">
            <v>16.327884324253578</v>
          </cell>
        </row>
        <row r="79">
          <cell r="B79" t="str">
            <v>EV/EBITDA</v>
          </cell>
          <cell r="C79">
            <v>11.977090922263137</v>
          </cell>
          <cell r="D79">
            <v>0</v>
          </cell>
          <cell r="E79">
            <v>10.060946589376625</v>
          </cell>
          <cell r="G79">
            <v>5.9885454611315687</v>
          </cell>
        </row>
        <row r="81">
          <cell r="B81" t="str">
            <v>Price Targets</v>
          </cell>
          <cell r="C81">
            <v>4</v>
          </cell>
          <cell r="D81">
            <v>7</v>
          </cell>
          <cell r="E81">
            <v>13</v>
          </cell>
          <cell r="O81">
            <v>4</v>
          </cell>
          <cell r="P81">
            <v>7</v>
          </cell>
          <cell r="Q81">
            <v>13</v>
          </cell>
        </row>
        <row r="82">
          <cell r="B82" t="str">
            <v>Ups/Downs</v>
          </cell>
          <cell r="C82" t="e">
            <v>#VALUE!</v>
          </cell>
          <cell r="D82" t="e">
            <v>#VALUE!</v>
          </cell>
          <cell r="E82" t="e">
            <v>#VALUE!</v>
          </cell>
        </row>
        <row r="84">
          <cell r="A84" t="str">
            <v>WRC.N</v>
          </cell>
          <cell r="B84" t="str">
            <v>WRC</v>
          </cell>
        </row>
        <row r="85">
          <cell r="B85" t="str">
            <v>Current Price</v>
          </cell>
          <cell r="D85" t="str">
            <v>#Calc</v>
          </cell>
        </row>
        <row r="86">
          <cell r="B86" t="str">
            <v>Net Debt</v>
          </cell>
          <cell r="D86">
            <v>146.34019599656796</v>
          </cell>
        </row>
        <row r="87">
          <cell r="B87" t="str">
            <v>Shares</v>
          </cell>
          <cell r="D87">
            <v>46.780639000000001</v>
          </cell>
        </row>
        <row r="89">
          <cell r="B89" t="str">
            <v>Revenue</v>
          </cell>
          <cell r="C89">
            <v>-0.11976989950304207</v>
          </cell>
          <cell r="D89">
            <v>-2.5755049553264464E-2</v>
          </cell>
          <cell r="E89">
            <v>2.641037255466161E-3</v>
          </cell>
        </row>
        <row r="90">
          <cell r="B90" t="str">
            <v>Gross Margin</v>
          </cell>
          <cell r="C90">
            <v>-119.65735385759734</v>
          </cell>
          <cell r="D90">
            <v>-57.860654104995859</v>
          </cell>
          <cell r="E90">
            <v>-14.807151827720411</v>
          </cell>
        </row>
        <row r="91">
          <cell r="B91" t="str">
            <v>Expense Ratio</v>
          </cell>
          <cell r="C91">
            <v>77.998922105267937</v>
          </cell>
          <cell r="D91">
            <v>34.705478862581685</v>
          </cell>
          <cell r="E91">
            <v>31.128711896627472</v>
          </cell>
        </row>
        <row r="92">
          <cell r="B92" t="str">
            <v>Operating Margin</v>
          </cell>
          <cell r="C92">
            <v>-179.68581022683421</v>
          </cell>
          <cell r="D92">
            <v>-68.16021575468082</v>
          </cell>
          <cell r="E92">
            <v>-19.916157281824887</v>
          </cell>
        </row>
        <row r="94">
          <cell r="B94" t="str">
            <v>P/E Valuation</v>
          </cell>
          <cell r="J94" t="str">
            <v>Warnaco: Base Case Assumptions</v>
          </cell>
        </row>
        <row r="95">
          <cell r="B95" t="str">
            <v>EPS</v>
          </cell>
          <cell r="C95">
            <v>1.87</v>
          </cell>
          <cell r="D95">
            <v>2.4700000000000002</v>
          </cell>
          <cell r="E95">
            <v>2.74</v>
          </cell>
          <cell r="G95" t="e">
            <v>#VALUE!</v>
          </cell>
          <cell r="J95">
            <v>2.4618117734226126</v>
          </cell>
        </row>
        <row r="96">
          <cell r="B96" t="str">
            <v>P/E</v>
          </cell>
          <cell r="C96">
            <v>7</v>
          </cell>
          <cell r="D96">
            <v>9</v>
          </cell>
          <cell r="E96">
            <v>11</v>
          </cell>
        </row>
        <row r="97">
          <cell r="B97" t="str">
            <v>Scenario Price</v>
          </cell>
          <cell r="C97">
            <v>13.09</v>
          </cell>
          <cell r="D97">
            <v>22.23</v>
          </cell>
          <cell r="E97">
            <v>30.14</v>
          </cell>
        </row>
        <row r="98">
          <cell r="B98" t="str">
            <v>Ups/Downs</v>
          </cell>
          <cell r="C98" t="e">
            <v>#VALUE!</v>
          </cell>
          <cell r="D98" t="e">
            <v>#VALUE!</v>
          </cell>
          <cell r="E98" t="e">
            <v>#VALUE!</v>
          </cell>
        </row>
        <row r="100">
          <cell r="B100" t="str">
            <v>EBITDA Valuation</v>
          </cell>
        </row>
        <row r="101">
          <cell r="B101" t="str">
            <v>EBITDA</v>
          </cell>
          <cell r="C101">
            <v>273.64127016791991</v>
          </cell>
          <cell r="D101">
            <v>319.82543010478742</v>
          </cell>
          <cell r="E101">
            <v>339.57970290961413</v>
          </cell>
          <cell r="J101">
            <v>267.61990748481674</v>
          </cell>
        </row>
        <row r="102">
          <cell r="B102" t="str">
            <v>EV/EBITDA</v>
          </cell>
          <cell r="C102">
            <v>14</v>
          </cell>
          <cell r="D102">
            <v>0</v>
          </cell>
          <cell r="E102">
            <v>9</v>
          </cell>
          <cell r="G102">
            <v>4.8720627293441439</v>
          </cell>
        </row>
        <row r="103">
          <cell r="B103" t="str">
            <v>EV</v>
          </cell>
          <cell r="C103">
            <v>3830.9777823508789</v>
          </cell>
          <cell r="D103">
            <v>0</v>
          </cell>
          <cell r="E103">
            <v>3056.2173261865273</v>
          </cell>
        </row>
        <row r="104">
          <cell r="B104" t="str">
            <v>Implied Equity</v>
          </cell>
          <cell r="C104">
            <v>78.764156820395527</v>
          </cell>
          <cell r="D104">
            <v>-3.1282213993820811</v>
          </cell>
          <cell r="E104">
            <v>62.202594756988233</v>
          </cell>
        </row>
        <row r="105">
          <cell r="B105" t="str">
            <v>Ups/Downs</v>
          </cell>
          <cell r="C105" t="e">
            <v>#VALUE!</v>
          </cell>
          <cell r="D105" t="e">
            <v>#VALUE!</v>
          </cell>
          <cell r="E105" t="e">
            <v>#VALUE!</v>
          </cell>
        </row>
        <row r="107">
          <cell r="B107" t="str">
            <v>Residual Income</v>
          </cell>
        </row>
        <row r="108">
          <cell r="B108" t="str">
            <v>Val-Cur</v>
          </cell>
          <cell r="J108">
            <v>47.247361694811161</v>
          </cell>
        </row>
        <row r="110">
          <cell r="B110" t="str">
            <v>FCF Valuation</v>
          </cell>
        </row>
        <row r="111">
          <cell r="B111" t="str">
            <v>FCF Per Share</v>
          </cell>
          <cell r="C111">
            <v>3.979414945933359</v>
          </cell>
          <cell r="D111">
            <v>3.8835532092131673</v>
          </cell>
          <cell r="E111">
            <v>3.935765790688011</v>
          </cell>
          <cell r="J111">
            <v>3.4887129180590786</v>
          </cell>
        </row>
        <row r="112">
          <cell r="B112" t="str">
            <v>Yield</v>
          </cell>
          <cell r="C112">
            <v>8.6646376901905423E-2</v>
          </cell>
          <cell r="D112">
            <v>0.40661692195380583</v>
          </cell>
          <cell r="E112">
            <v>8.5242694361047575E-2</v>
          </cell>
        </row>
        <row r="114">
          <cell r="C114" t="str">
            <v>Trough</v>
          </cell>
          <cell r="D114" t="str">
            <v>5-Yr.</v>
          </cell>
          <cell r="E114" t="str">
            <v>Peak</v>
          </cell>
        </row>
        <row r="115">
          <cell r="B115" t="str">
            <v>P/E</v>
          </cell>
          <cell r="C115">
            <v>5.8995804573471604</v>
          </cell>
          <cell r="D115">
            <v>15.225137406424947</v>
          </cell>
          <cell r="E115">
            <v>19.74418957856701</v>
          </cell>
          <cell r="G115">
            <v>4.8995804573471604</v>
          </cell>
          <cell r="J115">
            <v>10.562358931886054</v>
          </cell>
        </row>
        <row r="116">
          <cell r="B116" t="str">
            <v>EV/EBITDA</v>
          </cell>
          <cell r="C116">
            <v>274.86070000000001</v>
          </cell>
          <cell r="D116">
            <v>271.92733993753131</v>
          </cell>
          <cell r="E116">
            <v>268.14100000000002</v>
          </cell>
          <cell r="G116">
            <v>274.36070000000001</v>
          </cell>
        </row>
        <row r="118">
          <cell r="B118" t="str">
            <v>Recession</v>
          </cell>
          <cell r="C118" t="str">
            <v>Trough</v>
          </cell>
          <cell r="D118" t="str">
            <v>Mean</v>
          </cell>
          <cell r="E118" t="str">
            <v>Peak</v>
          </cell>
          <cell r="G118" t="str">
            <v>Average</v>
          </cell>
        </row>
        <row r="119">
          <cell r="B119" t="str">
            <v>P/E</v>
          </cell>
          <cell r="C119">
            <v>33.220998804772435</v>
          </cell>
          <cell r="D119">
            <v>0</v>
          </cell>
          <cell r="E119">
            <v>134.16903974985749</v>
          </cell>
          <cell r="G119">
            <v>16.610499402386218</v>
          </cell>
        </row>
        <row r="120">
          <cell r="B120" t="str">
            <v>EV/EBITDA</v>
          </cell>
          <cell r="C120" t="str">
            <v>-</v>
          </cell>
          <cell r="D120">
            <v>0</v>
          </cell>
          <cell r="E120" t="str">
            <v>-</v>
          </cell>
          <cell r="G120">
            <v>0</v>
          </cell>
        </row>
        <row r="122">
          <cell r="B122" t="str">
            <v>Price Targets</v>
          </cell>
          <cell r="C122">
            <v>13.3143286066726</v>
          </cell>
          <cell r="D122">
            <v>22</v>
          </cell>
          <cell r="E122">
            <v>30.153107432493702</v>
          </cell>
          <cell r="O122">
            <v>13.3143286066726</v>
          </cell>
          <cell r="P122">
            <v>22</v>
          </cell>
          <cell r="Q122">
            <v>30.153107432493702</v>
          </cell>
        </row>
        <row r="123">
          <cell r="B123" t="str">
            <v>Ups/Downs</v>
          </cell>
          <cell r="C123" t="e">
            <v>#VALUE!</v>
          </cell>
          <cell r="D123" t="e">
            <v>#VALUE!</v>
          </cell>
          <cell r="E123" t="e">
            <v>#VALUE!</v>
          </cell>
        </row>
        <row r="124">
          <cell r="C124">
            <v>7.1199618217500529</v>
          </cell>
          <cell r="D124">
            <v>8.9068825910931171</v>
          </cell>
          <cell r="E124">
            <v>11.004783734486752</v>
          </cell>
        </row>
        <row r="125">
          <cell r="A125" t="str">
            <v>PVH.N</v>
          </cell>
          <cell r="B125" t="str">
            <v>PVH</v>
          </cell>
        </row>
        <row r="126">
          <cell r="B126" t="str">
            <v>Current Price</v>
          </cell>
          <cell r="D126" t="str">
            <v>#Calc</v>
          </cell>
        </row>
        <row r="127">
          <cell r="B127" t="str">
            <v>Net Debt</v>
          </cell>
          <cell r="D127">
            <v>202.00699999999949</v>
          </cell>
        </row>
        <row r="128">
          <cell r="B128" t="str">
            <v>Shares</v>
          </cell>
          <cell r="D128">
            <v>52.293999999999997</v>
          </cell>
        </row>
        <row r="130">
          <cell r="B130" t="str">
            <v>Revenue</v>
          </cell>
          <cell r="C130">
            <v>-6.8117249220791765E-2</v>
          </cell>
          <cell r="D130">
            <v>-3.1739824302132846E-2</v>
          </cell>
          <cell r="E130">
            <v>-1.1084924771722404E-2</v>
          </cell>
          <cell r="H130">
            <v>-7.6285701523983507E-2</v>
          </cell>
          <cell r="I130">
            <v>-3.4224458929715929E-2</v>
          </cell>
          <cell r="J130">
            <v>-5.6435284573952416E-4</v>
          </cell>
          <cell r="L130">
            <v>-7.3434977884946129E-2</v>
          </cell>
          <cell r="M130">
            <v>-1.8574336102211375E-2</v>
          </cell>
          <cell r="N130">
            <v>-1.4657847626209475E-2</v>
          </cell>
        </row>
        <row r="131">
          <cell r="B131" t="str">
            <v>Gross Margin</v>
          </cell>
          <cell r="C131">
            <v>-115.21074728246039</v>
          </cell>
          <cell r="D131">
            <v>-74.588543265898807</v>
          </cell>
          <cell r="E131">
            <v>-42.450498013919535</v>
          </cell>
          <cell r="H131">
            <v>-166.11433040271356</v>
          </cell>
          <cell r="I131">
            <v>-96.33603105782818</v>
          </cell>
          <cell r="J131">
            <v>-128.25676583740182</v>
          </cell>
        </row>
        <row r="132">
          <cell r="B132" t="str">
            <v>Expense Ratio</v>
          </cell>
          <cell r="C132">
            <v>71.983136258124134</v>
          </cell>
          <cell r="D132">
            <v>50.455743705470901</v>
          </cell>
          <cell r="E132">
            <v>31.931965238854442</v>
          </cell>
        </row>
        <row r="133">
          <cell r="B133" t="str">
            <v>Operating Margin</v>
          </cell>
          <cell r="C133">
            <v>-187.19388354058384</v>
          </cell>
          <cell r="D133">
            <v>-125.04428697136902</v>
          </cell>
          <cell r="E133">
            <v>-61.293027348627291</v>
          </cell>
        </row>
        <row r="135">
          <cell r="B135" t="str">
            <v>P/E Valuation</v>
          </cell>
          <cell r="J135" t="str">
            <v>Phillips-Van Heusen: Base Case Assumptions</v>
          </cell>
        </row>
        <row r="136">
          <cell r="B136" t="str">
            <v>EPS</v>
          </cell>
          <cell r="C136">
            <v>2.6975367948907065</v>
          </cell>
          <cell r="D136">
            <v>3.0202804920565067</v>
          </cell>
          <cell r="E136">
            <v>3.3219712718979792</v>
          </cell>
          <cell r="J136">
            <v>2.5625646500915376</v>
          </cell>
        </row>
        <row r="137">
          <cell r="B137" t="str">
            <v>P/E</v>
          </cell>
          <cell r="C137">
            <v>5</v>
          </cell>
          <cell r="D137">
            <v>8</v>
          </cell>
          <cell r="E137">
            <v>11</v>
          </cell>
        </row>
        <row r="138">
          <cell r="B138" t="str">
            <v>Scenario Price</v>
          </cell>
          <cell r="C138">
            <v>13.487683974453532</v>
          </cell>
          <cell r="D138">
            <v>24.162243936452054</v>
          </cell>
          <cell r="E138">
            <v>36.541683990877772</v>
          </cell>
        </row>
        <row r="139">
          <cell r="B139" t="str">
            <v>Ups/Downs</v>
          </cell>
          <cell r="C139" t="e">
            <v>#VALUE!</v>
          </cell>
          <cell r="D139" t="e">
            <v>#VALUE!</v>
          </cell>
          <cell r="E139" t="e">
            <v>#VALUE!</v>
          </cell>
        </row>
        <row r="141">
          <cell r="B141" t="str">
            <v>EBITDA Valuation</v>
          </cell>
        </row>
        <row r="142">
          <cell r="B142" t="str">
            <v>EBITDA</v>
          </cell>
          <cell r="C142">
            <v>302.38773729897332</v>
          </cell>
          <cell r="D142">
            <v>329.01846757906344</v>
          </cell>
          <cell r="E142">
            <v>353.74714620418871</v>
          </cell>
          <cell r="J142">
            <v>296.11657850148913</v>
          </cell>
        </row>
        <row r="143">
          <cell r="B143" t="str">
            <v>EV/EBITDA</v>
          </cell>
          <cell r="C143">
            <v>11</v>
          </cell>
          <cell r="D143">
            <v>0</v>
          </cell>
          <cell r="E143">
            <v>8</v>
          </cell>
          <cell r="G143">
            <v>4.5459145076988214</v>
          </cell>
        </row>
        <row r="144">
          <cell r="B144" t="str">
            <v>EV</v>
          </cell>
          <cell r="C144">
            <v>3326.2651102887066</v>
          </cell>
          <cell r="D144">
            <v>0</v>
          </cell>
          <cell r="E144">
            <v>2829.9771696335097</v>
          </cell>
        </row>
        <row r="145">
          <cell r="B145" t="str">
            <v>Implied Equity</v>
          </cell>
          <cell r="C145">
            <v>59.744102770656426</v>
          </cell>
          <cell r="D145">
            <v>-3.8629097028339676</v>
          </cell>
          <cell r="E145">
            <v>50.253760845097148</v>
          </cell>
        </row>
        <row r="146">
          <cell r="B146" t="str">
            <v>Ups/Downs</v>
          </cell>
          <cell r="C146" t="e">
            <v>#VALUE!</v>
          </cell>
          <cell r="D146" t="e">
            <v>#VALUE!</v>
          </cell>
          <cell r="E146" t="e">
            <v>#VALUE!</v>
          </cell>
        </row>
        <row r="148">
          <cell r="B148" t="str">
            <v>Residual Income</v>
          </cell>
        </row>
        <row r="149">
          <cell r="B149" t="str">
            <v>Val-Cur</v>
          </cell>
          <cell r="J149">
            <v>28.280014890537061</v>
          </cell>
        </row>
        <row r="151">
          <cell r="B151" t="str">
            <v>FCF Valuation</v>
          </cell>
        </row>
        <row r="152">
          <cell r="B152" t="str">
            <v>FCF Per Share</v>
          </cell>
          <cell r="C152">
            <v>3.1023693610209668</v>
          </cell>
          <cell r="D152">
            <v>3.5516863295785646</v>
          </cell>
          <cell r="E152">
            <v>3.943845867944578</v>
          </cell>
          <cell r="J152">
            <v>3.28539002263462</v>
          </cell>
        </row>
        <row r="153">
          <cell r="B153" t="str">
            <v>Yield</v>
          </cell>
          <cell r="C153">
            <v>8.4727397730142831E-2</v>
          </cell>
          <cell r="D153">
            <v>0.34993131190446175</v>
          </cell>
          <cell r="E153">
            <v>9.0876793716481663E-2</v>
          </cell>
        </row>
        <row r="155">
          <cell r="C155" t="str">
            <v>Trough</v>
          </cell>
          <cell r="D155" t="str">
            <v>5-Yr.</v>
          </cell>
          <cell r="E155" t="str">
            <v>Peak</v>
          </cell>
        </row>
        <row r="156">
          <cell r="B156" t="str">
            <v>P/E</v>
          </cell>
          <cell r="C156">
            <v>5.2061818093456127</v>
          </cell>
          <cell r="D156">
            <v>15.259176673924259</v>
          </cell>
          <cell r="E156">
            <v>20.669431279620856</v>
          </cell>
          <cell r="J156">
            <v>10.232679241634935</v>
          </cell>
        </row>
        <row r="157">
          <cell r="B157" t="str">
            <v>EV/EBITDA</v>
          </cell>
          <cell r="C157">
            <v>295.50900000000001</v>
          </cell>
          <cell r="D157">
            <v>328.76022298543529</v>
          </cell>
          <cell r="E157">
            <v>326.46520000000004</v>
          </cell>
        </row>
        <row r="159">
          <cell r="B159" t="str">
            <v>Recession</v>
          </cell>
          <cell r="C159" t="str">
            <v>Trough</v>
          </cell>
          <cell r="D159" t="str">
            <v>Mean</v>
          </cell>
          <cell r="E159" t="str">
            <v>Peak</v>
          </cell>
          <cell r="G159" t="str">
            <v>Average</v>
          </cell>
          <cell r="O159">
            <v>11</v>
          </cell>
          <cell r="P159">
            <v>22</v>
          </cell>
          <cell r="Q159">
            <v>31</v>
          </cell>
        </row>
        <row r="160">
          <cell r="B160" t="str">
            <v>P/E</v>
          </cell>
          <cell r="C160">
            <v>27.942809263417701</v>
          </cell>
          <cell r="D160">
            <v>0</v>
          </cell>
          <cell r="E160">
            <v>133.11565080531253</v>
          </cell>
          <cell r="G160">
            <v>13.97140463170885</v>
          </cell>
        </row>
        <row r="161">
          <cell r="B161" t="str">
            <v>EV/EBITDA</v>
          </cell>
          <cell r="C161">
            <v>10.881526792662877</v>
          </cell>
          <cell r="D161">
            <v>0</v>
          </cell>
          <cell r="E161">
            <v>9.0106642080704216</v>
          </cell>
          <cell r="G161">
            <v>5.4407633963314384</v>
          </cell>
        </row>
        <row r="163">
          <cell r="B163" t="str">
            <v>Price Targets</v>
          </cell>
          <cell r="C163">
            <v>11</v>
          </cell>
          <cell r="D163">
            <v>22</v>
          </cell>
          <cell r="E163">
            <v>31</v>
          </cell>
        </row>
        <row r="164">
          <cell r="B164" t="str">
            <v>Ups/Downs</v>
          </cell>
          <cell r="C164" t="e">
            <v>#VALUE!</v>
          </cell>
          <cell r="D164" t="e">
            <v>#VALUE!</v>
          </cell>
          <cell r="E164" t="e">
            <v>#VALUE!</v>
          </cell>
        </row>
        <row r="165">
          <cell r="C165">
            <v>4.077794238371335</v>
          </cell>
          <cell r="D165">
            <v>7.284091678856031</v>
          </cell>
          <cell r="E165">
            <v>9.3318085746986075</v>
          </cell>
        </row>
        <row r="166">
          <cell r="A166" t="str">
            <v>GES.N</v>
          </cell>
          <cell r="B166" t="str">
            <v>GES</v>
          </cell>
        </row>
        <row r="167">
          <cell r="B167" t="str">
            <v>Current Price</v>
          </cell>
          <cell r="D167" t="str">
            <v>#Calc</v>
          </cell>
        </row>
        <row r="168">
          <cell r="B168" t="str">
            <v>Net Debt</v>
          </cell>
          <cell r="D168">
            <v>-235.60499999999982</v>
          </cell>
        </row>
        <row r="169">
          <cell r="B169" t="str">
            <v>Shares</v>
          </cell>
          <cell r="D169">
            <v>93.893000000000001</v>
          </cell>
        </row>
        <row r="171">
          <cell r="B171" t="str">
            <v>Revenue</v>
          </cell>
          <cell r="C171">
            <v>5.0019061343269389E-3</v>
          </cell>
          <cell r="D171">
            <v>6.2067972955618389E-2</v>
          </cell>
          <cell r="E171">
            <v>8.6505074929410508E-2</v>
          </cell>
        </row>
        <row r="172">
          <cell r="B172" t="str">
            <v>Gross Margin</v>
          </cell>
          <cell r="C172">
            <v>-132.46959365692589</v>
          </cell>
          <cell r="D172">
            <v>-92.045492314125624</v>
          </cell>
          <cell r="E172">
            <v>-56.354346649143963</v>
          </cell>
        </row>
        <row r="173">
          <cell r="B173" t="str">
            <v>Expense Ratio</v>
          </cell>
          <cell r="C173">
            <v>43.820169861799044</v>
          </cell>
          <cell r="D173">
            <v>20.392820435544689</v>
          </cell>
          <cell r="E173">
            <v>9.2980880347370842E-2</v>
          </cell>
        </row>
        <row r="174">
          <cell r="B174" t="str">
            <v>Operating Margin</v>
          </cell>
          <cell r="C174">
            <v>-176.28976351872521</v>
          </cell>
          <cell r="D174">
            <v>-112.43831274967059</v>
          </cell>
          <cell r="E174">
            <v>-56.447327529490224</v>
          </cell>
        </row>
        <row r="176">
          <cell r="B176" t="str">
            <v>P/E Valuation</v>
          </cell>
          <cell r="J176" t="str">
            <v>Guess?: Base Case Assumptions</v>
          </cell>
        </row>
        <row r="177">
          <cell r="B177" t="str">
            <v>EPS</v>
          </cell>
          <cell r="C177">
            <v>2.2579131220645636</v>
          </cell>
          <cell r="D177">
            <v>2.5106239184555692</v>
          </cell>
          <cell r="E177">
            <v>2.6827665053331833</v>
          </cell>
          <cell r="J177">
            <v>2.5106239184555692</v>
          </cell>
        </row>
        <row r="178">
          <cell r="B178" t="str">
            <v>P/E</v>
          </cell>
          <cell r="C178">
            <v>6</v>
          </cell>
          <cell r="D178">
            <v>9</v>
          </cell>
          <cell r="E178">
            <v>12</v>
          </cell>
        </row>
        <row r="179">
          <cell r="B179" t="str">
            <v>Scenario Price</v>
          </cell>
          <cell r="C179">
            <v>13.547478732387383</v>
          </cell>
          <cell r="D179">
            <v>22.595615266100122</v>
          </cell>
          <cell r="E179">
            <v>32.193198063998196</v>
          </cell>
        </row>
        <row r="180">
          <cell r="B180" t="str">
            <v>Ups/Downs</v>
          </cell>
          <cell r="C180" t="e">
            <v>#VALUE!</v>
          </cell>
          <cell r="D180" t="e">
            <v>#VALUE!</v>
          </cell>
          <cell r="E180" t="e">
            <v>#VALUE!</v>
          </cell>
        </row>
        <row r="182">
          <cell r="B182" t="str">
            <v>EBITDA Valuation</v>
          </cell>
        </row>
        <row r="183">
          <cell r="B183" t="str">
            <v>EBITDA</v>
          </cell>
          <cell r="C183">
            <v>395.95327325664459</v>
          </cell>
          <cell r="D183">
            <v>432.95762994659856</v>
          </cell>
          <cell r="E183">
            <v>458.02811179010723</v>
          </cell>
          <cell r="J183">
            <v>432.95762994659856</v>
          </cell>
        </row>
        <row r="184">
          <cell r="B184" t="str">
            <v>EV/EBITDA</v>
          </cell>
          <cell r="C184">
            <v>12</v>
          </cell>
          <cell r="D184">
            <v>0</v>
          </cell>
          <cell r="E184">
            <v>9</v>
          </cell>
          <cell r="G184">
            <v>4.642892656853105</v>
          </cell>
        </row>
        <row r="185">
          <cell r="B185" t="str">
            <v>EV</v>
          </cell>
          <cell r="C185">
            <v>4751.4392790797356</v>
          </cell>
          <cell r="D185">
            <v>0</v>
          </cell>
          <cell r="E185">
            <v>4122.2530061109646</v>
          </cell>
        </row>
        <row r="186">
          <cell r="B186" t="str">
            <v>Implied Equity</v>
          </cell>
          <cell r="C186">
            <v>53.114122235733603</v>
          </cell>
          <cell r="D186">
            <v>2.5092924925180773</v>
          </cell>
          <cell r="E186">
            <v>46.413023400157243</v>
          </cell>
        </row>
        <row r="187">
          <cell r="B187" t="str">
            <v>Ups/Downs</v>
          </cell>
          <cell r="C187" t="e">
            <v>#VALUE!</v>
          </cell>
          <cell r="D187" t="e">
            <v>#VALUE!</v>
          </cell>
          <cell r="E187" t="e">
            <v>#VALUE!</v>
          </cell>
        </row>
        <row r="189">
          <cell r="B189" t="str">
            <v>Residual Income</v>
          </cell>
        </row>
        <row r="190">
          <cell r="B190" t="str">
            <v>Val-Cur</v>
          </cell>
          <cell r="J190">
            <v>44.100114552712384</v>
          </cell>
        </row>
        <row r="192">
          <cell r="B192" t="str">
            <v>FCF Valuation</v>
          </cell>
        </row>
        <row r="193">
          <cell r="B193" t="str">
            <v>FCF Per Share</v>
          </cell>
          <cell r="C193">
            <v>1.9620268022792264</v>
          </cell>
          <cell r="D193">
            <v>2.0333858335373303</v>
          </cell>
          <cell r="E193">
            <v>2.1215188246551513</v>
          </cell>
          <cell r="J193">
            <v>2.0333858335373303</v>
          </cell>
        </row>
        <row r="194">
          <cell r="B194" t="str">
            <v>Yield</v>
          </cell>
          <cell r="C194">
            <v>5.8865276974596217E-2</v>
          </cell>
          <cell r="D194">
            <v>0.16199110174697171</v>
          </cell>
          <cell r="E194">
            <v>5.3978394715806746E-2</v>
          </cell>
        </row>
        <row r="196">
          <cell r="C196" t="str">
            <v>Trough</v>
          </cell>
          <cell r="D196" t="str">
            <v>5-Yr.</v>
          </cell>
          <cell r="E196" t="str">
            <v>Peak</v>
          </cell>
          <cell r="O196">
            <v>10</v>
          </cell>
          <cell r="P196">
            <v>22</v>
          </cell>
          <cell r="Q196">
            <v>28</v>
          </cell>
        </row>
        <row r="197">
          <cell r="B197" t="str">
            <v>P/E</v>
          </cell>
          <cell r="C197">
            <v>2.7960526315789473</v>
          </cell>
          <cell r="D197">
            <v>21.424835061443098</v>
          </cell>
          <cell r="E197">
            <v>48.75</v>
          </cell>
          <cell r="J197">
            <v>12.110443846511023</v>
          </cell>
        </row>
        <row r="198">
          <cell r="B198" t="str">
            <v>EV/EBITDA</v>
          </cell>
          <cell r="C198">
            <v>418.6037</v>
          </cell>
          <cell r="D198">
            <v>418.89366514622878</v>
          </cell>
          <cell r="E198">
            <v>412.87130000000002</v>
          </cell>
        </row>
        <row r="200">
          <cell r="B200" t="str">
            <v>Recession</v>
          </cell>
          <cell r="C200" t="str">
            <v>Trough</v>
          </cell>
          <cell r="D200" t="str">
            <v>Mean</v>
          </cell>
          <cell r="E200" t="str">
            <v>Peak</v>
          </cell>
          <cell r="G200" t="str">
            <v>Average</v>
          </cell>
        </row>
        <row r="201">
          <cell r="B201" t="str">
            <v>P/E</v>
          </cell>
          <cell r="C201">
            <v>13.053715703642743</v>
          </cell>
          <cell r="D201">
            <v>0</v>
          </cell>
          <cell r="E201">
            <v>309.44987810540982</v>
          </cell>
          <cell r="G201">
            <v>6.5268578518213713</v>
          </cell>
        </row>
        <row r="202">
          <cell r="B202" t="str">
            <v>EV/EBITDA</v>
          </cell>
          <cell r="C202">
            <v>11.247450128851238</v>
          </cell>
          <cell r="D202">
            <v>0</v>
          </cell>
          <cell r="E202">
            <v>11.620803986217455</v>
          </cell>
          <cell r="G202">
            <v>5.6237250644256189</v>
          </cell>
        </row>
        <row r="204">
          <cell r="B204" t="str">
            <v>Price Targets</v>
          </cell>
          <cell r="C204">
            <v>10</v>
          </cell>
          <cell r="D204">
            <v>22</v>
          </cell>
          <cell r="E204">
            <v>28</v>
          </cell>
        </row>
        <row r="205">
          <cell r="B205" t="str">
            <v>Ups/Downs</v>
          </cell>
          <cell r="C205" t="e">
            <v>#VALUE!</v>
          </cell>
          <cell r="D205" t="e">
            <v>#VALUE!</v>
          </cell>
          <cell r="E205" t="e">
            <v>#VALUE!</v>
          </cell>
        </row>
        <row r="206">
          <cell r="C206">
            <v>4.4288683662267392</v>
          </cell>
          <cell r="D206">
            <v>8.762762052204728</v>
          </cell>
          <cell r="E206">
            <v>10.436987320490857</v>
          </cell>
        </row>
        <row r="207">
          <cell r="A207" t="str">
            <v>UA.N</v>
          </cell>
          <cell r="B207" t="str">
            <v>UA</v>
          </cell>
        </row>
        <row r="208">
          <cell r="B208" t="str">
            <v>Current Price</v>
          </cell>
          <cell r="D208" t="str">
            <v>#Calc</v>
          </cell>
        </row>
        <row r="209">
          <cell r="B209" t="str">
            <v>Net Debt</v>
          </cell>
          <cell r="D209">
            <v>-2.5880000000000081</v>
          </cell>
        </row>
        <row r="210">
          <cell r="B210" t="str">
            <v>Shares</v>
          </cell>
          <cell r="D210">
            <v>49.933999999999997</v>
          </cell>
        </row>
        <row r="212">
          <cell r="B212" t="str">
            <v>Revenue</v>
          </cell>
          <cell r="C212">
            <v>0.14236773121139379</v>
          </cell>
          <cell r="D212">
            <v>0.18755186841098626</v>
          </cell>
          <cell r="E212">
            <v>0.22117037202345236</v>
          </cell>
        </row>
        <row r="213">
          <cell r="B213" t="str">
            <v>Gross Margin</v>
          </cell>
          <cell r="C213">
            <v>-166.35202649946334</v>
          </cell>
          <cell r="D213">
            <v>-81.868290295997738</v>
          </cell>
          <cell r="E213">
            <v>-11.871325705416492</v>
          </cell>
        </row>
        <row r="214">
          <cell r="B214" t="str">
            <v>Expense Ratio</v>
          </cell>
          <cell r="C214">
            <v>31.875640145483942</v>
          </cell>
          <cell r="D214">
            <v>-18.306369319854298</v>
          </cell>
          <cell r="E214">
            <v>-146.78806714331915</v>
          </cell>
        </row>
        <row r="215">
          <cell r="B215" t="str">
            <v>Operating Margin</v>
          </cell>
          <cell r="C215">
            <v>-198.22766664494756</v>
          </cell>
          <cell r="D215">
            <v>-63.561920976143718</v>
          </cell>
          <cell r="E215">
            <v>134.91674143790212</v>
          </cell>
        </row>
        <row r="217">
          <cell r="B217" t="str">
            <v>P/E Valuation</v>
          </cell>
          <cell r="J217" t="str">
            <v>Under Armour: Base Case Assumptions</v>
          </cell>
        </row>
        <row r="218">
          <cell r="B218" t="str">
            <v>EPS</v>
          </cell>
          <cell r="C218">
            <v>0.99906466248783032</v>
          </cell>
          <cell r="D218">
            <v>1.2018850185316137</v>
          </cell>
          <cell r="E218">
            <v>1.5504235836780593</v>
          </cell>
          <cell r="J218">
            <v>1.2018850185316137</v>
          </cell>
        </row>
        <row r="219">
          <cell r="B219" t="str">
            <v>P/E</v>
          </cell>
          <cell r="C219">
            <v>14</v>
          </cell>
          <cell r="D219">
            <v>18</v>
          </cell>
          <cell r="E219">
            <v>20</v>
          </cell>
        </row>
        <row r="220">
          <cell r="B220" t="str">
            <v>Scenario Price</v>
          </cell>
          <cell r="C220">
            <v>13.986905274829624</v>
          </cell>
          <cell r="D220">
            <v>21.633930333569047</v>
          </cell>
          <cell r="E220">
            <v>31.008471673561186</v>
          </cell>
        </row>
        <row r="221">
          <cell r="B221" t="str">
            <v>Ups/Downs</v>
          </cell>
          <cell r="C221" t="e">
            <v>#VALUE!</v>
          </cell>
          <cell r="D221" t="e">
            <v>#VALUE!</v>
          </cell>
          <cell r="E221" t="e">
            <v>#VALUE!</v>
          </cell>
        </row>
        <row r="223">
          <cell r="B223" t="str">
            <v>EBITDA Valuation</v>
          </cell>
        </row>
        <row r="224">
          <cell r="B224" t="str">
            <v>EBITDA</v>
          </cell>
          <cell r="C224">
            <v>119.58353719373952</v>
          </cell>
          <cell r="D224">
            <v>137.30870701109214</v>
          </cell>
          <cell r="E224">
            <v>167.54865976843155</v>
          </cell>
          <cell r="J224">
            <v>137.30870701109214</v>
          </cell>
        </row>
        <row r="225">
          <cell r="B225" t="str">
            <v>EV/EBITDA</v>
          </cell>
          <cell r="C225">
            <v>20</v>
          </cell>
          <cell r="D225">
            <v>0</v>
          </cell>
          <cell r="E225">
            <v>18</v>
          </cell>
          <cell r="I225" t="str">
            <v>LULU</v>
          </cell>
          <cell r="J225">
            <v>5.9734860572920985</v>
          </cell>
        </row>
        <row r="226">
          <cell r="B226" t="str">
            <v>EV</v>
          </cell>
          <cell r="C226">
            <v>2391.6707438747903</v>
          </cell>
          <cell r="D226">
            <v>0</v>
          </cell>
          <cell r="E226">
            <v>3015.8758758317681</v>
          </cell>
          <cell r="I226" t="str">
            <v>JCG</v>
          </cell>
          <cell r="J226">
            <v>0</v>
          </cell>
        </row>
        <row r="227">
          <cell r="B227" t="str">
            <v>Implied Equity</v>
          </cell>
          <cell r="C227">
            <v>47.948466853742751</v>
          </cell>
          <cell r="D227">
            <v>5.1828413505827856E-2</v>
          </cell>
          <cell r="E227">
            <v>60.449070289417399</v>
          </cell>
          <cell r="I227" t="str">
            <v>HIBB</v>
          </cell>
          <cell r="J227">
            <v>3.6649423212155883</v>
          </cell>
        </row>
        <row r="228">
          <cell r="B228" t="str">
            <v>Ups/Downs</v>
          </cell>
          <cell r="C228" t="e">
            <v>#VALUE!</v>
          </cell>
          <cell r="D228" t="e">
            <v>#VALUE!</v>
          </cell>
          <cell r="E228" t="e">
            <v>#VALUE!</v>
          </cell>
        </row>
        <row r="230">
          <cell r="B230" t="str">
            <v>Residual Income</v>
          </cell>
        </row>
        <row r="231">
          <cell r="B231" t="str">
            <v>Val-Cur</v>
          </cell>
          <cell r="J231">
            <v>28.532794139999851</v>
          </cell>
        </row>
        <row r="233">
          <cell r="B233" t="str">
            <v>FCF Valuation</v>
          </cell>
        </row>
        <row r="234">
          <cell r="B234" t="str">
            <v>FCF Per Share</v>
          </cell>
          <cell r="C234">
            <v>0.4343387735004669</v>
          </cell>
          <cell r="D234">
            <v>0.42456773940421655</v>
          </cell>
          <cell r="E234">
            <v>0.60593286020249848</v>
          </cell>
          <cell r="J234">
            <v>0.42456773940421655</v>
          </cell>
        </row>
        <row r="235">
          <cell r="B235" t="str">
            <v>Yield</v>
          </cell>
          <cell r="C235">
            <v>1.4025548198816596E-2</v>
          </cell>
          <cell r="D235">
            <v>3.9156364723598631E-2</v>
          </cell>
          <cell r="E235">
            <v>1.325058266813635E-2</v>
          </cell>
        </row>
        <row r="237">
          <cell r="C237" t="str">
            <v>Trough</v>
          </cell>
          <cell r="D237" t="str">
            <v>5-Yr.</v>
          </cell>
          <cell r="E237" t="str">
            <v>Peak</v>
          </cell>
          <cell r="O237">
            <v>14</v>
          </cell>
          <cell r="P237">
            <v>22</v>
          </cell>
          <cell r="Q237">
            <v>31</v>
          </cell>
        </row>
        <row r="238">
          <cell r="B238" t="str">
            <v>P/E</v>
          </cell>
          <cell r="C238">
            <v>12.428356703450484</v>
          </cell>
          <cell r="D238">
            <v>44.41327296284517</v>
          </cell>
          <cell r="E238">
            <v>87.068181818181827</v>
          </cell>
          <cell r="J238">
            <v>28.420814833147826</v>
          </cell>
        </row>
        <row r="239">
          <cell r="B239" t="str">
            <v>EV/EBITDA</v>
          </cell>
          <cell r="C239">
            <v>140.03810000000001</v>
          </cell>
          <cell r="D239">
            <v>117.12529688969684</v>
          </cell>
          <cell r="E239">
            <v>118.35556000000001</v>
          </cell>
        </row>
        <row r="241">
          <cell r="B241" t="str">
            <v>Price Targets</v>
          </cell>
          <cell r="C241">
            <v>14</v>
          </cell>
          <cell r="D241">
            <v>22</v>
          </cell>
          <cell r="E241">
            <v>31</v>
          </cell>
        </row>
        <row r="242">
          <cell r="B242" t="str">
            <v>Ups/Downs</v>
          </cell>
          <cell r="C242" t="e">
            <v>#VALUE!</v>
          </cell>
          <cell r="D242" t="e">
            <v>#VALUE!</v>
          </cell>
          <cell r="E242" t="e">
            <v>#VALUE!</v>
          </cell>
        </row>
        <row r="243">
          <cell r="C243">
            <v>14.013106984624766</v>
          </cell>
          <cell r="D243">
            <v>18.304579606856397</v>
          </cell>
          <cell r="E243">
            <v>19.994535897382903</v>
          </cell>
        </row>
        <row r="244">
          <cell r="A244" t="str">
            <v>RL.N</v>
          </cell>
          <cell r="B244" t="str">
            <v>RL</v>
          </cell>
        </row>
        <row r="245">
          <cell r="B245" t="str">
            <v>Current Price</v>
          </cell>
          <cell r="D245" t="str">
            <v>#Calc</v>
          </cell>
        </row>
        <row r="246">
          <cell r="B246" t="str">
            <v>Net Debt</v>
          </cell>
          <cell r="D246">
            <v>-240.9999999999996</v>
          </cell>
        </row>
        <row r="247">
          <cell r="B247" t="str">
            <v>Shares</v>
          </cell>
          <cell r="D247">
            <v>102.1</v>
          </cell>
        </row>
        <row r="249">
          <cell r="B249" t="str">
            <v>Revenue</v>
          </cell>
          <cell r="C249">
            <v>-1.2219431833004668E-2</v>
          </cell>
          <cell r="D249">
            <v>9.7264391571743047E-3</v>
          </cell>
          <cell r="E249">
            <v>4.8279300510463141E-2</v>
          </cell>
        </row>
        <row r="250">
          <cell r="B250" t="str">
            <v>Gross Margin</v>
          </cell>
          <cell r="C250">
            <v>-52.400778001017166</v>
          </cell>
          <cell r="D250">
            <v>39.903577506641419</v>
          </cell>
          <cell r="E250">
            <v>72.31350123189317</v>
          </cell>
        </row>
        <row r="251">
          <cell r="B251" t="str">
            <v>Expense Ratio</v>
          </cell>
          <cell r="C251">
            <v>162.99489485176565</v>
          </cell>
          <cell r="D251">
            <v>139.69425994722619</v>
          </cell>
          <cell r="E251">
            <v>121.14643072228759</v>
          </cell>
        </row>
        <row r="252">
          <cell r="B252" t="str">
            <v>Operating Margin</v>
          </cell>
          <cell r="C252">
            <v>-191.34202325536199</v>
          </cell>
          <cell r="D252">
            <v>-74.157682659594656</v>
          </cell>
          <cell r="E252">
            <v>-20.585567856334919</v>
          </cell>
        </row>
        <row r="254">
          <cell r="B254" t="str">
            <v>P/E Valuation</v>
          </cell>
          <cell r="J254" t="str">
            <v>Ralph Lauren: Base Case Assumptions</v>
          </cell>
        </row>
        <row r="255">
          <cell r="B255" t="str">
            <v>EPS</v>
          </cell>
          <cell r="C255">
            <v>3.3923540743442406</v>
          </cell>
          <cell r="D255">
            <v>3.8195556979500398</v>
          </cell>
          <cell r="E255">
            <v>4.1322311197207835</v>
          </cell>
          <cell r="J255">
            <v>3.8195556979500398</v>
          </cell>
        </row>
        <row r="256">
          <cell r="B256" t="str">
            <v>P/E</v>
          </cell>
          <cell r="C256">
            <v>8</v>
          </cell>
          <cell r="D256">
            <v>11</v>
          </cell>
          <cell r="E256">
            <v>15</v>
          </cell>
          <cell r="G256" t="e">
            <v>#VALUE!</v>
          </cell>
        </row>
        <row r="257">
          <cell r="B257" t="str">
            <v>Scenario Price</v>
          </cell>
          <cell r="C257">
            <v>27.138832594753925</v>
          </cell>
          <cell r="D257">
            <v>42.015112677450439</v>
          </cell>
          <cell r="E257">
            <v>61.983466795811751</v>
          </cell>
        </row>
        <row r="258">
          <cell r="B258" t="str">
            <v>Ups/Downs</v>
          </cell>
          <cell r="C258" t="e">
            <v>#VALUE!</v>
          </cell>
          <cell r="D258" t="e">
            <v>#VALUE!</v>
          </cell>
          <cell r="E258" t="e">
            <v>#VALUE!</v>
          </cell>
        </row>
        <row r="260">
          <cell r="B260" t="str">
            <v>EBITDA Valuation</v>
          </cell>
        </row>
        <row r="261">
          <cell r="B261" t="str">
            <v>EBITDA</v>
          </cell>
          <cell r="C261">
            <v>772.82752298635683</v>
          </cell>
          <cell r="D261">
            <v>843.29338043227006</v>
          </cell>
          <cell r="E261">
            <v>895.18188415629652</v>
          </cell>
          <cell r="J261">
            <v>843.29338043227006</v>
          </cell>
        </row>
        <row r="262">
          <cell r="B262" t="str">
            <v>EV/EBITDA</v>
          </cell>
          <cell r="C262">
            <v>15</v>
          </cell>
          <cell r="D262">
            <v>0</v>
          </cell>
          <cell r="E262">
            <v>11</v>
          </cell>
          <cell r="G262">
            <v>6.2532186038063315</v>
          </cell>
        </row>
        <row r="263">
          <cell r="B263" t="str">
            <v>EV</v>
          </cell>
          <cell r="C263">
            <v>11592.412844795352</v>
          </cell>
          <cell r="D263">
            <v>0</v>
          </cell>
          <cell r="E263">
            <v>9847.000725719261</v>
          </cell>
        </row>
        <row r="264">
          <cell r="B264" t="str">
            <v>Implied Equity</v>
          </cell>
          <cell r="C264">
            <v>115.9002237492199</v>
          </cell>
          <cell r="D264">
            <v>2.360430950048968</v>
          </cell>
          <cell r="E264">
            <v>98.805100153959472</v>
          </cell>
        </row>
        <row r="265">
          <cell r="B265" t="str">
            <v>Ups/Downs</v>
          </cell>
          <cell r="C265" t="e">
            <v>#VALUE!</v>
          </cell>
          <cell r="D265" t="e">
            <v>#VALUE!</v>
          </cell>
          <cell r="E265" t="e">
            <v>#VALUE!</v>
          </cell>
        </row>
        <row r="267">
          <cell r="B267" t="str">
            <v>Residual Income</v>
          </cell>
        </row>
        <row r="268">
          <cell r="B268" t="str">
            <v>Val-Cur</v>
          </cell>
          <cell r="J268">
            <v>58.077356023997737</v>
          </cell>
        </row>
        <row r="270">
          <cell r="B270" t="str">
            <v>FCF Valuation</v>
          </cell>
        </row>
        <row r="271">
          <cell r="B271" t="str">
            <v>FCF Per Share</v>
          </cell>
          <cell r="C271">
            <v>5.3375916719245931</v>
          </cell>
          <cell r="D271">
            <v>5.6935077768655109</v>
          </cell>
          <cell r="E271">
            <v>5.7274157838770998</v>
          </cell>
          <cell r="J271">
            <v>5.6935077768655109</v>
          </cell>
        </row>
        <row r="272">
          <cell r="B272" t="str">
            <v>Yield</v>
          </cell>
          <cell r="C272">
            <v>7.4631248392592789E-2</v>
          </cell>
          <cell r="D272">
            <v>0.25660565759637294</v>
          </cell>
          <cell r="E272">
            <v>7.1241580076601946E-2</v>
          </cell>
        </row>
        <row r="273">
          <cell r="O273">
            <v>25.684165401014301</v>
          </cell>
          <cell r="P273">
            <v>43</v>
          </cell>
          <cell r="Q273">
            <v>71.837292762706198</v>
          </cell>
        </row>
        <row r="274">
          <cell r="C274" t="str">
            <v>Trough</v>
          </cell>
          <cell r="D274" t="str">
            <v>5-Yr.</v>
          </cell>
          <cell r="E274" t="str">
            <v>Peak</v>
          </cell>
        </row>
        <row r="275">
          <cell r="B275" t="str">
            <v>P/E</v>
          </cell>
          <cell r="C275">
            <v>7.8445747800586503</v>
          </cell>
          <cell r="D275">
            <v>16.682633413664135</v>
          </cell>
          <cell r="E275">
            <v>26.298497977869165</v>
          </cell>
          <cell r="J275">
            <v>12.263604096861393</v>
          </cell>
        </row>
        <row r="276">
          <cell r="B276" t="str">
            <v>EV/EBITDA</v>
          </cell>
          <cell r="C276">
            <v>860.82420000000002</v>
          </cell>
          <cell r="D276">
            <v>862.34718055699659</v>
          </cell>
          <cell r="E276">
            <v>821.79550000000006</v>
          </cell>
        </row>
        <row r="278">
          <cell r="B278" t="str">
            <v>Recession</v>
          </cell>
          <cell r="C278" t="str">
            <v>Trough</v>
          </cell>
          <cell r="D278" t="str">
            <v>Mean</v>
          </cell>
          <cell r="E278" t="str">
            <v>Peak</v>
          </cell>
          <cell r="G278" t="str">
            <v>Average</v>
          </cell>
        </row>
        <row r="279">
          <cell r="B279" t="str">
            <v>P/E</v>
          </cell>
          <cell r="C279">
            <v>33.450534727436931</v>
          </cell>
          <cell r="D279">
            <v>0</v>
          </cell>
          <cell r="E279">
            <v>170.30555199737367</v>
          </cell>
          <cell r="G279">
            <v>16.725267363718466</v>
          </cell>
        </row>
        <row r="280">
          <cell r="B280" t="str">
            <v>EV/EBITDA</v>
          </cell>
          <cell r="C280">
            <v>13.227056805898966</v>
          </cell>
          <cell r="D280">
            <v>0</v>
          </cell>
          <cell r="E280">
            <v>10.280584766378455</v>
          </cell>
          <cell r="G280">
            <v>6.6135284029494832</v>
          </cell>
        </row>
        <row r="283">
          <cell r="B283" t="str">
            <v>Price Targets</v>
          </cell>
          <cell r="C283">
            <v>25.684165401014301</v>
          </cell>
          <cell r="D283">
            <v>43</v>
          </cell>
          <cell r="E283">
            <v>71.837292762706198</v>
          </cell>
        </row>
        <row r="284">
          <cell r="B284" t="str">
            <v>Ups/Downs</v>
          </cell>
          <cell r="C284" t="e">
            <v>#VALUE!</v>
          </cell>
          <cell r="D284" t="e">
            <v>#VALUE!</v>
          </cell>
          <cell r="E284" t="e">
            <v>#VALUE!</v>
          </cell>
        </row>
        <row r="285">
          <cell r="C285">
            <v>7.571192404489552</v>
          </cell>
          <cell r="D285">
            <v>11.257853897268248</v>
          </cell>
          <cell r="E285">
            <v>17.384626048593397</v>
          </cell>
        </row>
      </sheetData>
      <sheetData sheetId="9">
        <row r="1">
          <cell r="R1" t="str">
            <v>SmartCharts</v>
          </cell>
          <cell r="BN1" t="str">
            <v>.</v>
          </cell>
        </row>
        <row r="2">
          <cell r="BN2" t="str">
            <v>.</v>
          </cell>
        </row>
        <row r="3">
          <cell r="BN3" t="str">
            <v>.</v>
          </cell>
        </row>
        <row r="9">
          <cell r="D9" t="str">
            <v>Input values in white cells:</v>
          </cell>
        </row>
        <row r="10">
          <cell r="AF10">
            <v>6130.6740333953476</v>
          </cell>
        </row>
        <row r="11">
          <cell r="C11" t="str">
            <v>Base case:</v>
          </cell>
          <cell r="D11">
            <v>22</v>
          </cell>
          <cell r="AF11">
            <v>0.1</v>
          </cell>
        </row>
        <row r="13">
          <cell r="C13" t="str">
            <v>Current price:</v>
          </cell>
          <cell r="D13">
            <v>14.15</v>
          </cell>
          <cell r="AE13">
            <v>-4.9399999999999977</v>
          </cell>
        </row>
        <row r="14">
          <cell r="AE14">
            <v>6170.7696480537052</v>
          </cell>
        </row>
        <row r="15">
          <cell r="C15" t="str">
            <v>Price target:</v>
          </cell>
          <cell r="D15">
            <v>22</v>
          </cell>
        </row>
        <row r="17">
          <cell r="AE17" t="str">
            <v>Bear</v>
          </cell>
          <cell r="AG17" t="str">
            <v>Base</v>
          </cell>
          <cell r="AJ17" t="str">
            <v>Bull</v>
          </cell>
        </row>
        <row r="18">
          <cell r="E18" t="str">
            <v>Input your Bull/Bear data below:</v>
          </cell>
          <cell r="AD18">
            <v>6165.9792177678301</v>
          </cell>
          <cell r="AE18">
            <v>6165.9792177678301</v>
          </cell>
          <cell r="AG18">
            <v>40</v>
          </cell>
          <cell r="AJ18">
            <v>6130.6740333953476</v>
          </cell>
          <cell r="AL18">
            <v>6130.6740333953476</v>
          </cell>
        </row>
        <row r="19">
          <cell r="E19" t="str">
            <v>(Input "to Bear" values as negatives)</v>
          </cell>
          <cell r="AE19" t="str">
            <v>bear_labels</v>
          </cell>
          <cell r="AF19" t="str">
            <v>-bear</v>
          </cell>
          <cell r="AG19" t="str">
            <v>-space1</v>
          </cell>
          <cell r="AH19" t="str">
            <v>+space1</v>
          </cell>
          <cell r="AI19" t="str">
            <v>+bull</v>
          </cell>
          <cell r="AJ19" t="str">
            <v>bull_labels</v>
          </cell>
        </row>
        <row r="20">
          <cell r="D20" t="str">
            <v>to Bear</v>
          </cell>
          <cell r="E20" t="str">
            <v>to Bull</v>
          </cell>
        </row>
        <row r="21">
          <cell r="C21" t="str">
            <v>Global Expansion</v>
          </cell>
          <cell r="D21">
            <v>6170.7696480537052</v>
          </cell>
          <cell r="E21">
            <v>6125.839446330172</v>
          </cell>
          <cell r="AE21">
            <v>-613.06740333953474</v>
          </cell>
          <cell r="AF21">
            <v>6170.7696480537052</v>
          </cell>
          <cell r="AG21">
            <v>0</v>
          </cell>
          <cell r="AH21">
            <v>0</v>
          </cell>
          <cell r="AI21">
            <v>6125.839446330172</v>
          </cell>
          <cell r="AJ21">
            <v>613.06740333953474</v>
          </cell>
          <cell r="AK21">
            <v>6738.9068496697064</v>
          </cell>
        </row>
        <row r="22">
          <cell r="C22" t="str">
            <v>Margin Strength</v>
          </cell>
          <cell r="D22">
            <v>0.14956971412449871</v>
          </cell>
          <cell r="E22">
            <v>-0.10541293482405914</v>
          </cell>
          <cell r="AE22">
            <v>-613.06740333953474</v>
          </cell>
          <cell r="AF22">
            <v>0.14956971412449871</v>
          </cell>
          <cell r="AG22">
            <v>6170.7696480537052</v>
          </cell>
          <cell r="AH22">
            <v>6125.839446330172</v>
          </cell>
          <cell r="AI22">
            <v>-0.10541293482405914</v>
          </cell>
          <cell r="AJ22">
            <v>613.06740333953474</v>
          </cell>
          <cell r="AK22">
            <v>6738.8014367348824</v>
          </cell>
        </row>
        <row r="23">
          <cell r="C23" t="str">
            <v>Multiple</v>
          </cell>
          <cell r="D23">
            <v>-4.9399999999999977</v>
          </cell>
          <cell r="E23">
            <v>4.9400000000000013</v>
          </cell>
          <cell r="AE23">
            <v>-613.06740333953474</v>
          </cell>
          <cell r="AF23">
            <v>-4.9399999999999977</v>
          </cell>
          <cell r="AG23">
            <v>6170.9192177678297</v>
          </cell>
          <cell r="AH23">
            <v>6125.734033395348</v>
          </cell>
          <cell r="AI23">
            <v>4.9400000000000013</v>
          </cell>
          <cell r="AJ23">
            <v>613.06740333953474</v>
          </cell>
          <cell r="AK23">
            <v>6743.741436734882</v>
          </cell>
          <cell r="AN23" t="str">
            <v/>
          </cell>
        </row>
        <row r="24">
          <cell r="AE24">
            <v>-613.06740333953474</v>
          </cell>
          <cell r="AF24">
            <v>0</v>
          </cell>
          <cell r="AG24">
            <v>6165.9792177678301</v>
          </cell>
          <cell r="AH24">
            <v>6130.6740333953476</v>
          </cell>
          <cell r="AI24">
            <v>0</v>
          </cell>
          <cell r="AJ24" t="str">
            <v/>
          </cell>
          <cell r="AK24">
            <v>6130.6740333953476</v>
          </cell>
          <cell r="AN24" t="str">
            <v/>
          </cell>
        </row>
        <row r="25">
          <cell r="AE25">
            <v>-613.06740333953474</v>
          </cell>
          <cell r="AF25">
            <v>0</v>
          </cell>
          <cell r="AG25">
            <v>6165.9792177678301</v>
          </cell>
          <cell r="AH25">
            <v>6130.6740333953476</v>
          </cell>
          <cell r="AI25">
            <v>0</v>
          </cell>
          <cell r="AJ25" t="str">
            <v/>
          </cell>
          <cell r="AK25">
            <v>6130.6740333953476</v>
          </cell>
          <cell r="AN25" t="str">
            <v>Current
14.15</v>
          </cell>
        </row>
        <row r="26">
          <cell r="AE26">
            <v>-613.06740333953474</v>
          </cell>
          <cell r="AF26">
            <v>0</v>
          </cell>
          <cell r="AG26">
            <v>6165.9792177678301</v>
          </cell>
          <cell r="AH26">
            <v>6130.6740333953476</v>
          </cell>
          <cell r="AI26">
            <v>0</v>
          </cell>
          <cell r="AJ26" t="str">
            <v/>
          </cell>
          <cell r="AK26">
            <v>6130.6740333953476</v>
          </cell>
          <cell r="AN26" t="str">
            <v/>
          </cell>
        </row>
        <row r="27">
          <cell r="D27">
            <v>6187.9792177678301</v>
          </cell>
          <cell r="E27">
            <v>6152.6740333953476</v>
          </cell>
          <cell r="AG27">
            <v>0</v>
          </cell>
          <cell r="AH27">
            <v>6130.6740333953476</v>
          </cell>
          <cell r="AN27" t="str">
            <v/>
          </cell>
        </row>
        <row r="28">
          <cell r="D28" t="str">
            <v>BEAR</v>
          </cell>
          <cell r="E28" t="str">
            <v>BULL</v>
          </cell>
          <cell r="AN28" t="str">
            <v/>
          </cell>
        </row>
        <row r="30">
          <cell r="C30" t="str">
            <v>Select currency here:</v>
          </cell>
          <cell r="AE30" t="str">
            <v>-space1</v>
          </cell>
          <cell r="AF30" t="str">
            <v>-bear</v>
          </cell>
          <cell r="AG30" t="str">
            <v>bear_labels</v>
          </cell>
          <cell r="AH30" t="str">
            <v>+space1</v>
          </cell>
          <cell r="AI30" t="str">
            <v>+bull</v>
          </cell>
          <cell r="AJ30" t="str">
            <v>bull_labels</v>
          </cell>
          <cell r="AK30" t="str">
            <v>Bear 6187.98</v>
          </cell>
          <cell r="AL30" t="str">
            <v>Target  22.00</v>
          </cell>
          <cell r="AM30" t="str">
            <v>Bull 6152.67</v>
          </cell>
          <cell r="AN30" t="str">
            <v>Current
14.15</v>
          </cell>
          <cell r="AP30" t="str">
            <v/>
          </cell>
        </row>
        <row r="32">
          <cell r="E32" t="str">
            <v/>
          </cell>
          <cell r="AD32" t="str">
            <v>Global Expansion</v>
          </cell>
          <cell r="AE32">
            <v>0</v>
          </cell>
          <cell r="AF32">
            <v>6170.7696480537052</v>
          </cell>
          <cell r="AH32">
            <v>0</v>
          </cell>
          <cell r="AI32">
            <v>6125.839446330172</v>
          </cell>
          <cell r="AJ32">
            <v>613.06740333953474</v>
          </cell>
          <cell r="AK32">
            <v>6165.9792177678301</v>
          </cell>
          <cell r="AL32">
            <v>0</v>
          </cell>
          <cell r="AM32">
            <v>6130.6740333953476</v>
          </cell>
          <cell r="AN32">
            <v>-7.85</v>
          </cell>
          <cell r="AP32">
            <v>0</v>
          </cell>
        </row>
        <row r="33">
          <cell r="D33" t="str">
            <v>other currency</v>
          </cell>
          <cell r="AD33" t="str">
            <v>Margin Strength</v>
          </cell>
          <cell r="AE33">
            <v>6170.7696480537052</v>
          </cell>
          <cell r="AF33">
            <v>0.14956971412449871</v>
          </cell>
          <cell r="AH33">
            <v>6125.839446330172</v>
          </cell>
          <cell r="AI33">
            <v>-0.10541293482405914</v>
          </cell>
          <cell r="AJ33">
            <v>613.06740333953474</v>
          </cell>
          <cell r="AK33">
            <v>6165.9792177678301</v>
          </cell>
          <cell r="AL33">
            <v>0</v>
          </cell>
          <cell r="AM33">
            <v>6130.6740333953476</v>
          </cell>
          <cell r="AN33">
            <v>-7.85</v>
          </cell>
        </row>
        <row r="34">
          <cell r="AD34" t="str">
            <v>Multiple</v>
          </cell>
          <cell r="AE34">
            <v>6170.9192177678297</v>
          </cell>
          <cell r="AF34">
            <v>-4.9399999999999977</v>
          </cell>
          <cell r="AH34">
            <v>6125.734033395348</v>
          </cell>
          <cell r="AI34">
            <v>4.9400000000000013</v>
          </cell>
          <cell r="AJ34">
            <v>613.06740333953474</v>
          </cell>
          <cell r="AK34">
            <v>6165.9792177678301</v>
          </cell>
          <cell r="AL34">
            <v>0</v>
          </cell>
          <cell r="AM34">
            <v>6130.6740333953476</v>
          </cell>
          <cell r="AN34">
            <v>-7.85</v>
          </cell>
        </row>
        <row r="35">
          <cell r="AD35" t="str">
            <v/>
          </cell>
          <cell r="AE35">
            <v>6165.9792177678301</v>
          </cell>
          <cell r="AF35" t="str">
            <v/>
          </cell>
          <cell r="AH35">
            <v>6130.6740333953476</v>
          </cell>
          <cell r="AI35">
            <v>0</v>
          </cell>
          <cell r="AJ35" t="str">
            <v/>
          </cell>
          <cell r="AK35">
            <v>6165.9792177678301</v>
          </cell>
          <cell r="AL35">
            <v>0</v>
          </cell>
          <cell r="AM35">
            <v>6130.6740333953476</v>
          </cell>
          <cell r="AN35">
            <v>-7.85</v>
          </cell>
        </row>
        <row r="36">
          <cell r="AD36" t="str">
            <v/>
          </cell>
          <cell r="AE36">
            <v>6165.9792177678301</v>
          </cell>
          <cell r="AF36" t="str">
            <v/>
          </cell>
          <cell r="AH36">
            <v>6130.6740333953476</v>
          </cell>
          <cell r="AI36">
            <v>0</v>
          </cell>
          <cell r="AJ36" t="str">
            <v/>
          </cell>
          <cell r="AK36">
            <v>6165.9792177678301</v>
          </cell>
          <cell r="AL36">
            <v>0</v>
          </cell>
          <cell r="AM36">
            <v>6130.6740333953476</v>
          </cell>
          <cell r="AN36">
            <v>-7.85</v>
          </cell>
        </row>
        <row r="37">
          <cell r="AD37" t="str">
            <v/>
          </cell>
          <cell r="AE37">
            <v>6165.9792177678301</v>
          </cell>
          <cell r="AF37" t="str">
            <v/>
          </cell>
          <cell r="AH37">
            <v>6130.6740333953476</v>
          </cell>
          <cell r="AI37">
            <v>0</v>
          </cell>
          <cell r="AJ37" t="str">
            <v/>
          </cell>
          <cell r="AK37">
            <v>6165.9792177678301</v>
          </cell>
          <cell r="AL37">
            <v>0</v>
          </cell>
          <cell r="AM37">
            <v>6130.6740333953476</v>
          </cell>
          <cell r="AN37">
            <v>-7.85</v>
          </cell>
        </row>
        <row r="38">
          <cell r="H38" t="str">
            <v>click here for link to SmartChart FAQ</v>
          </cell>
          <cell r="AK38">
            <v>6165.9792177678301</v>
          </cell>
          <cell r="AL38">
            <v>0</v>
          </cell>
          <cell r="AM38">
            <v>6130.6740333953476</v>
          </cell>
          <cell r="AN38">
            <v>-7.85</v>
          </cell>
        </row>
        <row r="39">
          <cell r="AK39">
            <v>6165.9792177678301</v>
          </cell>
          <cell r="AL39">
            <v>0</v>
          </cell>
          <cell r="AM39">
            <v>6130.6740333953476</v>
          </cell>
          <cell r="AN39">
            <v>-7.85</v>
          </cell>
        </row>
        <row r="40">
          <cell r="G40" t="str">
            <v>Do not change the width of the exhibit or font sizes (they are optimized for export to Word).</v>
          </cell>
        </row>
        <row r="41">
          <cell r="AC41">
            <v>1</v>
          </cell>
          <cell r="AD41" t="str">
            <v>U.S. Dollars</v>
          </cell>
          <cell r="AE41">
            <v>1</v>
          </cell>
          <cell r="AG41" t="str">
            <v>All values are in U.S. Dollars</v>
          </cell>
        </row>
        <row r="42">
          <cell r="G42" t="str">
            <v>Do not delete any rows or columns (some gray cells are used for calculations).</v>
          </cell>
          <cell r="AC42">
            <v>2</v>
          </cell>
          <cell r="AD42" t="str">
            <v>Euros</v>
          </cell>
        </row>
        <row r="43">
          <cell r="AC43">
            <v>3</v>
          </cell>
          <cell r="AD43" t="str">
            <v>Japanese Yen</v>
          </cell>
        </row>
        <row r="44">
          <cell r="G44" t="str">
            <v>You can move the worksheet into another workbook (please use MOVE; do not COPY)</v>
          </cell>
          <cell r="AC44">
            <v>4</v>
          </cell>
          <cell r="AD44" t="str">
            <v>Other (input below)</v>
          </cell>
        </row>
        <row r="46">
          <cell r="G46" t="str">
            <v>Color palette may be affected after moving the worksheet to another workbook. See instructions in FAQ on the intranet</v>
          </cell>
        </row>
        <row r="49">
          <cell r="L49" t="str">
            <v>Bear</v>
          </cell>
          <cell r="M49" t="str">
            <v>Base</v>
          </cell>
          <cell r="N49" t="str">
            <v>Bull</v>
          </cell>
          <cell r="AK49" t="str">
            <v>s</v>
          </cell>
        </row>
        <row r="50">
          <cell r="J50" t="str">
            <v>Revenues</v>
          </cell>
          <cell r="L50">
            <v>212.3175238670191</v>
          </cell>
          <cell r="M50">
            <v>2022.5584557033394</v>
          </cell>
          <cell r="N50">
            <v>225.49813096701911</v>
          </cell>
        </row>
        <row r="51">
          <cell r="J51" t="str">
            <v>Gross Margin</v>
          </cell>
          <cell r="L51">
            <v>-23.812190517260888</v>
          </cell>
          <cell r="M51">
            <v>-23.812726947840115</v>
          </cell>
          <cell r="N51">
            <v>-23.813105010484797</v>
          </cell>
        </row>
        <row r="52">
          <cell r="J52" t="str">
            <v>Gross Profit</v>
          </cell>
          <cell r="L52">
            <v>-5055.7453284745443</v>
          </cell>
          <cell r="M52">
            <v>-48162.632241708801</v>
          </cell>
          <cell r="N52">
            <v>-5369.8106723856799</v>
          </cell>
        </row>
        <row r="53">
          <cell r="J53" t="str">
            <v>Expense Ratio</v>
          </cell>
          <cell r="L53">
            <v>6.6772102905653528</v>
          </cell>
          <cell r="M53">
            <v>0.90403084684786683</v>
          </cell>
          <cell r="N53">
            <v>7.2977144793772037</v>
          </cell>
        </row>
        <row r="54">
          <cell r="J54" t="str">
            <v>Expenses</v>
          </cell>
          <cell r="L54">
            <v>1417.6887552322148</v>
          </cell>
          <cell r="M54">
            <v>1828.4552335088038</v>
          </cell>
          <cell r="N54">
            <v>1645.6209754305123</v>
          </cell>
        </row>
        <row r="55">
          <cell r="J55" t="str">
            <v>Operating Margin</v>
          </cell>
          <cell r="L55">
            <v>2</v>
          </cell>
          <cell r="M55">
            <v>2</v>
          </cell>
          <cell r="N55">
            <v>2</v>
          </cell>
        </row>
        <row r="56">
          <cell r="J56" t="str">
            <v>Operating Profit</v>
          </cell>
          <cell r="L56">
            <v>-6473.4340837067593</v>
          </cell>
          <cell r="M56">
            <v>-49991.087475217602</v>
          </cell>
          <cell r="N56">
            <v>-7015.4316478161927</v>
          </cell>
        </row>
        <row r="57">
          <cell r="J57" t="str">
            <v>Other Expenses</v>
          </cell>
          <cell r="L57">
            <v>21</v>
          </cell>
          <cell r="M57">
            <v>21</v>
          </cell>
          <cell r="N57">
            <v>21</v>
          </cell>
        </row>
        <row r="58">
          <cell r="J58" t="str">
            <v>PBT</v>
          </cell>
          <cell r="L58">
            <v>-6494.4340837067593</v>
          </cell>
          <cell r="M58">
            <v>-50012.087475217602</v>
          </cell>
          <cell r="N58">
            <v>-7036.4316478161927</v>
          </cell>
        </row>
        <row r="59">
          <cell r="J59" t="str">
            <v>Taxes</v>
          </cell>
          <cell r="L59">
            <v>-1883.3858842749623</v>
          </cell>
          <cell r="M59">
            <v>-14503.505367813121</v>
          </cell>
          <cell r="N59">
            <v>-2040.5651778666981</v>
          </cell>
        </row>
        <row r="60">
          <cell r="J60" t="str">
            <v>Net Income</v>
          </cell>
          <cell r="L60">
            <v>-4611.048199431797</v>
          </cell>
          <cell r="M60">
            <v>-35508.58210740448</v>
          </cell>
          <cell r="N60">
            <v>-4995.8664699494948</v>
          </cell>
        </row>
        <row r="61">
          <cell r="J61" t="str">
            <v>EPS</v>
          </cell>
          <cell r="L61">
            <v>1.87</v>
          </cell>
          <cell r="M61">
            <v>2.4700000000000002</v>
          </cell>
          <cell r="N61">
            <v>2.74</v>
          </cell>
        </row>
        <row r="62">
          <cell r="L62">
            <v>-101.34818620303524</v>
          </cell>
          <cell r="M62">
            <v>-768.52777903632079</v>
          </cell>
          <cell r="N62">
            <v>-110.52020819742835</v>
          </cell>
        </row>
        <row r="63">
          <cell r="J63" t="str">
            <v>Tax Rate</v>
          </cell>
          <cell r="L63">
            <v>0.29000000000000031</v>
          </cell>
          <cell r="M63">
            <v>0.29000000000000031</v>
          </cell>
          <cell r="N63">
            <v>0.29000000000000031</v>
          </cell>
        </row>
        <row r="64">
          <cell r="J64" t="str">
            <v>Shares</v>
          </cell>
          <cell r="L64">
            <v>46.352354977810265</v>
          </cell>
          <cell r="M64">
            <v>46.352354977810265</v>
          </cell>
          <cell r="N64">
            <v>46.352354977810265</v>
          </cell>
        </row>
        <row r="66">
          <cell r="J66" t="str">
            <v>Revenues</v>
          </cell>
          <cell r="L66">
            <v>685.6410720059672</v>
          </cell>
          <cell r="M66">
            <v>0</v>
          </cell>
          <cell r="N66">
            <v>680.64882737001915</v>
          </cell>
        </row>
        <row r="67">
          <cell r="J67" t="str">
            <v>Gross Margin</v>
          </cell>
          <cell r="L67">
            <v>1.6618857124944302E-2</v>
          </cell>
          <cell r="M67">
            <v>0</v>
          </cell>
          <cell r="N67">
            <v>-1.1712548313784349E-2</v>
          </cell>
        </row>
        <row r="68">
          <cell r="J68" t="str">
            <v>Expenses</v>
          </cell>
          <cell r="L68">
            <v>-178.85565820979414</v>
          </cell>
          <cell r="M68">
            <v>0</v>
          </cell>
          <cell r="N68">
            <v>-198.0791530264415</v>
          </cell>
        </row>
        <row r="69">
          <cell r="J69" t="str">
            <v>Operating Profit</v>
          </cell>
          <cell r="L69">
            <v>506.80203265329806</v>
          </cell>
          <cell r="M69">
            <v>0</v>
          </cell>
          <cell r="N69">
            <v>482.55796179526385</v>
          </cell>
        </row>
        <row r="70">
          <cell r="J70" t="str">
            <v>Other</v>
          </cell>
          <cell r="L70">
            <v>-507.40203265329808</v>
          </cell>
          <cell r="M70">
            <v>0</v>
          </cell>
          <cell r="N70">
            <v>-482.28796179526387</v>
          </cell>
        </row>
        <row r="71">
          <cell r="J71" t="str">
            <v>TOTAL</v>
          </cell>
          <cell r="L71">
            <v>-0.60000000000002274</v>
          </cell>
          <cell r="M71">
            <v>0</v>
          </cell>
          <cell r="N71">
            <v>0.26999999999998181</v>
          </cell>
        </row>
        <row r="72">
          <cell r="L72">
            <v>-0.60000000000000009</v>
          </cell>
          <cell r="N72">
            <v>0.27</v>
          </cell>
        </row>
        <row r="74">
          <cell r="J74" t="str">
            <v>Multiple</v>
          </cell>
          <cell r="L74">
            <v>7</v>
          </cell>
          <cell r="M74">
            <v>9</v>
          </cell>
          <cell r="N74">
            <v>11</v>
          </cell>
        </row>
        <row r="75">
          <cell r="J75" t="str">
            <v>Target</v>
          </cell>
          <cell r="L75">
            <v>13.3143286066726</v>
          </cell>
          <cell r="M75">
            <v>22</v>
          </cell>
          <cell r="N75">
            <v>30.153107432493702</v>
          </cell>
        </row>
        <row r="77">
          <cell r="J77" t="str">
            <v>Drivers</v>
          </cell>
        </row>
        <row r="78">
          <cell r="J78" t="str">
            <v>Revenues</v>
          </cell>
          <cell r="L78">
            <v>6170.7696480537052</v>
          </cell>
          <cell r="N78">
            <v>6125.839446330172</v>
          </cell>
        </row>
        <row r="79">
          <cell r="J79" t="str">
            <v>Gross Margin</v>
          </cell>
          <cell r="L79">
            <v>0.14956971412449871</v>
          </cell>
          <cell r="N79">
            <v>-0.10541293482405914</v>
          </cell>
        </row>
        <row r="80">
          <cell r="J80" t="str">
            <v>Expenses</v>
          </cell>
          <cell r="L80">
            <v>-1609.7009238881474</v>
          </cell>
          <cell r="N80">
            <v>-1782.7123772379734</v>
          </cell>
        </row>
        <row r="81">
          <cell r="J81" t="str">
            <v>Operating Profit</v>
          </cell>
          <cell r="L81">
            <v>4561.2182938796823</v>
          </cell>
          <cell r="N81">
            <v>4343.0216561573743</v>
          </cell>
        </row>
        <row r="82">
          <cell r="J82" t="str">
            <v>Other</v>
          </cell>
          <cell r="L82">
            <v>-4566.6182938796828</v>
          </cell>
          <cell r="N82">
            <v>-4340.5916561573749</v>
          </cell>
        </row>
        <row r="83">
          <cell r="J83" t="str">
            <v>TOTAL</v>
          </cell>
          <cell r="L83">
            <v>-5.4000000000005457</v>
          </cell>
          <cell r="N83">
            <v>2.4299999999993815</v>
          </cell>
        </row>
        <row r="84">
          <cell r="J84" t="str">
            <v>Multiple</v>
          </cell>
          <cell r="L84">
            <v>-4.9399999999999977</v>
          </cell>
          <cell r="N84">
            <v>4.9400000000000013</v>
          </cell>
        </row>
        <row r="85">
          <cell r="J85" t="str">
            <v>TOTAL</v>
          </cell>
          <cell r="L85">
            <v>-10.340000000000543</v>
          </cell>
          <cell r="N85">
            <v>7.3699999999993828</v>
          </cell>
        </row>
        <row r="86">
          <cell r="J86" t="str">
            <v>Check</v>
          </cell>
          <cell r="L86">
            <v>-8.6856713933274001</v>
          </cell>
          <cell r="N86">
            <v>8.1531074324937016</v>
          </cell>
        </row>
      </sheetData>
      <sheetData sheetId="1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000"/>
      <sheetName val="traffic"/>
      <sheetName val="SGA core info"/>
      <sheetName val="Sensitivity 2"/>
      <sheetName val="Sensitivity 2 summary table"/>
      <sheetName val="2 year comp"/>
      <sheetName val="Sensitivity 1 scrap "/>
      <sheetName val="Overlaps Summary"/>
      <sheetName val="Merchandise margins at Gap"/>
      <sheetName val="operating margins at Gap"/>
    </sheetNames>
    <sheetDataSet>
      <sheetData sheetId="0">
        <row r="1">
          <cell r="N1" t="str">
            <v>SmartCharts</v>
          </cell>
          <cell r="AW1" t="str">
            <v>.</v>
          </cell>
        </row>
        <row r="2">
          <cell r="AW2" t="str">
            <v>.</v>
          </cell>
        </row>
        <row r="3">
          <cell r="AW3" t="str">
            <v>.</v>
          </cell>
        </row>
        <row r="4">
          <cell r="AW4" t="str">
            <v>.</v>
          </cell>
        </row>
        <row r="5">
          <cell r="C5" t="str">
            <v>Define value axis here:</v>
          </cell>
        </row>
        <row r="6">
          <cell r="C6" t="str">
            <v>Gap, Inc. SG&amp;A per Sqaure Foot</v>
          </cell>
        </row>
        <row r="10">
          <cell r="C10" t="str">
            <v>Input your data here:</v>
          </cell>
          <cell r="AW10" t="str">
            <v>.</v>
          </cell>
        </row>
        <row r="11">
          <cell r="C11" t="str">
            <v>Q104</v>
          </cell>
          <cell r="D11">
            <v>113.55540448674371</v>
          </cell>
        </row>
        <row r="12">
          <cell r="C12" t="str">
            <v>Q204</v>
          </cell>
          <cell r="D12">
            <v>116.44808743169398</v>
          </cell>
          <cell r="AW12" t="str">
            <v>.</v>
          </cell>
        </row>
        <row r="13">
          <cell r="C13" t="str">
            <v>Q304</v>
          </cell>
          <cell r="D13">
            <v>117.67918088737201</v>
          </cell>
          <cell r="AW13" t="str">
            <v>.</v>
          </cell>
        </row>
        <row r="14">
          <cell r="C14" t="str">
            <v>Q404</v>
          </cell>
          <cell r="D14">
            <v>117.21691678035471</v>
          </cell>
          <cell r="AW14" t="str">
            <v>.</v>
          </cell>
        </row>
        <row r="15">
          <cell r="C15" t="str">
            <v>Q105</v>
          </cell>
          <cell r="D15">
            <v>117.46766507828454</v>
          </cell>
          <cell r="AW15" t="str">
            <v>.</v>
          </cell>
        </row>
        <row r="16">
          <cell r="C16" t="str">
            <v>Q205</v>
          </cell>
          <cell r="D16">
            <v>116.88346883468836</v>
          </cell>
          <cell r="AW16" t="str">
            <v>.</v>
          </cell>
        </row>
        <row r="17">
          <cell r="C17" t="str">
            <v>Q305</v>
          </cell>
          <cell r="D17">
            <v>113.89784946236558</v>
          </cell>
          <cell r="AW17" t="str">
            <v>.</v>
          </cell>
        </row>
        <row r="18">
          <cell r="C18" t="str">
            <v>Q405</v>
          </cell>
          <cell r="D18">
            <v>111.6</v>
          </cell>
          <cell r="AW18" t="str">
            <v>.</v>
          </cell>
        </row>
        <row r="19">
          <cell r="C19" t="str">
            <v>Q106</v>
          </cell>
          <cell r="D19">
            <v>110.34391534391536</v>
          </cell>
          <cell r="AW19" t="str">
            <v>.</v>
          </cell>
        </row>
        <row r="20">
          <cell r="C20" t="str">
            <v>Q206</v>
          </cell>
          <cell r="D20">
            <v>111.0761154855643</v>
          </cell>
          <cell r="AW20" t="str">
            <v>.</v>
          </cell>
        </row>
        <row r="21">
          <cell r="C21" t="str">
            <v>Q306</v>
          </cell>
          <cell r="D21">
            <v>114.17374265186153</v>
          </cell>
          <cell r="AW21" t="str">
            <v>.</v>
          </cell>
        </row>
        <row r="22">
          <cell r="C22" t="str">
            <v>Q406</v>
          </cell>
          <cell r="D22">
            <v>116.05962410887879</v>
          </cell>
          <cell r="AW22" t="str">
            <v>.</v>
          </cell>
        </row>
        <row r="23">
          <cell r="C23" t="str">
            <v>Q107</v>
          </cell>
          <cell r="D23">
            <v>116.37709137709138</v>
          </cell>
          <cell r="AW23" t="str">
            <v>.</v>
          </cell>
        </row>
        <row r="24">
          <cell r="C24" t="str">
            <v>Q207</v>
          </cell>
          <cell r="D24">
            <v>114.25463851567497</v>
          </cell>
          <cell r="AW24" t="str">
            <v>.</v>
          </cell>
        </row>
        <row r="25">
          <cell r="C25" t="str">
            <v>Q307</v>
          </cell>
          <cell r="D25">
            <v>111.47040101845958</v>
          </cell>
          <cell r="AW25" t="str">
            <v>.</v>
          </cell>
        </row>
        <row r="26">
          <cell r="C26" t="str">
            <v>Q407</v>
          </cell>
          <cell r="D26">
            <v>110.20925808497147</v>
          </cell>
          <cell r="AW26" t="str">
            <v>.</v>
          </cell>
        </row>
        <row r="27">
          <cell r="C27" t="str">
            <v>Q108</v>
          </cell>
          <cell r="D27">
            <v>107.58686039166139</v>
          </cell>
          <cell r="AW27" t="str">
            <v>.</v>
          </cell>
        </row>
        <row r="28">
          <cell r="C28" t="str">
            <v>Q208</v>
          </cell>
          <cell r="D28">
            <v>105.94833018273472</v>
          </cell>
          <cell r="AW28" t="str">
            <v>.</v>
          </cell>
        </row>
        <row r="29">
          <cell r="C29" t="str">
            <v>Q308</v>
          </cell>
          <cell r="D29">
            <v>103.60201511335012</v>
          </cell>
          <cell r="AW29" t="str">
            <v>.</v>
          </cell>
        </row>
        <row r="30">
          <cell r="C30" t="str">
            <v>Q408</v>
          </cell>
          <cell r="D30">
            <v>98.273471959672349</v>
          </cell>
          <cell r="AW30" t="str">
            <v>.</v>
          </cell>
        </row>
        <row r="31">
          <cell r="C31" t="str">
            <v>Q109</v>
          </cell>
          <cell r="D31">
            <v>96.616161616161619</v>
          </cell>
          <cell r="AW31" t="str">
            <v>.</v>
          </cell>
        </row>
        <row r="32">
          <cell r="C32" t="str">
            <v>Q209</v>
          </cell>
          <cell r="D32">
            <v>95.423514538558791</v>
          </cell>
          <cell r="AW32" t="str">
            <v>.</v>
          </cell>
        </row>
        <row r="33">
          <cell r="C33" t="str">
            <v>Q309E</v>
          </cell>
          <cell r="D33">
            <v>96.496514758303874</v>
          </cell>
          <cell r="AW33" t="str">
            <v>.</v>
          </cell>
        </row>
        <row r="34">
          <cell r="C34" t="str">
            <v>Q409E</v>
          </cell>
          <cell r="D34">
            <v>98.614359976164863</v>
          </cell>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
      <sheetData sheetId="2"/>
      <sheetData sheetId="3"/>
      <sheetData sheetId="4"/>
      <sheetData sheetId="5"/>
      <sheetData sheetId="6"/>
      <sheetData sheetId="7"/>
      <sheetData sheetId="8"/>
      <sheetData sheetId="9"/>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S vs Street"/>
      <sheetName val="Quarterly Data -ModelLinked"/>
      <sheetName val="Summary Cheat Sheet"/>
      <sheetName val="Coverage Universe Comp"/>
      <sheetName val="EBITDA"/>
      <sheetName val="__FDSCACHE__"/>
      <sheetName val="MS vs Consensus Estimates"/>
      <sheetName val="Revenue Growth"/>
      <sheetName val="Operating Margin"/>
      <sheetName val="EPS"/>
      <sheetName val="EPS Growth"/>
      <sheetName val="Relative Risk Reward Chart"/>
      <sheetName val="Earnings Snapshot"/>
      <sheetName val="For 2010 report - Q data"/>
      <sheetName val="For 2010 Report - misc calc"/>
      <sheetName val="GPS Report"/>
      <sheetName val="CHSG&amp;A Growth less Sales Growth"/>
    </sheetNames>
    <sheetDataSet>
      <sheetData sheetId="0"/>
      <sheetData sheetId="1"/>
      <sheetData sheetId="2"/>
      <sheetData sheetId="3"/>
      <sheetData sheetId="4">
        <row r="1">
          <cell r="C1" t="str">
            <v>KSS.N</v>
          </cell>
          <cell r="D1" t="str">
            <v>JCP.N</v>
          </cell>
          <cell r="E1" t="str">
            <v>M.N</v>
          </cell>
          <cell r="F1" t="str">
            <v>JWN.N</v>
          </cell>
          <cell r="G1" t="str">
            <v>SKS.N</v>
          </cell>
          <cell r="H1" t="str">
            <v>ROST.O</v>
          </cell>
          <cell r="I1" t="str">
            <v>TJX.N</v>
          </cell>
          <cell r="M1" t="str">
            <v>ANF.N</v>
          </cell>
          <cell r="N1" t="str">
            <v>ARO.N</v>
          </cell>
          <cell r="O1" t="str">
            <v>AEO.N</v>
          </cell>
          <cell r="P1" t="str">
            <v>COH.N</v>
          </cell>
          <cell r="Q1" t="str">
            <v>GPS.N</v>
          </cell>
          <cell r="R1" t="str">
            <v>LTD.N</v>
          </cell>
          <cell r="S1" t="str">
            <v>URBN.O</v>
          </cell>
        </row>
        <row r="2">
          <cell r="C2" t="str">
            <v>Base Case - Dept Stores</v>
          </cell>
          <cell r="M2" t="str">
            <v>Base Case - Specialty</v>
          </cell>
        </row>
        <row r="3">
          <cell r="B3">
            <v>40284</v>
          </cell>
          <cell r="C3" t="str">
            <v>KSS</v>
          </cell>
          <cell r="D3" t="str">
            <v>JCP</v>
          </cell>
          <cell r="E3" t="str">
            <v>M</v>
          </cell>
          <cell r="F3" t="str">
            <v>JWN</v>
          </cell>
          <cell r="G3" t="str">
            <v>SKS</v>
          </cell>
          <cell r="H3" t="str">
            <v>ROST</v>
          </cell>
          <cell r="I3" t="str">
            <v>TJX</v>
          </cell>
          <cell r="J3" t="str">
            <v>Average</v>
          </cell>
          <cell r="K3" t="str">
            <v>Total</v>
          </cell>
          <cell r="M3" t="str">
            <v>ANF</v>
          </cell>
          <cell r="N3" t="str">
            <v>ARO</v>
          </cell>
          <cell r="O3" t="str">
            <v>AEO</v>
          </cell>
          <cell r="P3" t="str">
            <v>COH</v>
          </cell>
          <cell r="Q3" t="str">
            <v>GPS</v>
          </cell>
          <cell r="R3" t="str">
            <v>LTD</v>
          </cell>
          <cell r="S3" t="str">
            <v>URBN</v>
          </cell>
          <cell r="T3" t="str">
            <v>Average</v>
          </cell>
          <cell r="U3" t="str">
            <v>Total</v>
          </cell>
        </row>
        <row r="4">
          <cell r="B4" t="str">
            <v>Current Price</v>
          </cell>
          <cell r="C4" t="str">
            <v>#Calc</v>
          </cell>
          <cell r="D4" t="str">
            <v>#Calc</v>
          </cell>
          <cell r="E4" t="str">
            <v>#Calc</v>
          </cell>
          <cell r="F4" t="str">
            <v>#Calc</v>
          </cell>
          <cell r="G4" t="str">
            <v>#Calc</v>
          </cell>
          <cell r="H4" t="str">
            <v>#Calc</v>
          </cell>
          <cell r="I4" t="str">
            <v>#Calc</v>
          </cell>
          <cell r="M4" t="str">
            <v>#Calc</v>
          </cell>
          <cell r="N4" t="str">
            <v>#Calc</v>
          </cell>
          <cell r="O4" t="str">
            <v>#Calc</v>
          </cell>
          <cell r="P4" t="str">
            <v>#Calc</v>
          </cell>
          <cell r="Q4" t="str">
            <v>#Calc</v>
          </cell>
          <cell r="R4" t="str">
            <v>#Calc</v>
          </cell>
          <cell r="S4" t="str">
            <v>#Calc</v>
          </cell>
        </row>
        <row r="5">
          <cell r="B5" t="str">
            <v>Market Cap ($M)</v>
          </cell>
          <cell r="C5" t="e">
            <v>#VALUE!</v>
          </cell>
          <cell r="D5" t="e">
            <v>#VALUE!</v>
          </cell>
          <cell r="E5" t="e">
            <v>#VALUE!</v>
          </cell>
          <cell r="F5" t="e">
            <v>#VALUE!</v>
          </cell>
          <cell r="G5" t="e">
            <v>#VALUE!</v>
          </cell>
          <cell r="H5" t="e">
            <v>#VALUE!</v>
          </cell>
          <cell r="I5" t="e">
            <v>#VALUE!</v>
          </cell>
          <cell r="J5" t="e">
            <v>#VALUE!</v>
          </cell>
          <cell r="K5" t="e">
            <v>#VALUE!</v>
          </cell>
          <cell r="M5" t="e">
            <v>#VALUE!</v>
          </cell>
          <cell r="N5" t="e">
            <v>#VALUE!</v>
          </cell>
          <cell r="O5" t="e">
            <v>#VALUE!</v>
          </cell>
          <cell r="P5" t="e">
            <v>#VALUE!</v>
          </cell>
          <cell r="Q5" t="e">
            <v>#VALUE!</v>
          </cell>
          <cell r="R5" t="e">
            <v>#VALUE!</v>
          </cell>
          <cell r="S5" t="e">
            <v>#VALUE!</v>
          </cell>
          <cell r="T5" t="e">
            <v>#VALUE!</v>
          </cell>
          <cell r="U5" t="e">
            <v>#VALUE!</v>
          </cell>
        </row>
        <row r="6">
          <cell r="B6" t="str">
            <v>Shares Outstanding (Last Reported)</v>
          </cell>
          <cell r="C6">
            <v>307</v>
          </cell>
          <cell r="D6">
            <v>232.85</v>
          </cell>
          <cell r="E6">
            <v>422.35</v>
          </cell>
          <cell r="F6">
            <v>219.65</v>
          </cell>
          <cell r="G6">
            <v>146.84450000000001</v>
          </cell>
          <cell r="H6">
            <v>125.05625000000001</v>
          </cell>
          <cell r="I6">
            <v>427.38150000000002</v>
          </cell>
          <cell r="M6">
            <v>88.354749999999996</v>
          </cell>
          <cell r="N6">
            <v>101.02475</v>
          </cell>
          <cell r="O6">
            <v>209.096</v>
          </cell>
          <cell r="P6">
            <v>321.38099999999997</v>
          </cell>
          <cell r="Q6">
            <v>698.5</v>
          </cell>
          <cell r="R6">
            <v>326.76499999999999</v>
          </cell>
          <cell r="S6">
            <v>171.22537274999999</v>
          </cell>
        </row>
        <row r="7">
          <cell r="B7" t="str">
            <v>EV ($M)</v>
          </cell>
          <cell r="C7" t="e">
            <v>#VALUE!</v>
          </cell>
          <cell r="D7" t="e">
            <v>#VALUE!</v>
          </cell>
          <cell r="E7" t="e">
            <v>#VALUE!</v>
          </cell>
          <cell r="F7" t="e">
            <v>#VALUE!</v>
          </cell>
          <cell r="G7" t="e">
            <v>#VALUE!</v>
          </cell>
          <cell r="H7" t="e">
            <v>#VALUE!</v>
          </cell>
          <cell r="I7" t="e">
            <v>#VALUE!</v>
          </cell>
          <cell r="J7" t="e">
            <v>#VALUE!</v>
          </cell>
          <cell r="K7" t="e">
            <v>#VALUE!</v>
          </cell>
          <cell r="M7" t="e">
            <v>#VALUE!</v>
          </cell>
          <cell r="N7" t="e">
            <v>#VALUE!</v>
          </cell>
          <cell r="O7" t="e">
            <v>#VALUE!</v>
          </cell>
          <cell r="P7" t="e">
            <v>#VALUE!</v>
          </cell>
          <cell r="Q7" t="e">
            <v>#VALUE!</v>
          </cell>
          <cell r="R7" t="e">
            <v>#VALUE!</v>
          </cell>
          <cell r="S7" t="e">
            <v>#VALUE!</v>
          </cell>
          <cell r="T7" t="e">
            <v>#VALUE!</v>
          </cell>
          <cell r="U7" t="e">
            <v>#VALUE!</v>
          </cell>
        </row>
        <row r="9">
          <cell r="B9" t="str">
            <v>P/E (CY2010)</v>
          </cell>
          <cell r="C9" t="e">
            <v>#VALUE!</v>
          </cell>
          <cell r="D9" t="e">
            <v>#VALUE!</v>
          </cell>
          <cell r="E9" t="e">
            <v>#VALUE!</v>
          </cell>
          <cell r="F9" t="e">
            <v>#VALUE!</v>
          </cell>
          <cell r="G9" t="e">
            <v>#VALUE!</v>
          </cell>
          <cell r="H9" t="e">
            <v>#VALUE!</v>
          </cell>
          <cell r="I9" t="e">
            <v>#VALUE!</v>
          </cell>
          <cell r="J9" t="e">
            <v>#VALUE!</v>
          </cell>
          <cell r="M9" t="e">
            <v>#VALUE!</v>
          </cell>
          <cell r="N9" t="e">
            <v>#VALUE!</v>
          </cell>
          <cell r="O9" t="e">
            <v>#VALUE!</v>
          </cell>
          <cell r="P9" t="e">
            <v>#VALUE!</v>
          </cell>
          <cell r="Q9" t="e">
            <v>#VALUE!</v>
          </cell>
          <cell r="R9" t="e">
            <v>#VALUE!</v>
          </cell>
          <cell r="S9" t="e">
            <v>#VALUE!</v>
          </cell>
          <cell r="T9" t="e">
            <v>#VALUE!</v>
          </cell>
        </row>
        <row r="10">
          <cell r="B10" t="str">
            <v>EV/EBITDA (CY2009)</v>
          </cell>
          <cell r="C10" t="e">
            <v>#VALUE!</v>
          </cell>
          <cell r="D10" t="e">
            <v>#VALUE!</v>
          </cell>
          <cell r="E10" t="e">
            <v>#VALUE!</v>
          </cell>
          <cell r="F10" t="e">
            <v>#VALUE!</v>
          </cell>
          <cell r="G10" t="e">
            <v>#VALUE!</v>
          </cell>
          <cell r="H10" t="e">
            <v>#VALUE!</v>
          </cell>
          <cell r="I10" t="e">
            <v>#VALUE!</v>
          </cell>
          <cell r="J10" t="e">
            <v>#VALUE!</v>
          </cell>
          <cell r="M10" t="e">
            <v>#VALUE!</v>
          </cell>
          <cell r="N10" t="e">
            <v>#VALUE!</v>
          </cell>
          <cell r="O10" t="e">
            <v>#VALUE!</v>
          </cell>
          <cell r="P10" t="e">
            <v>#VALUE!</v>
          </cell>
          <cell r="Q10" t="e">
            <v>#VALUE!</v>
          </cell>
          <cell r="R10" t="e">
            <v>#VALUE!</v>
          </cell>
          <cell r="S10" t="e">
            <v>#VALUE!</v>
          </cell>
          <cell r="T10" t="e">
            <v>#VALUE!</v>
          </cell>
        </row>
        <row r="11">
          <cell r="D11" t="str">
            <v xml:space="preserve"> </v>
          </cell>
        </row>
        <row r="12">
          <cell r="B12" t="str">
            <v>Targets</v>
          </cell>
        </row>
        <row r="13">
          <cell r="A13" t="str">
            <v>mscalc:targetPrice</v>
          </cell>
          <cell r="B13" t="str">
            <v>Price</v>
          </cell>
          <cell r="C13">
            <v>68</v>
          </cell>
          <cell r="D13">
            <v>24</v>
          </cell>
          <cell r="E13">
            <v>19</v>
          </cell>
          <cell r="F13" t="str">
            <v>NA</v>
          </cell>
          <cell r="G13" t="str">
            <v>NA</v>
          </cell>
          <cell r="H13" t="str">
            <v>NA</v>
          </cell>
          <cell r="I13" t="str">
            <v>NA</v>
          </cell>
          <cell r="M13" t="str">
            <v>NA</v>
          </cell>
          <cell r="N13" t="str">
            <v>NA</v>
          </cell>
          <cell r="O13" t="str">
            <v>NA</v>
          </cell>
          <cell r="P13">
            <v>42</v>
          </cell>
          <cell r="Q13">
            <v>16</v>
          </cell>
          <cell r="R13" t="str">
            <v>NA</v>
          </cell>
          <cell r="S13" t="str">
            <v>NA</v>
          </cell>
        </row>
        <row r="14">
          <cell r="A14" t="str">
            <v>mstag:met_12monthIntrinsicValueEstimate</v>
          </cell>
          <cell r="B14" t="str">
            <v>Upside/Downside</v>
          </cell>
          <cell r="C14" t="str">
            <v>NA</v>
          </cell>
          <cell r="D14" t="str">
            <v>NA</v>
          </cell>
          <cell r="E14" t="str">
            <v>NA</v>
          </cell>
          <cell r="F14" t="str">
            <v>NA</v>
          </cell>
          <cell r="G14" t="str">
            <v>NA</v>
          </cell>
          <cell r="H14" t="str">
            <v>NA</v>
          </cell>
          <cell r="I14" t="str">
            <v>NA</v>
          </cell>
          <cell r="J14" t="e">
            <v>#DIV/0!</v>
          </cell>
          <cell r="M14" t="str">
            <v>NA</v>
          </cell>
          <cell r="N14" t="str">
            <v>NA</v>
          </cell>
          <cell r="O14" t="str">
            <v>NA</v>
          </cell>
          <cell r="P14" t="str">
            <v>NA</v>
          </cell>
          <cell r="Q14" t="str">
            <v>NA</v>
          </cell>
          <cell r="R14" t="str">
            <v>NA</v>
          </cell>
          <cell r="S14" t="str">
            <v>NA</v>
          </cell>
          <cell r="T14" t="e">
            <v>#DIV/0!</v>
          </cell>
        </row>
        <row r="15">
          <cell r="B15" t="str">
            <v>P/E (FY2)</v>
          </cell>
          <cell r="C15">
            <v>14.870279459655178</v>
          </cell>
          <cell r="D15">
            <v>12.352957473773571</v>
          </cell>
          <cell r="E15">
            <v>9.1099989074795964</v>
          </cell>
          <cell r="F15" t="str">
            <v>NA</v>
          </cell>
          <cell r="G15" t="str">
            <v>NA</v>
          </cell>
          <cell r="H15" t="str">
            <v>NA</v>
          </cell>
          <cell r="I15" t="str">
            <v>NA</v>
          </cell>
          <cell r="J15">
            <v>12.111078613636115</v>
          </cell>
          <cell r="M15" t="str">
            <v>NA</v>
          </cell>
          <cell r="N15" t="str">
            <v>NA</v>
          </cell>
          <cell r="O15" t="str">
            <v>NA</v>
          </cell>
          <cell r="P15">
            <v>17.331798540137708</v>
          </cell>
          <cell r="Q15">
            <v>9.0673458792338248</v>
          </cell>
          <cell r="R15" t="str">
            <v>NA</v>
          </cell>
          <cell r="S15" t="str">
            <v>NA</v>
          </cell>
          <cell r="T15">
            <v>13.199572209685766</v>
          </cell>
        </row>
        <row r="16">
          <cell r="B16" t="str">
            <v>EV/EBITDA</v>
          </cell>
          <cell r="C16">
            <v>6.8730446650247607</v>
          </cell>
          <cell r="D16">
            <v>4.1445790823667163</v>
          </cell>
          <cell r="E16">
            <v>4.9543727752284275</v>
          </cell>
          <cell r="F16" t="str">
            <v>NA</v>
          </cell>
          <cell r="G16" t="str">
            <v>NA</v>
          </cell>
          <cell r="H16" t="str">
            <v>NA</v>
          </cell>
          <cell r="I16" t="str">
            <v>NA</v>
          </cell>
          <cell r="J16">
            <v>5.3239988408733012</v>
          </cell>
          <cell r="M16" t="str">
            <v>NA</v>
          </cell>
          <cell r="N16" t="str">
            <v>NA</v>
          </cell>
          <cell r="O16" t="str">
            <v>NA</v>
          </cell>
          <cell r="P16">
            <v>9.3913558314434322</v>
          </cell>
          <cell r="Q16">
            <v>3.6693619326464884</v>
          </cell>
          <cell r="R16" t="str">
            <v>NA</v>
          </cell>
          <cell r="S16" t="str">
            <v>NA</v>
          </cell>
          <cell r="T16">
            <v>6.5303588820449603</v>
          </cell>
        </row>
        <row r="18">
          <cell r="B18" t="str">
            <v>FY Reference</v>
          </cell>
        </row>
        <row r="19">
          <cell r="B19" t="str">
            <v>FY(10)</v>
          </cell>
          <cell r="C19">
            <v>1999</v>
          </cell>
          <cell r="D19">
            <v>1999</v>
          </cell>
          <cell r="E19">
            <v>1999</v>
          </cell>
          <cell r="F19">
            <v>1999</v>
          </cell>
          <cell r="G19">
            <v>1999</v>
          </cell>
          <cell r="H19">
            <v>1999</v>
          </cell>
          <cell r="I19">
            <v>2000</v>
          </cell>
          <cell r="M19">
            <v>1999</v>
          </cell>
          <cell r="N19">
            <v>1999</v>
          </cell>
          <cell r="O19">
            <v>1999</v>
          </cell>
          <cell r="P19">
            <v>1999</v>
          </cell>
          <cell r="Q19">
            <v>1999</v>
          </cell>
          <cell r="R19">
            <v>1999</v>
          </cell>
          <cell r="S19">
            <v>1999</v>
          </cell>
        </row>
        <row r="20">
          <cell r="B20" t="str">
            <v>FY(9)</v>
          </cell>
          <cell r="C20">
            <v>2000</v>
          </cell>
          <cell r="D20">
            <v>2000</v>
          </cell>
          <cell r="E20">
            <v>2000</v>
          </cell>
          <cell r="F20">
            <v>2000</v>
          </cell>
          <cell r="G20">
            <v>2000</v>
          </cell>
          <cell r="H20">
            <v>2000</v>
          </cell>
          <cell r="I20">
            <v>2001</v>
          </cell>
          <cell r="M20">
            <v>2000</v>
          </cell>
          <cell r="N20">
            <v>2000</v>
          </cell>
          <cell r="O20">
            <v>2000</v>
          </cell>
          <cell r="P20">
            <v>2000</v>
          </cell>
          <cell r="Q20">
            <v>2000</v>
          </cell>
          <cell r="R20">
            <v>2000</v>
          </cell>
          <cell r="S20">
            <v>2000</v>
          </cell>
        </row>
        <row r="21">
          <cell r="B21" t="str">
            <v>FY(8)</v>
          </cell>
          <cell r="C21">
            <v>2001</v>
          </cell>
          <cell r="D21">
            <v>2001</v>
          </cell>
          <cell r="E21">
            <v>2001</v>
          </cell>
          <cell r="F21">
            <v>2001</v>
          </cell>
          <cell r="G21">
            <v>2001</v>
          </cell>
          <cell r="H21">
            <v>2001</v>
          </cell>
          <cell r="I21">
            <v>2002</v>
          </cell>
          <cell r="M21">
            <v>2001</v>
          </cell>
          <cell r="N21">
            <v>2001</v>
          </cell>
          <cell r="O21">
            <v>2001</v>
          </cell>
          <cell r="P21">
            <v>2001</v>
          </cell>
          <cell r="Q21">
            <v>2001</v>
          </cell>
          <cell r="R21">
            <v>2001</v>
          </cell>
          <cell r="S21">
            <v>2001</v>
          </cell>
        </row>
        <row r="22">
          <cell r="B22" t="str">
            <v>FY(7)</v>
          </cell>
          <cell r="C22">
            <v>2002</v>
          </cell>
          <cell r="D22">
            <v>2002</v>
          </cell>
          <cell r="E22">
            <v>2002</v>
          </cell>
          <cell r="F22">
            <v>2002</v>
          </cell>
          <cell r="G22">
            <v>2002</v>
          </cell>
          <cell r="H22">
            <v>2002</v>
          </cell>
          <cell r="I22">
            <v>2003</v>
          </cell>
          <cell r="M22">
            <v>2002</v>
          </cell>
          <cell r="N22">
            <v>2002</v>
          </cell>
          <cell r="O22">
            <v>2002</v>
          </cell>
          <cell r="P22">
            <v>2002</v>
          </cell>
          <cell r="Q22">
            <v>2002</v>
          </cell>
          <cell r="R22">
            <v>2002</v>
          </cell>
          <cell r="S22">
            <v>2002</v>
          </cell>
        </row>
        <row r="23">
          <cell r="B23" t="str">
            <v>FY(6)</v>
          </cell>
          <cell r="C23">
            <v>2003</v>
          </cell>
          <cell r="D23">
            <v>2003</v>
          </cell>
          <cell r="E23">
            <v>2003</v>
          </cell>
          <cell r="F23">
            <v>2003</v>
          </cell>
          <cell r="G23">
            <v>2003</v>
          </cell>
          <cell r="H23">
            <v>2003</v>
          </cell>
          <cell r="I23">
            <v>2004</v>
          </cell>
          <cell r="M23">
            <v>2003</v>
          </cell>
          <cell r="N23">
            <v>2003</v>
          </cell>
          <cell r="O23">
            <v>2003</v>
          </cell>
          <cell r="P23">
            <v>2003</v>
          </cell>
          <cell r="Q23">
            <v>2003</v>
          </cell>
          <cell r="R23">
            <v>2003</v>
          </cell>
          <cell r="S23">
            <v>2003</v>
          </cell>
        </row>
        <row r="24">
          <cell r="B24" t="str">
            <v>FY(5)</v>
          </cell>
          <cell r="C24">
            <v>2004</v>
          </cell>
          <cell r="D24">
            <v>2004</v>
          </cell>
          <cell r="E24">
            <v>2004</v>
          </cell>
          <cell r="F24">
            <v>2004</v>
          </cell>
          <cell r="G24">
            <v>2004</v>
          </cell>
          <cell r="H24">
            <v>2004</v>
          </cell>
          <cell r="I24">
            <v>2005</v>
          </cell>
          <cell r="M24">
            <v>2004</v>
          </cell>
          <cell r="N24">
            <v>2004</v>
          </cell>
          <cell r="O24">
            <v>2004</v>
          </cell>
          <cell r="P24">
            <v>2004</v>
          </cell>
          <cell r="Q24">
            <v>2004</v>
          </cell>
          <cell r="R24">
            <v>2004</v>
          </cell>
          <cell r="S24">
            <v>2004</v>
          </cell>
        </row>
        <row r="25">
          <cell r="B25" t="str">
            <v>FY(4)</v>
          </cell>
          <cell r="C25">
            <v>2005</v>
          </cell>
          <cell r="D25">
            <v>2005</v>
          </cell>
          <cell r="E25">
            <v>2005</v>
          </cell>
          <cell r="F25">
            <v>2005</v>
          </cell>
          <cell r="G25">
            <v>2005</v>
          </cell>
          <cell r="H25">
            <v>2005</v>
          </cell>
          <cell r="I25">
            <v>2006</v>
          </cell>
          <cell r="M25">
            <v>2005</v>
          </cell>
          <cell r="N25">
            <v>2005</v>
          </cell>
          <cell r="O25">
            <v>2005</v>
          </cell>
          <cell r="P25">
            <v>2005</v>
          </cell>
          <cell r="Q25">
            <v>2005</v>
          </cell>
          <cell r="R25">
            <v>2005</v>
          </cell>
          <cell r="S25">
            <v>2005</v>
          </cell>
        </row>
        <row r="26">
          <cell r="B26" t="str">
            <v>FY(3)</v>
          </cell>
          <cell r="C26">
            <v>2006</v>
          </cell>
          <cell r="D26">
            <v>2006</v>
          </cell>
          <cell r="E26">
            <v>2006</v>
          </cell>
          <cell r="F26">
            <v>2006</v>
          </cell>
          <cell r="G26">
            <v>2006</v>
          </cell>
          <cell r="H26">
            <v>2006</v>
          </cell>
          <cell r="I26">
            <v>2007</v>
          </cell>
          <cell r="M26">
            <v>2006</v>
          </cell>
          <cell r="N26">
            <v>2006</v>
          </cell>
          <cell r="O26">
            <v>2006</v>
          </cell>
          <cell r="P26">
            <v>2006</v>
          </cell>
          <cell r="Q26">
            <v>2006</v>
          </cell>
          <cell r="R26">
            <v>2006</v>
          </cell>
          <cell r="S26">
            <v>2006</v>
          </cell>
        </row>
        <row r="27">
          <cell r="B27" t="str">
            <v>FY(2)</v>
          </cell>
          <cell r="C27">
            <v>2007</v>
          </cell>
          <cell r="D27">
            <v>2007</v>
          </cell>
          <cell r="E27">
            <v>2007</v>
          </cell>
          <cell r="F27">
            <v>2007</v>
          </cell>
          <cell r="G27">
            <v>2007</v>
          </cell>
          <cell r="H27">
            <v>2007</v>
          </cell>
          <cell r="I27">
            <v>2008</v>
          </cell>
          <cell r="M27">
            <v>2007</v>
          </cell>
          <cell r="N27">
            <v>2007</v>
          </cell>
          <cell r="O27">
            <v>2007</v>
          </cell>
          <cell r="P27">
            <v>2007</v>
          </cell>
          <cell r="Q27">
            <v>2007</v>
          </cell>
          <cell r="R27">
            <v>2007</v>
          </cell>
          <cell r="S27">
            <v>2007</v>
          </cell>
        </row>
        <row r="28">
          <cell r="B28" t="str">
            <v>FY(1)</v>
          </cell>
          <cell r="C28">
            <v>2008</v>
          </cell>
          <cell r="D28">
            <v>2008</v>
          </cell>
          <cell r="E28">
            <v>2008</v>
          </cell>
          <cell r="F28">
            <v>2008</v>
          </cell>
          <cell r="G28">
            <v>2008</v>
          </cell>
          <cell r="H28">
            <v>2008</v>
          </cell>
          <cell r="I28">
            <v>2009</v>
          </cell>
          <cell r="M28">
            <v>2008</v>
          </cell>
          <cell r="N28">
            <v>2008</v>
          </cell>
          <cell r="O28">
            <v>2008</v>
          </cell>
          <cell r="P28">
            <v>2008</v>
          </cell>
          <cell r="Q28">
            <v>2008</v>
          </cell>
          <cell r="R28">
            <v>2008</v>
          </cell>
          <cell r="S28">
            <v>2008</v>
          </cell>
        </row>
        <row r="29">
          <cell r="A29" t="str">
            <v>mscalc:lastActualYearCalc</v>
          </cell>
          <cell r="B29" t="str">
            <v>FY0</v>
          </cell>
          <cell r="C29">
            <v>2009</v>
          </cell>
          <cell r="D29">
            <v>2009</v>
          </cell>
          <cell r="E29">
            <v>2009</v>
          </cell>
          <cell r="F29">
            <v>2009</v>
          </cell>
          <cell r="G29">
            <v>2009</v>
          </cell>
          <cell r="H29">
            <v>2009</v>
          </cell>
          <cell r="I29">
            <v>2010</v>
          </cell>
          <cell r="M29">
            <v>2009</v>
          </cell>
          <cell r="N29">
            <v>2009</v>
          </cell>
          <cell r="O29">
            <v>2009</v>
          </cell>
          <cell r="P29">
            <v>2009</v>
          </cell>
          <cell r="Q29">
            <v>2009</v>
          </cell>
          <cell r="R29">
            <v>2009</v>
          </cell>
          <cell r="S29">
            <v>2009</v>
          </cell>
        </row>
        <row r="30">
          <cell r="B30" t="str">
            <v>FY1</v>
          </cell>
          <cell r="C30">
            <v>2010</v>
          </cell>
          <cell r="D30">
            <v>2010</v>
          </cell>
          <cell r="E30">
            <v>2010</v>
          </cell>
          <cell r="F30">
            <v>2010</v>
          </cell>
          <cell r="G30">
            <v>2010</v>
          </cell>
          <cell r="H30">
            <v>2010</v>
          </cell>
          <cell r="I30">
            <v>2011</v>
          </cell>
          <cell r="M30">
            <v>2010</v>
          </cell>
          <cell r="N30">
            <v>2010</v>
          </cell>
          <cell r="O30">
            <v>2010</v>
          </cell>
          <cell r="P30">
            <v>2010</v>
          </cell>
          <cell r="Q30">
            <v>2010</v>
          </cell>
          <cell r="R30">
            <v>2010</v>
          </cell>
          <cell r="S30">
            <v>2010</v>
          </cell>
        </row>
        <row r="31">
          <cell r="B31" t="str">
            <v>FY2</v>
          </cell>
          <cell r="C31">
            <v>2011</v>
          </cell>
          <cell r="D31">
            <v>2011</v>
          </cell>
          <cell r="E31">
            <v>2011</v>
          </cell>
          <cell r="F31">
            <v>2011</v>
          </cell>
          <cell r="G31">
            <v>2011</v>
          </cell>
          <cell r="H31">
            <v>2011</v>
          </cell>
          <cell r="I31">
            <v>2012</v>
          </cell>
          <cell r="M31">
            <v>2011</v>
          </cell>
          <cell r="N31">
            <v>2011</v>
          </cell>
          <cell r="O31">
            <v>2011</v>
          </cell>
          <cell r="P31">
            <v>2011</v>
          </cell>
          <cell r="Q31">
            <v>2011</v>
          </cell>
          <cell r="R31">
            <v>2011</v>
          </cell>
          <cell r="S31">
            <v>2011</v>
          </cell>
        </row>
        <row r="32">
          <cell r="B32" t="str">
            <v>FQ(3)</v>
          </cell>
          <cell r="C32" t="str">
            <v>2009Q1</v>
          </cell>
          <cell r="D32" t="str">
            <v>2009Q1</v>
          </cell>
          <cell r="E32" t="str">
            <v>2009Q1</v>
          </cell>
          <cell r="F32" t="str">
            <v>2009Q1</v>
          </cell>
          <cell r="G32" t="str">
            <v>2009Q1</v>
          </cell>
          <cell r="H32" t="str">
            <v>2009Q1</v>
          </cell>
          <cell r="I32" t="str">
            <v>2010Q1</v>
          </cell>
          <cell r="M32" t="str">
            <v>2009Q1</v>
          </cell>
          <cell r="N32" t="str">
            <v>2009Q1</v>
          </cell>
          <cell r="O32" t="str">
            <v>2009Q1</v>
          </cell>
          <cell r="P32" t="str">
            <v>2009Q3</v>
          </cell>
          <cell r="Q32" t="str">
            <v>2009Q1</v>
          </cell>
          <cell r="R32" t="str">
            <v>2009Q1</v>
          </cell>
          <cell r="S32" t="str">
            <v>2009Q1</v>
          </cell>
        </row>
        <row r="33">
          <cell r="B33" t="str">
            <v>FQ(2)</v>
          </cell>
          <cell r="C33" t="str">
            <v>2009Q2</v>
          </cell>
          <cell r="D33" t="str">
            <v>2009Q2</v>
          </cell>
          <cell r="E33" t="str">
            <v>2009Q2</v>
          </cell>
          <cell r="F33" t="str">
            <v>2009Q2</v>
          </cell>
          <cell r="G33" t="str">
            <v>2009Q2</v>
          </cell>
          <cell r="H33" t="str">
            <v>2009Q2</v>
          </cell>
          <cell r="I33" t="str">
            <v>2010Q2</v>
          </cell>
          <cell r="M33" t="str">
            <v>2009Q2</v>
          </cell>
          <cell r="N33" t="str">
            <v>2009Q2</v>
          </cell>
          <cell r="O33" t="str">
            <v>2009Q2</v>
          </cell>
          <cell r="P33" t="str">
            <v>2009Q4</v>
          </cell>
          <cell r="Q33" t="str">
            <v>2009Q2</v>
          </cell>
          <cell r="R33" t="str">
            <v>2009Q2</v>
          </cell>
          <cell r="S33" t="str">
            <v>2009Q2</v>
          </cell>
        </row>
        <row r="34">
          <cell r="B34" t="str">
            <v>FQ(1)</v>
          </cell>
          <cell r="C34" t="str">
            <v>2009Q3</v>
          </cell>
          <cell r="D34" t="str">
            <v>2009Q3</v>
          </cell>
          <cell r="E34" t="str">
            <v>2009Q3</v>
          </cell>
          <cell r="F34" t="str">
            <v>2009Q3</v>
          </cell>
          <cell r="G34" t="str">
            <v>2009Q3</v>
          </cell>
          <cell r="H34" t="str">
            <v>2009Q3</v>
          </cell>
          <cell r="I34" t="str">
            <v>2010Q3</v>
          </cell>
          <cell r="M34" t="str">
            <v>2009Q3</v>
          </cell>
          <cell r="N34" t="str">
            <v>2009Q3</v>
          </cell>
          <cell r="O34" t="str">
            <v>2009Q3</v>
          </cell>
          <cell r="P34" t="str">
            <v>2010Q1</v>
          </cell>
          <cell r="Q34" t="str">
            <v>2009Q3</v>
          </cell>
          <cell r="R34" t="str">
            <v>2009Q3</v>
          </cell>
          <cell r="S34" t="str">
            <v>2009Q3</v>
          </cell>
        </row>
        <row r="35">
          <cell r="A35" t="str">
            <v>mscalc:lastActualPeriodCalc</v>
          </cell>
          <cell r="B35" t="str">
            <v>Last Reported Q</v>
          </cell>
          <cell r="C35" t="str">
            <v>2009FY</v>
          </cell>
          <cell r="D35" t="str">
            <v>2009FY</v>
          </cell>
          <cell r="E35" t="str">
            <v>2009FY</v>
          </cell>
          <cell r="F35" t="str">
            <v>2009FY</v>
          </cell>
          <cell r="G35" t="str">
            <v>2009FY</v>
          </cell>
          <cell r="H35" t="str">
            <v>2009FY</v>
          </cell>
          <cell r="I35" t="str">
            <v>2010FY</v>
          </cell>
          <cell r="M35" t="str">
            <v>2009FY</v>
          </cell>
          <cell r="N35" t="str">
            <v>2009FY</v>
          </cell>
          <cell r="O35" t="str">
            <v>2009FY</v>
          </cell>
          <cell r="P35" t="str">
            <v>2010Q2</v>
          </cell>
          <cell r="Q35" t="str">
            <v>2009FY</v>
          </cell>
          <cell r="R35" t="str">
            <v>2009FY</v>
          </cell>
          <cell r="S35" t="str">
            <v>2009FY</v>
          </cell>
        </row>
        <row r="36">
          <cell r="C36" t="str">
            <v>2009Q4</v>
          </cell>
          <cell r="D36" t="str">
            <v>2009Q4</v>
          </cell>
          <cell r="E36" t="str">
            <v>2009Q4</v>
          </cell>
          <cell r="F36" t="str">
            <v>2009Q4</v>
          </cell>
          <cell r="G36" t="str">
            <v>2009Q4</v>
          </cell>
          <cell r="H36" t="str">
            <v>2009Q4</v>
          </cell>
          <cell r="I36" t="str">
            <v>2010Q4</v>
          </cell>
          <cell r="M36" t="str">
            <v>2009Q4</v>
          </cell>
          <cell r="N36" t="str">
            <v>2009Q4</v>
          </cell>
          <cell r="O36" t="str">
            <v>2009Q4</v>
          </cell>
          <cell r="P36" t="str">
            <v>2010Q2</v>
          </cell>
          <cell r="Q36" t="str">
            <v>2009Q4</v>
          </cell>
          <cell r="R36" t="str">
            <v>2009Q4</v>
          </cell>
          <cell r="S36" t="str">
            <v>2009Q4</v>
          </cell>
        </row>
        <row r="38">
          <cell r="A38" t="str">
            <v>mstag:numberOfStores</v>
          </cell>
          <cell r="B38" t="str">
            <v>Number of Stores</v>
          </cell>
        </row>
        <row r="39">
          <cell r="B39" t="str">
            <v>FY(5)</v>
          </cell>
          <cell r="C39">
            <v>542</v>
          </cell>
          <cell r="D39">
            <v>1017</v>
          </cell>
          <cell r="E39">
            <v>459</v>
          </cell>
          <cell r="F39">
            <v>181</v>
          </cell>
          <cell r="G39">
            <v>386</v>
          </cell>
          <cell r="H39">
            <v>649</v>
          </cell>
          <cell r="I39">
            <v>2224</v>
          </cell>
          <cell r="J39">
            <v>779.71428571428567</v>
          </cell>
          <cell r="K39">
            <v>5458</v>
          </cell>
          <cell r="M39">
            <v>788</v>
          </cell>
          <cell r="N39">
            <v>561</v>
          </cell>
          <cell r="O39">
            <v>846</v>
          </cell>
          <cell r="P39">
            <v>350</v>
          </cell>
          <cell r="Q39">
            <v>2994</v>
          </cell>
          <cell r="R39">
            <v>3779</v>
          </cell>
          <cell r="S39">
            <v>142</v>
          </cell>
          <cell r="T39">
            <v>1351.4285714285713</v>
          </cell>
          <cell r="U39">
            <v>9460</v>
          </cell>
        </row>
        <row r="40">
          <cell r="B40" t="str">
            <v>FY(4)</v>
          </cell>
          <cell r="C40">
            <v>637</v>
          </cell>
          <cell r="D40">
            <v>1019</v>
          </cell>
          <cell r="E40">
            <v>868</v>
          </cell>
          <cell r="F40">
            <v>187</v>
          </cell>
          <cell r="G40">
            <v>163</v>
          </cell>
          <cell r="H40">
            <v>734</v>
          </cell>
          <cell r="I40">
            <v>2381</v>
          </cell>
          <cell r="J40">
            <v>855.57142857142856</v>
          </cell>
          <cell r="K40">
            <v>5989</v>
          </cell>
          <cell r="M40">
            <v>851</v>
          </cell>
          <cell r="N40">
            <v>671</v>
          </cell>
          <cell r="O40">
            <v>869</v>
          </cell>
          <cell r="P40">
            <v>378</v>
          </cell>
          <cell r="Q40">
            <v>3053</v>
          </cell>
          <cell r="R40">
            <v>3590</v>
          </cell>
          <cell r="S40">
            <v>175</v>
          </cell>
          <cell r="T40">
            <v>1369.5714285714287</v>
          </cell>
          <cell r="U40">
            <v>9587</v>
          </cell>
        </row>
        <row r="41">
          <cell r="B41" t="str">
            <v>FY(3)</v>
          </cell>
          <cell r="C41">
            <v>732</v>
          </cell>
          <cell r="D41">
            <v>1033</v>
          </cell>
          <cell r="E41">
            <v>858</v>
          </cell>
          <cell r="F41">
            <v>191</v>
          </cell>
          <cell r="G41">
            <v>166</v>
          </cell>
          <cell r="H41">
            <v>797</v>
          </cell>
          <cell r="I41">
            <v>2466</v>
          </cell>
          <cell r="J41">
            <v>891.85714285714289</v>
          </cell>
          <cell r="K41">
            <v>6243</v>
          </cell>
          <cell r="M41">
            <v>930</v>
          </cell>
          <cell r="N41">
            <v>742</v>
          </cell>
          <cell r="O41">
            <v>911</v>
          </cell>
          <cell r="P41">
            <v>422</v>
          </cell>
          <cell r="Q41">
            <v>3131</v>
          </cell>
          <cell r="R41">
            <v>3766</v>
          </cell>
          <cell r="S41">
            <v>207</v>
          </cell>
          <cell r="T41">
            <v>1444.1428571428571</v>
          </cell>
          <cell r="U41">
            <v>10109</v>
          </cell>
        </row>
        <row r="42">
          <cell r="B42" t="str">
            <v>FY(2)</v>
          </cell>
          <cell r="C42">
            <v>817</v>
          </cell>
          <cell r="D42">
            <v>1067</v>
          </cell>
          <cell r="E42">
            <v>853</v>
          </cell>
          <cell r="F42">
            <v>156</v>
          </cell>
          <cell r="G42">
            <v>177</v>
          </cell>
          <cell r="H42">
            <v>890</v>
          </cell>
          <cell r="I42">
            <v>2563</v>
          </cell>
          <cell r="J42">
            <v>931.85714285714289</v>
          </cell>
          <cell r="K42">
            <v>6523</v>
          </cell>
          <cell r="M42">
            <v>1035</v>
          </cell>
          <cell r="N42">
            <v>828</v>
          </cell>
          <cell r="O42">
            <v>987</v>
          </cell>
          <cell r="P42">
            <v>489</v>
          </cell>
          <cell r="Q42">
            <v>3167</v>
          </cell>
          <cell r="R42">
            <v>2926</v>
          </cell>
          <cell r="S42">
            <v>245</v>
          </cell>
          <cell r="T42">
            <v>1382.4285714285713</v>
          </cell>
          <cell r="U42">
            <v>9677</v>
          </cell>
        </row>
        <row r="43">
          <cell r="B43" t="str">
            <v>FY(1)</v>
          </cell>
          <cell r="C43">
            <v>929</v>
          </cell>
          <cell r="D43">
            <v>1093</v>
          </cell>
          <cell r="E43">
            <v>847</v>
          </cell>
          <cell r="F43">
            <v>169</v>
          </cell>
          <cell r="G43">
            <v>181</v>
          </cell>
          <cell r="H43">
            <v>956</v>
          </cell>
          <cell r="I43">
            <v>2652</v>
          </cell>
          <cell r="J43">
            <v>975.28571428571433</v>
          </cell>
          <cell r="K43">
            <v>6827</v>
          </cell>
          <cell r="M43">
            <v>1097</v>
          </cell>
          <cell r="N43">
            <v>914</v>
          </cell>
          <cell r="O43">
            <v>1098</v>
          </cell>
          <cell r="P43">
            <v>548</v>
          </cell>
          <cell r="Q43">
            <v>3149</v>
          </cell>
          <cell r="R43">
            <v>3014</v>
          </cell>
          <cell r="S43">
            <v>294</v>
          </cell>
          <cell r="T43">
            <v>1444.8571428571429</v>
          </cell>
          <cell r="U43">
            <v>10114</v>
          </cell>
        </row>
        <row r="44">
          <cell r="B44" t="str">
            <v>FY0</v>
          </cell>
          <cell r="C44">
            <v>1004</v>
          </cell>
          <cell r="D44">
            <v>1108</v>
          </cell>
          <cell r="E44">
            <v>850</v>
          </cell>
          <cell r="F44">
            <v>184</v>
          </cell>
          <cell r="G44">
            <v>108</v>
          </cell>
          <cell r="H44">
            <v>1005</v>
          </cell>
          <cell r="I44">
            <v>2743</v>
          </cell>
          <cell r="J44">
            <v>1000.2857142857143</v>
          </cell>
          <cell r="K44">
            <v>7002</v>
          </cell>
          <cell r="M44">
            <v>1096</v>
          </cell>
          <cell r="N44">
            <v>953</v>
          </cell>
          <cell r="O44">
            <v>1103</v>
          </cell>
          <cell r="P44">
            <v>624</v>
          </cell>
          <cell r="Q44">
            <v>3095</v>
          </cell>
          <cell r="R44">
            <v>2971</v>
          </cell>
          <cell r="S44">
            <v>327</v>
          </cell>
          <cell r="T44">
            <v>1452.7142857142858</v>
          </cell>
          <cell r="U44">
            <v>10169</v>
          </cell>
        </row>
        <row r="45">
          <cell r="B45" t="str">
            <v>FY1</v>
          </cell>
          <cell r="C45">
            <v>1058</v>
          </cell>
          <cell r="D45">
            <v>1110</v>
          </cell>
          <cell r="E45">
            <v>852</v>
          </cell>
          <cell r="F45">
            <v>203</v>
          </cell>
          <cell r="G45">
            <v>110</v>
          </cell>
          <cell r="H45">
            <v>1051</v>
          </cell>
          <cell r="I45">
            <v>2871</v>
          </cell>
          <cell r="J45">
            <v>1036.4285714285713</v>
          </cell>
          <cell r="K45">
            <v>7255</v>
          </cell>
          <cell r="M45">
            <v>1135</v>
          </cell>
          <cell r="N45">
            <v>1005</v>
          </cell>
          <cell r="O45">
            <v>1093.00001</v>
          </cell>
          <cell r="P45">
            <v>680</v>
          </cell>
          <cell r="Q45">
            <v>3050</v>
          </cell>
          <cell r="R45">
            <v>2945</v>
          </cell>
          <cell r="S45">
            <v>377</v>
          </cell>
          <cell r="T45">
            <v>1469.2857157142857</v>
          </cell>
          <cell r="U45">
            <v>10285.00001</v>
          </cell>
        </row>
        <row r="46">
          <cell r="B46" t="str">
            <v>FY2</v>
          </cell>
          <cell r="C46">
            <v>1088</v>
          </cell>
          <cell r="D46">
            <v>1115</v>
          </cell>
          <cell r="E46">
            <v>852</v>
          </cell>
          <cell r="F46">
            <v>219</v>
          </cell>
          <cell r="G46">
            <v>115</v>
          </cell>
          <cell r="H46">
            <v>1106</v>
          </cell>
          <cell r="I46">
            <v>3000.1950000000002</v>
          </cell>
          <cell r="J46">
            <v>1070.7421428571429</v>
          </cell>
          <cell r="K46">
            <v>7495.1949999999997</v>
          </cell>
          <cell r="M46">
            <v>1209</v>
          </cell>
          <cell r="N46">
            <v>1093</v>
          </cell>
          <cell r="O46">
            <v>1183.00001</v>
          </cell>
          <cell r="P46">
            <v>721</v>
          </cell>
          <cell r="Q46">
            <v>3073</v>
          </cell>
          <cell r="R46">
            <v>2977</v>
          </cell>
          <cell r="S46">
            <v>428</v>
          </cell>
          <cell r="T46">
            <v>1526.2857157142857</v>
          </cell>
          <cell r="U46">
            <v>10684.00001</v>
          </cell>
        </row>
        <row r="48">
          <cell r="A48" t="str">
            <v>mstag:floorspace</v>
          </cell>
          <cell r="B48" t="str">
            <v>Avg Selling Sq Ft (in thousands)</v>
          </cell>
        </row>
        <row r="49">
          <cell r="B49" t="str">
            <v>FY(5)</v>
          </cell>
          <cell r="C49">
            <v>49200.978000000003</v>
          </cell>
          <cell r="D49">
            <v>101300</v>
          </cell>
          <cell r="E49">
            <v>156400</v>
          </cell>
          <cell r="F49">
            <v>19304.5</v>
          </cell>
          <cell r="G49">
            <v>7500</v>
          </cell>
          <cell r="H49">
            <v>15253</v>
          </cell>
          <cell r="I49">
            <v>65507.999999999993</v>
          </cell>
          <cell r="J49">
            <v>59209.496857142854</v>
          </cell>
          <cell r="K49">
            <v>414466.478</v>
          </cell>
          <cell r="M49">
            <v>5590</v>
          </cell>
          <cell r="N49">
            <v>1978.4060000000002</v>
          </cell>
          <cell r="O49">
            <v>4540.0950000000003</v>
          </cell>
          <cell r="P49">
            <v>782.26300000000003</v>
          </cell>
          <cell r="Q49">
            <v>36600</v>
          </cell>
          <cell r="R49">
            <v>10311</v>
          </cell>
          <cell r="S49">
            <v>1749.8590000000002</v>
          </cell>
          <cell r="T49">
            <v>8793.0889999999999</v>
          </cell>
          <cell r="U49">
            <v>61551.623</v>
          </cell>
        </row>
        <row r="50">
          <cell r="B50" t="str">
            <v>FY(4)</v>
          </cell>
          <cell r="C50">
            <v>56625</v>
          </cell>
          <cell r="D50">
            <v>101400</v>
          </cell>
          <cell r="E50">
            <v>156400</v>
          </cell>
          <cell r="F50">
            <v>19770.5</v>
          </cell>
          <cell r="G50">
            <v>7500</v>
          </cell>
          <cell r="H50">
            <v>17319</v>
          </cell>
          <cell r="I50">
            <v>70575</v>
          </cell>
          <cell r="J50">
            <v>61369.928571428572</v>
          </cell>
          <cell r="K50">
            <v>429589.5</v>
          </cell>
          <cell r="M50">
            <v>6025</v>
          </cell>
          <cell r="N50">
            <v>2373.4749999999999</v>
          </cell>
          <cell r="O50">
            <v>4772.4870000000001</v>
          </cell>
          <cell r="P50">
            <v>904.83600000000001</v>
          </cell>
          <cell r="Q50">
            <v>37800</v>
          </cell>
          <cell r="R50">
            <v>10311</v>
          </cell>
          <cell r="S50">
            <v>2113.5439999999999</v>
          </cell>
          <cell r="T50">
            <v>9185.7631428571422</v>
          </cell>
          <cell r="U50">
            <v>64300.341999999997</v>
          </cell>
        </row>
        <row r="51">
          <cell r="B51" t="str">
            <v>FY(3)</v>
          </cell>
          <cell r="C51">
            <v>62357</v>
          </cell>
          <cell r="D51">
            <v>103100</v>
          </cell>
          <cell r="E51">
            <v>156400</v>
          </cell>
          <cell r="F51">
            <v>20120</v>
          </cell>
          <cell r="G51">
            <v>7500</v>
          </cell>
          <cell r="H51">
            <v>18642</v>
          </cell>
          <cell r="I51">
            <v>73987</v>
          </cell>
          <cell r="J51">
            <v>63158</v>
          </cell>
          <cell r="K51">
            <v>442106</v>
          </cell>
          <cell r="M51">
            <v>6693</v>
          </cell>
          <cell r="N51">
            <v>2626</v>
          </cell>
          <cell r="O51">
            <v>5173.0650000000005</v>
          </cell>
          <cell r="P51">
            <v>1038.7150000000001</v>
          </cell>
          <cell r="Q51">
            <v>39000</v>
          </cell>
          <cell r="R51">
            <v>10311</v>
          </cell>
          <cell r="S51">
            <v>2497.6379999999999</v>
          </cell>
          <cell r="T51">
            <v>9619.9168571428581</v>
          </cell>
          <cell r="U51">
            <v>67339.418000000005</v>
          </cell>
        </row>
        <row r="52">
          <cell r="B52" t="str">
            <v>FY(2)</v>
          </cell>
          <cell r="C52">
            <v>69889</v>
          </cell>
          <cell r="D52">
            <v>106600</v>
          </cell>
          <cell r="E52">
            <v>154961</v>
          </cell>
          <cell r="F52">
            <v>20336</v>
          </cell>
          <cell r="G52">
            <v>7539</v>
          </cell>
          <cell r="H52">
            <v>21100</v>
          </cell>
          <cell r="I52">
            <v>76420</v>
          </cell>
          <cell r="J52">
            <v>65263.571428571428</v>
          </cell>
          <cell r="K52">
            <v>456845</v>
          </cell>
          <cell r="M52">
            <v>7337</v>
          </cell>
          <cell r="N52">
            <v>2935.2140000000004</v>
          </cell>
          <cell r="O52">
            <v>5709.9319999999998</v>
          </cell>
          <cell r="P52">
            <v>1223.971</v>
          </cell>
          <cell r="Q52">
            <v>39600</v>
          </cell>
          <cell r="R52">
            <v>10311</v>
          </cell>
          <cell r="S52">
            <v>2886.54</v>
          </cell>
          <cell r="T52">
            <v>10000.522428571427</v>
          </cell>
          <cell r="U52">
            <v>70003.656999999992</v>
          </cell>
        </row>
        <row r="53">
          <cell r="B53" t="str">
            <v>FY(1)</v>
          </cell>
          <cell r="C53">
            <v>74992</v>
          </cell>
          <cell r="D53">
            <v>109197.56326148099</v>
          </cell>
          <cell r="E53">
            <v>154091</v>
          </cell>
          <cell r="F53">
            <v>21189</v>
          </cell>
          <cell r="G53">
            <v>7519.0955555555602</v>
          </cell>
          <cell r="H53">
            <v>22500</v>
          </cell>
          <cell r="I53">
            <v>79073.679282091311</v>
          </cell>
          <cell r="J53">
            <v>66937.476871303981</v>
          </cell>
          <cell r="K53">
            <v>468562.33809912787</v>
          </cell>
          <cell r="M53">
            <v>7760</v>
          </cell>
          <cell r="N53">
            <v>3284.614</v>
          </cell>
          <cell r="O53">
            <v>6328.1669999999995</v>
          </cell>
          <cell r="P53">
            <v>1466.11089781022</v>
          </cell>
          <cell r="Q53">
            <v>39500</v>
          </cell>
          <cell r="R53">
            <v>10898.300000000001</v>
          </cell>
          <cell r="S53">
            <v>3360.65564146934</v>
          </cell>
          <cell r="T53">
            <v>10371.121077039936</v>
          </cell>
          <cell r="U53">
            <v>72597.847539279552</v>
          </cell>
        </row>
        <row r="54">
          <cell r="B54" t="str">
            <v>FY0</v>
          </cell>
          <cell r="C54">
            <v>78396</v>
          </cell>
          <cell r="D54">
            <v>110696.15745079701</v>
          </cell>
          <cell r="E54">
            <v>154400</v>
          </cell>
          <cell r="F54">
            <v>22324.5</v>
          </cell>
          <cell r="G54">
            <v>7493.0555555555602</v>
          </cell>
          <cell r="H54">
            <v>23700</v>
          </cell>
          <cell r="I54">
            <v>81786.991806476799</v>
          </cell>
          <cell r="J54">
            <v>68399.529258975628</v>
          </cell>
          <cell r="K54">
            <v>478796.70481282938</v>
          </cell>
          <cell r="M54">
            <v>7847</v>
          </cell>
          <cell r="N54">
            <v>3428.3760000000002</v>
          </cell>
          <cell r="O54">
            <v>6403.8589999999995</v>
          </cell>
          <cell r="P54">
            <v>1690.6890000000001</v>
          </cell>
          <cell r="Q54">
            <v>38800</v>
          </cell>
          <cell r="R54">
            <v>10933</v>
          </cell>
          <cell r="S54">
            <v>3725.8392204614397</v>
          </cell>
          <cell r="T54">
            <v>10404.10903149449</v>
          </cell>
          <cell r="U54">
            <v>72828.763220461435</v>
          </cell>
        </row>
        <row r="55">
          <cell r="B55" t="str">
            <v>FY1</v>
          </cell>
          <cell r="C55">
            <v>80394.312948484498</v>
          </cell>
          <cell r="D55">
            <v>110895.97000937199</v>
          </cell>
          <cell r="E55">
            <v>154944.94117647098</v>
          </cell>
          <cell r="F55">
            <v>23264.098000000002</v>
          </cell>
          <cell r="G55">
            <v>7551.3888888888896</v>
          </cell>
          <cell r="H55">
            <v>24784.776119402999</v>
          </cell>
          <cell r="I55">
            <v>85603.5193133047</v>
          </cell>
          <cell r="J55">
            <v>69634.143779417718</v>
          </cell>
          <cell r="K55">
            <v>487439.00645592407</v>
          </cell>
          <cell r="M55">
            <v>8152.8011747302498</v>
          </cell>
          <cell r="N55">
            <v>3618.09221262458</v>
          </cell>
          <cell r="O55">
            <v>6280.8787298091502</v>
          </cell>
          <cell r="P55">
            <v>1842.77425430213</v>
          </cell>
          <cell r="Q55">
            <v>37816.534659180201</v>
          </cell>
          <cell r="R55">
            <v>10859.0659181791</v>
          </cell>
          <cell r="S55">
            <v>4200.5989247116004</v>
          </cell>
          <cell r="T55">
            <v>10395.820839076714</v>
          </cell>
          <cell r="U55">
            <v>72770.745873537002</v>
          </cell>
        </row>
        <row r="56">
          <cell r="B56" t="str">
            <v>FY2</v>
          </cell>
          <cell r="C56">
            <v>83743.799999999988</v>
          </cell>
          <cell r="D56">
            <v>111395.50140581101</v>
          </cell>
          <cell r="E56">
            <v>154854.22437271001</v>
          </cell>
          <cell r="F56">
            <v>24215.196</v>
          </cell>
          <cell r="G56">
            <v>7861.1111111111095</v>
          </cell>
          <cell r="H56">
            <v>26081.791044776099</v>
          </cell>
          <cell r="I56">
            <v>89455.677682403402</v>
          </cell>
          <cell r="J56">
            <v>71086.757373830231</v>
          </cell>
          <cell r="K56">
            <v>497607.3016168116</v>
          </cell>
          <cell r="M56">
            <v>8723.3097210784999</v>
          </cell>
          <cell r="N56">
            <v>3975.45267116279</v>
          </cell>
          <cell r="O56">
            <v>6672.4837929733894</v>
          </cell>
          <cell r="P56">
            <v>1947.45216540507</v>
          </cell>
          <cell r="Q56">
            <v>36516.200309858395</v>
          </cell>
          <cell r="R56">
            <v>11000.1225990071</v>
          </cell>
          <cell r="S56">
            <v>4686.6820919247102</v>
          </cell>
          <cell r="T56">
            <v>10503.100478772851</v>
          </cell>
          <cell r="U56">
            <v>73521.70335140996</v>
          </cell>
        </row>
        <row r="58">
          <cell r="B58" t="str">
            <v>Square Footage Growth</v>
          </cell>
        </row>
        <row r="59">
          <cell r="B59" t="str">
            <v>FY(4)</v>
          </cell>
          <cell r="C59">
            <v>0.15089175666386145</v>
          </cell>
          <cell r="D59">
            <v>9.8716683119448589E-4</v>
          </cell>
          <cell r="E59">
            <v>0</v>
          </cell>
          <cell r="F59">
            <v>2.4139449351187503E-2</v>
          </cell>
          <cell r="G59">
            <v>0</v>
          </cell>
          <cell r="H59">
            <v>0.13544876417753882</v>
          </cell>
          <cell r="I59">
            <v>7.7349331379373609E-2</v>
          </cell>
          <cell r="J59">
            <v>3.6487925568735591E-2</v>
          </cell>
          <cell r="K59">
            <v>3.6487925568735591E-2</v>
          </cell>
          <cell r="M59">
            <v>7.7817531305903298E-2</v>
          </cell>
          <cell r="N59">
            <v>0.19969055896514654</v>
          </cell>
          <cell r="O59">
            <v>5.1186594113118655E-2</v>
          </cell>
          <cell r="P59">
            <v>0.15669026912943607</v>
          </cell>
          <cell r="Q59">
            <v>3.2786885245901676E-2</v>
          </cell>
          <cell r="R59">
            <v>0</v>
          </cell>
          <cell r="S59">
            <v>0.20783674570351085</v>
          </cell>
          <cell r="T59">
            <v>4.4657132761551921E-2</v>
          </cell>
          <cell r="U59">
            <v>4.4657132761551921E-2</v>
          </cell>
        </row>
        <row r="60">
          <cell r="B60" t="str">
            <v>FY(3)</v>
          </cell>
          <cell r="C60">
            <v>0.10122737306843277</v>
          </cell>
          <cell r="D60">
            <v>1.6765285996055201E-2</v>
          </cell>
          <cell r="E60">
            <v>0</v>
          </cell>
          <cell r="F60">
            <v>1.7677853367390917E-2</v>
          </cell>
          <cell r="G60">
            <v>0</v>
          </cell>
          <cell r="H60">
            <v>7.6390091806686211E-2</v>
          </cell>
          <cell r="I60">
            <v>4.8345731491321375E-2</v>
          </cell>
          <cell r="J60">
            <v>2.9135954207446968E-2</v>
          </cell>
          <cell r="K60">
            <v>2.9135954207446968E-2</v>
          </cell>
          <cell r="M60">
            <v>0.11087136929460573</v>
          </cell>
          <cell r="N60">
            <v>0.10639463234287283</v>
          </cell>
          <cell r="O60">
            <v>8.3934854091797462E-2</v>
          </cell>
          <cell r="P60">
            <v>0.14795940921890827</v>
          </cell>
          <cell r="Q60">
            <v>3.1746031746031855E-2</v>
          </cell>
          <cell r="R60">
            <v>0</v>
          </cell>
          <cell r="S60">
            <v>0.18172983387145014</v>
          </cell>
          <cell r="T60">
            <v>4.7263761054334941E-2</v>
          </cell>
          <cell r="U60">
            <v>4.7263761054334719E-2</v>
          </cell>
        </row>
        <row r="61">
          <cell r="B61" t="str">
            <v>FY(2)</v>
          </cell>
          <cell r="C61">
            <v>0.1207883637763203</v>
          </cell>
          <cell r="D61">
            <v>3.3947623666343407E-2</v>
          </cell>
          <cell r="E61">
            <v>-9.200767263427112E-3</v>
          </cell>
          <cell r="F61">
            <v>1.0735586481113391E-2</v>
          </cell>
          <cell r="G61">
            <v>5.2000000000000934E-3</v>
          </cell>
          <cell r="H61">
            <v>0.13185280549297285</v>
          </cell>
          <cell r="I61">
            <v>3.2884155324583997E-2</v>
          </cell>
          <cell r="J61">
            <v>3.3338158722116429E-2</v>
          </cell>
          <cell r="K61">
            <v>3.3338158722116429E-2</v>
          </cell>
          <cell r="M61">
            <v>9.6219931271477765E-2</v>
          </cell>
          <cell r="N61">
            <v>0.1177509520182789</v>
          </cell>
          <cell r="O61">
            <v>0.1037812206109916</v>
          </cell>
          <cell r="P61">
            <v>0.17835113577834139</v>
          </cell>
          <cell r="Q61">
            <v>1.538461538461533E-2</v>
          </cell>
          <cell r="R61">
            <v>0</v>
          </cell>
          <cell r="S61">
            <v>0.15570791283604746</v>
          </cell>
          <cell r="T61">
            <v>3.9564330656970847E-2</v>
          </cell>
          <cell r="U61">
            <v>3.956433065697107E-2</v>
          </cell>
        </row>
        <row r="62">
          <cell r="B62" t="str">
            <v>FY(1)</v>
          </cell>
          <cell r="C62">
            <v>7.3015782168867727E-2</v>
          </cell>
          <cell r="D62">
            <v>2.4367385192129332E-2</v>
          </cell>
          <cell r="E62">
            <v>-5.614315860119623E-3</v>
          </cell>
          <cell r="F62">
            <v>4.1945318646734897E-2</v>
          </cell>
          <cell r="G62">
            <v>-2.6401969020347638E-3</v>
          </cell>
          <cell r="H62">
            <v>6.6350710900473953E-2</v>
          </cell>
          <cell r="I62">
            <v>3.4724931720639951E-2</v>
          </cell>
          <cell r="J62">
            <v>2.5648388620052476E-2</v>
          </cell>
          <cell r="K62">
            <v>2.5648388620052476E-2</v>
          </cell>
          <cell r="M62">
            <v>5.7652991685975152E-2</v>
          </cell>
          <cell r="N62">
            <v>0.11903731721094246</v>
          </cell>
          <cell r="O62">
            <v>0.10827361867006458</v>
          </cell>
          <cell r="P62">
            <v>0.19783140107912689</v>
          </cell>
          <cell r="Q62">
            <v>-2.525252525252486E-3</v>
          </cell>
          <cell r="R62">
            <v>5.6958587915818093E-2</v>
          </cell>
          <cell r="S62">
            <v>0.16425050110836503</v>
          </cell>
          <cell r="T62">
            <v>3.7057928834768772E-2</v>
          </cell>
          <cell r="U62">
            <v>3.7057928834768772E-2</v>
          </cell>
        </row>
        <row r="63">
          <cell r="B63" t="str">
            <v>FY0</v>
          </cell>
          <cell r="C63">
            <v>4.5391508427565563E-2</v>
          </cell>
          <cell r="D63">
            <v>1.3723696248858053E-2</v>
          </cell>
          <cell r="E63">
            <v>2.0053085514404323E-3</v>
          </cell>
          <cell r="F63">
            <v>5.3589126433526868E-2</v>
          </cell>
          <cell r="G63">
            <v>-3.4631824808716294E-3</v>
          </cell>
          <cell r="H63">
            <v>5.3333333333333233E-2</v>
          </cell>
          <cell r="I63">
            <v>3.4313725490196179E-2</v>
          </cell>
          <cell r="J63">
            <v>2.1842060023903098E-2</v>
          </cell>
          <cell r="K63">
            <v>2.1842060023903098E-2</v>
          </cell>
          <cell r="M63">
            <v>1.1211340206185527E-2</v>
          </cell>
          <cell r="N63">
            <v>4.3768308848467496E-2</v>
          </cell>
          <cell r="O63">
            <v>1.196112555183837E-2</v>
          </cell>
          <cell r="P63">
            <v>0.15317947811806687</v>
          </cell>
          <cell r="Q63">
            <v>-1.7721518987341756E-2</v>
          </cell>
          <cell r="R63">
            <v>3.1839828230089129E-3</v>
          </cell>
          <cell r="S63">
            <v>0.10866438515325982</v>
          </cell>
          <cell r="T63">
            <v>3.1807510691959084E-3</v>
          </cell>
          <cell r="U63">
            <v>3.1807510691959084E-3</v>
          </cell>
        </row>
        <row r="64">
          <cell r="B64" t="str">
            <v>FY1</v>
          </cell>
          <cell r="C64">
            <v>2.5489986076898008E-2</v>
          </cell>
          <cell r="D64">
            <v>1.8050541516203555E-3</v>
          </cell>
          <cell r="E64">
            <v>3.5294117647084455E-3</v>
          </cell>
          <cell r="F64">
            <v>4.2088199063808895E-2</v>
          </cell>
          <cell r="G64">
            <v>7.7849860982386332E-3</v>
          </cell>
          <cell r="H64">
            <v>4.5771144278607512E-2</v>
          </cell>
          <cell r="I64">
            <v>4.6664236237695444E-2</v>
          </cell>
          <cell r="J64">
            <v>1.8050044113133712E-2</v>
          </cell>
          <cell r="K64">
            <v>1.8050044113133934E-2</v>
          </cell>
          <cell r="M64">
            <v>3.897045682811906E-2</v>
          </cell>
          <cell r="N64">
            <v>5.5337049560660656E-2</v>
          </cell>
          <cell r="O64">
            <v>-1.9204087752533128E-2</v>
          </cell>
          <cell r="P64">
            <v>8.9954600936144935E-2</v>
          </cell>
          <cell r="Q64">
            <v>-2.5347044866489643E-2</v>
          </cell>
          <cell r="R64">
            <v>-6.7624697540382694E-3</v>
          </cell>
          <cell r="S64">
            <v>0.12742356182276771</v>
          </cell>
          <cell r="T64">
            <v>-7.9662683202252893E-4</v>
          </cell>
          <cell r="U64">
            <v>-7.9662683202252893E-4</v>
          </cell>
        </row>
        <row r="65">
          <cell r="A65" t="str">
            <v>mstag:comparableStoreSalesGrowth</v>
          </cell>
          <cell r="B65" t="str">
            <v>FY2</v>
          </cell>
          <cell r="C65">
            <v>4.16632337372147E-2</v>
          </cell>
          <cell r="D65">
            <v>4.5045045045082333E-3</v>
          </cell>
          <cell r="E65">
            <v>-5.8547767401873063E-4</v>
          </cell>
          <cell r="F65">
            <v>4.0882651027346784E-2</v>
          </cell>
          <cell r="G65">
            <v>4.1015265771564779E-2</v>
          </cell>
          <cell r="H65">
            <v>5.2331113225497994E-2</v>
          </cell>
          <cell r="I65">
            <v>4.4999999999999929E-2</v>
          </cell>
          <cell r="J65">
            <v>2.0860651335270264E-2</v>
          </cell>
          <cell r="K65">
            <v>2.0860651335270264E-2</v>
          </cell>
          <cell r="M65">
            <v>6.997699736828511E-2</v>
          </cell>
          <cell r="N65">
            <v>9.877041201196457E-2</v>
          </cell>
          <cell r="O65">
            <v>6.2348769974760909E-2</v>
          </cell>
          <cell r="P65">
            <v>5.6804522235189392E-2</v>
          </cell>
          <cell r="Q65">
            <v>-3.4385338610240401E-2</v>
          </cell>
          <cell r="R65">
            <v>1.2989761908697606E-2</v>
          </cell>
          <cell r="S65">
            <v>0.11571758597411974</v>
          </cell>
          <cell r="T65">
            <v>1.0319496782099646E-2</v>
          </cell>
          <cell r="U65">
            <v>1.0319496782099646E-2</v>
          </cell>
        </row>
        <row r="66">
          <cell r="B66" t="str">
            <v>4-Yr. Compounded</v>
          </cell>
          <cell r="C66">
            <v>6.5577468319250709E-2</v>
          </cell>
          <cell r="D66">
            <v>1.8390348330118655E-2</v>
          </cell>
          <cell r="E66">
            <v>-2.3340200577479653E-3</v>
          </cell>
          <cell r="F66">
            <v>3.696610404122036E-2</v>
          </cell>
          <cell r="G66">
            <v>1.7085791092168456E-3</v>
          </cell>
          <cell r="H66">
            <v>7.3799318905135358E-2</v>
          </cell>
          <cell r="I66">
            <v>3.7132038387335253E-2</v>
          </cell>
          <cell r="J66">
            <v>2.4704085493136851E-2</v>
          </cell>
          <cell r="K66">
            <v>2.4704085493136851E-2</v>
          </cell>
          <cell r="M66">
            <v>5.0561561442880043E-2</v>
          </cell>
          <cell r="N66">
            <v>8.3418450725379456E-2</v>
          </cell>
          <cell r="O66">
            <v>4.9707060147659243E-2</v>
          </cell>
          <cell r="P66">
            <v>0.15410130787375076</v>
          </cell>
          <cell r="Q66">
            <v>-7.6742053354557083E-3</v>
          </cell>
          <cell r="R66">
            <v>1.3031431848396169E-2</v>
          </cell>
          <cell r="S66">
            <v>0.13879468332198019</v>
          </cell>
          <cell r="T66">
            <v>1.9581312682365848E-2</v>
          </cell>
          <cell r="U66">
            <v>1.9581312682365848E-2</v>
          </cell>
        </row>
        <row r="67">
          <cell r="B67" t="str">
            <v>FY(4)</v>
          </cell>
          <cell r="C67">
            <v>5.4574854495884903E-3</v>
          </cell>
          <cell r="D67">
            <v>4.9000000000000002E-2</v>
          </cell>
          <cell r="E67">
            <v>2.5999999999999999E-2</v>
          </cell>
          <cell r="F67">
            <v>9.6205540192385405E-2</v>
          </cell>
          <cell r="G67">
            <v>5.2999999999999999E-2</v>
          </cell>
          <cell r="H67">
            <v>-0.01</v>
          </cell>
          <cell r="I67">
            <v>0.05</v>
          </cell>
          <cell r="J67">
            <v>3.8523289377424837E-2</v>
          </cell>
          <cell r="M67">
            <v>0.02</v>
          </cell>
          <cell r="N67">
            <v>8.6999999999999994E-2</v>
          </cell>
          <cell r="O67">
            <v>0.214</v>
          </cell>
          <cell r="P67">
            <v>0.182</v>
          </cell>
          <cell r="Q67">
            <v>0</v>
          </cell>
          <cell r="R67">
            <v>0.04</v>
          </cell>
          <cell r="S67">
            <v>0.216</v>
          </cell>
          <cell r="T67">
            <v>0.10842857142857143</v>
          </cell>
        </row>
        <row r="68">
          <cell r="A68" t="str">
            <v>mstag:comparableStoreSalesGrowth</v>
          </cell>
          <cell r="B68" t="str">
            <v>Comp Store Sales</v>
          </cell>
          <cell r="C68">
            <v>3.68908761248153E-2</v>
          </cell>
          <cell r="D68">
            <v>2.9000000000000001E-2</v>
          </cell>
          <cell r="E68">
            <v>1.2999999999999999E-2</v>
          </cell>
          <cell r="F68">
            <v>6.01637300954651E-2</v>
          </cell>
          <cell r="G68">
            <v>0.04</v>
          </cell>
          <cell r="H68">
            <v>0.06</v>
          </cell>
          <cell r="I68">
            <v>0.02</v>
          </cell>
          <cell r="J68">
            <v>3.700780088861149E-2</v>
          </cell>
          <cell r="M68">
            <v>0.26</v>
          </cell>
          <cell r="N68">
            <v>3.5000000000000003E-2</v>
          </cell>
          <cell r="O68">
            <v>0.155</v>
          </cell>
          <cell r="P68">
            <v>0.20699999999999999</v>
          </cell>
          <cell r="Q68">
            <v>-0.05</v>
          </cell>
          <cell r="R68">
            <v>-0.01</v>
          </cell>
          <cell r="S68">
            <v>0.109</v>
          </cell>
          <cell r="T68">
            <v>0.10085714285714285</v>
          </cell>
          <cell r="W68">
            <v>5.2356020942408377E-2</v>
          </cell>
        </row>
        <row r="69">
          <cell r="B69" t="str">
            <v>FY(5)</v>
          </cell>
          <cell r="C69">
            <v>5.4574854495884903E-3</v>
          </cell>
          <cell r="D69">
            <v>4.9000000000000002E-2</v>
          </cell>
          <cell r="E69">
            <v>2.5999999999999999E-2</v>
          </cell>
          <cell r="F69">
            <v>9.6205540192385405E-2</v>
          </cell>
          <cell r="G69">
            <v>5.2999999999999999E-2</v>
          </cell>
          <cell r="H69">
            <v>-0.01</v>
          </cell>
          <cell r="I69">
            <v>0.05</v>
          </cell>
          <cell r="J69">
            <v>3.8523289377424837E-2</v>
          </cell>
          <cell r="M69">
            <v>0.02</v>
          </cell>
          <cell r="N69">
            <v>8.6999999999999994E-2</v>
          </cell>
          <cell r="O69">
            <v>0.214</v>
          </cell>
          <cell r="P69">
            <v>0.16900000000000001</v>
          </cell>
          <cell r="Q69">
            <v>0</v>
          </cell>
          <cell r="R69">
            <v>0.04</v>
          </cell>
          <cell r="S69">
            <v>0.216</v>
          </cell>
          <cell r="T69">
            <v>0.10657142857142857</v>
          </cell>
        </row>
        <row r="70">
          <cell r="B70" t="str">
            <v>FY(4)</v>
          </cell>
          <cell r="C70">
            <v>3.68908761248153E-2</v>
          </cell>
          <cell r="D70">
            <v>2.9000000000000001E-2</v>
          </cell>
          <cell r="E70">
            <v>1.2999999999999999E-2</v>
          </cell>
          <cell r="F70">
            <v>6.01637300954651E-2</v>
          </cell>
          <cell r="G70">
            <v>0.04</v>
          </cell>
          <cell r="H70">
            <v>0.06</v>
          </cell>
          <cell r="I70">
            <v>0.02</v>
          </cell>
          <cell r="J70">
            <v>3.700780088861149E-2</v>
          </cell>
          <cell r="M70">
            <v>0.26</v>
          </cell>
          <cell r="N70">
            <v>3.5000000000000003E-2</v>
          </cell>
          <cell r="O70">
            <v>0.155</v>
          </cell>
          <cell r="P70">
            <v>0.182</v>
          </cell>
          <cell r="Q70">
            <v>-0.05</v>
          </cell>
          <cell r="R70">
            <v>-0.01</v>
          </cell>
          <cell r="S70">
            <v>0.109</v>
          </cell>
          <cell r="T70">
            <v>9.7285714285714295E-2</v>
          </cell>
        </row>
        <row r="71">
          <cell r="B71" t="str">
            <v>FY(3)</v>
          </cell>
          <cell r="C71">
            <v>5.8999999999999997E-2</v>
          </cell>
          <cell r="D71">
            <v>3.6999999999999998E-2</v>
          </cell>
          <cell r="E71">
            <v>4.3999999999999997E-2</v>
          </cell>
          <cell r="F71">
            <v>7.4999999999999997E-2</v>
          </cell>
          <cell r="G71">
            <v>4.9000000000000002E-2</v>
          </cell>
          <cell r="H71">
            <v>0.04</v>
          </cell>
          <cell r="I71">
            <v>0.04</v>
          </cell>
          <cell r="J71">
            <v>4.9142857142857141E-2</v>
          </cell>
          <cell r="M71">
            <v>0.01</v>
          </cell>
          <cell r="N71">
            <v>2.0075199121431499E-2</v>
          </cell>
          <cell r="O71">
            <v>0.12</v>
          </cell>
          <cell r="P71">
            <v>0.20699999999999999</v>
          </cell>
          <cell r="Q71">
            <v>-7.0000000000000007E-2</v>
          </cell>
          <cell r="R71">
            <v>7.0000000000000007E-2</v>
          </cell>
          <cell r="S71">
            <v>-6.2E-2</v>
          </cell>
          <cell r="T71">
            <v>4.2153599874490209E-2</v>
          </cell>
        </row>
        <row r="72">
          <cell r="B72" t="str">
            <v>FY(2)</v>
          </cell>
          <cell r="C72">
            <v>-7.9988102247825297E-3</v>
          </cell>
          <cell r="D72">
            <v>-1.0999999999999999E-2</v>
          </cell>
          <cell r="E72">
            <v>-1.2999999999999999E-2</v>
          </cell>
          <cell r="F72">
            <v>3.9E-2</v>
          </cell>
          <cell r="G72">
            <v>0.117894805327276</v>
          </cell>
          <cell r="H72">
            <v>0.01</v>
          </cell>
          <cell r="I72">
            <v>0.04</v>
          </cell>
          <cell r="J72">
            <v>2.4985142157499068E-2</v>
          </cell>
          <cell r="M72">
            <v>-0.01</v>
          </cell>
          <cell r="N72">
            <v>3.3000000000000002E-2</v>
          </cell>
          <cell r="O72">
            <v>0.01</v>
          </cell>
          <cell r="P72">
            <v>0.223</v>
          </cell>
          <cell r="Q72">
            <v>-0.04</v>
          </cell>
          <cell r="R72">
            <v>-0.02</v>
          </cell>
          <cell r="S72">
            <v>5.5E-2</v>
          </cell>
          <cell r="T72">
            <v>3.5857142857142858E-2</v>
          </cell>
        </row>
        <row r="73">
          <cell r="B73" t="str">
            <v>FY(1)</v>
          </cell>
          <cell r="C73">
            <v>-6.9000000000000006E-2</v>
          </cell>
          <cell r="D73">
            <v>-8.5000000000000006E-2</v>
          </cell>
          <cell r="E73">
            <v>-4.4999999999999998E-2</v>
          </cell>
          <cell r="F73">
            <v>-9.0392473766734996E-2</v>
          </cell>
          <cell r="G73">
            <v>-6.0999999999999999E-2</v>
          </cell>
          <cell r="H73">
            <v>0.02</v>
          </cell>
          <cell r="I73">
            <v>-7.2019165762476399E-3</v>
          </cell>
          <cell r="J73">
            <v>-4.8227770048997518E-2</v>
          </cell>
          <cell r="M73">
            <v>-0.13</v>
          </cell>
          <cell r="N73">
            <v>0.08</v>
          </cell>
          <cell r="O73">
            <v>-9.97396193878715E-2</v>
          </cell>
          <cell r="P73">
            <v>9.8000000000000004E-2</v>
          </cell>
          <cell r="Q73">
            <v>-0.12</v>
          </cell>
          <cell r="R73">
            <v>-8.4306869759510406E-2</v>
          </cell>
          <cell r="S73">
            <v>7.8E-2</v>
          </cell>
          <cell r="T73">
            <v>-2.5435212735340273E-2</v>
          </cell>
        </row>
        <row r="74">
          <cell r="B74" t="str">
            <v>FY0</v>
          </cell>
          <cell r="C74">
            <v>6.5541130581591696E-3</v>
          </cell>
          <cell r="D74">
            <v>-6.3078925007644296E-2</v>
          </cell>
          <cell r="E74">
            <v>-5.2999999999999999E-2</v>
          </cell>
          <cell r="F74">
            <v>-3.4224630661177001E-2</v>
          </cell>
          <cell r="G74">
            <v>-0.14699999999999999</v>
          </cell>
          <cell r="H74">
            <v>6.1429424489502199E-2</v>
          </cell>
          <cell r="I74">
            <v>5.67421533164396E-2</v>
          </cell>
          <cell r="J74">
            <v>-2.4653980686388625E-2</v>
          </cell>
          <cell r="M74">
            <v>-0.23</v>
          </cell>
          <cell r="N74">
            <v>0.102299627147601</v>
          </cell>
          <cell r="O74">
            <v>-3.6220023152869797E-2</v>
          </cell>
          <cell r="P74">
            <v>-6.8000000000000005E-2</v>
          </cell>
          <cell r="Q74">
            <v>-2.9938719447770702E-2</v>
          </cell>
          <cell r="R74">
            <v>-3.8209678879894897E-2</v>
          </cell>
          <cell r="S74">
            <v>-2.3256719605994101E-2</v>
          </cell>
          <cell r="T74">
            <v>-4.6189359134132642E-2</v>
          </cell>
        </row>
        <row r="75">
          <cell r="B75" t="str">
            <v>FY1</v>
          </cell>
          <cell r="C75">
            <v>5.2404169492854501E-2</v>
          </cell>
          <cell r="D75">
            <v>1.86033499008923E-2</v>
          </cell>
          <cell r="E75">
            <v>4.3679773152782701E-2</v>
          </cell>
          <cell r="F75">
            <v>3.97315603069179E-2</v>
          </cell>
          <cell r="G75">
            <v>4.2591937598611899E-2</v>
          </cell>
          <cell r="H75">
            <v>5.2923780943401597E-2</v>
          </cell>
          <cell r="I75">
            <v>3.8739178634559598E-2</v>
          </cell>
          <cell r="J75">
            <v>4.1239107147145793E-2</v>
          </cell>
          <cell r="M75">
            <v>-4.3817488406315802E-2</v>
          </cell>
          <cell r="N75">
            <v>3.6299681250220303E-2</v>
          </cell>
          <cell r="O75">
            <v>3.3506756084832397E-2</v>
          </cell>
          <cell r="P75">
            <v>2.1792814193442801E-2</v>
          </cell>
          <cell r="Q75">
            <v>6.4617414056954703E-3</v>
          </cell>
          <cell r="R75">
            <v>6.9899914522689399E-2</v>
          </cell>
          <cell r="S75">
            <v>6.5643552140244005E-2</v>
          </cell>
          <cell r="T75">
            <v>2.7112424455829794E-2</v>
          </cell>
        </row>
        <row r="76">
          <cell r="B76" t="str">
            <v>FY2</v>
          </cell>
          <cell r="C76">
            <v>0.04</v>
          </cell>
          <cell r="D76">
            <v>0.02</v>
          </cell>
          <cell r="E76">
            <v>0.01</v>
          </cell>
          <cell r="F76">
            <v>0.02</v>
          </cell>
          <cell r="G76">
            <v>0.02</v>
          </cell>
          <cell r="H76">
            <v>0.02</v>
          </cell>
          <cell r="I76">
            <v>0.02</v>
          </cell>
          <cell r="J76">
            <v>2.1428571428571429E-2</v>
          </cell>
          <cell r="M76">
            <v>1.04505589012915E-2</v>
          </cell>
          <cell r="N76">
            <v>0.03</v>
          </cell>
          <cell r="O76">
            <v>0.04</v>
          </cell>
          <cell r="P76">
            <v>0.04</v>
          </cell>
          <cell r="Q76">
            <v>-3.10077885527596E-2</v>
          </cell>
          <cell r="R76">
            <v>1.82099005897415E-2</v>
          </cell>
          <cell r="S76">
            <v>5.1020186507036699E-2</v>
          </cell>
          <cell r="T76">
            <v>2.2667551063615732E-2</v>
          </cell>
        </row>
        <row r="77">
          <cell r="B77" t="str">
            <v>FQ(3)</v>
          </cell>
          <cell r="C77">
            <v>-4.2000000000000003E-2</v>
          </cell>
          <cell r="D77">
            <v>-7.4999999999999997E-2</v>
          </cell>
          <cell r="E77">
            <v>-0.09</v>
          </cell>
          <cell r="F77">
            <v>-0.13200000000000001</v>
          </cell>
          <cell r="G77">
            <v>-0.27600000000000002</v>
          </cell>
          <cell r="H77">
            <v>0.03</v>
          </cell>
          <cell r="I77">
            <v>-3.9548952924792102E-2</v>
          </cell>
          <cell r="J77">
            <v>-8.9221278989256012E-2</v>
          </cell>
          <cell r="M77">
            <v>-0.3</v>
          </cell>
          <cell r="N77">
            <v>0.11</v>
          </cell>
          <cell r="O77">
            <v>-0.1</v>
          </cell>
          <cell r="P77">
            <v>-4.2000000000000003E-2</v>
          </cell>
          <cell r="Q77">
            <v>-0.08</v>
          </cell>
          <cell r="R77">
            <v>-7.0000000000000007E-2</v>
          </cell>
          <cell r="S77">
            <v>-9.6000000000000002E-2</v>
          </cell>
          <cell r="T77">
            <v>-8.2571428571428587E-2</v>
          </cell>
        </row>
        <row r="78">
          <cell r="B78" t="str">
            <v>FQ(2)</v>
          </cell>
          <cell r="C78">
            <v>-2.3E-2</v>
          </cell>
          <cell r="D78">
            <v>-9.5000000000000001E-2</v>
          </cell>
          <cell r="E78">
            <v>-9.5000000000000001E-2</v>
          </cell>
          <cell r="F78">
            <v>-9.8000000000000004E-2</v>
          </cell>
          <cell r="G78">
            <v>-0.155</v>
          </cell>
          <cell r="H78">
            <v>0.03</v>
          </cell>
          <cell r="I78">
            <v>-5.3891204011856202E-3</v>
          </cell>
          <cell r="J78">
            <v>-6.3055588628740791E-2</v>
          </cell>
          <cell r="M78">
            <v>-0.3</v>
          </cell>
          <cell r="N78">
            <v>0.12</v>
          </cell>
          <cell r="O78">
            <v>-0.1</v>
          </cell>
          <cell r="P78">
            <v>-6.0999999999999999E-2</v>
          </cell>
          <cell r="Q78">
            <v>-0.08</v>
          </cell>
          <cell r="R78">
            <v>-0.09</v>
          </cell>
          <cell r="S78">
            <v>-0.06</v>
          </cell>
          <cell r="T78">
            <v>-8.1571428571428559E-2</v>
          </cell>
        </row>
        <row r="79">
          <cell r="A79" t="str">
            <v>mstag:revenueNet</v>
          </cell>
          <cell r="B79" t="str">
            <v>FQ(1)</v>
          </cell>
          <cell r="C79">
            <v>2.4E-2</v>
          </cell>
          <cell r="D79">
            <v>-4.5999999999999999E-2</v>
          </cell>
          <cell r="E79">
            <v>-3.5999999999999997E-2</v>
          </cell>
          <cell r="F79">
            <v>-1.2E-2</v>
          </cell>
          <cell r="G79">
            <v>-0.10100000000000001</v>
          </cell>
          <cell r="H79">
            <v>0.08</v>
          </cell>
          <cell r="I79">
            <v>7.6835872094774701E-2</v>
          </cell>
          <cell r="J79">
            <v>-2.0234468436036118E-3</v>
          </cell>
          <cell r="M79">
            <v>-0.22</v>
          </cell>
          <cell r="N79">
            <v>0.1</v>
          </cell>
          <cell r="O79">
            <v>-0.04</v>
          </cell>
          <cell r="P79">
            <v>-1.0999999999999999E-2</v>
          </cell>
          <cell r="Q79">
            <v>0</v>
          </cell>
          <cell r="R79">
            <v>-0.02</v>
          </cell>
          <cell r="S79">
            <v>-0.02</v>
          </cell>
          <cell r="T79">
            <v>-3.0142857142857141E-2</v>
          </cell>
        </row>
        <row r="80">
          <cell r="B80" t="str">
            <v>Last Reported Q</v>
          </cell>
          <cell r="C80">
            <v>6.5541130581591696E-3</v>
          </cell>
          <cell r="D80">
            <v>-6.3078925007644296E-2</v>
          </cell>
          <cell r="E80">
            <v>-5.2999999999999999E-2</v>
          </cell>
          <cell r="F80">
            <v>-3.4224630661177001E-2</v>
          </cell>
          <cell r="G80">
            <v>-0.14699999999999999</v>
          </cell>
          <cell r="H80">
            <v>6.1429424489502199E-2</v>
          </cell>
          <cell r="I80">
            <v>5.67421533164396E-2</v>
          </cell>
          <cell r="J80">
            <v>-2.4653980686388625E-2</v>
          </cell>
          <cell r="K80">
            <v>29178.162</v>
          </cell>
          <cell r="M80">
            <v>-0.23</v>
          </cell>
          <cell r="N80">
            <v>0.102299627147601</v>
          </cell>
          <cell r="O80">
            <v>-3.6220023152869797E-2</v>
          </cell>
          <cell r="P80">
            <v>3.2000000000000001E-2</v>
          </cell>
          <cell r="Q80">
            <v>-2.9938719447770702E-2</v>
          </cell>
          <cell r="R80">
            <v>-3.8209678879894897E-2</v>
          </cell>
          <cell r="S80">
            <v>-2.3256719605994101E-2</v>
          </cell>
          <cell r="T80">
            <v>-3.1903644848418358E-2</v>
          </cell>
          <cell r="U80">
            <v>11475.175999999999</v>
          </cell>
        </row>
        <row r="81">
          <cell r="B81" t="str">
            <v>FY(9)</v>
          </cell>
          <cell r="C81">
            <v>4556.9799999999996</v>
          </cell>
          <cell r="D81">
            <v>31743</v>
          </cell>
          <cell r="E81">
            <v>16029</v>
          </cell>
          <cell r="F81">
            <v>5149</v>
          </cell>
          <cell r="G81" t="str">
            <v>NA</v>
          </cell>
          <cell r="H81">
            <v>2468.6379999999999</v>
          </cell>
          <cell r="I81">
            <v>8795.3469999999998</v>
          </cell>
          <cell r="K81">
            <v>68741.964999999997</v>
          </cell>
          <cell r="M81">
            <v>1030.8579999999999</v>
          </cell>
          <cell r="N81" t="str">
            <v>NA</v>
          </cell>
          <cell r="O81">
            <v>832.10400000000004</v>
          </cell>
          <cell r="P81">
            <v>549</v>
          </cell>
          <cell r="Q81" t="str">
            <v>NA</v>
          </cell>
          <cell r="R81">
            <v>9766</v>
          </cell>
          <cell r="S81">
            <v>278.113</v>
          </cell>
          <cell r="U81">
            <v>12456.074999999999</v>
          </cell>
        </row>
        <row r="82">
          <cell r="A82" t="str">
            <v>mstag:revenueNet</v>
          </cell>
          <cell r="B82" t="str">
            <v>Revenue</v>
          </cell>
          <cell r="C82">
            <v>6152.2</v>
          </cell>
          <cell r="D82">
            <v>31846</v>
          </cell>
          <cell r="E82">
            <v>16638</v>
          </cell>
          <cell r="F82">
            <v>5528.5370000000003</v>
          </cell>
          <cell r="G82" t="str">
            <v>NA</v>
          </cell>
          <cell r="H82">
            <v>2709.0390000000002</v>
          </cell>
          <cell r="I82">
            <v>9579.0059999999994</v>
          </cell>
          <cell r="K82">
            <v>72452.781999999992</v>
          </cell>
          <cell r="M82">
            <v>1237.604</v>
          </cell>
          <cell r="N82" t="str">
            <v>NA</v>
          </cell>
          <cell r="O82">
            <v>1058.454</v>
          </cell>
          <cell r="P82">
            <v>600.49099999999999</v>
          </cell>
          <cell r="Q82">
            <v>13673.38</v>
          </cell>
          <cell r="R82">
            <v>9080</v>
          </cell>
          <cell r="S82">
            <v>295.33300000000003</v>
          </cell>
          <cell r="U82">
            <v>25945.261999999999</v>
          </cell>
        </row>
        <row r="83">
          <cell r="B83" t="str">
            <v>FY(10)</v>
          </cell>
          <cell r="C83">
            <v>4556.9799999999996</v>
          </cell>
          <cell r="D83">
            <v>31743</v>
          </cell>
          <cell r="E83">
            <v>16029</v>
          </cell>
          <cell r="F83">
            <v>5149</v>
          </cell>
          <cell r="G83" t="str">
            <v>NA</v>
          </cell>
          <cell r="H83">
            <v>2468.6379999999999</v>
          </cell>
          <cell r="I83">
            <v>8795.3469999999998</v>
          </cell>
          <cell r="K83">
            <v>68741.964999999997</v>
          </cell>
          <cell r="M83">
            <v>1030.8579999999999</v>
          </cell>
          <cell r="N83">
            <v>232.10029573498414</v>
          </cell>
          <cell r="O83">
            <v>832.10400000000004</v>
          </cell>
          <cell r="P83">
            <v>507.78100000000001</v>
          </cell>
          <cell r="Q83">
            <v>11635</v>
          </cell>
          <cell r="R83">
            <v>9766</v>
          </cell>
          <cell r="S83">
            <v>278.113</v>
          </cell>
          <cell r="U83">
            <v>24281.956295734984</v>
          </cell>
        </row>
        <row r="84">
          <cell r="B84" t="str">
            <v>FY(9)</v>
          </cell>
          <cell r="C84">
            <v>6152.2</v>
          </cell>
          <cell r="D84">
            <v>31846</v>
          </cell>
          <cell r="E84">
            <v>16638</v>
          </cell>
          <cell r="F84">
            <v>5528.5370000000003</v>
          </cell>
          <cell r="G84" t="str">
            <v>NA</v>
          </cell>
          <cell r="H84">
            <v>2709.0390000000002</v>
          </cell>
          <cell r="I84">
            <v>9579.0059999999994</v>
          </cell>
          <cell r="K84">
            <v>72452.781999999992</v>
          </cell>
          <cell r="M84">
            <v>1237.604</v>
          </cell>
          <cell r="N84">
            <v>309.60581176788753</v>
          </cell>
          <cell r="O84">
            <v>1058.454</v>
          </cell>
          <cell r="P84">
            <v>549</v>
          </cell>
          <cell r="Q84">
            <v>13673.38</v>
          </cell>
          <cell r="R84">
            <v>9080</v>
          </cell>
          <cell r="S84">
            <v>295.33300000000003</v>
          </cell>
          <cell r="U84">
            <v>26203.376811767885</v>
          </cell>
        </row>
        <row r="85">
          <cell r="B85" t="str">
            <v>FY(8)</v>
          </cell>
          <cell r="C85">
            <v>7488.6459999999997</v>
          </cell>
          <cell r="D85">
            <v>17840</v>
          </cell>
          <cell r="E85">
            <v>15785</v>
          </cell>
          <cell r="F85">
            <v>5634.13</v>
          </cell>
          <cell r="G85" t="str">
            <v>NA</v>
          </cell>
          <cell r="H85">
            <v>2986.596</v>
          </cell>
          <cell r="I85">
            <v>10708.998</v>
          </cell>
          <cell r="K85">
            <v>60443.369999999995</v>
          </cell>
          <cell r="M85">
            <v>1364.8530000000001</v>
          </cell>
          <cell r="N85">
            <v>412.99283302035195</v>
          </cell>
          <cell r="O85">
            <v>1271.248</v>
          </cell>
          <cell r="P85">
            <v>600.49099999999999</v>
          </cell>
          <cell r="Q85">
            <v>13847.873</v>
          </cell>
          <cell r="R85">
            <v>8423</v>
          </cell>
          <cell r="S85">
            <v>348.95800000000003</v>
          </cell>
          <cell r="U85">
            <v>26269.41583302035</v>
          </cell>
        </row>
        <row r="86">
          <cell r="B86" t="str">
            <v>FY(7)</v>
          </cell>
          <cell r="C86">
            <v>9120.2870000000003</v>
          </cell>
          <cell r="D86">
            <v>17384</v>
          </cell>
          <cell r="E86">
            <v>15571</v>
          </cell>
          <cell r="F86">
            <v>5944.6559999999999</v>
          </cell>
          <cell r="G86" t="str">
            <v>NA</v>
          </cell>
          <cell r="H86">
            <v>3531.3490000000002</v>
          </cell>
          <cell r="I86">
            <v>11981.207</v>
          </cell>
          <cell r="K86">
            <v>63532.499000000003</v>
          </cell>
          <cell r="M86">
            <v>1595.7570000000001</v>
          </cell>
          <cell r="N86">
            <v>550.904</v>
          </cell>
          <cell r="O86">
            <v>1382.923</v>
          </cell>
          <cell r="P86">
            <v>719.4</v>
          </cell>
          <cell r="Q86">
            <v>14455.105</v>
          </cell>
          <cell r="R86">
            <v>8444.6380000000008</v>
          </cell>
          <cell r="S86">
            <v>422.75400000000002</v>
          </cell>
          <cell r="U86">
            <v>27571.481</v>
          </cell>
        </row>
        <row r="87">
          <cell r="B87" t="str">
            <v>FY(6)</v>
          </cell>
          <cell r="C87">
            <v>10282.093999999999</v>
          </cell>
          <cell r="D87">
            <v>17513</v>
          </cell>
          <cell r="E87">
            <v>15412</v>
          </cell>
          <cell r="F87">
            <v>6448.5720000000001</v>
          </cell>
          <cell r="G87">
            <v>2441.989</v>
          </cell>
          <cell r="H87">
            <v>3920.5830000000001</v>
          </cell>
          <cell r="I87">
            <v>13327.938</v>
          </cell>
          <cell r="K87">
            <v>69346.175999999992</v>
          </cell>
          <cell r="M87">
            <v>1707.809</v>
          </cell>
          <cell r="N87">
            <v>734.86800000000005</v>
          </cell>
          <cell r="O87">
            <v>1435.4359999999999</v>
          </cell>
          <cell r="P87">
            <v>926.40599999999995</v>
          </cell>
          <cell r="Q87">
            <v>15853.771000000001</v>
          </cell>
          <cell r="R87">
            <v>8933.973</v>
          </cell>
          <cell r="S87">
            <v>548.36099999999999</v>
          </cell>
          <cell r="U87">
            <v>30140.624</v>
          </cell>
        </row>
        <row r="88">
          <cell r="B88" t="str">
            <v>FY(5)</v>
          </cell>
          <cell r="C88">
            <v>11700.7</v>
          </cell>
          <cell r="D88">
            <v>18096</v>
          </cell>
          <cell r="E88">
            <v>15776</v>
          </cell>
          <cell r="F88">
            <v>7131.4129999999996</v>
          </cell>
          <cell r="G88">
            <v>2766.9769999999999</v>
          </cell>
          <cell r="H88">
            <v>4239.99</v>
          </cell>
          <cell r="I88">
            <v>14913.483</v>
          </cell>
          <cell r="K88">
            <v>74624.562999999995</v>
          </cell>
          <cell r="M88">
            <v>2021.2539999999999</v>
          </cell>
          <cell r="N88">
            <v>964.21199999999999</v>
          </cell>
          <cell r="O88">
            <v>1881.241</v>
          </cell>
          <cell r="P88">
            <v>1272.3</v>
          </cell>
          <cell r="Q88">
            <v>16267</v>
          </cell>
          <cell r="R88">
            <v>9408.3119999999999</v>
          </cell>
          <cell r="S88">
            <v>827.75</v>
          </cell>
          <cell r="U88">
            <v>32642.069000000003</v>
          </cell>
        </row>
        <row r="89">
          <cell r="B89" t="str">
            <v>FY(4)</v>
          </cell>
          <cell r="C89">
            <v>13402.2</v>
          </cell>
          <cell r="D89">
            <v>18781</v>
          </cell>
          <cell r="E89">
            <v>22390</v>
          </cell>
          <cell r="F89">
            <v>7722.6120000000001</v>
          </cell>
          <cell r="G89">
            <v>2778.3330000000001</v>
          </cell>
          <cell r="H89">
            <v>4944.1790000000001</v>
          </cell>
          <cell r="I89">
            <v>15955.942999999999</v>
          </cell>
          <cell r="K89">
            <v>85974.266999999993</v>
          </cell>
          <cell r="M89">
            <v>2768.1640000000002</v>
          </cell>
          <cell r="N89">
            <v>1204.347</v>
          </cell>
          <cell r="O89">
            <v>2321.962</v>
          </cell>
          <cell r="P89">
            <v>1651.704</v>
          </cell>
          <cell r="Q89">
            <v>16023</v>
          </cell>
          <cell r="R89">
            <v>9669.5</v>
          </cell>
          <cell r="S89">
            <v>1092.107</v>
          </cell>
          <cell r="U89">
            <v>34730.784</v>
          </cell>
        </row>
        <row r="90">
          <cell r="B90" t="str">
            <v>FY(3)</v>
          </cell>
          <cell r="C90">
            <v>15585.300999999999</v>
          </cell>
          <cell r="D90">
            <v>19903.088</v>
          </cell>
          <cell r="E90">
            <v>26970</v>
          </cell>
          <cell r="F90">
            <v>8560.6980000000003</v>
          </cell>
          <cell r="G90">
            <v>2940.0030000000002</v>
          </cell>
          <cell r="H90">
            <v>5570.21</v>
          </cell>
          <cell r="I90">
            <v>17404.636999999999</v>
          </cell>
          <cell r="K90">
            <v>96933.937000000005</v>
          </cell>
          <cell r="M90">
            <v>3284.1759999999999</v>
          </cell>
          <cell r="N90">
            <v>1413.2080000000001</v>
          </cell>
          <cell r="O90">
            <v>2794.4090000000001</v>
          </cell>
          <cell r="P90">
            <v>2035.085</v>
          </cell>
          <cell r="Q90">
            <v>15923</v>
          </cell>
          <cell r="R90">
            <v>10670.652</v>
          </cell>
          <cell r="S90">
            <v>1224.7170000000001</v>
          </cell>
          <cell r="U90">
            <v>37345.246999999996</v>
          </cell>
        </row>
        <row r="91">
          <cell r="B91" t="str">
            <v>FY(2)</v>
          </cell>
          <cell r="C91">
            <v>16473.7</v>
          </cell>
          <cell r="D91">
            <v>19860.93</v>
          </cell>
          <cell r="E91">
            <v>26313</v>
          </cell>
          <cell r="F91">
            <v>8827.8140000000003</v>
          </cell>
          <cell r="G91">
            <v>3264.6329999999998</v>
          </cell>
          <cell r="H91">
            <v>5975.2120000000004</v>
          </cell>
          <cell r="I91">
            <v>18336.725999999999</v>
          </cell>
          <cell r="K91">
            <v>99052.014999999999</v>
          </cell>
          <cell r="M91">
            <v>3699.6559999999999</v>
          </cell>
          <cell r="N91">
            <v>1583.183</v>
          </cell>
          <cell r="O91">
            <v>3055.4189999999999</v>
          </cell>
          <cell r="P91">
            <v>2612.4560000000001</v>
          </cell>
          <cell r="Q91">
            <v>15763</v>
          </cell>
          <cell r="R91">
            <v>10086.293</v>
          </cell>
          <cell r="S91">
            <v>1507.7239999999999</v>
          </cell>
          <cell r="U91">
            <v>38307.731</v>
          </cell>
        </row>
        <row r="92">
          <cell r="B92" t="str">
            <v>FY(1)</v>
          </cell>
          <cell r="C92">
            <v>16388.900000000001</v>
          </cell>
          <cell r="D92">
            <v>18486.4729787059</v>
          </cell>
          <cell r="E92">
            <v>24892</v>
          </cell>
          <cell r="F92">
            <v>8291</v>
          </cell>
          <cell r="G92">
            <v>3036.8879999999999</v>
          </cell>
          <cell r="H92">
            <v>6486.1390000000001</v>
          </cell>
          <cell r="I92">
            <v>18999.505000000001</v>
          </cell>
          <cell r="K92">
            <v>96580.904978705905</v>
          </cell>
          <cell r="M92">
            <v>3484.0569999999998</v>
          </cell>
          <cell r="N92">
            <v>1885.5309999999999</v>
          </cell>
          <cell r="O92">
            <v>2988.817</v>
          </cell>
          <cell r="P92">
            <v>3180.7570000000001</v>
          </cell>
          <cell r="Q92">
            <v>14526</v>
          </cell>
          <cell r="R92">
            <v>9042.7009999999991</v>
          </cell>
          <cell r="S92">
            <v>1834.6179999999999</v>
          </cell>
          <cell r="U92">
            <v>36942.481</v>
          </cell>
        </row>
        <row r="93">
          <cell r="B93" t="str">
            <v>FY0</v>
          </cell>
          <cell r="C93">
            <v>17177</v>
          </cell>
          <cell r="D93">
            <v>17557.479531695401</v>
          </cell>
          <cell r="E93">
            <v>23489</v>
          </cell>
          <cell r="F93">
            <v>8258</v>
          </cell>
          <cell r="G93">
            <v>2625.71</v>
          </cell>
          <cell r="H93">
            <v>7184.2129999999997</v>
          </cell>
          <cell r="I93">
            <v>20288.444</v>
          </cell>
          <cell r="K93">
            <v>96579.84653169541</v>
          </cell>
          <cell r="M93">
            <v>2928.625</v>
          </cell>
          <cell r="N93">
            <v>2230.105</v>
          </cell>
          <cell r="O93">
            <v>2990.558</v>
          </cell>
          <cell r="P93">
            <v>3230.4679999999998</v>
          </cell>
          <cell r="Q93">
            <v>14197</v>
          </cell>
          <cell r="R93">
            <v>8632.5365000000002</v>
          </cell>
          <cell r="S93">
            <v>1937.8150000000001</v>
          </cell>
          <cell r="U93">
            <v>36147.107500000006</v>
          </cell>
        </row>
        <row r="94">
          <cell r="B94" t="str">
            <v>FY1</v>
          </cell>
          <cell r="C94">
            <v>18498.109536433902</v>
          </cell>
          <cell r="D94">
            <v>17806.182108049401</v>
          </cell>
          <cell r="E94">
            <v>24544.575112720999</v>
          </cell>
          <cell r="F94">
            <v>8931.4666703660005</v>
          </cell>
          <cell r="G94">
            <v>2737.49293223829</v>
          </cell>
          <cell r="H94">
            <v>7803.8611769138997</v>
          </cell>
          <cell r="I94">
            <v>22056.154446994798</v>
          </cell>
          <cell r="K94">
            <v>102377.8419837173</v>
          </cell>
          <cell r="M94">
            <v>3162.7476001191799</v>
          </cell>
          <cell r="N94">
            <v>2430.26432838644</v>
          </cell>
          <cell r="O94">
            <v>2988.9123471029702</v>
          </cell>
          <cell r="P94">
            <v>3476.1003261498299</v>
          </cell>
          <cell r="Q94">
            <v>14057.709404797301</v>
          </cell>
          <cell r="R94">
            <v>9110.7464272638808</v>
          </cell>
          <cell r="S94">
            <v>2261.5106702375401</v>
          </cell>
          <cell r="U94">
            <v>37487.991104057146</v>
          </cell>
        </row>
        <row r="95">
          <cell r="B95" t="str">
            <v>FY2</v>
          </cell>
          <cell r="C95">
            <v>20039.552621656901</v>
          </cell>
          <cell r="D95">
            <v>18198.430040241499</v>
          </cell>
          <cell r="E95">
            <v>24750.731353234001</v>
          </cell>
          <cell r="F95">
            <v>9352.2268005773403</v>
          </cell>
          <cell r="G95">
            <v>2932.27969354073</v>
          </cell>
          <cell r="H95">
            <v>8161.2515621648599</v>
          </cell>
          <cell r="I95">
            <v>23509.655025051801</v>
          </cell>
          <cell r="K95">
            <v>106944.12709646713</v>
          </cell>
          <cell r="M95">
            <v>3416.94856393808</v>
          </cell>
          <cell r="N95">
            <v>2750.6661824206799</v>
          </cell>
          <cell r="O95">
            <v>3305.3180742735199</v>
          </cell>
          <cell r="P95">
            <v>3717.3890173600098</v>
          </cell>
          <cell r="Q95">
            <v>13508.772793591699</v>
          </cell>
          <cell r="R95">
            <v>9454.1724434505995</v>
          </cell>
          <cell r="S95">
            <v>2580.1207421026002</v>
          </cell>
          <cell r="U95">
            <v>38733.387817137183</v>
          </cell>
        </row>
        <row r="96">
          <cell r="B96" t="str">
            <v>FQ(3)</v>
          </cell>
          <cell r="C96">
            <v>3638</v>
          </cell>
          <cell r="D96">
            <v>3884.4351206486299</v>
          </cell>
          <cell r="E96">
            <v>5199</v>
          </cell>
          <cell r="F96">
            <v>1706</v>
          </cell>
          <cell r="G96">
            <v>621.26599999999996</v>
          </cell>
          <cell r="H96">
            <v>1691.5989999999999</v>
          </cell>
          <cell r="I96">
            <v>4354.2240000000002</v>
          </cell>
          <cell r="K96">
            <v>21094.524120648632</v>
          </cell>
          <cell r="M96">
            <v>601.72900000000004</v>
          </cell>
          <cell r="N96">
            <v>408.024</v>
          </cell>
          <cell r="O96">
            <v>612</v>
          </cell>
          <cell r="P96">
            <v>739.93899999999996</v>
          </cell>
          <cell r="Q96">
            <v>3127</v>
          </cell>
          <cell r="R96">
            <v>1725.2370000000001</v>
          </cell>
          <cell r="S96">
            <v>384.79599999999999</v>
          </cell>
          <cell r="U96">
            <v>7598.7250000000004</v>
          </cell>
        </row>
        <row r="97">
          <cell r="B97" t="str">
            <v>FQ(2)</v>
          </cell>
          <cell r="C97">
            <v>3806</v>
          </cell>
          <cell r="D97">
            <v>3942.65022008711</v>
          </cell>
          <cell r="E97">
            <v>5164</v>
          </cell>
          <cell r="F97">
            <v>2145</v>
          </cell>
          <cell r="G97">
            <v>561.69600000000003</v>
          </cell>
          <cell r="H97">
            <v>1768.636</v>
          </cell>
          <cell r="I97">
            <v>4747.5280000000002</v>
          </cell>
          <cell r="K97">
            <v>22135.510220087112</v>
          </cell>
          <cell r="M97">
            <v>637.221</v>
          </cell>
          <cell r="N97">
            <v>453.02</v>
          </cell>
          <cell r="O97">
            <v>657.596</v>
          </cell>
          <cell r="P97">
            <v>777.74400000000003</v>
          </cell>
          <cell r="Q97">
            <v>3245</v>
          </cell>
          <cell r="R97">
            <v>2066.61</v>
          </cell>
          <cell r="S97">
            <v>458.62599999999998</v>
          </cell>
          <cell r="U97">
            <v>8295.8170000000009</v>
          </cell>
        </row>
        <row r="98">
          <cell r="B98" t="str">
            <v>FQ(1)</v>
          </cell>
          <cell r="C98">
            <v>4051</v>
          </cell>
          <cell r="D98">
            <v>4180.3941909596297</v>
          </cell>
          <cell r="E98">
            <v>5277</v>
          </cell>
          <cell r="F98">
            <v>1868</v>
          </cell>
          <cell r="G98">
            <v>631.43399999999997</v>
          </cell>
          <cell r="H98">
            <v>1744.1389999999999</v>
          </cell>
          <cell r="I98">
            <v>5244.9459999999999</v>
          </cell>
          <cell r="K98">
            <v>22996.913190959629</v>
          </cell>
          <cell r="M98">
            <v>753.68399999999997</v>
          </cell>
          <cell r="N98">
            <v>567.83799999999997</v>
          </cell>
          <cell r="O98">
            <v>748.96199999999999</v>
          </cell>
          <cell r="P98">
            <v>761.43700000000001</v>
          </cell>
          <cell r="Q98">
            <v>3589</v>
          </cell>
          <cell r="R98">
            <v>1777.2895000000001</v>
          </cell>
          <cell r="S98">
            <v>505.9</v>
          </cell>
          <cell r="U98">
            <v>8704.1105000000007</v>
          </cell>
        </row>
        <row r="99">
          <cell r="B99" t="str">
            <v>Last Reported Q</v>
          </cell>
          <cell r="C99">
            <v>17177</v>
          </cell>
          <cell r="D99">
            <v>17557.479531695401</v>
          </cell>
          <cell r="E99">
            <v>23489</v>
          </cell>
          <cell r="F99">
            <v>8258</v>
          </cell>
          <cell r="G99">
            <v>2625.71</v>
          </cell>
          <cell r="H99">
            <v>7184.2129999999997</v>
          </cell>
          <cell r="I99">
            <v>20288.444</v>
          </cell>
          <cell r="K99">
            <v>96579.84653169541</v>
          </cell>
          <cell r="M99">
            <v>2928.625</v>
          </cell>
          <cell r="N99">
            <v>2230.105</v>
          </cell>
          <cell r="O99">
            <v>2990.558</v>
          </cell>
          <cell r="P99">
            <v>1065.0050000000001</v>
          </cell>
          <cell r="Q99">
            <v>14197</v>
          </cell>
          <cell r="R99">
            <v>8632.5365000000002</v>
          </cell>
          <cell r="S99">
            <v>1937.8150000000001</v>
          </cell>
          <cell r="U99">
            <v>33981.644500000002</v>
          </cell>
          <cell r="AA99" t="str">
            <v>Avg</v>
          </cell>
        </row>
        <row r="100">
          <cell r="B100" t="str">
            <v>LTM</v>
          </cell>
          <cell r="C100">
            <v>28672</v>
          </cell>
          <cell r="D100">
            <v>29564.959063390772</v>
          </cell>
          <cell r="E100">
            <v>39129</v>
          </cell>
          <cell r="F100">
            <v>13977</v>
          </cell>
          <cell r="G100">
            <v>4440.1059999999998</v>
          </cell>
          <cell r="H100">
            <v>12388.587</v>
          </cell>
          <cell r="I100">
            <v>34635.142</v>
          </cell>
          <cell r="K100">
            <v>162806.79406339076</v>
          </cell>
          <cell r="M100">
            <v>4921.259</v>
          </cell>
          <cell r="N100">
            <v>3658.9870000000001</v>
          </cell>
          <cell r="O100">
            <v>5009.116</v>
          </cell>
          <cell r="P100">
            <v>3344.125</v>
          </cell>
          <cell r="Q100">
            <v>24158</v>
          </cell>
          <cell r="R100">
            <v>14201.673000000001</v>
          </cell>
          <cell r="S100">
            <v>3287.1370000000002</v>
          </cell>
          <cell r="U100">
            <v>58580.297000000006</v>
          </cell>
          <cell r="X100" t="str">
            <v>% Chg Sales</v>
          </cell>
          <cell r="Y100" t="str">
            <v>GM</v>
          </cell>
          <cell r="Z100" t="str">
            <v>SG&amp;A</v>
          </cell>
          <cell r="AA100" t="str">
            <v>% Chg EPS</v>
          </cell>
          <cell r="AB100" t="str">
            <v>Y/Y Stock Return</v>
          </cell>
        </row>
        <row r="101">
          <cell r="B101" t="str">
            <v>FY1</v>
          </cell>
          <cell r="C101">
            <v>4.3222849199793689E-2</v>
          </cell>
          <cell r="D101">
            <v>-5.2735424999238778E-2</v>
          </cell>
          <cell r="E101">
            <v>-6.3459608302113168E-2</v>
          </cell>
          <cell r="F101">
            <v>-2.5871558510100034E-2</v>
          </cell>
          <cell r="G101">
            <v>-0.15055978898799161</v>
          </cell>
          <cell r="H101">
            <v>9.870750403746964E-2</v>
          </cell>
          <cell r="I101">
            <v>5.1592050593949557E-2</v>
          </cell>
          <cell r="K101">
            <v>-9.2860793391353891E-3</v>
          </cell>
          <cell r="M101">
            <v>-0.16119630832569265</v>
          </cell>
          <cell r="N101">
            <v>0.15716657972563697</v>
          </cell>
          <cell r="O101">
            <v>-1.2369922577250447E-2</v>
          </cell>
          <cell r="P101">
            <v>8.0404128485095816E-2</v>
          </cell>
          <cell r="Q101">
            <v>-1.7904211109190493E-2</v>
          </cell>
          <cell r="R101">
            <v>-6.1916819776748011E-2</v>
          </cell>
          <cell r="S101">
            <v>5.6907951718232486E-2</v>
          </cell>
          <cell r="U101">
            <v>-2.070623056639842E-2</v>
          </cell>
          <cell r="W101" t="str">
            <v>Dept Stores</v>
          </cell>
          <cell r="X101">
            <v>-3.5409089577638664E-2</v>
          </cell>
          <cell r="Y101">
            <v>157.63350500292728</v>
          </cell>
          <cell r="Z101">
            <v>140.95424200297856</v>
          </cell>
          <cell r="AA101">
            <v>-0.27193440625115911</v>
          </cell>
          <cell r="AB101">
            <v>0.55000000000000004</v>
          </cell>
        </row>
        <row r="102">
          <cell r="B102" t="str">
            <v>Revenue Growth</v>
          </cell>
          <cell r="C102">
            <v>6.2837928325937487E-2</v>
          </cell>
          <cell r="D102">
            <v>-2.2980410921283889E-3</v>
          </cell>
          <cell r="E102">
            <v>-1.7603372549021334E-2</v>
          </cell>
          <cell r="F102">
            <v>1.0432109608290219E-2</v>
          </cell>
          <cell r="G102">
            <v>1.6315182620068924E-2</v>
          </cell>
          <cell r="H102">
            <v>4.2812256217959366E-2</v>
          </cell>
          <cell r="I102">
            <v>6.590000000000007E-2</v>
          </cell>
          <cell r="K102">
            <v>2.4788718789983566E-2</v>
          </cell>
          <cell r="M102">
            <v>0.11024888457662718</v>
          </cell>
          <cell r="N102">
            <v>0.10712689289907362</v>
          </cell>
          <cell r="O102">
            <v>7.1732264728360029E-2</v>
          </cell>
          <cell r="P102">
            <v>7.0465151392704151E-2</v>
          </cell>
          <cell r="Q102">
            <v>-1.1298021641825362E-2</v>
          </cell>
          <cell r="R102">
            <v>7.6674865314052543E-3</v>
          </cell>
          <cell r="S102">
            <v>0.16454681980554886</v>
          </cell>
          <cell r="U102">
            <v>3.4225307407317107E-2</v>
          </cell>
          <cell r="W102" t="str">
            <v>Off-Price</v>
          </cell>
          <cell r="X102">
            <v>6.358301225388252E-2</v>
          </cell>
          <cell r="Y102">
            <v>182.45939169460684</v>
          </cell>
          <cell r="Z102">
            <v>-27.013836931441965</v>
          </cell>
          <cell r="AA102">
            <v>0.40811766300825936</v>
          </cell>
          <cell r="AB102">
            <v>0.61</v>
          </cell>
        </row>
        <row r="103">
          <cell r="B103" t="str">
            <v>FY(5)</v>
          </cell>
          <cell r="C103">
            <v>0.13796858888860597</v>
          </cell>
          <cell r="D103">
            <v>3.3289556329583636E-2</v>
          </cell>
          <cell r="E103">
            <v>2.361796003114458E-2</v>
          </cell>
          <cell r="F103">
            <v>0.10589026531765477</v>
          </cell>
          <cell r="G103">
            <v>0.13308331855712696</v>
          </cell>
          <cell r="H103">
            <v>8.1469261076732691E-2</v>
          </cell>
          <cell r="I103">
            <v>0.11896401378817933</v>
          </cell>
          <cell r="K103">
            <v>7.6116482616143122E-2</v>
          </cell>
          <cell r="M103">
            <v>0.18353633222450516</v>
          </cell>
          <cell r="N103">
            <v>0.31208870164437674</v>
          </cell>
          <cell r="O103">
            <v>0.31057114354105653</v>
          </cell>
          <cell r="P103">
            <v>0.37337193411959779</v>
          </cell>
          <cell r="Q103">
            <v>2.6065028944848523E-2</v>
          </cell>
          <cell r="R103">
            <v>5.3093847496517022E-2</v>
          </cell>
          <cell r="S103">
            <v>0.50949830494874737</v>
          </cell>
          <cell r="U103">
            <v>8.2992475537334798E-2</v>
          </cell>
          <cell r="W103" t="str">
            <v>Specialty</v>
          </cell>
          <cell r="X103">
            <v>-2.070623056639842E-2</v>
          </cell>
          <cell r="Y103">
            <v>78.241077287845656</v>
          </cell>
          <cell r="Z103">
            <v>115.90085133750428</v>
          </cell>
          <cell r="AA103">
            <v>-1.7056810027645159E-2</v>
          </cell>
          <cell r="AB103">
            <v>0.76</v>
          </cell>
        </row>
        <row r="104">
          <cell r="B104" t="str">
            <v>FY(4)</v>
          </cell>
          <cell r="C104">
            <v>0.14541865016622935</v>
          </cell>
          <cell r="D104">
            <v>3.7853669319186656E-2</v>
          </cell>
          <cell r="E104">
            <v>0.41924442190669375</v>
          </cell>
          <cell r="F104">
            <v>8.2900681814389365E-2</v>
          </cell>
          <cell r="G104">
            <v>4.1041179597807176E-3</v>
          </cell>
          <cell r="H104">
            <v>0.16608270302524297</v>
          </cell>
          <cell r="I104">
            <v>6.990050546877602E-2</v>
          </cell>
          <cell r="K104">
            <v>0.15209072648103805</v>
          </cell>
          <cell r="M104">
            <v>0.36952802567119236</v>
          </cell>
          <cell r="N104">
            <v>0.24904792721932512</v>
          </cell>
          <cell r="O104">
            <v>0.23427141977024735</v>
          </cell>
          <cell r="P104">
            <v>0.29820325394954028</v>
          </cell>
          <cell r="Q104">
            <v>-1.4999692629249384E-2</v>
          </cell>
          <cell r="R104">
            <v>2.7761409272991866E-2</v>
          </cell>
          <cell r="S104">
            <v>0.31936816671700385</v>
          </cell>
          <cell r="U104">
            <v>6.3988437742717785E-2</v>
          </cell>
        </row>
        <row r="105">
          <cell r="A105" t="str">
            <v>mstag:costOfSalesWithoutDepreciation</v>
          </cell>
          <cell r="B105" t="str">
            <v>FY(3)</v>
          </cell>
          <cell r="C105">
            <v>0.16289124173643121</v>
          </cell>
          <cell r="D105">
            <v>5.9745913423140395E-2</v>
          </cell>
          <cell r="E105">
            <v>0.20455560518088434</v>
          </cell>
          <cell r="F105">
            <v>0.10852364459071628</v>
          </cell>
          <cell r="G105">
            <v>5.8189569068934466E-2</v>
          </cell>
          <cell r="H105">
            <v>0.12661980887018864</v>
          </cell>
          <cell r="I105">
            <v>9.07933802470966E-2</v>
          </cell>
          <cell r="K105">
            <v>0.12747616679302443</v>
          </cell>
          <cell r="M105">
            <v>0.18640947573915412</v>
          </cell>
          <cell r="N105">
            <v>0.17342260992886604</v>
          </cell>
          <cell r="O105">
            <v>0.20346887675164371</v>
          </cell>
          <cell r="P105">
            <v>0.23211241239350389</v>
          </cell>
          <cell r="Q105">
            <v>-6.2410285215003247E-3</v>
          </cell>
          <cell r="R105">
            <v>0.10353710119447745</v>
          </cell>
          <cell r="S105">
            <v>0.12142583098542548</v>
          </cell>
          <cell r="U105">
            <v>7.5277972417783445E-2</v>
          </cell>
        </row>
        <row r="106">
          <cell r="B106" t="str">
            <v>FY(2)</v>
          </cell>
          <cell r="C106">
            <v>5.7002363958193802E-2</v>
          </cell>
          <cell r="D106">
            <v>-2.1181637743851178E-3</v>
          </cell>
          <cell r="E106">
            <v>-2.4360400444938812E-2</v>
          </cell>
          <cell r="F106">
            <v>3.1202595863094373E-2</v>
          </cell>
          <cell r="G106">
            <v>0.11041825467525013</v>
          </cell>
          <cell r="H106">
            <v>7.270856933580605E-2</v>
          </cell>
          <cell r="I106">
            <v>5.3554061483729987E-2</v>
          </cell>
          <cell r="K106">
            <v>2.1850737373846574E-2</v>
          </cell>
          <cell r="M106">
            <v>0.12650966330671687</v>
          </cell>
          <cell r="N106">
            <v>0.12027599617324558</v>
          </cell>
          <cell r="O106">
            <v>9.3404365645830545E-2</v>
          </cell>
          <cell r="P106">
            <v>0.283708542886415</v>
          </cell>
          <cell r="Q106">
            <v>-1.0048357721534895E-2</v>
          </cell>
          <cell r="R106">
            <v>-5.476319535113694E-2</v>
          </cell>
          <cell r="S106">
            <v>0.23107950653089637</v>
          </cell>
          <cell r="U106">
            <v>2.577259697867329E-2</v>
          </cell>
        </row>
        <row r="107">
          <cell r="B107" t="str">
            <v>FY(1)</v>
          </cell>
          <cell r="C107">
            <v>-5.147598900064887E-3</v>
          </cell>
          <cell r="D107">
            <v>-6.9204061506389691E-2</v>
          </cell>
          <cell r="E107">
            <v>-5.4003724394785846E-2</v>
          </cell>
          <cell r="F107">
            <v>-6.0809391770148324E-2</v>
          </cell>
          <cell r="G107">
            <v>-6.9761287103328296E-2</v>
          </cell>
          <cell r="H107">
            <v>8.5507761063540411E-2</v>
          </cell>
          <cell r="I107">
            <v>3.6144893041429649E-2</v>
          </cell>
          <cell r="K107">
            <v>-2.4947599716109714E-2</v>
          </cell>
          <cell r="M107">
            <v>-5.8275418038866378E-2</v>
          </cell>
          <cell r="N107">
            <v>0.1909747641302364</v>
          </cell>
          <cell r="O107">
            <v>-2.1797992353912776E-2</v>
          </cell>
          <cell r="P107">
            <v>0.21753514700343279</v>
          </cell>
          <cell r="Q107">
            <v>-7.8474909598426734E-2</v>
          </cell>
          <cell r="R107">
            <v>-0.10346635775899038</v>
          </cell>
          <cell r="S107">
            <v>0.21681289148411786</v>
          </cell>
          <cell r="U107">
            <v>-3.5639020228057872E-2</v>
          </cell>
          <cell r="X107" t="str">
            <v>2010 vs. 2009</v>
          </cell>
          <cell r="Y107" t="str">
            <v>2008 vs. 2007</v>
          </cell>
          <cell r="AE107" t="str">
            <v>2009 vs. 2008</v>
          </cell>
          <cell r="AL107" t="str">
            <v>2008 vs. 2007</v>
          </cell>
        </row>
        <row r="108">
          <cell r="B108" t="str">
            <v>FY0</v>
          </cell>
          <cell r="C108">
            <v>4.8087425025474362E-2</v>
          </cell>
          <cell r="D108">
            <v>-5.0252606220807183E-2</v>
          </cell>
          <cell r="E108">
            <v>-5.6363490278000916E-2</v>
          </cell>
          <cell r="F108">
            <v>-3.9802195151369402E-3</v>
          </cell>
          <cell r="G108">
            <v>-0.13539452228728877</v>
          </cell>
          <cell r="H108">
            <v>0.10762550725477826</v>
          </cell>
          <cell r="I108">
            <v>6.7840662164619481E-2</v>
          </cell>
          <cell r="K108">
            <v>-1.095917470150809E-5</v>
          </cell>
          <cell r="L108" t="str">
            <v>GM</v>
          </cell>
          <cell r="M108">
            <v>-0.1594210427670959</v>
          </cell>
          <cell r="N108">
            <v>0.1827463987598188</v>
          </cell>
          <cell r="O108">
            <v>5.8250471674914372E-4</v>
          </cell>
          <cell r="P108">
            <v>1.5628669527411265E-2</v>
          </cell>
          <cell r="Q108">
            <v>-2.2649043095139709E-2</v>
          </cell>
          <cell r="R108">
            <v>-4.5358626808516544E-2</v>
          </cell>
          <cell r="S108">
            <v>5.6249856918443086E-2</v>
          </cell>
          <cell r="T108" t="str">
            <v>SG&amp;A</v>
          </cell>
          <cell r="U108">
            <v>-2.1530051000093753E-2</v>
          </cell>
          <cell r="V108" t="str">
            <v>Y/Y Stock Return</v>
          </cell>
          <cell r="X108" t="str">
            <v>% Chg Sales</v>
          </cell>
          <cell r="Y108" t="str">
            <v>GM</v>
          </cell>
          <cell r="Z108" t="str">
            <v>SG&amp;A</v>
          </cell>
          <cell r="AA108" t="str">
            <v>% Chg NI</v>
          </cell>
          <cell r="AB108" t="str">
            <v>Y/Y Stock Return</v>
          </cell>
          <cell r="AC108" t="str">
            <v>Y/Y Stock Return</v>
          </cell>
          <cell r="AE108" t="str">
            <v>% Chg Sales</v>
          </cell>
          <cell r="AF108" t="str">
            <v>GM</v>
          </cell>
          <cell r="AG108" t="str">
            <v>SG&amp;A</v>
          </cell>
          <cell r="AH108" t="str">
            <v>% Chg NI</v>
          </cell>
          <cell r="AI108" t="str">
            <v>Y/Y Stock Return</v>
          </cell>
          <cell r="AL108" t="str">
            <v>% Chg Sales</v>
          </cell>
          <cell r="AM108" t="str">
            <v>GM</v>
          </cell>
          <cell r="AN108" t="str">
            <v>SG&amp;A</v>
          </cell>
          <cell r="AO108" t="str">
            <v>% Chg NI</v>
          </cell>
          <cell r="AP108" t="str">
            <v>Y/Y Stock Return</v>
          </cell>
        </row>
        <row r="109">
          <cell r="A109" t="str">
            <v>mstag:costOfSalesWithDepreciation</v>
          </cell>
          <cell r="B109" t="str">
            <v>FY1</v>
          </cell>
          <cell r="C109">
            <v>7.6911540806537948E-2</v>
          </cell>
          <cell r="D109">
            <v>1.4165050052032502E-2</v>
          </cell>
          <cell r="E109">
            <v>4.4939125238239175E-2</v>
          </cell>
          <cell r="F109">
            <v>8.1553241749334093E-2</v>
          </cell>
          <cell r="G109">
            <v>4.2572459349391245E-2</v>
          </cell>
          <cell r="H109">
            <v>8.6251364890475912E-2</v>
          </cell>
          <cell r="I109">
            <v>8.7128931474232285E-2</v>
          </cell>
          <cell r="K109">
            <v>6.003318145798775E-2</v>
          </cell>
          <cell r="L109">
            <v>57.00435109266364</v>
          </cell>
          <cell r="M109">
            <v>7.9942840110693636E-2</v>
          </cell>
          <cell r="N109">
            <v>8.975332030843397E-2</v>
          </cell>
          <cell r="O109">
            <v>-5.5028288935698999E-4</v>
          </cell>
          <cell r="P109">
            <v>7.6036142797213824E-2</v>
          </cell>
          <cell r="Q109">
            <v>-9.811269648707488E-3</v>
          </cell>
          <cell r="R109">
            <v>5.5396224187859611E-2</v>
          </cell>
          <cell r="S109">
            <v>0.16704157529874619</v>
          </cell>
          <cell r="T109">
            <v>137.26157467508881</v>
          </cell>
          <cell r="U109">
            <v>3.709518400765921E-2</v>
          </cell>
          <cell r="V109">
            <v>0.55000000000000004</v>
          </cell>
          <cell r="W109" t="str">
            <v>Dept Stores</v>
          </cell>
          <cell r="X109">
            <v>4.9620645014408327E-2</v>
          </cell>
          <cell r="Y109">
            <v>48.304398643647801</v>
          </cell>
          <cell r="Z109">
            <v>-60.114503171233572</v>
          </cell>
          <cell r="AA109">
            <v>0.30030313020429822</v>
          </cell>
          <cell r="AB109">
            <v>0.55000000000000004</v>
          </cell>
          <cell r="AC109">
            <v>0.55000000000000004</v>
          </cell>
          <cell r="AD109" t="str">
            <v>Dept Stores</v>
          </cell>
          <cell r="AE109">
            <v>-2.31697200211336E-2</v>
          </cell>
          <cell r="AF109">
            <v>114.94818829006145</v>
          </cell>
          <cell r="AG109">
            <v>141.27383060223303</v>
          </cell>
          <cell r="AH109">
            <v>-6.0407618341568714E-2</v>
          </cell>
          <cell r="AI109">
            <v>0.55000000000000004</v>
          </cell>
          <cell r="AK109" t="str">
            <v>Dept Stores</v>
          </cell>
          <cell r="AL109">
            <v>-4.7807622171526565E-2</v>
          </cell>
          <cell r="AM109">
            <v>-108.66064553076941</v>
          </cell>
          <cell r="AN109">
            <v>179.20699165687495</v>
          </cell>
          <cell r="AO109">
            <v>-0.37489659665696418</v>
          </cell>
          <cell r="AP109">
            <v>0.55000000000000004</v>
          </cell>
        </row>
        <row r="110">
          <cell r="B110" t="str">
            <v>FY2</v>
          </cell>
          <cell r="C110">
            <v>8.3329763086707365E-2</v>
          </cell>
          <cell r="D110">
            <v>2.2028749892138766E-2</v>
          </cell>
          <cell r="E110">
            <v>8.3992588816970137E-3</v>
          </cell>
          <cell r="F110">
            <v>4.7109858407398342E-2</v>
          </cell>
          <cell r="G110">
            <v>7.115516500828889E-2</v>
          </cell>
          <cell r="H110">
            <v>4.5796609799803267E-2</v>
          </cell>
          <cell r="I110">
            <v>6.5900000000002068E-2</v>
          </cell>
          <cell r="K110">
            <v>4.4602279402178313E-2</v>
          </cell>
          <cell r="L110" t="e">
            <v>#REF!</v>
          </cell>
          <cell r="M110">
            <v>8.0373458763930872E-2</v>
          </cell>
          <cell r="N110">
            <v>0.13183827384199343</v>
          </cell>
          <cell r="O110">
            <v>0.10585982137523331</v>
          </cell>
          <cell r="P110">
            <v>6.9413615422726949E-2</v>
          </cell>
          <cell r="Q110">
            <v>-3.9048794892450389E-2</v>
          </cell>
          <cell r="R110">
            <v>3.769460811235148E-2</v>
          </cell>
          <cell r="S110">
            <v>0.14088373583998814</v>
          </cell>
          <cell r="T110" t="e">
            <v>#REF!</v>
          </cell>
          <cell r="U110">
            <v>3.3221217686035365E-2</v>
          </cell>
          <cell r="V110">
            <v>0.76</v>
          </cell>
          <cell r="W110" t="str">
            <v>Specialty</v>
          </cell>
          <cell r="X110">
            <v>3.709518400765921E-2</v>
          </cell>
          <cell r="Y110">
            <v>94.718936271333448</v>
          </cell>
          <cell r="Z110">
            <v>-64.14043276116</v>
          </cell>
          <cell r="AA110">
            <v>0.15150826686137386</v>
          </cell>
          <cell r="AB110">
            <v>0.76</v>
          </cell>
          <cell r="AC110">
            <v>0.76</v>
          </cell>
          <cell r="AD110" t="str">
            <v>Specialty</v>
          </cell>
          <cell r="AE110">
            <v>-2.1530051000093753E-2</v>
          </cell>
          <cell r="AF110">
            <v>40.030898769839546</v>
          </cell>
          <cell r="AG110">
            <v>144.76387005440017</v>
          </cell>
          <cell r="AH110">
            <v>-3.4655015148206236E-2</v>
          </cell>
          <cell r="AI110">
            <v>0.76</v>
          </cell>
          <cell r="AK110" t="str">
            <v>Specialty</v>
          </cell>
          <cell r="AL110">
            <v>-3.5639020228057872E-2</v>
          </cell>
          <cell r="AM110">
            <v>0</v>
          </cell>
          <cell r="AN110">
            <v>62.129127811416666</v>
          </cell>
          <cell r="AO110">
            <v>-7.2139784257026163E-2</v>
          </cell>
          <cell r="AP110">
            <v>0.76</v>
          </cell>
        </row>
        <row r="111">
          <cell r="B111" t="str">
            <v>10-Yr. Compounded</v>
          </cell>
          <cell r="C111">
            <v>0.14189722963753648</v>
          </cell>
          <cell r="D111">
            <v>-5.749986698751286E-2</v>
          </cell>
          <cell r="E111">
            <v>3.8952780979517598E-2</v>
          </cell>
          <cell r="F111">
            <v>4.8371481992315113E-2</v>
          </cell>
          <cell r="G111" t="str">
            <v>NA</v>
          </cell>
          <cell r="H111">
            <v>0.11273610285110758</v>
          </cell>
          <cell r="I111">
            <v>8.7175298300664394E-2</v>
          </cell>
          <cell r="K111">
            <v>3.458566556673115E-2</v>
          </cell>
          <cell r="L111" t="e">
            <v>#REF!</v>
          </cell>
          <cell r="M111">
            <v>0.11006009826696972</v>
          </cell>
          <cell r="N111">
            <v>0.25390594587671522</v>
          </cell>
          <cell r="O111">
            <v>0.1364686551863461</v>
          </cell>
          <cell r="P111">
            <v>0.20325839306934901</v>
          </cell>
          <cell r="Q111">
            <v>2.0100638670918158E-2</v>
          </cell>
          <cell r="R111">
            <v>-1.226107165265633E-2</v>
          </cell>
          <cell r="S111">
            <v>0.21425276852939179</v>
          </cell>
          <cell r="T111" t="e">
            <v>#REF!</v>
          </cell>
          <cell r="U111">
            <v>4.0588417934013465E-2</v>
          </cell>
          <cell r="V111">
            <v>0.61</v>
          </cell>
          <cell r="W111" t="str">
            <v>Off-Price</v>
          </cell>
          <cell r="X111">
            <v>8.6899444196777198E-2</v>
          </cell>
          <cell r="Y111">
            <v>53.999551334442401</v>
          </cell>
          <cell r="Z111">
            <v>-26.34788368614624</v>
          </cell>
          <cell r="AA111">
            <v>0.16785798184105638</v>
          </cell>
          <cell r="AB111">
            <v>0.61</v>
          </cell>
          <cell r="AC111">
            <v>0.61</v>
          </cell>
          <cell r="AD111" t="str">
            <v>Off-Price</v>
          </cell>
          <cell r="AE111">
            <v>7.7965971744720308E-2</v>
          </cell>
          <cell r="AF111">
            <v>219.75066107665336</v>
          </cell>
          <cell r="AG111">
            <v>-20.315851925331586</v>
          </cell>
          <cell r="AH111">
            <v>0.39582196945041037</v>
          </cell>
          <cell r="AI111">
            <v>0.61</v>
          </cell>
          <cell r="AK111" t="str">
            <v>Off-Price</v>
          </cell>
          <cell r="AL111">
            <v>4.8276941147184615E-2</v>
          </cell>
          <cell r="AM111">
            <v>-216.83583107443198</v>
          </cell>
          <cell r="AN111">
            <v>17.44038581543747</v>
          </cell>
          <cell r="AO111">
            <v>1.9813150853928985E-2</v>
          </cell>
          <cell r="AP111">
            <v>0.61</v>
          </cell>
        </row>
        <row r="112">
          <cell r="B112" t="str">
            <v>5-Yr. Compounded</v>
          </cell>
          <cell r="C112">
            <v>6.6572177277572031E-2</v>
          </cell>
          <cell r="D112">
            <v>-1.0603386337421306E-2</v>
          </cell>
          <cell r="E112">
            <v>1.8545149635570857E-2</v>
          </cell>
          <cell r="F112">
            <v>2.9512711519935175E-2</v>
          </cell>
          <cell r="G112">
            <v>-2.9573372874684978E-3</v>
          </cell>
          <cell r="H112">
            <v>9.5577412654757277E-2</v>
          </cell>
          <cell r="I112">
            <v>6.6894468863567313E-2</v>
          </cell>
          <cell r="K112">
            <v>3.554147519379014E-2</v>
          </cell>
          <cell r="M112">
            <v>2.7009695794492306E-2</v>
          </cell>
          <cell r="N112">
            <v>0.150748388636057</v>
          </cell>
          <cell r="O112">
            <v>5.1796240644010894E-2</v>
          </cell>
          <cell r="P112">
            <v>0.1604649194425094</v>
          </cell>
          <cell r="Q112">
            <v>-2.5831357941118904E-2</v>
          </cell>
          <cell r="R112">
            <v>-1.1833814857948877E-2</v>
          </cell>
          <cell r="S112">
            <v>0.15671585931487209</v>
          </cell>
          <cell r="U112">
            <v>1.5396158985442998E-2</v>
          </cell>
        </row>
        <row r="113">
          <cell r="B113" t="str">
            <v>FY2</v>
          </cell>
          <cell r="C113">
            <v>6867.7744825180016</v>
          </cell>
          <cell r="D113">
            <v>7056.233101154201</v>
          </cell>
          <cell r="E113">
            <v>9364.9520392895975</v>
          </cell>
          <cell r="F113">
            <v>2869.9035458410099</v>
          </cell>
          <cell r="G113">
            <v>972.76116919244009</v>
          </cell>
          <cell r="H113">
            <v>1872.43915372229</v>
          </cell>
          <cell r="I113">
            <v>5542.9003991096997</v>
          </cell>
          <cell r="K113">
            <v>34546.963890827239</v>
          </cell>
          <cell r="M113">
            <v>2161.51789129181</v>
          </cell>
          <cell r="N113">
            <v>889.90785494402007</v>
          </cell>
          <cell r="O113">
            <v>1256.3330848648402</v>
          </cell>
          <cell r="P113">
            <v>2702.2788492776199</v>
          </cell>
          <cell r="Q113">
            <v>5740.2146486659603</v>
          </cell>
          <cell r="R113">
            <v>3045.5004101906898</v>
          </cell>
          <cell r="S113">
            <v>913.91993482507019</v>
          </cell>
          <cell r="U113">
            <v>16709.67267406001</v>
          </cell>
        </row>
        <row r="114">
          <cell r="A114" t="str">
            <v>mstag:costOfSalesWithoutDepreciation</v>
          </cell>
          <cell r="B114" t="str">
            <v>Gross Profit</v>
          </cell>
          <cell r="C114">
            <v>1822</v>
          </cell>
          <cell r="D114">
            <v>1996</v>
          </cell>
          <cell r="E114">
            <v>3122</v>
          </cell>
          <cell r="F114">
            <v>736</v>
          </cell>
          <cell r="G114">
            <v>173.73799999999994</v>
          </cell>
          <cell r="H114">
            <v>412.76600000000008</v>
          </cell>
          <cell r="I114">
            <v>1219.3129999999992</v>
          </cell>
          <cell r="K114">
            <v>9481.8169999999991</v>
          </cell>
          <cell r="M114">
            <v>642.61400000000003</v>
          </cell>
          <cell r="N114">
            <v>243.51700000000005</v>
          </cell>
          <cell r="O114">
            <v>311.62400000000002</v>
          </cell>
          <cell r="P114">
            <v>558.19299999999998</v>
          </cell>
          <cell r="Q114">
            <v>1389</v>
          </cell>
          <cell r="R114">
            <v>1024.6599999999999</v>
          </cell>
          <cell r="S114">
            <v>172.892</v>
          </cell>
          <cell r="U114">
            <v>4342.5</v>
          </cell>
        </row>
        <row r="115">
          <cell r="B115" t="str">
            <v>FY(5)</v>
          </cell>
          <cell r="C115">
            <v>4113.6750000000011</v>
          </cell>
          <cell r="D115">
            <v>6774</v>
          </cell>
          <cell r="E115">
            <v>6430</v>
          </cell>
          <cell r="F115">
            <v>2572.0249999999996</v>
          </cell>
          <cell r="G115">
            <v>1085.6799999999998</v>
          </cell>
          <cell r="H115">
            <v>953.38599999999997</v>
          </cell>
          <cell r="I115">
            <v>3566.2219999999998</v>
          </cell>
          <cell r="K115">
            <v>25494.988000000005</v>
          </cell>
          <cell r="M115">
            <v>1341.2249999999999</v>
          </cell>
          <cell r="N115">
            <v>324.60699999999997</v>
          </cell>
          <cell r="O115">
            <v>877.80799999999999</v>
          </cell>
          <cell r="P115">
            <v>955.01900000000001</v>
          </cell>
          <cell r="Q115">
            <v>6381</v>
          </cell>
          <cell r="R115">
            <v>3455.0739999999996</v>
          </cell>
          <cell r="S115">
            <v>338.75</v>
          </cell>
          <cell r="U115">
            <v>13673.483</v>
          </cell>
        </row>
        <row r="116">
          <cell r="B116" t="str">
            <v>FY(4)</v>
          </cell>
          <cell r="C116">
            <v>4760.6000000000004</v>
          </cell>
          <cell r="D116">
            <v>7190</v>
          </cell>
          <cell r="E116">
            <v>9118</v>
          </cell>
          <cell r="F116">
            <v>2834.5889999999999</v>
          </cell>
          <cell r="G116">
            <v>1023.5</v>
          </cell>
          <cell r="H116">
            <v>1091.5880000000002</v>
          </cell>
          <cell r="I116">
            <v>3748.271999999999</v>
          </cell>
          <cell r="K116">
            <v>29766.548999999999</v>
          </cell>
          <cell r="M116">
            <v>1854.1850000000002</v>
          </cell>
          <cell r="N116">
            <v>362.47500000000002</v>
          </cell>
          <cell r="O116">
            <v>1075.961</v>
          </cell>
          <cell r="P116">
            <v>1267.5509999999999</v>
          </cell>
          <cell r="Q116">
            <v>5870</v>
          </cell>
          <cell r="R116">
            <v>3450.1480000000001</v>
          </cell>
          <cell r="S116">
            <v>448.60599999999999</v>
          </cell>
          <cell r="U116">
            <v>14328.925999999999</v>
          </cell>
        </row>
        <row r="117">
          <cell r="B117" t="str">
            <v>FY(3)</v>
          </cell>
          <cell r="C117">
            <v>5667.5829999999987</v>
          </cell>
          <cell r="D117">
            <v>7809</v>
          </cell>
          <cell r="E117">
            <v>10951</v>
          </cell>
          <cell r="F117">
            <v>3206.7490000000007</v>
          </cell>
          <cell r="G117">
            <v>1135.7090000000001</v>
          </cell>
          <cell r="H117">
            <v>1252.683</v>
          </cell>
          <cell r="I117">
            <v>4190.9339999999993</v>
          </cell>
          <cell r="K117">
            <v>34213.657999999996</v>
          </cell>
          <cell r="M117">
            <v>2200.6669999999999</v>
          </cell>
          <cell r="N117">
            <v>448.01700000000005</v>
          </cell>
          <cell r="O117">
            <v>1340.4290000000001</v>
          </cell>
          <cell r="P117">
            <v>1581.571412546203</v>
          </cell>
          <cell r="Q117">
            <v>5657</v>
          </cell>
          <cell r="R117">
            <v>4013.5119999999997</v>
          </cell>
          <cell r="S117">
            <v>451.92100000000005</v>
          </cell>
          <cell r="U117">
            <v>15693.117412546204</v>
          </cell>
        </row>
        <row r="118">
          <cell r="A118" t="str">
            <v>mstag:costOfSalesWithDepreciation</v>
          </cell>
          <cell r="B118" t="str">
            <v>FY(2)</v>
          </cell>
          <cell r="C118">
            <v>6014.1</v>
          </cell>
          <cell r="D118">
            <v>7665</v>
          </cell>
          <cell r="E118">
            <v>10636</v>
          </cell>
          <cell r="F118">
            <v>3301.6360000000004</v>
          </cell>
          <cell r="G118">
            <v>1273.6319999999998</v>
          </cell>
          <cell r="H118">
            <v>1356.9920000000002</v>
          </cell>
          <cell r="I118">
            <v>4491.1141962548991</v>
          </cell>
          <cell r="K118">
            <v>34738.474196254901</v>
          </cell>
          <cell r="M118">
            <v>2488.1660000000002</v>
          </cell>
          <cell r="N118">
            <v>545.50299999999993</v>
          </cell>
          <cell r="O118">
            <v>1423.1379999999999</v>
          </cell>
          <cell r="P118">
            <v>2022.9860000000001</v>
          </cell>
          <cell r="Q118">
            <v>5694</v>
          </cell>
          <cell r="R118">
            <v>3463.5389999999998</v>
          </cell>
          <cell r="S118">
            <v>576.77199999999993</v>
          </cell>
          <cell r="U118">
            <v>16214.103999999999</v>
          </cell>
        </row>
        <row r="119">
          <cell r="B119" t="str">
            <v>FY(1)</v>
          </cell>
          <cell r="C119">
            <v>6055.2870000000021</v>
          </cell>
          <cell r="D119">
            <v>6916</v>
          </cell>
          <cell r="E119">
            <v>9883</v>
          </cell>
          <cell r="F119">
            <v>2861.5169999999998</v>
          </cell>
          <cell r="G119">
            <v>974.39399999999978</v>
          </cell>
          <cell r="H119">
            <v>1529.5630000000001</v>
          </cell>
          <cell r="I119">
            <v>4577.4170000000013</v>
          </cell>
          <cell r="K119">
            <v>32797.178000000007</v>
          </cell>
          <cell r="M119">
            <v>2331.0949999999998</v>
          </cell>
          <cell r="N119">
            <v>654.18200000000002</v>
          </cell>
          <cell r="O119">
            <v>1174.0509999999999</v>
          </cell>
          <cell r="P119">
            <v>2407.1030000000001</v>
          </cell>
          <cell r="Q119">
            <v>5447</v>
          </cell>
          <cell r="R119">
            <v>3006.3959999999988</v>
          </cell>
          <cell r="S119">
            <v>713.47799999999984</v>
          </cell>
          <cell r="U119">
            <v>15733.304999999998</v>
          </cell>
        </row>
        <row r="120">
          <cell r="B120" t="str">
            <v>FY0</v>
          </cell>
          <cell r="C120">
            <v>6497</v>
          </cell>
          <cell r="D120">
            <v>6910</v>
          </cell>
          <cell r="E120">
            <v>9516</v>
          </cell>
          <cell r="F120">
            <v>2930</v>
          </cell>
          <cell r="G120">
            <v>957.61300000000006</v>
          </cell>
          <cell r="H120">
            <v>1856.9349999999995</v>
          </cell>
          <cell r="I120">
            <v>5320.0149999999994</v>
          </cell>
          <cell r="K120">
            <v>33987.563000000002</v>
          </cell>
          <cell r="M120">
            <v>1883.596</v>
          </cell>
          <cell r="N120">
            <v>849.54700000000003</v>
          </cell>
          <cell r="O120">
            <v>1158.087</v>
          </cell>
          <cell r="P120">
            <v>2322.6099999999997</v>
          </cell>
          <cell r="Q120">
            <v>5724</v>
          </cell>
          <cell r="R120">
            <v>3028.0910000000003</v>
          </cell>
          <cell r="S120">
            <v>786.14499999999998</v>
          </cell>
          <cell r="U120">
            <v>15752.076000000001</v>
          </cell>
        </row>
        <row r="121">
          <cell r="B121" t="str">
            <v>FY1</v>
          </cell>
          <cell r="C121">
            <v>7101.2509991962015</v>
          </cell>
          <cell r="D121">
            <v>7052.195963943901</v>
          </cell>
          <cell r="E121">
            <v>9999.5034685626979</v>
          </cell>
          <cell r="F121">
            <v>3248.4832725953502</v>
          </cell>
          <cell r="G121">
            <v>1042.28930686739</v>
          </cell>
          <cell r="H121">
            <v>2065.3716729641901</v>
          </cell>
          <cell r="I121">
            <v>5885.310704664098</v>
          </cell>
          <cell r="J121">
            <v>0.33274507332440401</v>
          </cell>
          <cell r="K121">
            <v>36394.405388793828</v>
          </cell>
          <cell r="M121">
            <v>2032.8679729421399</v>
          </cell>
          <cell r="N121">
            <v>929.96868914735001</v>
          </cell>
          <cell r="O121">
            <v>1266.9787359654401</v>
          </cell>
          <cell r="P121">
            <v>2515.6925399197899</v>
          </cell>
          <cell r="Q121">
            <v>5761.9927510824509</v>
          </cell>
          <cell r="R121">
            <v>3280.7318835615306</v>
          </cell>
          <cell r="S121">
            <v>934.6473444801602</v>
          </cell>
          <cell r="T121">
            <v>0.45872835288662239</v>
          </cell>
          <cell r="U121">
            <v>16722.87991709886</v>
          </cell>
        </row>
        <row r="122">
          <cell r="B122" t="str">
            <v>FY2</v>
          </cell>
          <cell r="C122">
            <v>7753.115220443502</v>
          </cell>
          <cell r="D122">
            <v>7243.9438851044997</v>
          </cell>
          <cell r="E122">
            <v>10108.242618236802</v>
          </cell>
          <cell r="F122">
            <v>3410.8710864067007</v>
          </cell>
          <cell r="G122">
            <v>1152.43096073528</v>
          </cell>
          <cell r="H122">
            <v>2159.9586935625002</v>
          </cell>
          <cell r="I122">
            <v>6237.8881975639015</v>
          </cell>
          <cell r="J122">
            <v>0.33578685815822862</v>
          </cell>
          <cell r="K122">
            <v>38066.45066205319</v>
          </cell>
          <cell r="M122">
            <v>2223.0728258744202</v>
          </cell>
          <cell r="N122">
            <v>1021.1927511121598</v>
          </cell>
          <cell r="O122">
            <v>1425.8441936296099</v>
          </cell>
          <cell r="P122">
            <v>2690.3158544076095</v>
          </cell>
          <cell r="Q122">
            <v>5577.5201963543695</v>
          </cell>
          <cell r="R122">
            <v>3451.6686484513293</v>
          </cell>
          <cell r="S122">
            <v>1074.0643162897602</v>
          </cell>
          <cell r="T122">
            <v>0.48614174132266724</v>
          </cell>
          <cell r="U122">
            <v>17463.678786119261</v>
          </cell>
        </row>
        <row r="123">
          <cell r="B123" t="str">
            <v>FQ(3)</v>
          </cell>
          <cell r="C123">
            <v>1368</v>
          </cell>
          <cell r="D123">
            <v>1574</v>
          </cell>
          <cell r="E123">
            <v>1980</v>
          </cell>
          <cell r="F123">
            <v>599</v>
          </cell>
          <cell r="G123">
            <v>238.40799999999996</v>
          </cell>
          <cell r="H123">
            <v>422.88999999999987</v>
          </cell>
          <cell r="I123">
            <v>1080.8780000000002</v>
          </cell>
          <cell r="J123">
            <v>0.3337732364602749</v>
          </cell>
          <cell r="K123">
            <v>7263.1760000000013</v>
          </cell>
          <cell r="M123">
            <v>381.45200000000006</v>
          </cell>
          <cell r="N123">
            <v>150.29000000000002</v>
          </cell>
          <cell r="O123">
            <v>220.93900000000002</v>
          </cell>
          <cell r="P123">
            <v>525.06299999999999</v>
          </cell>
          <cell r="Q123">
            <v>1239</v>
          </cell>
          <cell r="R123">
            <v>548.35599999999999</v>
          </cell>
          <cell r="S123">
            <v>143.30499999999998</v>
          </cell>
          <cell r="T123">
            <v>0.47718374728426216</v>
          </cell>
          <cell r="U123">
            <v>3208.4050000000002</v>
          </cell>
        </row>
        <row r="124">
          <cell r="B124" t="str">
            <v>FQ(2)</v>
          </cell>
          <cell r="C124">
            <v>1520</v>
          </cell>
          <cell r="D124">
            <v>1520</v>
          </cell>
          <cell r="E124">
            <v>2143</v>
          </cell>
          <cell r="F124">
            <v>727</v>
          </cell>
          <cell r="G124">
            <v>168.17600000000004</v>
          </cell>
          <cell r="H124">
            <v>457.5</v>
          </cell>
          <cell r="I124">
            <v>1213.2260000000001</v>
          </cell>
          <cell r="J124">
            <v>0.34123040841955765</v>
          </cell>
          <cell r="K124">
            <v>7748.902</v>
          </cell>
          <cell r="M124">
            <v>424.51499999999999</v>
          </cell>
          <cell r="N124">
            <v>165.69200000000001</v>
          </cell>
          <cell r="O124">
            <v>248.83300000000003</v>
          </cell>
          <cell r="P124">
            <v>547.31799999999998</v>
          </cell>
          <cell r="Q124">
            <v>1288</v>
          </cell>
          <cell r="R124">
            <v>668.00900000000001</v>
          </cell>
          <cell r="S124">
            <v>187.09099999999995</v>
          </cell>
          <cell r="T124">
            <v>0.47674238848644357</v>
          </cell>
          <cell r="U124">
            <v>3529.4580000000001</v>
          </cell>
        </row>
        <row r="125">
          <cell r="B125" t="str">
            <v>FQ(1)</v>
          </cell>
          <cell r="C125">
            <v>1539</v>
          </cell>
          <cell r="D125">
            <v>1695.9999999999995</v>
          </cell>
          <cell r="E125">
            <v>2121</v>
          </cell>
          <cell r="F125">
            <v>658</v>
          </cell>
          <cell r="G125">
            <v>254.63499999999999</v>
          </cell>
          <cell r="H125">
            <v>459.28699999999981</v>
          </cell>
          <cell r="I125">
            <v>1442.7669999999998</v>
          </cell>
          <cell r="J125">
            <v>0.34162562690306364</v>
          </cell>
          <cell r="K125">
            <v>8170.6890000000003</v>
          </cell>
          <cell r="M125">
            <v>483.08699999999999</v>
          </cell>
          <cell r="N125">
            <v>222.91699999999997</v>
          </cell>
          <cell r="O125">
            <v>300.12799999999999</v>
          </cell>
          <cell r="P125">
            <v>550.178</v>
          </cell>
          <cell r="Q125">
            <v>1524</v>
          </cell>
          <cell r="R125">
            <v>562.74800000000005</v>
          </cell>
          <cell r="S125">
            <v>210.08799999999997</v>
          </cell>
          <cell r="T125">
            <v>0.47485611668511796</v>
          </cell>
          <cell r="U125">
            <v>3853.1459999999997</v>
          </cell>
        </row>
        <row r="126">
          <cell r="B126" t="str">
            <v>Last Reported Q</v>
          </cell>
          <cell r="C126">
            <v>6497</v>
          </cell>
          <cell r="D126">
            <v>6910</v>
          </cell>
          <cell r="E126">
            <v>9516</v>
          </cell>
          <cell r="F126">
            <v>2930</v>
          </cell>
          <cell r="G126">
            <v>957.61300000000006</v>
          </cell>
          <cell r="H126">
            <v>1856.9349999999995</v>
          </cell>
          <cell r="I126">
            <v>5320.0149999999994</v>
          </cell>
          <cell r="J126">
            <v>0.32606283340050934</v>
          </cell>
          <cell r="K126">
            <v>33987.563000000002</v>
          </cell>
          <cell r="M126">
            <v>1883.596</v>
          </cell>
          <cell r="N126">
            <v>849.54700000000003</v>
          </cell>
          <cell r="O126">
            <v>1158.087</v>
          </cell>
          <cell r="P126">
            <v>770.93900000000008</v>
          </cell>
          <cell r="Q126">
            <v>5724</v>
          </cell>
          <cell r="R126">
            <v>3028.0910000000003</v>
          </cell>
          <cell r="S126">
            <v>786.14499999999998</v>
          </cell>
          <cell r="T126">
            <v>0.46031035398215553</v>
          </cell>
          <cell r="U126">
            <v>14200.405000000001</v>
          </cell>
        </row>
        <row r="127">
          <cell r="B127" t="str">
            <v>LTM</v>
          </cell>
          <cell r="C127">
            <v>10924</v>
          </cell>
          <cell r="D127">
            <v>11700</v>
          </cell>
          <cell r="E127">
            <v>15760</v>
          </cell>
          <cell r="F127">
            <v>4914</v>
          </cell>
          <cell r="G127">
            <v>1618.8320000000001</v>
          </cell>
          <cell r="H127">
            <v>3196.6119999999992</v>
          </cell>
          <cell r="I127">
            <v>9056.8859999999986</v>
          </cell>
          <cell r="J127">
            <v>0.34253549494913577</v>
          </cell>
          <cell r="K127">
            <v>57170.33</v>
          </cell>
          <cell r="M127">
            <v>3172.65</v>
          </cell>
          <cell r="N127">
            <v>1388.4459999999999</v>
          </cell>
          <cell r="O127">
            <v>1927.9870000000001</v>
          </cell>
          <cell r="P127">
            <v>2393.4979999999996</v>
          </cell>
          <cell r="Q127">
            <v>9775</v>
          </cell>
          <cell r="R127">
            <v>4807.2040000000006</v>
          </cell>
          <cell r="S127">
            <v>1326.6289999999999</v>
          </cell>
          <cell r="T127">
            <v>0.4681344617109402</v>
          </cell>
          <cell r="U127">
            <v>24791.414000000001</v>
          </cell>
        </row>
        <row r="128">
          <cell r="B128" t="str">
            <v>FY2</v>
          </cell>
          <cell r="C128">
            <v>0.37793932721135309</v>
          </cell>
          <cell r="D128">
            <v>0.40387478302889063</v>
          </cell>
          <cell r="E128">
            <v>0.40891438601937197</v>
          </cell>
          <cell r="F128">
            <v>0.3516713781024392</v>
          </cell>
          <cell r="G128">
            <v>0.37153492972519664</v>
          </cell>
          <cell r="H128">
            <v>0.2519609544743126</v>
          </cell>
          <cell r="I128">
            <v>0.26027414700690904</v>
          </cell>
          <cell r="J128">
            <v>0.34659570079549618</v>
          </cell>
          <cell r="K128">
            <v>0.35233383234608834</v>
          </cell>
          <cell r="M128">
            <v>0.65560315511496348</v>
          </cell>
          <cell r="N128">
            <v>0.36839869294545086</v>
          </cell>
          <cell r="O128">
            <v>0.39712283400869647</v>
          </cell>
          <cell r="P128">
            <v>0.72327915689366484</v>
          </cell>
          <cell r="Q128">
            <v>0.40697041666330491</v>
          </cell>
          <cell r="R128">
            <v>0.35628857516161133</v>
          </cell>
          <cell r="S128">
            <v>0.40473278102974558</v>
          </cell>
          <cell r="T128">
            <v>0.47319937311677679</v>
          </cell>
          <cell r="U128">
            <v>0.44531795350216397</v>
          </cell>
        </row>
        <row r="129">
          <cell r="B129" t="str">
            <v>Gross Margin</v>
          </cell>
          <cell r="C129">
            <v>0.34804202483285579</v>
          </cell>
          <cell r="D129">
            <v>0.34657460701020493</v>
          </cell>
          <cell r="E129">
            <v>0.39349634484497104</v>
          </cell>
          <cell r="F129">
            <v>0.31986093003042154</v>
          </cell>
          <cell r="G129">
            <v>0.20794369872113266</v>
          </cell>
          <cell r="H129">
            <v>0.23802730158144345</v>
          </cell>
          <cell r="I129">
            <v>0.22663705094307168</v>
          </cell>
          <cell r="J129">
            <v>0.29722599399487154</v>
          </cell>
          <cell r="K129">
            <v>0.32495497751431268</v>
          </cell>
          <cell r="M129">
            <v>0.6439308385648651</v>
          </cell>
          <cell r="N129">
            <v>0.35291449341103193</v>
          </cell>
          <cell r="O129">
            <v>0.34406978028044605</v>
          </cell>
          <cell r="P129">
            <v>0.74175613165738463</v>
          </cell>
          <cell r="Q129">
            <v>0.34027437530622245</v>
          </cell>
          <cell r="R129">
            <v>0.3425693941564012</v>
          </cell>
          <cell r="S129">
            <v>0.34028633398808844</v>
          </cell>
          <cell r="T129">
            <v>0.44368590676634856</v>
          </cell>
          <cell r="U129">
            <v>1.0309375029018297E-2</v>
          </cell>
        </row>
        <row r="130">
          <cell r="B130" t="str">
            <v>FY(5)</v>
          </cell>
          <cell r="C130">
            <v>0.35157511943729869</v>
          </cell>
          <cell r="D130">
            <v>0.37433687002652521</v>
          </cell>
          <cell r="E130">
            <v>0.40758113590263689</v>
          </cell>
          <cell r="F130">
            <v>0.36066134439275915</v>
          </cell>
          <cell r="G130">
            <v>0.39237044615838867</v>
          </cell>
          <cell r="H130">
            <v>0.22485571899933726</v>
          </cell>
          <cell r="I130">
            <v>0.23912737219065458</v>
          </cell>
          <cell r="J130">
            <v>0.33578685815822862</v>
          </cell>
          <cell r="K130">
            <v>0.34164338087983182</v>
          </cell>
          <cell r="M130">
            <v>0.66356083896432605</v>
          </cell>
          <cell r="N130">
            <v>0.33665521690250688</v>
          </cell>
          <cell r="O130">
            <v>0.46661113594696269</v>
          </cell>
          <cell r="P130">
            <v>0.75062406665094716</v>
          </cell>
          <cell r="Q130">
            <v>0.39226655191491977</v>
          </cell>
          <cell r="R130">
            <v>0.3672363331488156</v>
          </cell>
          <cell r="S130">
            <v>0.40924192086982786</v>
          </cell>
          <cell r="T130">
            <v>0.48374229491404369</v>
          </cell>
          <cell r="U130">
            <v>0.41889143117735578</v>
          </cell>
        </row>
        <row r="131">
          <cell r="B131" t="str">
            <v>FY(4)</v>
          </cell>
          <cell r="C131">
            <v>0.35521033860112522</v>
          </cell>
          <cell r="D131">
            <v>0.3828337149246579</v>
          </cell>
          <cell r="E131">
            <v>0.4072353729343457</v>
          </cell>
          <cell r="F131">
            <v>0.36705055232607825</v>
          </cell>
          <cell r="G131">
            <v>0.36838636693297744</v>
          </cell>
          <cell r="H131">
            <v>0.22078245953473774</v>
          </cell>
          <cell r="I131">
            <v>0.23491384996800246</v>
          </cell>
          <cell r="J131">
            <v>0.3337732364602749</v>
          </cell>
          <cell r="K131">
            <v>0.34622626093456549</v>
          </cell>
          <cell r="M131">
            <v>0.66982483696775197</v>
          </cell>
          <cell r="N131">
            <v>0.30097222810369439</v>
          </cell>
          <cell r="O131">
            <v>0.46338441369841538</v>
          </cell>
          <cell r="P131">
            <v>0.76742019151131191</v>
          </cell>
          <cell r="Q131">
            <v>0.36634837421207017</v>
          </cell>
          <cell r="R131">
            <v>0.35680728062464451</v>
          </cell>
          <cell r="S131">
            <v>0.41077110576161496</v>
          </cell>
          <cell r="T131">
            <v>0.47650406155421482</v>
          </cell>
          <cell r="U131">
            <v>0.41257133728970818</v>
          </cell>
        </row>
        <row r="132">
          <cell r="B132" t="str">
            <v>FY(3)</v>
          </cell>
          <cell r="C132">
            <v>0.3636492487376406</v>
          </cell>
          <cell r="D132">
            <v>0.39235117686260546</v>
          </cell>
          <cell r="E132">
            <v>0.40604375231738971</v>
          </cell>
          <cell r="F132">
            <v>0.37458966546886718</v>
          </cell>
          <cell r="G132">
            <v>0.38629518405253327</v>
          </cell>
          <cell r="H132">
            <v>0.2248897258810709</v>
          </cell>
          <cell r="I132">
            <v>0.24079410561679623</v>
          </cell>
          <cell r="J132">
            <v>0.34123040841955765</v>
          </cell>
          <cell r="K132">
            <v>0.35295851028933234</v>
          </cell>
          <cell r="M132">
            <v>0.67008193227159563</v>
          </cell>
          <cell r="N132">
            <v>0.31702127358463866</v>
          </cell>
          <cell r="O132">
            <v>0.47968246595255026</v>
          </cell>
          <cell r="P132">
            <v>0.77715250839458938</v>
          </cell>
          <cell r="Q132">
            <v>0.35527224769201782</v>
          </cell>
          <cell r="R132">
            <v>0.37612621984111183</v>
          </cell>
          <cell r="S132">
            <v>0.36900034865197429</v>
          </cell>
          <cell r="T132">
            <v>0.47776242805549679</v>
          </cell>
          <cell r="U132">
            <v>0.42021726118309527</v>
          </cell>
        </row>
        <row r="133">
          <cell r="B133" t="str">
            <v>FY(2)</v>
          </cell>
          <cell r="C133">
            <v>0.36507281302925271</v>
          </cell>
          <cell r="D133">
            <v>0.38593358921258974</v>
          </cell>
          <cell r="E133">
            <v>0.40421084634971305</v>
          </cell>
          <cell r="F133">
            <v>0.37400380207376371</v>
          </cell>
          <cell r="G133">
            <v>0.39013022290713839</v>
          </cell>
          <cell r="H133">
            <v>0.22710357389829852</v>
          </cell>
          <cell r="I133">
            <v>0.24492454085068946</v>
          </cell>
          <cell r="J133">
            <v>0.34162562690306364</v>
          </cell>
          <cell r="K133">
            <v>0.35070941460660748</v>
          </cell>
          <cell r="M133">
            <v>0.67253982532430046</v>
          </cell>
          <cell r="N133">
            <v>0.34456092567946972</v>
          </cell>
          <cell r="O133">
            <v>0.46577507045678512</v>
          </cell>
          <cell r="P133">
            <v>0.77436175001607688</v>
          </cell>
          <cell r="Q133">
            <v>0.36122565501490833</v>
          </cell>
          <cell r="R133">
            <v>0.34339067881529911</v>
          </cell>
          <cell r="S133">
            <v>0.38254481589468625</v>
          </cell>
          <cell r="T133">
            <v>0.47777124588593223</v>
          </cell>
          <cell r="U133">
            <v>0.42325931546298057</v>
          </cell>
        </row>
        <row r="134">
          <cell r="B134" t="str">
            <v>FY(1)</v>
          </cell>
          <cell r="C134">
            <v>0.36947488849160109</v>
          </cell>
          <cell r="D134">
            <v>0.37411138446832803</v>
          </cell>
          <cell r="E134">
            <v>0.39703519202956772</v>
          </cell>
          <cell r="F134">
            <v>0.34513532746351461</v>
          </cell>
          <cell r="G134">
            <v>0.32085279404442962</v>
          </cell>
          <cell r="H134">
            <v>0.23582026225463254</v>
          </cell>
          <cell r="I134">
            <v>0.24092296088766529</v>
          </cell>
          <cell r="J134">
            <v>0.32619325851996273</v>
          </cell>
          <cell r="K134">
            <v>0.33958242581420323</v>
          </cell>
          <cell r="M134">
            <v>0.66907487449258152</v>
          </cell>
          <cell r="N134">
            <v>0.34694841930469456</v>
          </cell>
          <cell r="O134">
            <v>0.3928146152808954</v>
          </cell>
          <cell r="P134">
            <v>0.75677047948019927</v>
          </cell>
          <cell r="Q134">
            <v>0.37498278948093072</v>
          </cell>
          <cell r="R134">
            <v>0.33246659377546589</v>
          </cell>
          <cell r="S134">
            <v>0.38889730723235022</v>
          </cell>
          <cell r="T134">
            <v>0.46599358272101676</v>
          </cell>
          <cell r="U134">
            <v>0.42588652884466527</v>
          </cell>
        </row>
        <row r="135">
          <cell r="B135" t="str">
            <v>FY0</v>
          </cell>
          <cell r="C135">
            <v>0.37823834196891193</v>
          </cell>
          <cell r="D135">
            <v>0.39356446279921992</v>
          </cell>
          <cell r="E135">
            <v>0.4051258035676274</v>
          </cell>
          <cell r="F135">
            <v>0.3548074594332768</v>
          </cell>
          <cell r="G135">
            <v>0.36470630800811971</v>
          </cell>
          <cell r="H135">
            <v>0.25847437986596439</v>
          </cell>
          <cell r="I135">
            <v>0.26221897549166412</v>
          </cell>
          <cell r="J135">
            <v>0.34530510444782631</v>
          </cell>
          <cell r="K135">
            <v>0.3519115449085542</v>
          </cell>
          <cell r="M135">
            <v>0.6431673566946946</v>
          </cell>
          <cell r="N135">
            <v>0.38094484340423435</v>
          </cell>
          <cell r="O135">
            <v>0.38724779790259878</v>
          </cell>
          <cell r="P135">
            <v>0.71897013064360948</v>
          </cell>
          <cell r="Q135">
            <v>0.40318377121927168</v>
          </cell>
          <cell r="R135">
            <v>0.35077650699768259</v>
          </cell>
          <cell r="S135">
            <v>0.40568630132391376</v>
          </cell>
          <cell r="T135">
            <v>0.46999667259800076</v>
          </cell>
          <cell r="U135">
            <v>0.43577694287156998</v>
          </cell>
        </row>
        <row r="136">
          <cell r="A136" t="str">
            <v>Gross Margin Y/Y bps</v>
          </cell>
          <cell r="B136" t="str">
            <v>FY1</v>
          </cell>
          <cell r="C136">
            <v>0.38389063407855639</v>
          </cell>
          <cell r="D136">
            <v>0.39605323146481297</v>
          </cell>
          <cell r="E136">
            <v>0.40740177504153008</v>
          </cell>
          <cell r="F136">
            <v>0.36371218664159571</v>
          </cell>
          <cell r="G136">
            <v>0.38074593530189327</v>
          </cell>
          <cell r="H136">
            <v>0.26466022730826666</v>
          </cell>
          <cell r="I136">
            <v>0.26683303831625033</v>
          </cell>
          <cell r="J136">
            <v>0.351899575450415</v>
          </cell>
          <cell r="K136">
            <v>0.35549103872088045</v>
          </cell>
          <cell r="M136">
            <v>0.64275377929795485</v>
          </cell>
          <cell r="N136">
            <v>0.38266153944036096</v>
          </cell>
          <cell r="O136">
            <v>0.42389290445183864</v>
          </cell>
          <cell r="P136">
            <v>0.72371114291347305</v>
          </cell>
          <cell r="Q136">
            <v>0.40988133878454813</v>
          </cell>
          <cell r="R136">
            <v>0.36009474193507907</v>
          </cell>
          <cell r="S136">
            <v>0.41328451675268396</v>
          </cell>
          <cell r="T136">
            <v>0.47946856622513412</v>
          </cell>
          <cell r="U136">
            <v>0.44608631790058828</v>
          </cell>
        </row>
        <row r="137">
          <cell r="B137" t="str">
            <v>FY2</v>
          </cell>
          <cell r="C137">
            <v>0.38689063407855973</v>
          </cell>
          <cell r="D137">
            <v>0.39805323146481542</v>
          </cell>
          <cell r="E137">
            <v>0.40840177504152941</v>
          </cell>
          <cell r="F137">
            <v>0.36471218664159616</v>
          </cell>
          <cell r="G137">
            <v>0.39301536046301189</v>
          </cell>
          <cell r="H137">
            <v>0.26466022730826688</v>
          </cell>
          <cell r="I137">
            <v>0.26533303831625055</v>
          </cell>
          <cell r="J137">
            <v>0.35443806475914713</v>
          </cell>
          <cell r="K137">
            <v>0.35594708840548112</v>
          </cell>
          <cell r="M137">
            <v>0.65060178234357102</v>
          </cell>
          <cell r="N137">
            <v>0.37125288326098349</v>
          </cell>
          <cell r="O137">
            <v>0.43137881486428442</v>
          </cell>
          <cell r="P137">
            <v>0.72371114291347427</v>
          </cell>
          <cell r="Q137">
            <v>0.41288133878454431</v>
          </cell>
          <cell r="R137">
            <v>0.36509474193507874</v>
          </cell>
          <cell r="S137">
            <v>0.41628451675268513</v>
          </cell>
          <cell r="T137">
            <v>0.48160074583637452</v>
          </cell>
          <cell r="U137">
            <v>0.45086886973497936</v>
          </cell>
        </row>
        <row r="138">
          <cell r="B138" t="str">
            <v>FQ(3)</v>
          </cell>
          <cell r="C138">
            <v>0.3760307861462342</v>
          </cell>
          <cell r="D138">
            <v>0.4052069222711514</v>
          </cell>
          <cell r="E138">
            <v>0.38084246970571262</v>
          </cell>
          <cell r="F138">
            <v>0.35111371629542792</v>
          </cell>
          <cell r="G138">
            <v>0.38374544880936662</v>
          </cell>
          <cell r="H138">
            <v>0.24999423622265082</v>
          </cell>
          <cell r="I138">
            <v>0.24823665479773208</v>
          </cell>
          <cell r="J138">
            <v>0.34216717632118215</v>
          </cell>
          <cell r="K138">
            <v>0.34431570764330982</v>
          </cell>
          <cell r="M138">
            <v>0.63392656827242833</v>
          </cell>
          <cell r="N138">
            <v>0.36833617630335475</v>
          </cell>
          <cell r="O138">
            <v>0.36101143790849677</v>
          </cell>
          <cell r="P138">
            <v>0.7096030889032745</v>
          </cell>
          <cell r="Q138">
            <v>0.39622641509433965</v>
          </cell>
          <cell r="R138">
            <v>0.31784386724838382</v>
          </cell>
          <cell r="S138">
            <v>0.37241811245439138</v>
          </cell>
          <cell r="T138">
            <v>0.45133795231209556</v>
          </cell>
          <cell r="U138">
            <v>0.42222938716692604</v>
          </cell>
        </row>
        <row r="139">
          <cell r="B139" t="str">
            <v>FQ(2)</v>
          </cell>
          <cell r="C139">
            <v>0.39936941671045717</v>
          </cell>
          <cell r="D139">
            <v>0.3855274790180136</v>
          </cell>
          <cell r="E139">
            <v>0.41498838109992253</v>
          </cell>
          <cell r="F139">
            <v>0.33892773892773892</v>
          </cell>
          <cell r="G139">
            <v>0.29940750868797361</v>
          </cell>
          <cell r="H139">
            <v>0.25867391594426442</v>
          </cell>
          <cell r="I139">
            <v>0.25554899307597556</v>
          </cell>
          <cell r="J139">
            <v>0.33606334763776363</v>
          </cell>
          <cell r="K139">
            <v>0.35006656376812012</v>
          </cell>
          <cell r="M139">
            <v>0.66619744170389861</v>
          </cell>
          <cell r="N139">
            <v>0.36574985651847602</v>
          </cell>
          <cell r="O139">
            <v>0.37839798295610072</v>
          </cell>
          <cell r="P139">
            <v>0.70372513320578489</v>
          </cell>
          <cell r="Q139">
            <v>0.39691833590138675</v>
          </cell>
          <cell r="R139">
            <v>0.32323902429582746</v>
          </cell>
          <cell r="S139">
            <v>0.40793805846157866</v>
          </cell>
          <cell r="T139">
            <v>0.46316654757757902</v>
          </cell>
          <cell r="U139">
            <v>0.4254503203240862</v>
          </cell>
        </row>
        <row r="140">
          <cell r="A140" t="str">
            <v>mstag:sellingGeneralAndAdministrativeExpenses</v>
          </cell>
          <cell r="B140" t="str">
            <v>FQ(1)</v>
          </cell>
          <cell r="C140">
            <v>0.37990619600098741</v>
          </cell>
          <cell r="D140">
            <v>0.40570336732064843</v>
          </cell>
          <cell r="E140">
            <v>0.40193291642978968</v>
          </cell>
          <cell r="F140">
            <v>0.35224839400428265</v>
          </cell>
          <cell r="G140">
            <v>0.40326463256650735</v>
          </cell>
          <cell r="H140">
            <v>0.26333164959902844</v>
          </cell>
          <cell r="I140">
            <v>0.27507756991206389</v>
          </cell>
          <cell r="J140">
            <v>0.35449496083332965</v>
          </cell>
          <cell r="K140">
            <v>0.35529503164850834</v>
          </cell>
          <cell r="M140">
            <v>0.64096756730937632</v>
          </cell>
          <cell r="N140">
            <v>0.39257147284965077</v>
          </cell>
          <cell r="O140">
            <v>0.40072527044095696</v>
          </cell>
          <cell r="P140">
            <v>0.72255222690780718</v>
          </cell>
          <cell r="Q140">
            <v>0.42463081638339373</v>
          </cell>
          <cell r="R140">
            <v>0.31663271515417157</v>
          </cell>
          <cell r="S140">
            <v>0.41527574619490015</v>
          </cell>
          <cell r="T140">
            <v>0.47333654503432243</v>
          </cell>
          <cell r="U140">
            <v>0.44268119068571099</v>
          </cell>
        </row>
        <row r="141">
          <cell r="B141" t="str">
            <v>Last Reported Q</v>
          </cell>
          <cell r="C141">
            <v>0.37823834196891193</v>
          </cell>
          <cell r="D141">
            <v>0.39356446279921992</v>
          </cell>
          <cell r="E141">
            <v>0.4051258035676274</v>
          </cell>
          <cell r="F141">
            <v>0.3548074594332768</v>
          </cell>
          <cell r="G141">
            <v>0.36470630800811971</v>
          </cell>
          <cell r="H141">
            <v>0.25847437986596439</v>
          </cell>
          <cell r="I141">
            <v>0.26221897549166412</v>
          </cell>
          <cell r="J141">
            <v>0.34530510444782631</v>
          </cell>
          <cell r="K141">
            <v>0.3519115449085542</v>
          </cell>
          <cell r="M141">
            <v>0.6431673566946946</v>
          </cell>
          <cell r="N141">
            <v>0.38094484340423435</v>
          </cell>
          <cell r="O141">
            <v>0.38724779790259878</v>
          </cell>
          <cell r="P141">
            <v>0.72388298646485227</v>
          </cell>
          <cell r="Q141">
            <v>0.40318377121927168</v>
          </cell>
          <cell r="R141">
            <v>0.35077650699768259</v>
          </cell>
          <cell r="S141">
            <v>0.40568630132391376</v>
          </cell>
          <cell r="T141">
            <v>0.47069850914389255</v>
          </cell>
          <cell r="U141">
            <v>0.41788457294937564</v>
          </cell>
        </row>
        <row r="142">
          <cell r="B142" t="str">
            <v>LTM</v>
          </cell>
          <cell r="C142">
            <v>0.38099888392857145</v>
          </cell>
          <cell r="D142">
            <v>0.39573875190944169</v>
          </cell>
          <cell r="E142">
            <v>0.40277032380076161</v>
          </cell>
          <cell r="F142">
            <v>0.35157759175788794</v>
          </cell>
          <cell r="G142">
            <v>0.36459309755217562</v>
          </cell>
          <cell r="H142">
            <v>0.25802878084482106</v>
          </cell>
          <cell r="I142">
            <v>0.26149412062465338</v>
          </cell>
          <cell r="J142">
            <v>0.34502879291690175</v>
          </cell>
          <cell r="K142">
            <v>0.35115444861434991</v>
          </cell>
          <cell r="M142">
            <v>0.64468259036965947</v>
          </cell>
          <cell r="N142">
            <v>0.37946185651930436</v>
          </cell>
          <cell r="O142">
            <v>0.38489565823590433</v>
          </cell>
          <cell r="P142">
            <v>0.71573221694763189</v>
          </cell>
          <cell r="Q142">
            <v>0.4046278665452438</v>
          </cell>
          <cell r="R142">
            <v>0.33849561245354687</v>
          </cell>
          <cell r="S142">
            <v>0.40358190121068876</v>
          </cell>
          <cell r="T142">
            <v>0.46735395746885416</v>
          </cell>
          <cell r="U142">
            <v>0.42320396566101393</v>
          </cell>
        </row>
        <row r="143">
          <cell r="B143" t="str">
            <v>FY0</v>
          </cell>
          <cell r="C143">
            <v>3936.0219999999999</v>
          </cell>
          <cell r="D143">
            <v>5805</v>
          </cell>
          <cell r="E143">
            <v>8458</v>
          </cell>
          <cell r="F143">
            <v>2387.9659999999999</v>
          </cell>
          <cell r="G143">
            <v>763.44408199055204</v>
          </cell>
          <cell r="H143">
            <v>1038.6748406189799</v>
          </cell>
          <cell r="I143">
            <v>3142.6860000000001</v>
          </cell>
          <cell r="J143">
            <v>3647.3989889442191</v>
          </cell>
          <cell r="K143">
            <v>25531.792922609533</v>
          </cell>
          <cell r="M143">
            <v>1899.1166546239299</v>
          </cell>
          <cell r="N143">
            <v>405.88299999999998</v>
          </cell>
          <cell r="O143">
            <v>734.04100000000005</v>
          </cell>
          <cell r="P143">
            <v>1322.3320000000001</v>
          </cell>
          <cell r="Q143">
            <v>3899</v>
          </cell>
          <cell r="R143">
            <v>2288.8490000000002</v>
          </cell>
          <cell r="S143">
            <v>414.04300000000001</v>
          </cell>
          <cell r="T143">
            <v>1566.1806649462758</v>
          </cell>
          <cell r="U143">
            <v>10963.26465462393</v>
          </cell>
        </row>
        <row r="144">
          <cell r="B144" t="str">
            <v>Gross Margin Y/Y bps</v>
          </cell>
          <cell r="C144">
            <v>4113.7056954443497</v>
          </cell>
          <cell r="D144">
            <v>6287.7702622184797</v>
          </cell>
          <cell r="E144">
            <v>8138.20603779462</v>
          </cell>
          <cell r="F144">
            <v>2407.8401552619498</v>
          </cell>
          <cell r="G144">
            <v>662.84608804704499</v>
          </cell>
          <cell r="H144">
            <v>1126.7119614783401</v>
          </cell>
          <cell r="I144">
            <v>3237.4964959774902</v>
          </cell>
          <cell r="J144">
            <v>3710.6538137460398</v>
          </cell>
          <cell r="K144">
            <v>25974.576696222277</v>
          </cell>
          <cell r="M144">
            <v>1786.39824222727</v>
          </cell>
          <cell r="N144">
            <v>463.14226890431502</v>
          </cell>
          <cell r="O144">
            <v>740.46848990890896</v>
          </cell>
          <cell r="P144">
            <v>1438.1228808739399</v>
          </cell>
          <cell r="Q144">
            <v>3932.69367470526</v>
          </cell>
          <cell r="R144">
            <v>2141.0715781598301</v>
          </cell>
          <cell r="S144">
            <v>446.30350135266099</v>
          </cell>
          <cell r="T144">
            <v>1564.0286623045977</v>
          </cell>
          <cell r="U144">
            <v>10948.200636132184</v>
          </cell>
        </row>
        <row r="145">
          <cell r="B145" t="str">
            <v>FY(1)</v>
          </cell>
          <cell r="C145">
            <v>44.020754623483867</v>
          </cell>
          <cell r="D145">
            <v>-118.22204744261711</v>
          </cell>
          <cell r="E145">
            <v>-71.756543201453297</v>
          </cell>
          <cell r="F145">
            <v>-288.68474610249109</v>
          </cell>
          <cell r="G145">
            <v>-692.77428862708769</v>
          </cell>
          <cell r="H145">
            <v>87.166883563340178</v>
          </cell>
          <cell r="I145">
            <v>-40.015799630241652</v>
          </cell>
          <cell r="J145">
            <v>-154.32368383100953</v>
          </cell>
          <cell r="K145">
            <v>-111.26988792404258</v>
          </cell>
          <cell r="M145">
            <v>-34.64950831718938</v>
          </cell>
          <cell r="N145">
            <v>23.874936252248347</v>
          </cell>
          <cell r="O145">
            <v>-729.60455175889729</v>
          </cell>
          <cell r="P145">
            <v>-175.91270535877612</v>
          </cell>
          <cell r="Q145">
            <v>137.57134466022393</v>
          </cell>
          <cell r="R145">
            <v>-109.2408503983322</v>
          </cell>
          <cell r="S145">
            <v>63.524913376639681</v>
          </cell>
          <cell r="T145">
            <v>-117.77663164915472</v>
          </cell>
          <cell r="U145">
            <v>26.27213381684701</v>
          </cell>
        </row>
        <row r="146">
          <cell r="A146" t="str">
            <v>Gross Margin Y/Y bps</v>
          </cell>
          <cell r="B146" t="str">
            <v>FY0</v>
          </cell>
          <cell r="C146">
            <v>87.634534773108342</v>
          </cell>
          <cell r="D146">
            <v>194.53078330891881</v>
          </cell>
          <cell r="E146">
            <v>80.906115380596773</v>
          </cell>
          <cell r="F146">
            <v>96.72131969762188</v>
          </cell>
          <cell r="G146">
            <v>438.53513963690085</v>
          </cell>
          <cell r="H146">
            <v>226.54117611331847</v>
          </cell>
          <cell r="I146">
            <v>212.96014603998825</v>
          </cell>
          <cell r="J146">
            <v>191.11845927863621</v>
          </cell>
          <cell r="K146">
            <v>123.2911909435097</v>
          </cell>
          <cell r="M146">
            <v>-259.07517797886914</v>
          </cell>
          <cell r="N146">
            <v>339.96424099539792</v>
          </cell>
          <cell r="O146">
            <v>-55.668173782966178</v>
          </cell>
          <cell r="P146">
            <v>-378.00348836589779</v>
          </cell>
          <cell r="Q146">
            <v>282.0098173834096</v>
          </cell>
          <cell r="R146">
            <v>183.09913222216701</v>
          </cell>
          <cell r="S146">
            <v>167.88994091563535</v>
          </cell>
          <cell r="T146">
            <v>40.030898769839546</v>
          </cell>
          <cell r="U146">
            <v>98.904140269047147</v>
          </cell>
        </row>
        <row r="147">
          <cell r="B147" t="str">
            <v>FY1</v>
          </cell>
          <cell r="C147">
            <v>56.522921096444634</v>
          </cell>
          <cell r="D147">
            <v>24.887686655930551</v>
          </cell>
          <cell r="E147">
            <v>22.759714739026826</v>
          </cell>
          <cell r="F147">
            <v>89.047272083189185</v>
          </cell>
          <cell r="G147">
            <v>160.39627293773563</v>
          </cell>
          <cell r="H147">
            <v>61.858474423022727</v>
          </cell>
          <cell r="I147">
            <v>46.140628245862068</v>
          </cell>
          <cell r="J147">
            <v>65.94471002588736</v>
          </cell>
          <cell r="K147">
            <v>35.794938123262511</v>
          </cell>
          <cell r="M147">
            <v>-4.1357739673975047</v>
          </cell>
          <cell r="N147">
            <v>17.166960361266192</v>
          </cell>
          <cell r="O147">
            <v>366.45106549239858</v>
          </cell>
          <cell r="P147">
            <v>47.410122698635647</v>
          </cell>
          <cell r="Q147">
            <v>66.975675652764522</v>
          </cell>
          <cell r="R147">
            <v>93.18234937396474</v>
          </cell>
          <cell r="S147">
            <v>75.982154287702059</v>
          </cell>
          <cell r="T147">
            <v>94.718936271333448</v>
          </cell>
          <cell r="U147">
            <v>103.09375029018297</v>
          </cell>
        </row>
        <row r="148">
          <cell r="B148" t="str">
            <v>FY2</v>
          </cell>
          <cell r="C148">
            <v>30.000000000033332</v>
          </cell>
          <cell r="D148">
            <v>20.000000000024443</v>
          </cell>
          <cell r="E148">
            <v>9.9999999999933475</v>
          </cell>
          <cell r="F148">
            <v>10.00000000000445</v>
          </cell>
          <cell r="G148">
            <v>122.69425161118619</v>
          </cell>
          <cell r="H148">
            <v>2.2204460492503131E-12</v>
          </cell>
          <cell r="I148">
            <v>-14.999999999997794</v>
          </cell>
          <cell r="J148">
            <v>25.384893087320886</v>
          </cell>
          <cell r="K148">
            <v>4.5604968460066786</v>
          </cell>
          <cell r="M148">
            <v>78.4800304561617</v>
          </cell>
          <cell r="N148">
            <v>-114.08656179377475</v>
          </cell>
          <cell r="O148">
            <v>74.859104124457843</v>
          </cell>
          <cell r="P148">
            <v>1.2212453270876722E-11</v>
          </cell>
          <cell r="Q148">
            <v>29.999999999961723</v>
          </cell>
          <cell r="R148">
            <v>49.999999999996717</v>
          </cell>
          <cell r="S148">
            <v>30.000000000011685</v>
          </cell>
          <cell r="T148">
            <v>21.321796112403877</v>
          </cell>
          <cell r="U148">
            <v>47.825518343910801</v>
          </cell>
        </row>
        <row r="149">
          <cell r="B149" t="str">
            <v>Last Reported Q</v>
          </cell>
          <cell r="C149">
            <v>1027</v>
          </cell>
          <cell r="D149">
            <v>1586</v>
          </cell>
          <cell r="E149">
            <v>2033</v>
          </cell>
          <cell r="F149">
            <v>581</v>
          </cell>
          <cell r="G149">
            <v>162.55199999999999</v>
          </cell>
          <cell r="H149">
            <v>286.51100000000002</v>
          </cell>
          <cell r="I149">
            <v>864.09699999999998</v>
          </cell>
          <cell r="J149">
            <v>934.30857142857144</v>
          </cell>
          <cell r="K149">
            <v>6540.16</v>
          </cell>
          <cell r="M149">
            <v>448.09300000000002</v>
          </cell>
          <cell r="N149">
            <v>117.236</v>
          </cell>
          <cell r="O149">
            <v>193.26900000000001</v>
          </cell>
          <cell r="P149">
            <v>1322.3320000000001</v>
          </cell>
          <cell r="Q149">
            <v>1024</v>
          </cell>
          <cell r="R149">
            <v>503.863</v>
          </cell>
          <cell r="S149">
            <v>114.327</v>
          </cell>
          <cell r="T149">
            <v>531.87428571428575</v>
          </cell>
          <cell r="U149">
            <v>3723.12</v>
          </cell>
        </row>
        <row r="150">
          <cell r="A150" t="str">
            <v>mstag:sellingGeneralAndAdministrativeExpenses</v>
          </cell>
          <cell r="B150" t="str">
            <v>SG&amp;A</v>
          </cell>
          <cell r="C150">
            <v>4056</v>
          </cell>
          <cell r="D150">
            <v>6115</v>
          </cell>
          <cell r="E150">
            <v>8106</v>
          </cell>
          <cell r="F150">
            <v>2398</v>
          </cell>
          <cell r="G150">
            <v>667.96800000000007</v>
          </cell>
          <cell r="H150">
            <v>1100.011</v>
          </cell>
          <cell r="I150">
            <v>3229.5609999999997</v>
          </cell>
          <cell r="J150">
            <v>3667.5057142857145</v>
          </cell>
          <cell r="K150">
            <v>25672.54</v>
          </cell>
          <cell r="M150">
            <v>1803.8050000000001</v>
          </cell>
          <cell r="N150">
            <v>442.11900000000003</v>
          </cell>
          <cell r="O150">
            <v>733.92599999999993</v>
          </cell>
          <cell r="P150">
            <v>2317.0330000000004</v>
          </cell>
          <cell r="Q150">
            <v>3814</v>
          </cell>
          <cell r="R150">
            <v>2140.2979999999998</v>
          </cell>
          <cell r="S150">
            <v>429.86</v>
          </cell>
          <cell r="T150">
            <v>1668.7201428571429</v>
          </cell>
          <cell r="U150">
            <v>11681.041000000001</v>
          </cell>
        </row>
        <row r="151">
          <cell r="B151" t="str">
            <v>FY(5)</v>
          </cell>
          <cell r="C151">
            <v>2582.971</v>
          </cell>
          <cell r="D151">
            <v>5505</v>
          </cell>
          <cell r="E151">
            <v>4931</v>
          </cell>
          <cell r="F151">
            <v>2020.2329999999999</v>
          </cell>
          <cell r="G151">
            <v>796.57399999999996</v>
          </cell>
          <cell r="H151">
            <v>657.66800000000001</v>
          </cell>
          <cell r="I151">
            <v>2520.8139999999999</v>
          </cell>
          <cell r="J151">
            <v>2716.3228571428567</v>
          </cell>
          <cell r="K151">
            <v>19014.259999999998</v>
          </cell>
          <cell r="M151">
            <v>957.18</v>
          </cell>
          <cell r="N151">
            <v>183.977</v>
          </cell>
          <cell r="O151">
            <v>446.82900000000001</v>
          </cell>
          <cell r="P151">
            <v>578.82000000000005</v>
          </cell>
          <cell r="Q151">
            <v>4296</v>
          </cell>
          <cell r="R151">
            <v>2367.2660000000001</v>
          </cell>
          <cell r="S151">
            <v>190.38399999999999</v>
          </cell>
          <cell r="T151">
            <v>1288.6365714285714</v>
          </cell>
          <cell r="U151">
            <v>9020.4560000000001</v>
          </cell>
        </row>
        <row r="152">
          <cell r="B152" t="str">
            <v>FY(4)</v>
          </cell>
          <cell r="C152">
            <v>2963.5</v>
          </cell>
          <cell r="D152">
            <v>5614</v>
          </cell>
          <cell r="E152">
            <v>6980</v>
          </cell>
          <cell r="F152">
            <v>2100.6660000000002</v>
          </cell>
          <cell r="G152">
            <v>801.57593271205303</v>
          </cell>
          <cell r="H152">
            <v>766.14400000000001</v>
          </cell>
          <cell r="I152">
            <v>2689.3210009596</v>
          </cell>
          <cell r="J152">
            <v>3130.7438476673792</v>
          </cell>
          <cell r="K152">
            <v>21915.206933671656</v>
          </cell>
          <cell r="M152">
            <v>1268.431</v>
          </cell>
          <cell r="N152">
            <v>227.04400000000001</v>
          </cell>
          <cell r="O152">
            <v>542.29499999999996</v>
          </cell>
          <cell r="P152">
            <v>731.89099999999996</v>
          </cell>
          <cell r="Q152">
            <v>4185</v>
          </cell>
          <cell r="R152">
            <v>2493.951</v>
          </cell>
          <cell r="S152">
            <v>242.50700000000001</v>
          </cell>
          <cell r="T152">
            <v>1384.4455714285716</v>
          </cell>
          <cell r="U152">
            <v>9691.1190000000006</v>
          </cell>
        </row>
        <row r="153">
          <cell r="B153" t="str">
            <v>FY(3)</v>
          </cell>
          <cell r="C153">
            <v>3415.4940000000001</v>
          </cell>
          <cell r="D153">
            <v>5937</v>
          </cell>
          <cell r="E153">
            <v>8678</v>
          </cell>
          <cell r="F153">
            <v>2296.8629999999998</v>
          </cell>
          <cell r="G153">
            <v>749.86758829015298</v>
          </cell>
          <cell r="H153">
            <v>863.03300000000002</v>
          </cell>
          <cell r="I153">
            <v>2916.56</v>
          </cell>
          <cell r="J153">
            <v>3550.9739411843075</v>
          </cell>
          <cell r="K153">
            <v>24856.817588290152</v>
          </cell>
          <cell r="M153">
            <v>1512.6610000000001</v>
          </cell>
          <cell r="N153">
            <v>289.73599999999999</v>
          </cell>
          <cell r="O153">
            <v>665.60699999999997</v>
          </cell>
          <cell r="P153">
            <v>866.86556379972797</v>
          </cell>
          <cell r="Q153">
            <v>4477</v>
          </cell>
          <cell r="R153">
            <v>2837.4270000000001</v>
          </cell>
          <cell r="S153">
            <v>287.93200000000002</v>
          </cell>
          <cell r="T153">
            <v>1562.4612233999612</v>
          </cell>
          <cell r="U153">
            <v>10937.228563799728</v>
          </cell>
        </row>
        <row r="154">
          <cell r="B154" t="str">
            <v>FY(2)</v>
          </cell>
          <cell r="C154">
            <v>3696.9</v>
          </cell>
          <cell r="D154">
            <v>5829</v>
          </cell>
          <cell r="E154">
            <v>8554</v>
          </cell>
          <cell r="F154">
            <v>2359.7800000000002</v>
          </cell>
          <cell r="G154">
            <v>807.92702269720496</v>
          </cell>
          <cell r="H154">
            <v>935.90099999999995</v>
          </cell>
          <cell r="I154">
            <v>3033.4039100715199</v>
          </cell>
          <cell r="J154">
            <v>3602.4159903955324</v>
          </cell>
          <cell r="K154">
            <v>25216.911932768726</v>
          </cell>
          <cell r="M154">
            <v>1720.9580000000001</v>
          </cell>
          <cell r="N154">
            <v>345.80500000000001</v>
          </cell>
          <cell r="O154">
            <v>715.18</v>
          </cell>
          <cell r="P154">
            <v>1029.5889999999999</v>
          </cell>
          <cell r="Q154">
            <v>4345</v>
          </cell>
          <cell r="R154">
            <v>2602.4180000000001</v>
          </cell>
          <cell r="S154">
            <v>351.827</v>
          </cell>
          <cell r="T154">
            <v>1587.253857142857</v>
          </cell>
          <cell r="U154">
            <v>11110.776999999998</v>
          </cell>
        </row>
        <row r="155">
          <cell r="B155" t="str">
            <v>FY(1)</v>
          </cell>
          <cell r="C155">
            <v>3936.0219999999999</v>
          </cell>
          <cell r="D155">
            <v>5805</v>
          </cell>
          <cell r="E155">
            <v>8458</v>
          </cell>
          <cell r="F155">
            <v>2387.9659999999999</v>
          </cell>
          <cell r="G155">
            <v>763.44408199055204</v>
          </cell>
          <cell r="H155">
            <v>1038.6748406189799</v>
          </cell>
          <cell r="I155">
            <v>3142.6860000000001</v>
          </cell>
          <cell r="J155">
            <v>3647.3989889442191</v>
          </cell>
          <cell r="K155">
            <v>25531.792922609533</v>
          </cell>
          <cell r="M155">
            <v>1840.15625086369</v>
          </cell>
          <cell r="N155">
            <v>405.88299999999998</v>
          </cell>
          <cell r="O155">
            <v>734.04100000000005</v>
          </cell>
          <cell r="P155">
            <v>1227.874</v>
          </cell>
          <cell r="Q155">
            <v>3899</v>
          </cell>
          <cell r="R155">
            <v>2288.8490000000002</v>
          </cell>
          <cell r="S155">
            <v>414.04300000000001</v>
          </cell>
          <cell r="T155">
            <v>1544.2637501233842</v>
          </cell>
          <cell r="U155">
            <v>10809.846250863689</v>
          </cell>
        </row>
        <row r="156">
          <cell r="B156" t="str">
            <v>FY0</v>
          </cell>
          <cell r="C156">
            <v>4144</v>
          </cell>
          <cell r="D156">
            <v>6242</v>
          </cell>
          <cell r="E156">
            <v>8062</v>
          </cell>
          <cell r="F156">
            <v>2465</v>
          </cell>
          <cell r="G156">
            <v>663.38400000000001</v>
          </cell>
          <cell r="H156">
            <v>1130.8130000000001</v>
          </cell>
          <cell r="I156">
            <v>3328.944</v>
          </cell>
          <cell r="J156">
            <v>3719.4487142857142</v>
          </cell>
          <cell r="K156">
            <v>26036.141</v>
          </cell>
          <cell r="M156">
            <v>1746.019</v>
          </cell>
          <cell r="N156">
            <v>463.56200000000001</v>
          </cell>
          <cell r="O156">
            <v>756.25599999999997</v>
          </cell>
          <cell r="P156">
            <v>1322.3320000000001</v>
          </cell>
          <cell r="Q156">
            <v>3913</v>
          </cell>
          <cell r="R156">
            <v>2166.4029999999998</v>
          </cell>
          <cell r="S156">
            <v>447.161</v>
          </cell>
          <cell r="T156">
            <v>1544.9618571428571</v>
          </cell>
          <cell r="U156">
            <v>10814.733</v>
          </cell>
        </row>
        <row r="157">
          <cell r="B157" t="str">
            <v>FY1</v>
          </cell>
          <cell r="C157">
            <v>4394.4091829754097</v>
          </cell>
          <cell r="D157">
            <v>6246.8233738916697</v>
          </cell>
          <cell r="E157">
            <v>8248.0658741166299</v>
          </cell>
          <cell r="F157">
            <v>2590.3075410872998</v>
          </cell>
          <cell r="G157">
            <v>695.74853440064305</v>
          </cell>
          <cell r="H157">
            <v>1211.18901626811</v>
          </cell>
          <cell r="I157">
            <v>3551.2590335353202</v>
          </cell>
          <cell r="J157">
            <v>3848.2575080392967</v>
          </cell>
          <cell r="K157">
            <v>26937.802556275077</v>
          </cell>
          <cell r="M157">
            <v>1792.8121806045201</v>
          </cell>
          <cell r="N157">
            <v>504.30645509643699</v>
          </cell>
          <cell r="O157">
            <v>728.64913129426805</v>
          </cell>
          <cell r="P157">
            <v>1421.66648658546</v>
          </cell>
          <cell r="Q157">
            <v>3985.1203682867199</v>
          </cell>
          <cell r="R157">
            <v>2225.6272843379302</v>
          </cell>
          <cell r="S157">
            <v>506.13870145797398</v>
          </cell>
          <cell r="T157">
            <v>1594.9029439519013</v>
          </cell>
          <cell r="U157">
            <v>11164.320607663309</v>
          </cell>
        </row>
        <row r="158">
          <cell r="B158" t="str">
            <v>FY2</v>
          </cell>
          <cell r="C158">
            <v>4720.5151538554701</v>
          </cell>
          <cell r="D158">
            <v>6372.0902312446397</v>
          </cell>
          <cell r="E158">
            <v>8292.5927833133792</v>
          </cell>
          <cell r="F158">
            <v>2676.5791025920498</v>
          </cell>
          <cell r="G158">
            <v>736.52206639947497</v>
          </cell>
          <cell r="H158">
            <v>1266.65736703995</v>
          </cell>
          <cell r="I158">
            <v>3773.5321763327702</v>
          </cell>
          <cell r="J158">
            <v>3976.9269829682466</v>
          </cell>
          <cell r="K158">
            <v>27838.488880777728</v>
          </cell>
          <cell r="M158">
            <v>1906.1941041853299</v>
          </cell>
          <cell r="N158">
            <v>594.038263854913</v>
          </cell>
          <cell r="O158">
            <v>789.28825485253299</v>
          </cell>
          <cell r="P158">
            <v>1512.91471930996</v>
          </cell>
          <cell r="Q158">
            <v>3815.9974476101902</v>
          </cell>
          <cell r="R158">
            <v>2291.5018855364201</v>
          </cell>
          <cell r="S158">
            <v>564.28679678784999</v>
          </cell>
          <cell r="T158">
            <v>1639.1744960195995</v>
          </cell>
          <cell r="U158">
            <v>11474.221472137197</v>
          </cell>
        </row>
        <row r="159">
          <cell r="B159" t="str">
            <v>FQ(3)</v>
          </cell>
          <cell r="C159">
            <v>961</v>
          </cell>
          <cell r="D159">
            <v>1474</v>
          </cell>
          <cell r="E159">
            <v>1956</v>
          </cell>
          <cell r="F159">
            <v>539</v>
          </cell>
          <cell r="G159">
            <v>155.434</v>
          </cell>
          <cell r="H159">
            <v>272.02999999999997</v>
          </cell>
          <cell r="I159">
            <v>735.05700000000002</v>
          </cell>
          <cell r="J159">
            <v>870.36014285714282</v>
          </cell>
          <cell r="K159">
            <v>6092.5209999999997</v>
          </cell>
          <cell r="M159">
            <v>416.65499999999997</v>
          </cell>
          <cell r="N159">
            <v>94.146000000000001</v>
          </cell>
          <cell r="O159">
            <v>158.69200000000001</v>
          </cell>
          <cell r="P159">
            <v>326.32100000000003</v>
          </cell>
          <cell r="Q159">
            <v>886</v>
          </cell>
          <cell r="R159">
            <v>483.14400000000001</v>
          </cell>
          <cell r="S159">
            <v>97.185000000000002</v>
          </cell>
          <cell r="T159">
            <v>351.73471428571423</v>
          </cell>
          <cell r="U159">
            <v>2462.1429999999996</v>
          </cell>
        </row>
        <row r="160">
          <cell r="B160" t="str">
            <v>FQ(2)</v>
          </cell>
          <cell r="C160">
            <v>966</v>
          </cell>
          <cell r="D160">
            <v>1460</v>
          </cell>
          <cell r="E160">
            <v>1861</v>
          </cell>
          <cell r="F160">
            <v>608</v>
          </cell>
          <cell r="G160">
            <v>154.941</v>
          </cell>
          <cell r="H160">
            <v>286.15800000000002</v>
          </cell>
          <cell r="I160">
            <v>790.87599999999998</v>
          </cell>
          <cell r="J160">
            <v>875.28214285714296</v>
          </cell>
          <cell r="K160">
            <v>6126.9750000000004</v>
          </cell>
          <cell r="M160">
            <v>418.96199999999999</v>
          </cell>
          <cell r="N160">
            <v>100.682</v>
          </cell>
          <cell r="O160">
            <v>167.17500000000001</v>
          </cell>
          <cell r="P160">
            <v>327.63099999999997</v>
          </cell>
          <cell r="Q160">
            <v>913</v>
          </cell>
          <cell r="R160">
            <v>519.36599999999999</v>
          </cell>
          <cell r="S160">
            <v>108.65</v>
          </cell>
          <cell r="T160">
            <v>365.06657142857142</v>
          </cell>
          <cell r="U160">
            <v>2555.4659999999999</v>
          </cell>
        </row>
        <row r="161">
          <cell r="B161" t="str">
            <v>FQ(1)</v>
          </cell>
          <cell r="C161">
            <v>1027</v>
          </cell>
          <cell r="D161">
            <v>1586</v>
          </cell>
          <cell r="E161">
            <v>2033</v>
          </cell>
          <cell r="F161">
            <v>581</v>
          </cell>
          <cell r="G161">
            <v>162.55199999999999</v>
          </cell>
          <cell r="H161">
            <v>286.51100000000002</v>
          </cell>
          <cell r="I161">
            <v>864.09699999999998</v>
          </cell>
          <cell r="J161">
            <v>934.30857142857144</v>
          </cell>
          <cell r="K161">
            <v>6540.16</v>
          </cell>
          <cell r="M161">
            <v>437.22899999999998</v>
          </cell>
          <cell r="N161">
            <v>117.236</v>
          </cell>
          <cell r="O161">
            <v>193.26900000000001</v>
          </cell>
          <cell r="P161">
            <v>326.93099999999998</v>
          </cell>
          <cell r="Q161">
            <v>1024</v>
          </cell>
          <cell r="R161">
            <v>503.863</v>
          </cell>
          <cell r="S161">
            <v>114.327</v>
          </cell>
          <cell r="T161">
            <v>388.12214285714282</v>
          </cell>
          <cell r="U161">
            <v>2716.8549999999996</v>
          </cell>
        </row>
        <row r="162">
          <cell r="B162" t="str">
            <v>Last Reported Q</v>
          </cell>
          <cell r="C162">
            <v>4144</v>
          </cell>
          <cell r="D162">
            <v>6242</v>
          </cell>
          <cell r="E162">
            <v>8062</v>
          </cell>
          <cell r="F162">
            <v>2465</v>
          </cell>
          <cell r="G162">
            <v>663.38400000000001</v>
          </cell>
          <cell r="H162">
            <v>1130.8130000000001</v>
          </cell>
          <cell r="I162">
            <v>3328.944</v>
          </cell>
          <cell r="J162">
            <v>3719.4487142857142</v>
          </cell>
          <cell r="K162">
            <v>26036.141</v>
          </cell>
          <cell r="M162">
            <v>1746.019</v>
          </cell>
          <cell r="N162">
            <v>463.56200000000001</v>
          </cell>
          <cell r="O162">
            <v>756.25599999999997</v>
          </cell>
          <cell r="P162">
            <v>390.10199999999998</v>
          </cell>
          <cell r="Q162">
            <v>3913</v>
          </cell>
          <cell r="R162">
            <v>2166.4029999999998</v>
          </cell>
          <cell r="S162">
            <v>447.161</v>
          </cell>
          <cell r="T162">
            <v>1411.786142857143</v>
          </cell>
          <cell r="U162">
            <v>9882.5030000000006</v>
          </cell>
        </row>
        <row r="163">
          <cell r="B163" t="str">
            <v>LTM</v>
          </cell>
          <cell r="C163">
            <v>7098</v>
          </cell>
          <cell r="D163">
            <v>10762</v>
          </cell>
          <cell r="E163">
            <v>13912</v>
          </cell>
          <cell r="F163">
            <v>4193</v>
          </cell>
          <cell r="G163">
            <v>1136.3110000000001</v>
          </cell>
          <cell r="H163">
            <v>1975.5120000000002</v>
          </cell>
          <cell r="I163">
            <v>5718.9740000000002</v>
          </cell>
          <cell r="J163">
            <v>6399.399571428572</v>
          </cell>
          <cell r="K163">
            <v>44795.797000000006</v>
          </cell>
          <cell r="M163">
            <v>3018.8649999999998</v>
          </cell>
          <cell r="N163">
            <v>775.62599999999998</v>
          </cell>
          <cell r="O163">
            <v>1275.3919999999998</v>
          </cell>
          <cell r="P163">
            <v>1370.9850000000001</v>
          </cell>
          <cell r="Q163">
            <v>6736</v>
          </cell>
          <cell r="R163">
            <v>3672.7759999999998</v>
          </cell>
          <cell r="S163">
            <v>767.32300000000009</v>
          </cell>
          <cell r="T163">
            <v>2516.7095714285715</v>
          </cell>
          <cell r="U163">
            <v>17616.967000000001</v>
          </cell>
        </row>
        <row r="164">
          <cell r="B164" t="str">
            <v>Expense Ratio Y/Y bps</v>
          </cell>
        </row>
        <row r="165">
          <cell r="B165" t="str">
            <v>Expense Ratio</v>
          </cell>
          <cell r="C165">
            <v>157.51646442021732</v>
          </cell>
          <cell r="D165">
            <v>205.22599143587615</v>
          </cell>
          <cell r="E165">
            <v>147.01424492728543</v>
          </cell>
          <cell r="F165">
            <v>207.07126584412094</v>
          </cell>
          <cell r="G165">
            <v>42.49542357614655</v>
          </cell>
          <cell r="H165">
            <v>35.070234436621604</v>
          </cell>
          <cell r="I165">
            <v>-0.18946280574666519</v>
          </cell>
          <cell r="J165">
            <v>113.45773740493142</v>
          </cell>
          <cell r="K165">
            <v>97.851665616149333</v>
          </cell>
          <cell r="M165">
            <v>610.51345563298059</v>
          </cell>
          <cell r="N165">
            <v>-31.619890153258833</v>
          </cell>
          <cell r="O165">
            <v>115.26462868643839</v>
          </cell>
          <cell r="P165">
            <v>232.99399044565573</v>
          </cell>
          <cell r="Q165">
            <v>-72.302435491419232</v>
          </cell>
          <cell r="R165">
            <v>-48.996741320501137</v>
          </cell>
          <cell r="S165">
            <v>-76.662439658733987</v>
          </cell>
          <cell r="T165">
            <v>104.17008116302362</v>
          </cell>
          <cell r="U165">
            <v>38.080667608011986</v>
          </cell>
        </row>
        <row r="166">
          <cell r="B166" t="str">
            <v>FY(5)</v>
          </cell>
          <cell r="C166">
            <v>0.22075354465972119</v>
          </cell>
          <cell r="D166">
            <v>0.30421087533156499</v>
          </cell>
          <cell r="E166">
            <v>0.31256338742393508</v>
          </cell>
          <cell r="F166">
            <v>0.28328649595809413</v>
          </cell>
          <cell r="G166">
            <v>0.28788602145952064</v>
          </cell>
          <cell r="H166">
            <v>0.15511074318571508</v>
          </cell>
          <cell r="I166">
            <v>0.16902919324747948</v>
          </cell>
          <cell r="J166">
            <v>0.24754860875229007</v>
          </cell>
          <cell r="K166">
            <v>0.25479894602531877</v>
          </cell>
          <cell r="M166">
            <v>0.47355750440073341</v>
          </cell>
          <cell r="N166">
            <v>0.19080554898715221</v>
          </cell>
          <cell r="O166">
            <v>0.2375182127117153</v>
          </cell>
          <cell r="P166">
            <v>0.45493987267153979</v>
          </cell>
          <cell r="Q166">
            <v>0.26409294891498125</v>
          </cell>
          <cell r="R166">
            <v>0.25161431721226934</v>
          </cell>
          <cell r="S166">
            <v>0.23000181214134702</v>
          </cell>
          <cell r="T166">
            <v>0.30036145957710547</v>
          </cell>
          <cell r="U166">
            <v>0.27634449274646161</v>
          </cell>
        </row>
        <row r="167">
          <cell r="B167" t="str">
            <v>FY(4)</v>
          </cell>
          <cell r="C167">
            <v>0.22112041306651145</v>
          </cell>
          <cell r="D167">
            <v>0.2989191203876258</v>
          </cell>
          <cell r="E167">
            <v>0.311746315319339</v>
          </cell>
          <cell r="F167">
            <v>0.27201496074126219</v>
          </cell>
          <cell r="G167">
            <v>0.28850966846380655</v>
          </cell>
          <cell r="H167">
            <v>0.15495879093374249</v>
          </cell>
          <cell r="I167">
            <v>0.16854666633990859</v>
          </cell>
          <cell r="J167">
            <v>0.24511656217888514</v>
          </cell>
          <cell r="K167">
            <v>0.25490426029071767</v>
          </cell>
          <cell r="M167">
            <v>0.45822104470688874</v>
          </cell>
          <cell r="N167">
            <v>0.18852041811869835</v>
          </cell>
          <cell r="O167">
            <v>0.23355033372639172</v>
          </cell>
          <cell r="P167">
            <v>0.44311268847202645</v>
          </cell>
          <cell r="Q167">
            <v>0.26118704362478934</v>
          </cell>
          <cell r="R167">
            <v>0.25791933398831379</v>
          </cell>
          <cell r="S167">
            <v>0.22205424926312167</v>
          </cell>
          <cell r="T167">
            <v>0.29493787312860426</v>
          </cell>
          <cell r="U167">
            <v>0.2790354228686574</v>
          </cell>
        </row>
        <row r="168">
          <cell r="B168" t="str">
            <v>FY(3)</v>
          </cell>
          <cell r="C168">
            <v>0.21914841426546719</v>
          </cell>
          <cell r="D168">
            <v>0.29829542028855022</v>
          </cell>
          <cell r="E168">
            <v>0.32176492398961809</v>
          </cell>
          <cell r="F168">
            <v>0.2683032388246846</v>
          </cell>
          <cell r="G168">
            <v>0.2550567425577977</v>
          </cell>
          <cell r="H168">
            <v>0.15493724653110028</v>
          </cell>
          <cell r="I168">
            <v>0.16757373336772263</v>
          </cell>
          <cell r="J168">
            <v>0.24072567426070579</v>
          </cell>
          <cell r="K168">
            <v>0.25643049645543803</v>
          </cell>
          <cell r="M168">
            <v>0.46059072351786268</v>
          </cell>
          <cell r="N168">
            <v>0.20502006781733473</v>
          </cell>
          <cell r="O168">
            <v>0.23819240490565266</v>
          </cell>
          <cell r="P168">
            <v>0.42596037207277726</v>
          </cell>
          <cell r="Q168">
            <v>0.28116560949569802</v>
          </cell>
          <cell r="R168">
            <v>0.26590943083890284</v>
          </cell>
          <cell r="S168">
            <v>0.23510084370511716</v>
          </cell>
          <cell r="T168">
            <v>0.30170563605047784</v>
          </cell>
          <cell r="U168">
            <v>0.29286802049534522</v>
          </cell>
        </row>
        <row r="169">
          <cell r="B169" t="str">
            <v>FY(2)</v>
          </cell>
          <cell r="C169">
            <v>0.22441224497228915</v>
          </cell>
          <cell r="D169">
            <v>0.29349078819571894</v>
          </cell>
          <cell r="E169">
            <v>0.32508645916467144</v>
          </cell>
          <cell r="F169">
            <v>0.26731193022417554</v>
          </cell>
          <cell r="G169">
            <v>0.24747866688145498</v>
          </cell>
          <cell r="H169">
            <v>0.15663059319066835</v>
          </cell>
          <cell r="I169">
            <v>0.16542778193181926</v>
          </cell>
          <cell r="J169">
            <v>0.23997692350868541</v>
          </cell>
          <cell r="K169">
            <v>0.25458252346273547</v>
          </cell>
          <cell r="M169">
            <v>0.46516703174565421</v>
          </cell>
          <cell r="N169">
            <v>0.21842389666892584</v>
          </cell>
          <cell r="O169">
            <v>0.23406936986383864</v>
          </cell>
          <cell r="P169">
            <v>0.39410769023478287</v>
          </cell>
          <cell r="Q169">
            <v>0.27564549895324492</v>
          </cell>
          <cell r="R169">
            <v>0.25801530849837501</v>
          </cell>
          <cell r="S169">
            <v>0.23334973775041057</v>
          </cell>
          <cell r="T169">
            <v>0.29696836195931881</v>
          </cell>
          <cell r="U169">
            <v>0.29004007050169583</v>
          </cell>
        </row>
        <row r="170">
          <cell r="B170" t="str">
            <v>FY(1)</v>
          </cell>
          <cell r="C170">
            <v>0.24016389141431088</v>
          </cell>
          <cell r="D170">
            <v>0.31401338733930656</v>
          </cell>
          <cell r="E170">
            <v>0.33978788365739998</v>
          </cell>
          <cell r="F170">
            <v>0.28801905680858764</v>
          </cell>
          <cell r="G170">
            <v>0.2513902659533549</v>
          </cell>
          <cell r="H170">
            <v>0.16013761663433052</v>
          </cell>
          <cell r="I170">
            <v>0.16540883565124459</v>
          </cell>
          <cell r="J170">
            <v>0.25127441963693359</v>
          </cell>
          <cell r="K170">
            <v>0.2643565301882268</v>
          </cell>
          <cell r="M170">
            <v>0.528164794911131</v>
          </cell>
          <cell r="N170">
            <v>0.21526190765359995</v>
          </cell>
          <cell r="O170">
            <v>0.24559583273248248</v>
          </cell>
          <cell r="P170">
            <v>0.38603200433104445</v>
          </cell>
          <cell r="Q170">
            <v>0.26841525540410299</v>
          </cell>
          <cell r="R170">
            <v>0.25311563436632489</v>
          </cell>
          <cell r="S170">
            <v>0.22568349378453717</v>
          </cell>
          <cell r="T170">
            <v>0.30318127474046047</v>
          </cell>
          <cell r="U170">
            <v>0.29261289329386647</v>
          </cell>
        </row>
        <row r="171">
          <cell r="B171" t="str">
            <v>FY0</v>
          </cell>
          <cell r="C171">
            <v>0.2412528380974559</v>
          </cell>
          <cell r="D171">
            <v>0.35551799953585106</v>
          </cell>
          <cell r="E171">
            <v>0.34322448805824002</v>
          </cell>
          <cell r="F171">
            <v>0.2984984257689513</v>
          </cell>
          <cell r="G171">
            <v>0.25264937864425241</v>
          </cell>
          <cell r="H171">
            <v>0.15740248792734851</v>
          </cell>
          <cell r="I171">
            <v>0.16408079397316028</v>
          </cell>
          <cell r="J171">
            <v>0.25894663028646564</v>
          </cell>
          <cell r="K171">
            <v>0.26958151141248193</v>
          </cell>
          <cell r="M171">
            <v>0.59619070382858852</v>
          </cell>
          <cell r="N171">
            <v>0.20786554893155254</v>
          </cell>
          <cell r="O171">
            <v>0.25288123487322434</v>
          </cell>
          <cell r="P171">
            <v>0.40933140337561003</v>
          </cell>
          <cell r="Q171">
            <v>0.2756216101993379</v>
          </cell>
          <cell r="R171">
            <v>0.25095787315813839</v>
          </cell>
          <cell r="S171">
            <v>0.23075525785485199</v>
          </cell>
          <cell r="T171">
            <v>0.31765766174590049</v>
          </cell>
          <cell r="U171">
            <v>0.29918667766155282</v>
          </cell>
        </row>
        <row r="172">
          <cell r="B172" t="str">
            <v>FY1</v>
          </cell>
          <cell r="C172">
            <v>0.23755990709862407</v>
          </cell>
          <cell r="D172">
            <v>0.35082328912427285</v>
          </cell>
          <cell r="E172">
            <v>0.33604435343603933</v>
          </cell>
          <cell r="F172">
            <v>0.2900204005330686</v>
          </cell>
          <cell r="G172">
            <v>0.25415537194894949</v>
          </cell>
          <cell r="H172">
            <v>0.15520381370329353</v>
          </cell>
          <cell r="I172">
            <v>0.16100989145998601</v>
          </cell>
          <cell r="J172">
            <v>0.25497386104346204</v>
          </cell>
          <cell r="K172">
            <v>0.26312141410989504</v>
          </cell>
          <cell r="M172">
            <v>0.56685275187212625</v>
          </cell>
          <cell r="N172">
            <v>0.20751094817380147</v>
          </cell>
          <cell r="O172">
            <v>0.24378404137562537</v>
          </cell>
          <cell r="P172">
            <v>0.40898315733024737</v>
          </cell>
          <cell r="Q172">
            <v>0.2834829098776766</v>
          </cell>
          <cell r="R172">
            <v>0.2442859432107283</v>
          </cell>
          <cell r="S172">
            <v>0.22380557744828644</v>
          </cell>
          <cell r="T172">
            <v>0.31124361846978449</v>
          </cell>
          <cell r="U172">
            <v>0.29781058624011059</v>
          </cell>
        </row>
        <row r="173">
          <cell r="B173" t="str">
            <v>FY2</v>
          </cell>
          <cell r="C173">
            <v>0.23555990709862318</v>
          </cell>
          <cell r="D173">
            <v>0.35014505191680151</v>
          </cell>
          <cell r="E173">
            <v>0.33504435343603878</v>
          </cell>
          <cell r="F173">
            <v>0.28619698384846876</v>
          </cell>
          <cell r="G173">
            <v>0.25117728981375714</v>
          </cell>
          <cell r="H173">
            <v>0.15520381370329375</v>
          </cell>
          <cell r="I173">
            <v>0.16050989145998562</v>
          </cell>
          <cell r="J173">
            <v>0.25340532732528126</v>
          </cell>
          <cell r="K173">
            <v>0.26030872041871445</v>
          </cell>
          <cell r="M173">
            <v>0.55786444206476882</v>
          </cell>
          <cell r="N173">
            <v>0.21596159783087132</v>
          </cell>
          <cell r="O173">
            <v>0.23879343443399517</v>
          </cell>
          <cell r="P173">
            <v>0.4069831573302467</v>
          </cell>
          <cell r="Q173">
            <v>0.28248290987767782</v>
          </cell>
          <cell r="R173">
            <v>0.24237995437917609</v>
          </cell>
          <cell r="S173">
            <v>0.21870557744828625</v>
          </cell>
          <cell r="T173">
            <v>0.30902443905214605</v>
          </cell>
          <cell r="U173">
            <v>0.29623593800541625</v>
          </cell>
        </row>
        <row r="174">
          <cell r="B174" t="str">
            <v>FQ(3)</v>
          </cell>
          <cell r="C174">
            <v>0.26415612974161629</v>
          </cell>
          <cell r="D174">
            <v>0.37946315338480124</v>
          </cell>
          <cell r="E174">
            <v>0.37622619734564339</v>
          </cell>
          <cell r="F174">
            <v>0.31594372801875731</v>
          </cell>
          <cell r="G174">
            <v>0.25018912993790099</v>
          </cell>
          <cell r="H174">
            <v>0.16081234382380219</v>
          </cell>
          <cell r="I174">
            <v>0.16881469579883809</v>
          </cell>
          <cell r="J174">
            <v>0.27365791115019422</v>
          </cell>
          <cell r="K174">
            <v>0.28882002576376026</v>
          </cell>
          <cell r="M174">
            <v>0.69242964856272504</v>
          </cell>
          <cell r="N174">
            <v>0.23073642726898419</v>
          </cell>
          <cell r="O174">
            <v>0.25930065359477128</v>
          </cell>
          <cell r="P174">
            <v>0.44101067790723297</v>
          </cell>
          <cell r="Q174">
            <v>0.28333866325551649</v>
          </cell>
          <cell r="R174">
            <v>0.28004500251269826</v>
          </cell>
          <cell r="S174">
            <v>0.25256239669851038</v>
          </cell>
          <cell r="T174">
            <v>0.34848906711434841</v>
          </cell>
          <cell r="U174">
            <v>0.3240205429200293</v>
          </cell>
        </row>
        <row r="175">
          <cell r="B175" t="str">
            <v>FQ(2)</v>
          </cell>
          <cell r="C175">
            <v>0.25380977404098792</v>
          </cell>
          <cell r="D175">
            <v>0.37030928905677624</v>
          </cell>
          <cell r="E175">
            <v>0.3603795507358637</v>
          </cell>
          <cell r="F175">
            <v>0.28344988344988348</v>
          </cell>
          <cell r="G175">
            <v>0.27584494103572038</v>
          </cell>
          <cell r="H175">
            <v>0.1617958698115384</v>
          </cell>
          <cell r="I175">
            <v>0.16658690585921768</v>
          </cell>
          <cell r="J175">
            <v>0.26745374485571255</v>
          </cell>
          <cell r="K175">
            <v>0.27679393603676727</v>
          </cell>
          <cell r="M175">
            <v>0.65748303963617016</v>
          </cell>
          <cell r="N175">
            <v>0.22224625844333584</v>
          </cell>
          <cell r="O175">
            <v>0.254221436870054</v>
          </cell>
          <cell r="P175">
            <v>0.42125815178259163</v>
          </cell>
          <cell r="Q175">
            <v>0.28135593220338984</v>
          </cell>
          <cell r="R175">
            <v>0.25131301987312554</v>
          </cell>
          <cell r="S175">
            <v>0.23690327194707672</v>
          </cell>
          <cell r="T175">
            <v>0.33211158725082057</v>
          </cell>
          <cell r="U175">
            <v>0.30804271598565874</v>
          </cell>
        </row>
        <row r="176">
          <cell r="B176" t="str">
            <v>FQ(1)</v>
          </cell>
          <cell r="C176">
            <v>0.2535176499629721</v>
          </cell>
          <cell r="D176">
            <v>0.37939005929867253</v>
          </cell>
          <cell r="E176">
            <v>0.38525677468258479</v>
          </cell>
          <cell r="F176">
            <v>0.31102783725910066</v>
          </cell>
          <cell r="G176">
            <v>0.25743308089206474</v>
          </cell>
          <cell r="H176">
            <v>0.16427073759602878</v>
          </cell>
          <cell r="I176">
            <v>0.16474850265379282</v>
          </cell>
          <cell r="J176">
            <v>0.27366352033503094</v>
          </cell>
          <cell r="K176">
            <v>0.28439295072744886</v>
          </cell>
          <cell r="M176">
            <v>0.58012243858168677</v>
          </cell>
          <cell r="N176">
            <v>0.20646029325265305</v>
          </cell>
          <cell r="O176">
            <v>0.25804914000977353</v>
          </cell>
          <cell r="P176">
            <v>0.42936053803532004</v>
          </cell>
          <cell r="Q176">
            <v>0.2853162440791307</v>
          </cell>
          <cell r="R176">
            <v>0.28350080276736006</v>
          </cell>
          <cell r="S176">
            <v>0.22598734927851355</v>
          </cell>
          <cell r="T176">
            <v>0.32411382942920541</v>
          </cell>
          <cell r="U176">
            <v>0.31213470922732417</v>
          </cell>
        </row>
        <row r="177">
          <cell r="B177" t="str">
            <v>Last Reported Q</v>
          </cell>
          <cell r="C177">
            <v>0.2412528380974559</v>
          </cell>
          <cell r="D177">
            <v>0.35551799953585106</v>
          </cell>
          <cell r="E177">
            <v>0.34322448805824002</v>
          </cell>
          <cell r="F177">
            <v>0.2984984257689513</v>
          </cell>
          <cell r="G177">
            <v>0.25264937864425241</v>
          </cell>
          <cell r="H177">
            <v>0.15740248792734851</v>
          </cell>
          <cell r="I177">
            <v>0.16408079397316028</v>
          </cell>
          <cell r="J177">
            <v>0.25894663028646564</v>
          </cell>
          <cell r="K177">
            <v>0.26958151141248193</v>
          </cell>
          <cell r="M177">
            <v>0.59619070382858852</v>
          </cell>
          <cell r="N177">
            <v>0.20786554893155254</v>
          </cell>
          <cell r="O177">
            <v>0.25288123487322434</v>
          </cell>
          <cell r="P177">
            <v>0.3662912380693048</v>
          </cell>
          <cell r="Q177">
            <v>0.2756216101993379</v>
          </cell>
          <cell r="R177">
            <v>0.25095787315813839</v>
          </cell>
          <cell r="S177">
            <v>0.23075525785485199</v>
          </cell>
          <cell r="T177">
            <v>0.31150906670214262</v>
          </cell>
          <cell r="U177">
            <v>0.29081885663302726</v>
          </cell>
        </row>
        <row r="178">
          <cell r="B178" t="str">
            <v>LTM</v>
          </cell>
          <cell r="C178">
            <v>0.24755859375</v>
          </cell>
          <cell r="D178">
            <v>0.3640120041067873</v>
          </cell>
          <cell r="E178">
            <v>0.35554192542615454</v>
          </cell>
          <cell r="F178">
            <v>0.29999284538885312</v>
          </cell>
          <cell r="G178">
            <v>0.2559197911040863</v>
          </cell>
          <cell r="H178">
            <v>0.15946225344343146</v>
          </cell>
          <cell r="I178">
            <v>0.16512055876658455</v>
          </cell>
          <cell r="J178">
            <v>0.26394399599798529</v>
          </cell>
          <cell r="K178">
            <v>0.27514697563885587</v>
          </cell>
          <cell r="M178">
            <v>0.61343347301981055</v>
          </cell>
          <cell r="N178">
            <v>0.21197834263964316</v>
          </cell>
          <cell r="O178">
            <v>0.25461418741350766</v>
          </cell>
          <cell r="P178">
            <v>0.40996822786229586</v>
          </cell>
          <cell r="Q178">
            <v>0.27883102905869689</v>
          </cell>
          <cell r="R178">
            <v>0.25861572787938431</v>
          </cell>
          <cell r="S178">
            <v>0.23343201089580387</v>
          </cell>
          <cell r="T178">
            <v>0.32298185696702031</v>
          </cell>
          <cell r="U178">
            <v>0.30073195088102744</v>
          </cell>
        </row>
        <row r="179">
          <cell r="B179" t="str">
            <v>FY(1)</v>
          </cell>
          <cell r="C179">
            <v>1980.6181424947576</v>
          </cell>
          <cell r="D179">
            <v>1984.4633176922603</v>
          </cell>
          <cell r="E179">
            <v>2202.7236417983245</v>
          </cell>
          <cell r="F179">
            <v>1246.211643382778</v>
          </cell>
          <cell r="G179">
            <v>173.8130453674847</v>
          </cell>
          <cell r="H179">
            <v>482.08061137554455</v>
          </cell>
          <cell r="I179">
            <v>1671.8902989417663</v>
          </cell>
          <cell r="J179">
            <v>1391.6858144361308</v>
          </cell>
          <cell r="K179">
            <v>9741.8007010529163</v>
          </cell>
          <cell r="M179">
            <v>789.86515194133233</v>
          </cell>
          <cell r="N179">
            <v>215.33854842049243</v>
          </cell>
          <cell r="O179">
            <v>627.84877745647373</v>
          </cell>
          <cell r="P179">
            <v>1211.6714117526039</v>
          </cell>
          <cell r="Q179">
            <v>1644.5986291646034</v>
          </cell>
          <cell r="R179">
            <v>1068.359336648728</v>
          </cell>
          <cell r="S179">
            <v>255.22575446775724</v>
          </cell>
          <cell r="T179">
            <v>830.4153728359986</v>
          </cell>
          <cell r="U179">
            <v>5812.9076098519899</v>
          </cell>
        </row>
        <row r="180">
          <cell r="B180" t="str">
            <v>Expense Ratio Y/Y bps</v>
          </cell>
          <cell r="C180">
            <v>1705.1856268015219</v>
          </cell>
          <cell r="D180">
            <v>1232.8094973777047</v>
          </cell>
          <cell r="E180">
            <v>1553.8230857746548</v>
          </cell>
          <cell r="F180">
            <v>802.61653937056747</v>
          </cell>
          <cell r="G180">
            <v>-82.354512381842142</v>
          </cell>
          <cell r="H180">
            <v>551.23890722468843</v>
          </cell>
          <cell r="I180">
            <v>1684.3207963303021</v>
          </cell>
          <cell r="J180">
            <v>1063.9485629282283</v>
          </cell>
          <cell r="K180">
            <v>7447.6399404975982</v>
          </cell>
          <cell r="M180">
            <v>536.74816545626607</v>
          </cell>
          <cell r="N180">
            <v>272.88205450139014</v>
          </cell>
          <cell r="O180">
            <v>354.55073316454383</v>
          </cell>
          <cell r="P180">
            <v>1042.1427565666907</v>
          </cell>
          <cell r="Q180">
            <v>1921.1686440084529</v>
          </cell>
          <cell r="R180">
            <v>834.83801786001254</v>
          </cell>
          <cell r="S180">
            <v>323.59547798093331</v>
          </cell>
          <cell r="T180">
            <v>755.13226421975571</v>
          </cell>
          <cell r="U180">
            <v>5285.9258495382901</v>
          </cell>
        </row>
        <row r="181">
          <cell r="B181" t="str">
            <v>FY(1)</v>
          </cell>
          <cell r="C181">
            <v>157.51646442021732</v>
          </cell>
          <cell r="D181">
            <v>205.22599143587615</v>
          </cell>
          <cell r="E181">
            <v>147.01424492728543</v>
          </cell>
          <cell r="F181">
            <v>207.07126584412094</v>
          </cell>
          <cell r="G181">
            <v>39.115990718999186</v>
          </cell>
          <cell r="H181">
            <v>35.070234436621604</v>
          </cell>
          <cell r="I181">
            <v>-0.18946280574666519</v>
          </cell>
          <cell r="J181">
            <v>112.9749612824818</v>
          </cell>
          <cell r="K181">
            <v>97.740067254913356</v>
          </cell>
          <cell r="M181">
            <v>629.97763165476783</v>
          </cell>
          <cell r="N181">
            <v>-31.619890153258833</v>
          </cell>
          <cell r="O181">
            <v>115.26462868643839</v>
          </cell>
          <cell r="P181">
            <v>-80.75685903738416</v>
          </cell>
          <cell r="Q181">
            <v>-72.302435491419232</v>
          </cell>
          <cell r="R181">
            <v>-48.996741320501137</v>
          </cell>
          <cell r="S181">
            <v>-76.662439658733987</v>
          </cell>
          <cell r="T181">
            <v>62.129127811416666</v>
          </cell>
          <cell r="U181">
            <v>25.72822792170637</v>
          </cell>
        </row>
        <row r="182">
          <cell r="B182" t="str">
            <v>FY0</v>
          </cell>
          <cell r="C182">
            <v>10.8894668314502</v>
          </cell>
          <cell r="D182">
            <v>415.04612196544497</v>
          </cell>
          <cell r="E182">
            <v>34.36604400840038</v>
          </cell>
          <cell r="F182">
            <v>104.79368960363666</v>
          </cell>
          <cell r="G182">
            <v>12.591126908975125</v>
          </cell>
          <cell r="H182">
            <v>-27.351287069820039</v>
          </cell>
          <cell r="I182">
            <v>-13.280416780843129</v>
          </cell>
          <cell r="J182">
            <v>76.722106495320517</v>
          </cell>
          <cell r="K182">
            <v>52.249812242551322</v>
          </cell>
          <cell r="M182">
            <v>680.25908917457525</v>
          </cell>
          <cell r="N182">
            <v>-73.963587220474139</v>
          </cell>
          <cell r="O182">
            <v>72.854021407418585</v>
          </cell>
          <cell r="P182">
            <v>232.99399044565573</v>
          </cell>
          <cell r="Q182">
            <v>72.06354795234904</v>
          </cell>
          <cell r="R182">
            <v>-21.577612081865038</v>
          </cell>
          <cell r="S182">
            <v>50.717640703148156</v>
          </cell>
          <cell r="T182">
            <v>144.76387005440017</v>
          </cell>
          <cell r="U182">
            <v>65.737843676863534</v>
          </cell>
        </row>
        <row r="183">
          <cell r="B183" t="str">
            <v>FY1</v>
          </cell>
          <cell r="C183">
            <v>-36.929309988318337</v>
          </cell>
          <cell r="D183">
            <v>-46.947104115782068</v>
          </cell>
          <cell r="E183">
            <v>-71.801346222006842</v>
          </cell>
          <cell r="F183">
            <v>-84.780252358827028</v>
          </cell>
          <cell r="G183">
            <v>15.059933046970841</v>
          </cell>
          <cell r="H183">
            <v>-21.986742240549805</v>
          </cell>
          <cell r="I183">
            <v>-30.709025131742674</v>
          </cell>
          <cell r="J183">
            <v>-39.727692430036043</v>
          </cell>
          <cell r="K183">
            <v>-64.600973025868981</v>
          </cell>
          <cell r="M183">
            <v>-293.37951956462274</v>
          </cell>
          <cell r="N183">
            <v>-3.5460075775106681</v>
          </cell>
          <cell r="O183">
            <v>-90.971934975989655</v>
          </cell>
          <cell r="P183">
            <v>-3.4824604536265458</v>
          </cell>
          <cell r="Q183">
            <v>78.612996783387075</v>
          </cell>
          <cell r="R183">
            <v>-66.719299474100879</v>
          </cell>
          <cell r="S183">
            <v>-69.496804065655454</v>
          </cell>
          <cell r="T183">
            <v>-64.14043276116</v>
          </cell>
          <cell r="U183">
            <v>-13.760914214422382</v>
          </cell>
        </row>
        <row r="184">
          <cell r="B184" t="str">
            <v>FY2</v>
          </cell>
          <cell r="C184">
            <v>-20.0000000000089</v>
          </cell>
          <cell r="D184">
            <v>-6.7823720747134386</v>
          </cell>
          <cell r="E184">
            <v>-10.00000000000556</v>
          </cell>
          <cell r="F184">
            <v>-38.234166845998452</v>
          </cell>
          <cell r="G184">
            <v>-29.780821351923503</v>
          </cell>
          <cell r="H184">
            <v>2.2204460492503131E-12</v>
          </cell>
          <cell r="I184">
            <v>-5.0000000000038902</v>
          </cell>
          <cell r="J184">
            <v>-15.685337181807757</v>
          </cell>
          <cell r="K184">
            <v>-28.126936911805899</v>
          </cell>
          <cell r="M184">
            <v>-89.883098073574303</v>
          </cell>
          <cell r="N184">
            <v>84.506496570698474</v>
          </cell>
          <cell r="O184">
            <v>-49.906069416301989</v>
          </cell>
          <cell r="P184">
            <v>-20.000000000006679</v>
          </cell>
          <cell r="Q184">
            <v>-9.9999999999877964</v>
          </cell>
          <cell r="R184">
            <v>-19.059888315522134</v>
          </cell>
          <cell r="S184">
            <v>-51.000000000001876</v>
          </cell>
          <cell r="T184">
            <v>-22.191794176384395</v>
          </cell>
          <cell r="U184">
            <v>-15.746482346943314</v>
          </cell>
        </row>
        <row r="185">
          <cell r="B185" t="str">
            <v>FQ(1)</v>
          </cell>
          <cell r="C185">
            <v>399</v>
          </cell>
          <cell r="D185">
            <v>67.000000000000114</v>
          </cell>
          <cell r="E185">
            <v>282.00000000000017</v>
          </cell>
          <cell r="F185">
            <v>205.99999999999991</v>
          </cell>
          <cell r="G185">
            <v>-67.604999999999734</v>
          </cell>
          <cell r="H185">
            <v>171.34199999999998</v>
          </cell>
          <cell r="I185">
            <v>422.35000000000019</v>
          </cell>
          <cell r="J185">
            <v>211.44100000000009</v>
          </cell>
          <cell r="K185">
            <v>1480.0870000000007</v>
          </cell>
          <cell r="M185">
            <v>2.8660000000000005</v>
          </cell>
          <cell r="N185">
            <v>65.00999999999992</v>
          </cell>
          <cell r="O185">
            <v>46.316999999999979</v>
          </cell>
          <cell r="P185">
            <v>198.7420000000003</v>
          </cell>
          <cell r="Q185">
            <v>375.00000000000028</v>
          </cell>
          <cell r="R185">
            <v>148.643</v>
          </cell>
          <cell r="S185">
            <v>78.440999999999988</v>
          </cell>
          <cell r="T185">
            <v>130.71700000000007</v>
          </cell>
          <cell r="U185">
            <v>915.01900000000046</v>
          </cell>
        </row>
        <row r="186">
          <cell r="B186" t="str">
            <v>Operating Income</v>
          </cell>
          <cell r="C186">
            <v>338.99999999999983</v>
          </cell>
          <cell r="D186">
            <v>107.0000000000002</v>
          </cell>
          <cell r="E186">
            <v>88.000000000000256</v>
          </cell>
          <cell r="F186">
            <v>171.99999999999989</v>
          </cell>
          <cell r="G186">
            <v>15.793999999999976</v>
          </cell>
          <cell r="H186">
            <v>172.77600000000004</v>
          </cell>
          <cell r="I186">
            <v>578.6699999999995</v>
          </cell>
          <cell r="J186">
            <v>210.4628571428571</v>
          </cell>
          <cell r="K186">
            <v>1473.2399999999998</v>
          </cell>
          <cell r="M186">
            <v>40.445999999999977</v>
          </cell>
          <cell r="N186">
            <v>105.68100000000014</v>
          </cell>
          <cell r="O186">
            <v>70.301999999999992</v>
          </cell>
          <cell r="P186">
            <v>1042.1427565666907</v>
          </cell>
          <cell r="Q186">
            <v>499.99999999999989</v>
          </cell>
          <cell r="R186">
            <v>58.885000000000019</v>
          </cell>
          <cell r="S186">
            <v>95.76100000000018</v>
          </cell>
          <cell r="T186">
            <v>273.31682236667012</v>
          </cell>
          <cell r="U186">
            <v>1913.2177565666907</v>
          </cell>
        </row>
        <row r="187">
          <cell r="B187" t="str">
            <v>FY(10)</v>
          </cell>
          <cell r="C187">
            <v>485.50638863045646</v>
          </cell>
          <cell r="D187">
            <v>454.83386963538283</v>
          </cell>
          <cell r="E187">
            <v>1723.0596260973161</v>
          </cell>
          <cell r="F187">
            <v>738.45824411134856</v>
          </cell>
          <cell r="G187">
            <v>66.281727613653899</v>
          </cell>
          <cell r="H187">
            <v>287.05417646869847</v>
          </cell>
          <cell r="I187">
            <v>975.25368491205768</v>
          </cell>
          <cell r="J187">
            <v>867.71846902713219</v>
          </cell>
          <cell r="K187">
            <v>3470.8738761085287</v>
          </cell>
          <cell r="M187">
            <v>253.55646844534496</v>
          </cell>
          <cell r="N187">
            <v>394.35079233689953</v>
          </cell>
          <cell r="O187">
            <v>175.22153552145889</v>
          </cell>
          <cell r="P187">
            <v>26.474000000000014</v>
          </cell>
          <cell r="Q187">
            <v>1956.3945388687653</v>
          </cell>
          <cell r="R187">
            <v>1144.2814089708986</v>
          </cell>
          <cell r="S187">
            <v>39.337540426959102</v>
          </cell>
          <cell r="T187">
            <v>327.77419067293232</v>
          </cell>
          <cell r="U187">
            <v>1638.8709533646615</v>
          </cell>
        </row>
        <row r="188">
          <cell r="B188" t="str">
            <v>FY(9)</v>
          </cell>
          <cell r="C188">
            <v>693.91973802158805</v>
          </cell>
          <cell r="D188">
            <v>756.13092473995562</v>
          </cell>
          <cell r="E188">
            <v>1827.1086449770082</v>
          </cell>
          <cell r="F188">
            <v>266.29261150659278</v>
          </cell>
          <cell r="H188">
            <v>291.78555250618194</v>
          </cell>
          <cell r="I188">
            <v>1008.5619151459657</v>
          </cell>
          <cell r="J188">
            <v>807.29989781621543</v>
          </cell>
          <cell r="K188">
            <v>4843.7993868972926</v>
          </cell>
          <cell r="M188">
            <v>268.56767956932532</v>
          </cell>
          <cell r="O188">
            <v>166.83186574975571</v>
          </cell>
          <cell r="P188">
            <v>59.872573637159007</v>
          </cell>
          <cell r="R188">
            <v>1122.5496622628291</v>
          </cell>
          <cell r="S188">
            <v>24.391951260244909</v>
          </cell>
          <cell r="T188">
            <v>328.44274649586282</v>
          </cell>
          <cell r="U188">
            <v>1642.2137324793141</v>
          </cell>
        </row>
        <row r="189">
          <cell r="B189" t="str">
            <v>FY(8)</v>
          </cell>
          <cell r="C189">
            <v>912.830461606629</v>
          </cell>
          <cell r="D189">
            <v>799.96102171577115</v>
          </cell>
          <cell r="E189">
            <v>1432.933359721186</v>
          </cell>
          <cell r="F189">
            <v>290.62577110649232</v>
          </cell>
          <cell r="H189">
            <v>301.69612923432788</v>
          </cell>
          <cell r="I189">
            <v>1043.2810810232318</v>
          </cell>
          <cell r="J189">
            <v>796.88797073460637</v>
          </cell>
          <cell r="K189">
            <v>4781.3278244076382</v>
          </cell>
          <cell r="M189">
            <v>289.74730211917876</v>
          </cell>
          <cell r="O189">
            <v>159.35718223413812</v>
          </cell>
          <cell r="P189">
            <v>113.7959941939974</v>
          </cell>
          <cell r="Q189">
            <v>600.1907159357828</v>
          </cell>
          <cell r="R189">
            <v>966.11037711634867</v>
          </cell>
          <cell r="S189">
            <v>36.60963094345874</v>
          </cell>
          <cell r="T189">
            <v>360.96853375715074</v>
          </cell>
          <cell r="U189">
            <v>2165.8112025429045</v>
          </cell>
        </row>
        <row r="190">
          <cell r="B190" t="str">
            <v>FY(7)</v>
          </cell>
          <cell r="C190">
            <v>1156.5458318605124</v>
          </cell>
          <cell r="D190">
            <v>952.02102914901707</v>
          </cell>
          <cell r="E190">
            <v>1479.0339278923957</v>
          </cell>
          <cell r="F190">
            <v>365.97286870857812</v>
          </cell>
          <cell r="G190" t="str">
            <v>NA</v>
          </cell>
          <cell r="H190">
            <v>374.54772447620013</v>
          </cell>
          <cell r="I190">
            <v>1146.9885114400181</v>
          </cell>
          <cell r="J190">
            <v>912.51831558778701</v>
          </cell>
          <cell r="K190">
            <v>5475.1098935267219</v>
          </cell>
          <cell r="M190">
            <v>347.89566377000904</v>
          </cell>
          <cell r="N190" t="str">
            <v>NA</v>
          </cell>
          <cell r="O190">
            <v>169.11954156440302</v>
          </cell>
          <cell r="P190">
            <v>132.64145750097384</v>
          </cell>
          <cell r="Q190">
            <v>1262.4916241331193</v>
          </cell>
          <cell r="R190">
            <v>1071.3813754740067</v>
          </cell>
          <cell r="S190">
            <v>58.974819103510981</v>
          </cell>
          <cell r="T190">
            <v>507.08408025767045</v>
          </cell>
          <cell r="U190">
            <v>3042.5044815460228</v>
          </cell>
        </row>
        <row r="191">
          <cell r="B191" t="str">
            <v>FY(6)</v>
          </cell>
          <cell r="C191">
            <v>1110.9592223864277</v>
          </cell>
          <cell r="D191">
            <v>887.96830557822909</v>
          </cell>
          <cell r="E191">
            <v>1475.978670652361</v>
          </cell>
          <cell r="F191">
            <v>532.23532413226133</v>
          </cell>
          <cell r="G191" t="str">
            <v>NA</v>
          </cell>
          <cell r="H191">
            <v>421.06482424252988</v>
          </cell>
          <cell r="I191">
            <v>1219.1001386003595</v>
          </cell>
          <cell r="J191">
            <v>941.21774759869459</v>
          </cell>
          <cell r="K191">
            <v>5647.3064855921675</v>
          </cell>
          <cell r="M191">
            <v>369.2668365757271</v>
          </cell>
          <cell r="N191">
            <v>97.254885945739034</v>
          </cell>
          <cell r="O191">
            <v>158.77767171943319</v>
          </cell>
          <cell r="P191">
            <v>223.20367713801565</v>
          </cell>
          <cell r="Q191">
            <v>2114.0535915546652</v>
          </cell>
          <cell r="R191">
            <v>1185.4625330413942</v>
          </cell>
          <cell r="S191">
            <v>94.58352886198692</v>
          </cell>
          <cell r="T191">
            <v>606.08610354813743</v>
          </cell>
          <cell r="U191">
            <v>4242.6027248369619</v>
          </cell>
        </row>
        <row r="192">
          <cell r="B192" t="str">
            <v>FY(5)</v>
          </cell>
          <cell r="C192">
            <v>1327.2810663472981</v>
          </cell>
          <cell r="D192">
            <v>1363.3222942359873</v>
          </cell>
          <cell r="E192">
            <v>1534.031924074967</v>
          </cell>
          <cell r="F192">
            <v>779.85642988208429</v>
          </cell>
          <cell r="G192">
            <v>56.136268401386211</v>
          </cell>
          <cell r="H192">
            <v>336.38059571826591</v>
          </cell>
          <cell r="I192">
            <v>1301.661646187174</v>
          </cell>
          <cell r="J192">
            <v>956.95288926388037</v>
          </cell>
          <cell r="K192">
            <v>6698.6702248471629</v>
          </cell>
          <cell r="M192">
            <v>429.36043175478039</v>
          </cell>
          <cell r="N192">
            <v>151.96385778846152</v>
          </cell>
          <cell r="O192">
            <v>404.77580086465468</v>
          </cell>
          <cell r="P192">
            <v>397.9131168529151</v>
          </cell>
          <cell r="Q192">
            <v>2280.1902642154814</v>
          </cell>
          <cell r="R192">
            <v>1230.245379450329</v>
          </cell>
          <cell r="S192">
            <v>165.51726670602028</v>
          </cell>
          <cell r="T192">
            <v>722.85230251894893</v>
          </cell>
          <cell r="U192">
            <v>5059.9661176326426</v>
          </cell>
        </row>
        <row r="193">
          <cell r="B193" t="str">
            <v>FY(4)</v>
          </cell>
          <cell r="C193">
            <v>1565.4378204279326</v>
          </cell>
          <cell r="D193">
            <v>1738.7575625986995</v>
          </cell>
          <cell r="E193">
            <v>2215.3327716330614</v>
          </cell>
          <cell r="F193">
            <v>960.91185864544013</v>
          </cell>
          <cell r="G193">
            <v>-26.280904432310574</v>
          </cell>
          <cell r="H193">
            <v>369.61270424936185</v>
          </cell>
          <cell r="I193">
            <v>1321.0695433166463</v>
          </cell>
          <cell r="J193">
            <v>1163.5487652055474</v>
          </cell>
          <cell r="K193">
            <v>8144.8413564388311</v>
          </cell>
          <cell r="M193">
            <v>645.09067297176182</v>
          </cell>
          <cell r="N193">
            <v>148.87318131466253</v>
          </cell>
          <cell r="O193">
            <v>500.32993354617793</v>
          </cell>
          <cell r="P193">
            <v>574.46943808753178</v>
          </cell>
          <cell r="Q193">
            <v>1878.3884391216775</v>
          </cell>
          <cell r="R193">
            <v>1072.0481055115672</v>
          </cell>
          <cell r="S193">
            <v>219.24526081544155</v>
          </cell>
          <cell r="T193">
            <v>719.77786162411724</v>
          </cell>
          <cell r="U193">
            <v>5038.4450313688203</v>
          </cell>
        </row>
        <row r="194">
          <cell r="B194" t="str">
            <v>FY(3)</v>
          </cell>
          <cell r="C194">
            <v>1986.8854496897454</v>
          </cell>
          <cell r="D194">
            <v>2015.8491990278244</v>
          </cell>
          <cell r="E194">
            <v>2395.6367130314761</v>
          </cell>
          <cell r="F194">
            <v>1180.6253732754576</v>
          </cell>
          <cell r="G194">
            <v>105.98450218643146</v>
          </cell>
          <cell r="H194">
            <v>428.50716111120238</v>
          </cell>
          <cell r="I194">
            <v>1532.0897485636781</v>
          </cell>
          <cell r="J194">
            <v>1377.9397352694025</v>
          </cell>
          <cell r="K194">
            <v>9645.5781468858168</v>
          </cell>
          <cell r="M194">
            <v>751.22542850829609</v>
          </cell>
          <cell r="N194">
            <v>174.35257387578639</v>
          </cell>
          <cell r="O194">
            <v>624.34594845746699</v>
          </cell>
          <cell r="P194">
            <v>746.30143442651263</v>
          </cell>
          <cell r="Q194">
            <v>1451.1546513463388</v>
          </cell>
          <cell r="R194">
            <v>1270.23310915313</v>
          </cell>
          <cell r="S194">
            <v>182.36046176901246</v>
          </cell>
          <cell r="T194">
            <v>742.85337250522048</v>
          </cell>
          <cell r="U194">
            <v>5199.9736075365436</v>
          </cell>
        </row>
        <row r="195">
          <cell r="B195" t="str">
            <v>FY(2)</v>
          </cell>
          <cell r="C195">
            <v>1980.6181424947576</v>
          </cell>
          <cell r="D195">
            <v>1984.4633176922603</v>
          </cell>
          <cell r="E195">
            <v>2202.7236417983245</v>
          </cell>
          <cell r="F195">
            <v>1246.211643382778</v>
          </cell>
          <cell r="G195">
            <v>173.8130453674847</v>
          </cell>
          <cell r="H195">
            <v>482.08061137554455</v>
          </cell>
          <cell r="I195">
            <v>1671.8902989417663</v>
          </cell>
          <cell r="J195">
            <v>1391.6858144361308</v>
          </cell>
          <cell r="K195">
            <v>9741.8007010529163</v>
          </cell>
          <cell r="M195">
            <v>828.27815194133564</v>
          </cell>
          <cell r="N195">
            <v>215.33854842049243</v>
          </cell>
          <cell r="O195">
            <v>627.84877745647373</v>
          </cell>
          <cell r="P195">
            <v>1024.8933082993212</v>
          </cell>
          <cell r="Q195">
            <v>1644.5986291646034</v>
          </cell>
          <cell r="R195">
            <v>1068.359336648728</v>
          </cell>
          <cell r="S195">
            <v>255.22575446775724</v>
          </cell>
          <cell r="T195">
            <v>809.22035805695862</v>
          </cell>
          <cell r="U195">
            <v>5664.5425063987104</v>
          </cell>
        </row>
        <row r="196">
          <cell r="B196" t="str">
            <v>FY(1)</v>
          </cell>
          <cell r="C196">
            <v>1705.1856268015219</v>
          </cell>
          <cell r="D196">
            <v>1232.8094973777047</v>
          </cell>
          <cell r="E196">
            <v>1553.8230857746548</v>
          </cell>
          <cell r="F196">
            <v>798.68184271838584</v>
          </cell>
          <cell r="G196">
            <v>-78.277512381842001</v>
          </cell>
          <cell r="H196">
            <v>551.23890722468843</v>
          </cell>
          <cell r="I196">
            <v>1685.8577701460415</v>
          </cell>
          <cell r="J196">
            <v>1064.1884596658795</v>
          </cell>
          <cell r="K196">
            <v>7449.3192176611565</v>
          </cell>
          <cell r="M196">
            <v>565.02656921650953</v>
          </cell>
          <cell r="N196">
            <v>269.98135982676371</v>
          </cell>
          <cell r="O196">
            <v>354.04039646842591</v>
          </cell>
          <cell r="P196">
            <v>1211.6714117526039</v>
          </cell>
          <cell r="Q196">
            <v>1921.1686440084529</v>
          </cell>
          <cell r="R196">
            <v>834.83801786001254</v>
          </cell>
          <cell r="S196">
            <v>313.79271877126615</v>
          </cell>
          <cell r="T196">
            <v>781.50273112914783</v>
          </cell>
          <cell r="U196">
            <v>5470.5191179040348</v>
          </cell>
        </row>
        <row r="197">
          <cell r="B197" t="str">
            <v>FY0</v>
          </cell>
          <cell r="C197">
            <v>1917.1194702536768</v>
          </cell>
          <cell r="D197">
            <v>781.47518758588342</v>
          </cell>
          <cell r="E197">
            <v>1586.9995350025417</v>
          </cell>
          <cell r="F197">
            <v>853.57339587430897</v>
          </cell>
          <cell r="G197">
            <v>17.50706678990792</v>
          </cell>
          <cell r="H197">
            <v>781.03306781757033</v>
          </cell>
          <cell r="I197">
            <v>2201.0009309468269</v>
          </cell>
          <cell r="J197">
            <v>1162.6726648958168</v>
          </cell>
          <cell r="K197">
            <v>8138.7086542707166</v>
          </cell>
          <cell r="M197">
            <v>237.83213091594212</v>
          </cell>
          <cell r="N197">
            <v>403.73291383466682</v>
          </cell>
          <cell r="O197">
            <v>325.08544655232197</v>
          </cell>
          <cell r="P197">
            <v>1042.1427565666907</v>
          </cell>
          <cell r="Q197">
            <v>2237.9224510405411</v>
          </cell>
          <cell r="R197">
            <v>1023.0921257582751</v>
          </cell>
          <cell r="S197">
            <v>351.1769179604114</v>
          </cell>
          <cell r="T197">
            <v>802.99782037554985</v>
          </cell>
          <cell r="U197">
            <v>5620.9847426288488</v>
          </cell>
        </row>
        <row r="198">
          <cell r="B198" t="str">
            <v>FY1</v>
          </cell>
          <cell r="C198">
            <v>2251.8113812011547</v>
          </cell>
          <cell r="D198">
            <v>950.1012154893956</v>
          </cell>
          <cell r="E198">
            <v>1883.6398911998326</v>
          </cell>
          <cell r="F198">
            <v>1089.9505033320954</v>
          </cell>
          <cell r="G198">
            <v>73.509240114675933</v>
          </cell>
          <cell r="H198">
            <v>906.45911066223948</v>
          </cell>
          <cell r="I198">
            <v>2509.6654245613058</v>
          </cell>
          <cell r="J198">
            <v>1380.7338237943857</v>
          </cell>
          <cell r="K198">
            <v>9665.1367665606995</v>
          </cell>
          <cell r="M198">
            <v>349.32531972063566</v>
          </cell>
          <cell r="N198">
            <v>436.51131068441123</v>
          </cell>
          <cell r="O198">
            <v>451.53609929285483</v>
          </cell>
          <cell r="P198">
            <v>1133.0035071318157</v>
          </cell>
          <cell r="Q198">
            <v>2229.3598641723124</v>
          </cell>
          <cell r="R198">
            <v>1190.1195104238896</v>
          </cell>
          <cell r="S198">
            <v>442.80259153562491</v>
          </cell>
          <cell r="T198">
            <v>890.37974328022062</v>
          </cell>
          <cell r="U198">
            <v>6232.6582029615447</v>
          </cell>
        </row>
        <row r="199">
          <cell r="B199" t="str">
            <v>FY2</v>
          </cell>
          <cell r="C199">
            <v>2531.3005039312252</v>
          </cell>
          <cell r="D199">
            <v>1018.6683833273149</v>
          </cell>
          <cell r="E199">
            <v>1947.6346240361752</v>
          </cell>
          <cell r="F199">
            <v>1181.9016384231893</v>
          </cell>
          <cell r="G199">
            <v>122.76616566210181</v>
          </cell>
          <cell r="H199">
            <v>980.82856053693729</v>
          </cell>
          <cell r="I199">
            <v>2623.3346912949105</v>
          </cell>
          <cell r="J199">
            <v>1486.6335096016935</v>
          </cell>
          <cell r="K199">
            <v>10406.434567211854</v>
          </cell>
          <cell r="M199">
            <v>443.37392089506665</v>
          </cell>
          <cell r="N199">
            <v>431.7260319132667</v>
          </cell>
          <cell r="O199">
            <v>538.59539119682017</v>
          </cell>
          <cell r="P199">
            <v>1211.6901871378634</v>
          </cell>
          <cell r="Q199">
            <v>2165.2817026002863</v>
          </cell>
          <cell r="R199">
            <v>1262.8606520739111</v>
          </cell>
          <cell r="S199">
            <v>521.64599501463044</v>
          </cell>
          <cell r="T199">
            <v>939.31055440454918</v>
          </cell>
          <cell r="U199">
            <v>6575.1738808318441</v>
          </cell>
        </row>
        <row r="200">
          <cell r="B200" t="str">
            <v>FQ(3)</v>
          </cell>
          <cell r="C200">
            <v>250.99999999999989</v>
          </cell>
          <cell r="D200">
            <v>106.00000000000014</v>
          </cell>
          <cell r="E200">
            <v>23.999999999999979</v>
          </cell>
          <cell r="F200">
            <v>146.00000000000006</v>
          </cell>
          <cell r="G200">
            <v>2.3769999999999976</v>
          </cell>
          <cell r="H200">
            <v>150.86000000000007</v>
          </cell>
          <cell r="I200">
            <v>345.8210000000002</v>
          </cell>
          <cell r="J200">
            <v>146.57971428571432</v>
          </cell>
          <cell r="K200">
            <v>1026.0580000000002</v>
          </cell>
          <cell r="M200">
            <v>-33.879000000000005</v>
          </cell>
          <cell r="N200">
            <v>56.14400000000019</v>
          </cell>
          <cell r="O200">
            <v>27.352999999999973</v>
          </cell>
          <cell r="P200">
            <v>198.7420000000003</v>
          </cell>
          <cell r="Q200">
            <v>352.99999999999955</v>
          </cell>
          <cell r="R200">
            <v>65.212000000000018</v>
          </cell>
          <cell r="S200">
            <v>46.119999999999983</v>
          </cell>
          <cell r="T200">
            <v>101.81314285714286</v>
          </cell>
          <cell r="U200">
            <v>712.69200000000001</v>
          </cell>
        </row>
        <row r="201">
          <cell r="B201" t="str">
            <v>FQ(2)</v>
          </cell>
          <cell r="C201">
            <v>399</v>
          </cell>
          <cell r="D201">
            <v>67.000000000000114</v>
          </cell>
          <cell r="E201">
            <v>282.00000000000017</v>
          </cell>
          <cell r="F201">
            <v>205.99999999999991</v>
          </cell>
          <cell r="G201">
            <v>-67.604999999999734</v>
          </cell>
          <cell r="H201">
            <v>171.34199999999998</v>
          </cell>
          <cell r="I201">
            <v>422.35000000000019</v>
          </cell>
          <cell r="J201">
            <v>211.44100000000009</v>
          </cell>
          <cell r="K201">
            <v>1480.0870000000007</v>
          </cell>
          <cell r="M201">
            <v>8.8859999999999726</v>
          </cell>
          <cell r="N201">
            <v>65.00999999999992</v>
          </cell>
          <cell r="O201">
            <v>46.316999999999979</v>
          </cell>
          <cell r="P201">
            <v>219.68699999999981</v>
          </cell>
          <cell r="Q201">
            <v>375.00000000000028</v>
          </cell>
          <cell r="R201">
            <v>148.643</v>
          </cell>
          <cell r="S201">
            <v>78.440999999999988</v>
          </cell>
          <cell r="T201">
            <v>134.56914285714285</v>
          </cell>
          <cell r="U201">
            <v>941.98400000000004</v>
          </cell>
        </row>
        <row r="202">
          <cell r="B202" t="str">
            <v>FQ(1)</v>
          </cell>
          <cell r="C202">
            <v>338.99999999999983</v>
          </cell>
          <cell r="D202">
            <v>106.99999999999997</v>
          </cell>
          <cell r="E202">
            <v>88.000000000000256</v>
          </cell>
          <cell r="F202">
            <v>171.99999999999989</v>
          </cell>
          <cell r="G202">
            <v>15.793999999999976</v>
          </cell>
          <cell r="H202">
            <v>172.77600000000004</v>
          </cell>
          <cell r="I202">
            <v>578.6699999999995</v>
          </cell>
          <cell r="J202">
            <v>210.46285714285705</v>
          </cell>
          <cell r="K202">
            <v>1473.2399999999993</v>
          </cell>
          <cell r="M202">
            <v>45.396999999999963</v>
          </cell>
          <cell r="N202">
            <v>105.68100000000014</v>
          </cell>
          <cell r="O202">
            <v>70.301999999999992</v>
          </cell>
          <cell r="P202">
            <v>223.24699999999987</v>
          </cell>
          <cell r="Q202">
            <v>499.99999999999989</v>
          </cell>
          <cell r="R202">
            <v>58.885000000000019</v>
          </cell>
          <cell r="S202">
            <v>95.76100000000018</v>
          </cell>
          <cell r="T202">
            <v>157.03899999999999</v>
          </cell>
          <cell r="U202">
            <v>1099.2729999999999</v>
          </cell>
        </row>
        <row r="203">
          <cell r="B203" t="str">
            <v>Last Reported Q</v>
          </cell>
          <cell r="C203">
            <v>1917.1194702536768</v>
          </cell>
          <cell r="D203">
            <v>781.47518758588342</v>
          </cell>
          <cell r="E203">
            <v>1586.9995350025417</v>
          </cell>
          <cell r="F203">
            <v>853.57339587430897</v>
          </cell>
          <cell r="G203">
            <v>17.50706678990792</v>
          </cell>
          <cell r="H203">
            <v>781.03306781757033</v>
          </cell>
          <cell r="I203">
            <v>2201.0009309468269</v>
          </cell>
          <cell r="J203">
            <v>1162.6726648958168</v>
          </cell>
          <cell r="K203">
            <v>8138.7086542707166</v>
          </cell>
          <cell r="M203">
            <v>237.83213091594212</v>
          </cell>
          <cell r="N203">
            <v>403.73291383466682</v>
          </cell>
          <cell r="O203">
            <v>325.08544655232197</v>
          </cell>
          <cell r="P203">
            <v>380.83699999999959</v>
          </cell>
          <cell r="Q203">
            <v>2237.9224510405411</v>
          </cell>
          <cell r="R203">
            <v>1023.0921257582751</v>
          </cell>
          <cell r="S203">
            <v>351.1769179604114</v>
          </cell>
          <cell r="T203">
            <v>708.52556943745117</v>
          </cell>
          <cell r="U203">
            <v>4959.6789860621584</v>
          </cell>
        </row>
        <row r="204">
          <cell r="B204" t="str">
            <v>LTM</v>
          </cell>
          <cell r="C204">
            <v>3643.2917986624552</v>
          </cell>
          <cell r="D204">
            <v>2040.2485263565161</v>
          </cell>
          <cell r="E204">
            <v>5284.3343101031896</v>
          </cell>
          <cell r="F204">
            <v>1706.526191413946</v>
          </cell>
          <cell r="G204">
            <v>160.88197181609078</v>
          </cell>
          <cell r="H204">
            <v>1446.3537456975037</v>
          </cell>
          <cell r="I204">
            <v>3755.293062116757</v>
          </cell>
          <cell r="J204">
            <v>2576.7042294523512</v>
          </cell>
          <cell r="K204">
            <v>18036.929606166457</v>
          </cell>
          <cell r="M204">
            <v>676.34837726324224</v>
          </cell>
          <cell r="N204">
            <v>726.79863290245214</v>
          </cell>
          <cell r="O204">
            <v>579.50627913168728</v>
          </cell>
          <cell r="P204">
            <v>1195.8315056032586</v>
          </cell>
          <cell r="Q204">
            <v>3324.8616619452255</v>
          </cell>
          <cell r="R204">
            <v>2730.3149800887913</v>
          </cell>
          <cell r="S204">
            <v>662.80864971036158</v>
          </cell>
          <cell r="T204">
            <v>1413.7814409492883</v>
          </cell>
          <cell r="U204">
            <v>9896.4700866450185</v>
          </cell>
        </row>
        <row r="205">
          <cell r="B205" t="str">
            <v>FQ(1)</v>
          </cell>
          <cell r="C205">
            <v>0.104834471886495</v>
          </cell>
          <cell r="D205">
            <v>1.6993645456715101E-2</v>
          </cell>
          <cell r="E205">
            <v>5.4608830364058898E-2</v>
          </cell>
          <cell r="F205">
            <v>9.6037296037295994E-2</v>
          </cell>
          <cell r="G205">
            <v>-0.120358699367629</v>
          </cell>
          <cell r="H205">
            <v>9.6878046132726006E-2</v>
          </cell>
          <cell r="I205">
            <v>8.8962087216757899E-2</v>
          </cell>
          <cell r="J205">
            <v>4.8279382532345698E-2</v>
          </cell>
          <cell r="K205">
            <v>6.6864824225143879E-2</v>
          </cell>
          <cell r="M205">
            <v>4.4197088790501804E-3</v>
          </cell>
          <cell r="N205">
            <v>0.14350359807513999</v>
          </cell>
          <cell r="O205">
            <v>7.0433822590161704E-2</v>
          </cell>
          <cell r="P205">
            <v>0.26859241099604197</v>
          </cell>
          <cell r="Q205">
            <v>0.115562403697997</v>
          </cell>
          <cell r="R205">
            <v>7.1926004422701903E-2</v>
          </cell>
          <cell r="S205">
            <v>0.17103478651450199</v>
          </cell>
          <cell r="T205">
            <v>0.12078181931079925</v>
          </cell>
          <cell r="U205">
            <v>0.11065320313208579</v>
          </cell>
        </row>
        <row r="206">
          <cell r="B206" t="str">
            <v>Operating Margin</v>
          </cell>
          <cell r="C206">
            <v>8.3683041224388993E-2</v>
          </cell>
          <cell r="D206">
            <v>2.5601796602830601E-2</v>
          </cell>
          <cell r="E206">
            <v>1.6676141747204901E-2</v>
          </cell>
          <cell r="F206">
            <v>9.2077087794432494E-2</v>
          </cell>
          <cell r="G206">
            <v>2.50129071288527E-2</v>
          </cell>
          <cell r="H206">
            <v>9.9060912002999796E-2</v>
          </cell>
          <cell r="I206">
            <v>0.110329067258271</v>
          </cell>
          <cell r="J206">
            <v>6.4634421965568636E-2</v>
          </cell>
          <cell r="K206">
            <v>6.4065296636237681E-2</v>
          </cell>
          <cell r="M206">
            <v>5.2842888890921202E-2</v>
          </cell>
          <cell r="N206">
            <v>0.18611117959699799</v>
          </cell>
          <cell r="O206">
            <v>9.3865910420021306E-2</v>
          </cell>
          <cell r="P206">
            <v>0.32259807451016098</v>
          </cell>
          <cell r="Q206">
            <v>0.139314572304263</v>
          </cell>
          <cell r="R206">
            <v>3.3131912386811499E-2</v>
          </cell>
          <cell r="S206">
            <v>0.18928839691638699</v>
          </cell>
          <cell r="T206">
            <v>0.145307562146509</v>
          </cell>
          <cell r="U206">
            <v>0.17105426560082906</v>
          </cell>
        </row>
        <row r="207">
          <cell r="B207" t="str">
            <v>FY(10)</v>
          </cell>
          <cell r="C207">
            <v>0.10654125948116</v>
          </cell>
          <cell r="D207">
            <v>4.1285515537297798E-2</v>
          </cell>
          <cell r="E207">
            <v>0.107496389425249</v>
          </cell>
          <cell r="F207">
            <v>7.5295932389064305E-2</v>
          </cell>
          <cell r="G207" t="str">
            <v>NA</v>
          </cell>
          <cell r="H207">
            <v>0.11628038475819399</v>
          </cell>
          <cell r="I207">
            <v>0.11088291171594</v>
          </cell>
          <cell r="J207">
            <v>9.2963732217817521E-2</v>
          </cell>
          <cell r="K207">
            <v>5.049133925846503E-2</v>
          </cell>
          <cell r="M207">
            <v>0.24596643615836999</v>
          </cell>
          <cell r="N207" t="str">
            <v>NA</v>
          </cell>
          <cell r="O207">
            <v>0.210576485056506</v>
          </cell>
          <cell r="P207">
            <v>5.21366494610866E-2</v>
          </cell>
          <cell r="Q207" t="str">
            <v>NA</v>
          </cell>
          <cell r="R207">
            <v>0.117169916953809</v>
          </cell>
          <cell r="S207">
            <v>0.141444450374341</v>
          </cell>
          <cell r="T207">
            <v>0.15345878760082252</v>
          </cell>
          <cell r="U207">
            <v>6.7493365584078646E-2</v>
          </cell>
        </row>
        <row r="208">
          <cell r="B208" t="str">
            <v>FY(9)</v>
          </cell>
          <cell r="C208">
            <v>0.11279212932310199</v>
          </cell>
          <cell r="D208">
            <v>2.3743356300318898E-2</v>
          </cell>
          <cell r="E208">
            <v>0.10981540118866499</v>
          </cell>
          <cell r="F208">
            <v>4.8166922190552901E-2</v>
          </cell>
          <cell r="G208" t="str">
            <v>NA</v>
          </cell>
          <cell r="H208">
            <v>0.107708140232083</v>
          </cell>
          <cell r="I208">
            <v>0.105288786242118</v>
          </cell>
          <cell r="J208">
            <v>8.4585789246139964E-2</v>
          </cell>
          <cell r="K208">
            <v>6.6854567253156583E-2</v>
          </cell>
          <cell r="M208">
            <v>0.217006150246222</v>
          </cell>
          <cell r="N208" t="str">
            <v>NA</v>
          </cell>
          <cell r="O208">
            <v>0.15761843759838001</v>
          </cell>
          <cell r="P208">
            <v>0.109057511178796</v>
          </cell>
          <cell r="Q208">
            <v>0.119617483966938</v>
          </cell>
          <cell r="R208">
            <v>0.123628817429827</v>
          </cell>
          <cell r="S208">
            <v>8.2591350307093706E-2</v>
          </cell>
          <cell r="T208">
            <v>0.1349199584545428</v>
          </cell>
          <cell r="U208">
            <v>6.2671835934588374E-2</v>
          </cell>
        </row>
        <row r="209">
          <cell r="B209" t="str">
            <v>FY(8)</v>
          </cell>
          <cell r="C209">
            <v>0.121895261387256</v>
          </cell>
          <cell r="D209">
            <v>4.4840864445951298E-2</v>
          </cell>
          <cell r="E209">
            <v>9.0778166596210699E-2</v>
          </cell>
          <cell r="F209">
            <v>5.1583078684107803E-2</v>
          </cell>
          <cell r="G209" t="str">
            <v>NA</v>
          </cell>
          <cell r="H209">
            <v>0.101016719112437</v>
          </cell>
          <cell r="I209">
            <v>9.7420980097599405E-2</v>
          </cell>
          <cell r="J209">
            <v>8.4589178387260364E-2</v>
          </cell>
          <cell r="K209">
            <v>7.9104256172474144E-2</v>
          </cell>
          <cell r="M209">
            <v>0.21229194801138199</v>
          </cell>
          <cell r="N209" t="str">
            <v>NA</v>
          </cell>
          <cell r="O209">
            <v>0.125354912836943</v>
          </cell>
          <cell r="P209">
            <v>0.18950491213689699</v>
          </cell>
          <cell r="Q209">
            <v>4.3341725905182898E-2</v>
          </cell>
          <cell r="R209">
            <v>0.11469908311959499</v>
          </cell>
          <cell r="S209">
            <v>0.104911281424867</v>
          </cell>
          <cell r="T209">
            <v>0.13168397723914449</v>
          </cell>
          <cell r="U209">
            <v>8.2446112098941496E-2</v>
          </cell>
        </row>
        <row r="210">
          <cell r="B210" t="str">
            <v>FY(7)</v>
          </cell>
          <cell r="C210">
            <v>0.126810245320187</v>
          </cell>
          <cell r="D210">
            <v>5.4764210144329098E-2</v>
          </cell>
          <cell r="E210">
            <v>9.4986444537434697E-2</v>
          </cell>
          <cell r="F210">
            <v>6.1563338351046402E-2</v>
          </cell>
          <cell r="G210" t="str">
            <v>NA</v>
          </cell>
          <cell r="H210">
            <v>0.106063638704699</v>
          </cell>
          <cell r="I210">
            <v>9.5732300713944604E-2</v>
          </cell>
          <cell r="J210">
            <v>8.9986696295273463E-2</v>
          </cell>
          <cell r="K210">
            <v>8.6178097504502726E-2</v>
          </cell>
          <cell r="M210">
            <v>0.21801293290269699</v>
          </cell>
          <cell r="N210">
            <v>0.11287410012405499</v>
          </cell>
          <cell r="O210">
            <v>0.122291365147881</v>
          </cell>
          <cell r="P210">
            <v>0.18437789477477601</v>
          </cell>
          <cell r="Q210">
            <v>8.7338806887471199E-2</v>
          </cell>
          <cell r="R210">
            <v>0.12687120223199699</v>
          </cell>
          <cell r="S210">
            <v>0.13950150466586</v>
          </cell>
          <cell r="T210">
            <v>0.14160968667639101</v>
          </cell>
          <cell r="U210">
            <v>0.11034969363981655</v>
          </cell>
        </row>
        <row r="211">
          <cell r="B211" t="str">
            <v>FY(6)</v>
          </cell>
          <cell r="C211">
            <v>0.108047954277254</v>
          </cell>
          <cell r="D211">
            <v>5.0703380664547999E-2</v>
          </cell>
          <cell r="E211">
            <v>9.5768146292003697E-2</v>
          </cell>
          <cell r="F211">
            <v>8.2535377465315002E-2</v>
          </cell>
          <cell r="G211">
            <v>1.9157145659343199E-2</v>
          </cell>
          <cell r="H211">
            <v>0.107398523189671</v>
          </cell>
          <cell r="I211">
            <v>9.1469523537726499E-2</v>
          </cell>
          <cell r="J211">
            <v>7.929715015512305E-2</v>
          </cell>
          <cell r="K211">
            <v>8.1436451313366839E-2</v>
          </cell>
          <cell r="M211">
            <v>0.216222561525163</v>
          </cell>
          <cell r="N211">
            <v>0.13234334049889099</v>
          </cell>
          <cell r="O211">
            <v>0.110612853320826</v>
          </cell>
          <cell r="P211">
            <v>0.240935051303657</v>
          </cell>
          <cell r="Q211">
            <v>0.13334704983153001</v>
          </cell>
          <cell r="R211">
            <v>0.13269152851048399</v>
          </cell>
          <cell r="S211">
            <v>0.17248405496012101</v>
          </cell>
          <cell r="T211">
            <v>0.16266234856438172</v>
          </cell>
          <cell r="U211">
            <v>0.14076028169944199</v>
          </cell>
        </row>
        <row r="212">
          <cell r="A212">
            <v>2000</v>
          </cell>
          <cell r="B212" t="str">
            <v>FY(5)</v>
          </cell>
          <cell r="C212">
            <v>0.113436039411941</v>
          </cell>
          <cell r="D212">
            <v>7.5338323067859606E-2</v>
          </cell>
          <cell r="E212">
            <v>9.7238331901303696E-2</v>
          </cell>
          <cell r="F212">
            <v>0.109355106748422</v>
          </cell>
          <cell r="G212">
            <v>2.0287941822930301E-2</v>
          </cell>
          <cell r="H212">
            <v>7.93352332713676E-2</v>
          </cell>
          <cell r="I212">
            <v>8.7280861632871007E-2</v>
          </cell>
          <cell r="J212">
            <v>8.3181691122385035E-2</v>
          </cell>
          <cell r="K212">
            <v>8.9764950782320344E-2</v>
          </cell>
          <cell r="M212">
            <v>0.21242279879459999</v>
          </cell>
          <cell r="N212">
            <v>0.157604196782929</v>
          </cell>
          <cell r="O212">
            <v>0.21516424576365001</v>
          </cell>
          <cell r="P212">
            <v>0.31275101536816402</v>
          </cell>
          <cell r="Q212">
            <v>0.14017275860425901</v>
          </cell>
          <cell r="R212">
            <v>0.130761541438074</v>
          </cell>
          <cell r="S212">
            <v>0.19996045509637</v>
          </cell>
          <cell r="T212">
            <v>0.19554814454972089</v>
          </cell>
          <cell r="U212">
            <v>0.1550136456617576</v>
          </cell>
        </row>
        <row r="213">
          <cell r="A213">
            <v>2001</v>
          </cell>
          <cell r="B213" t="str">
            <v>FY(4)</v>
          </cell>
          <cell r="C213">
            <v>0.11680454107743</v>
          </cell>
          <cell r="D213">
            <v>9.2580669964256401E-2</v>
          </cell>
          <cell r="E213">
            <v>9.8942955410141198E-2</v>
          </cell>
          <cell r="F213">
            <v>0.124428348678587</v>
          </cell>
          <cell r="G213">
            <v>-9.4592348837632401E-3</v>
          </cell>
          <cell r="H213">
            <v>7.4757144563204897E-2</v>
          </cell>
          <cell r="I213">
            <v>8.2794827188631001E-2</v>
          </cell>
          <cell r="J213">
            <v>8.2978464571212468E-2</v>
          </cell>
          <cell r="K213">
            <v>9.473580456857901E-2</v>
          </cell>
          <cell r="M213">
            <v>0.233039181555631</v>
          </cell>
          <cell r="N213">
            <v>0.12361319562772401</v>
          </cell>
          <cell r="O213">
            <v>0.21547722725271901</v>
          </cell>
          <cell r="P213">
            <v>0.34780410902167203</v>
          </cell>
          <cell r="Q213">
            <v>0.117230758230149</v>
          </cell>
          <cell r="R213">
            <v>0.110869032060765</v>
          </cell>
          <cell r="S213">
            <v>0.20075437737826199</v>
          </cell>
          <cell r="T213">
            <v>0.19268398301813172</v>
          </cell>
          <cell r="U213">
            <v>0.14507144530249649</v>
          </cell>
        </row>
        <row r="214">
          <cell r="A214">
            <v>2002</v>
          </cell>
          <cell r="B214" t="str">
            <v>FY(3)</v>
          </cell>
          <cell r="C214">
            <v>0.12748457342528999</v>
          </cell>
          <cell r="D214">
            <v>0.10128323800949</v>
          </cell>
          <cell r="E214">
            <v>8.8825981202501902E-2</v>
          </cell>
          <cell r="F214">
            <v>0.13791227926454799</v>
          </cell>
          <cell r="G214">
            <v>3.6049113618738297E-2</v>
          </cell>
          <cell r="H214">
            <v>7.69283673526137E-2</v>
          </cell>
          <cell r="I214">
            <v>8.8027676105148195E-2</v>
          </cell>
          <cell r="J214">
            <v>9.3787318425475719E-2</v>
          </cell>
          <cell r="K214">
            <v>9.9506720199405665E-2</v>
          </cell>
          <cell r="M214">
            <v>0.22874091659773901</v>
          </cell>
          <cell r="N214">
            <v>0.123373610873832</v>
          </cell>
          <cell r="O214">
            <v>0.22342683138276001</v>
          </cell>
          <cell r="P214">
            <v>0.366717574168407</v>
          </cell>
          <cell r="Q214">
            <v>9.1135756537482807E-2</v>
          </cell>
          <cell r="R214">
            <v>0.119039877708797</v>
          </cell>
          <cell r="S214">
            <v>0.148900082034472</v>
          </cell>
          <cell r="T214">
            <v>0.18590494990049855</v>
          </cell>
          <cell r="U214">
            <v>0.13924057343994925</v>
          </cell>
        </row>
        <row r="215">
          <cell r="B215" t="str">
            <v>FY(2)</v>
          </cell>
          <cell r="C215">
            <v>0.120229101082013</v>
          </cell>
          <cell r="D215">
            <v>9.9917945317377396E-2</v>
          </cell>
          <cell r="E215">
            <v>8.3712371899757707E-2</v>
          </cell>
          <cell r="F215">
            <v>0.141168769910963</v>
          </cell>
          <cell r="G215">
            <v>5.3241220488638302E-2</v>
          </cell>
          <cell r="H215">
            <v>8.0680084886619E-2</v>
          </cell>
          <cell r="I215">
            <v>9.1177143561056995E-2</v>
          </cell>
          <cell r="J215">
            <v>9.5732376735203628E-2</v>
          </cell>
          <cell r="K215">
            <v>9.8350353610200822E-2</v>
          </cell>
          <cell r="M215">
            <v>0.22387977475239201</v>
          </cell>
          <cell r="N215">
            <v>0.13601620812028201</v>
          </cell>
          <cell r="O215">
            <v>0.20548696511230499</v>
          </cell>
          <cell r="P215">
            <v>0.39231026600996199</v>
          </cell>
          <cell r="Q215">
            <v>0.104332844583176</v>
          </cell>
          <cell r="R215">
            <v>0.10592190179769</v>
          </cell>
          <cell r="S215">
            <v>0.16927882985729301</v>
          </cell>
          <cell r="T215">
            <v>0.19103239860472856</v>
          </cell>
          <cell r="U215">
            <v>0.14786943414630094</v>
          </cell>
        </row>
        <row r="216">
          <cell r="B216" t="str">
            <v>FY(1)</v>
          </cell>
          <cell r="C216">
            <v>0.10404515414710699</v>
          </cell>
          <cell r="D216">
            <v>6.6687112181850305E-2</v>
          </cell>
          <cell r="E216">
            <v>6.2422589015533297E-2</v>
          </cell>
          <cell r="F216">
            <v>9.6331183538582305E-2</v>
          </cell>
          <cell r="G216">
            <v>-2.5775567746272501E-2</v>
          </cell>
          <cell r="H216">
            <v>8.4987217699881004E-2</v>
          </cell>
          <cell r="I216">
            <v>8.8731668016932094E-2</v>
          </cell>
          <cell r="J216">
            <v>6.8204193836230512E-2</v>
          </cell>
          <cell r="K216">
            <v>7.7130352208892403E-2</v>
          </cell>
          <cell r="M216">
            <v>0.162174892436177</v>
          </cell>
          <cell r="N216">
            <v>0.143185850472235</v>
          </cell>
          <cell r="O216">
            <v>0.11845502634267201</v>
          </cell>
          <cell r="P216">
            <v>0.380938063408366</v>
          </cell>
          <cell r="Q216">
            <v>0.13225723833184999</v>
          </cell>
          <cell r="R216">
            <v>9.2321754071047202E-2</v>
          </cell>
          <cell r="S216">
            <v>0.17103981252296999</v>
          </cell>
          <cell r="T216">
            <v>0.17148180536933103</v>
          </cell>
          <cell r="U216">
            <v>0.14808207163736606</v>
          </cell>
        </row>
        <row r="217">
          <cell r="B217" t="str">
            <v>FY0</v>
          </cell>
          <cell r="C217">
            <v>0.11160967981915799</v>
          </cell>
          <cell r="D217">
            <v>4.4509531460659599E-2</v>
          </cell>
          <cell r="E217">
            <v>6.7563520584211403E-2</v>
          </cell>
          <cell r="F217">
            <v>0.10336321093174</v>
          </cell>
          <cell r="G217">
            <v>6.6675553621336403E-3</v>
          </cell>
          <cell r="H217">
            <v>0.108715188123956</v>
          </cell>
          <cell r="I217">
            <v>0.10848544772318799</v>
          </cell>
          <cell r="J217">
            <v>7.8702019143578092E-2</v>
          </cell>
          <cell r="K217">
            <v>8.426922330633202E-2</v>
          </cell>
          <cell r="M217">
            <v>8.1209485992895E-2</v>
          </cell>
          <cell r="N217">
            <v>0.18103762550851499</v>
          </cell>
          <cell r="O217">
            <v>0.108703943060901</v>
          </cell>
          <cell r="P217">
            <v>0.32259807451016098</v>
          </cell>
          <cell r="Q217">
            <v>0.15763347545541601</v>
          </cell>
          <cell r="R217">
            <v>0.11851581812115999</v>
          </cell>
          <cell r="S217">
            <v>0.181223139443348</v>
          </cell>
          <cell r="T217">
            <v>0.16441736601319942</v>
          </cell>
          <cell r="U217">
            <v>0.15550303001779184</v>
          </cell>
        </row>
        <row r="218">
          <cell r="B218" t="str">
            <v>FY1</v>
          </cell>
          <cell r="C218">
            <v>0.12173197357092</v>
          </cell>
          <cell r="D218">
            <v>5.3357941063620601E-2</v>
          </cell>
          <cell r="E218">
            <v>7.6743634084078194E-2</v>
          </cell>
          <cell r="F218">
            <v>0.122034884477426</v>
          </cell>
          <cell r="G218">
            <v>2.6852759782130899E-2</v>
          </cell>
          <cell r="H218">
            <v>0.11615520703313</v>
          </cell>
          <cell r="I218">
            <v>0.11378526708237</v>
          </cell>
          <cell r="J218">
            <v>9.0094523870525106E-2</v>
          </cell>
          <cell r="K218">
            <v>9.4406529570118233E-2</v>
          </cell>
          <cell r="M218">
            <v>0.110449951715234</v>
          </cell>
          <cell r="N218">
            <v>0.17961474625858101</v>
          </cell>
          <cell r="O218">
            <v>0.151070371712476</v>
          </cell>
          <cell r="P218">
            <v>0.32594096856426003</v>
          </cell>
          <cell r="Q218">
            <v>0.15858628173175399</v>
          </cell>
          <cell r="R218">
            <v>0.13062810165174399</v>
          </cell>
          <cell r="S218">
            <v>0.195799470399631</v>
          </cell>
          <cell r="T218">
            <v>0.17886998457624004</v>
          </cell>
          <cell r="U218">
            <v>0.16625746057347451</v>
          </cell>
        </row>
        <row r="219">
          <cell r="B219" t="str">
            <v>FY2</v>
          </cell>
          <cell r="C219">
            <v>0.12631522029067799</v>
          </cell>
          <cell r="D219">
            <v>5.5975618834963901E-2</v>
          </cell>
          <cell r="E219">
            <v>7.8689982782334703E-2</v>
          </cell>
          <cell r="F219">
            <v>0.12637649445693799</v>
          </cell>
          <cell r="G219">
            <v>4.1867140413833298E-2</v>
          </cell>
          <cell r="H219">
            <v>0.12018114538755401</v>
          </cell>
          <cell r="I219">
            <v>0.111585418352566</v>
          </cell>
          <cell r="J219">
            <v>9.442728864555254E-2</v>
          </cell>
          <cell r="K219">
            <v>9.7307209378827392E-2</v>
          </cell>
          <cell r="M219">
            <v>0.12975727102665899</v>
          </cell>
          <cell r="N219">
            <v>0.156953262694106</v>
          </cell>
          <cell r="O219">
            <v>0.162948127561127</v>
          </cell>
          <cell r="P219">
            <v>0.32595194677751899</v>
          </cell>
          <cell r="Q219">
            <v>0.16028707682665699</v>
          </cell>
          <cell r="R219">
            <v>0.13357706976761999</v>
          </cell>
          <cell r="S219">
            <v>0.202178908336487</v>
          </cell>
          <cell r="T219">
            <v>0.18166480899859641</v>
          </cell>
          <cell r="U219">
            <v>0.16975468068720617</v>
          </cell>
        </row>
        <row r="220">
          <cell r="B220" t="str">
            <v>FQ(3)</v>
          </cell>
          <cell r="C220">
            <v>6.8993952721275398E-2</v>
          </cell>
          <cell r="D220">
            <v>2.72883950195312E-2</v>
          </cell>
          <cell r="E220">
            <v>4.6162723600692403E-3</v>
          </cell>
          <cell r="F220">
            <v>8.5580304806565102E-2</v>
          </cell>
          <cell r="G220">
            <v>3.82605840332482E-3</v>
          </cell>
          <cell r="H220">
            <v>8.9181892398848703E-2</v>
          </cell>
          <cell r="I220">
            <v>7.9421958998893996E-2</v>
          </cell>
          <cell r="J220">
            <v>5.1272690672644061E-2</v>
          </cell>
          <cell r="K220">
            <v>4.864096455229492E-2</v>
          </cell>
          <cell r="M220">
            <v>-5.6302754229894197E-2</v>
          </cell>
          <cell r="N220">
            <v>0.137599749034371</v>
          </cell>
          <cell r="O220">
            <v>4.4694444444444398E-2</v>
          </cell>
          <cell r="P220">
            <v>0.26859241099604197</v>
          </cell>
          <cell r="Q220">
            <v>0.11288775183882301</v>
          </cell>
          <cell r="R220">
            <v>3.7798864735685597E-2</v>
          </cell>
          <cell r="S220">
            <v>0.119855715755881</v>
          </cell>
          <cell r="T220">
            <v>9.5018026082193244E-2</v>
          </cell>
          <cell r="U220">
            <v>9.3790997831873113E-2</v>
          </cell>
        </row>
        <row r="221">
          <cell r="B221" t="str">
            <v>FQ(2)</v>
          </cell>
          <cell r="C221">
            <v>0.104834471886495</v>
          </cell>
          <cell r="D221">
            <v>1.6993645456715101E-2</v>
          </cell>
          <cell r="E221">
            <v>5.4608830364058898E-2</v>
          </cell>
          <cell r="F221">
            <v>9.6037296037295994E-2</v>
          </cell>
          <cell r="G221">
            <v>-0.120358699367629</v>
          </cell>
          <cell r="H221">
            <v>9.6878046132726006E-2</v>
          </cell>
          <cell r="I221">
            <v>8.8962087216757899E-2</v>
          </cell>
          <cell r="J221">
            <v>4.8279382532345698E-2</v>
          </cell>
          <cell r="K221">
            <v>6.6864824225143879E-2</v>
          </cell>
          <cell r="M221">
            <v>1.39449264854736E-2</v>
          </cell>
          <cell r="N221">
            <v>0.14350359807513999</v>
          </cell>
          <cell r="O221">
            <v>7.0433822590161704E-2</v>
          </cell>
          <cell r="P221">
            <v>0.28246698142319299</v>
          </cell>
          <cell r="Q221">
            <v>0.115562403697997</v>
          </cell>
          <cell r="R221">
            <v>7.1926004422701903E-2</v>
          </cell>
          <cell r="S221">
            <v>0.17103478651450199</v>
          </cell>
          <cell r="T221">
            <v>0.12412464617273845</v>
          </cell>
          <cell r="U221">
            <v>0.1135492742908866</v>
          </cell>
        </row>
        <row r="222">
          <cell r="B222" t="str">
            <v>FQ(1)</v>
          </cell>
          <cell r="C222">
            <v>8.3683041224388993E-2</v>
          </cell>
          <cell r="D222">
            <v>2.5595672348649401E-2</v>
          </cell>
          <cell r="E222">
            <v>1.6676141747204901E-2</v>
          </cell>
          <cell r="F222">
            <v>9.2077087794432494E-2</v>
          </cell>
          <cell r="G222">
            <v>2.50129071288527E-2</v>
          </cell>
          <cell r="H222">
            <v>9.9060912002999796E-2</v>
          </cell>
          <cell r="I222">
            <v>0.110329067258271</v>
          </cell>
          <cell r="J222">
            <v>6.4633547072114189E-2</v>
          </cell>
          <cell r="K222">
            <v>6.4062510814675261E-2</v>
          </cell>
          <cell r="M222">
            <v>6.0233466545661002E-2</v>
          </cell>
          <cell r="N222">
            <v>0.18611117959699799</v>
          </cell>
          <cell r="O222">
            <v>9.3865910420021306E-2</v>
          </cell>
          <cell r="P222">
            <v>0.29319168887248698</v>
          </cell>
          <cell r="Q222">
            <v>0.139314572304263</v>
          </cell>
          <cell r="R222">
            <v>3.3131912386811499E-2</v>
          </cell>
          <cell r="S222">
            <v>0.18928839691638699</v>
          </cell>
          <cell r="T222">
            <v>0.14216244672037553</v>
          </cell>
          <cell r="U222">
            <v>0.1262935483183491</v>
          </cell>
        </row>
        <row r="223">
          <cell r="B223" t="str">
            <v>Last Reported Q</v>
          </cell>
          <cell r="C223">
            <v>0.11160967981915799</v>
          </cell>
          <cell r="D223">
            <v>4.4509531460659599E-2</v>
          </cell>
          <cell r="E223">
            <v>6.7563520584211403E-2</v>
          </cell>
          <cell r="F223">
            <v>0.10336321093174</v>
          </cell>
          <cell r="G223">
            <v>6.6675553621336403E-3</v>
          </cell>
          <cell r="H223">
            <v>0.108715188123956</v>
          </cell>
          <cell r="I223">
            <v>0.10848544772318799</v>
          </cell>
          <cell r="J223">
            <v>7.8702019143578092E-2</v>
          </cell>
          <cell r="K223">
            <v>8.426922330633202E-2</v>
          </cell>
          <cell r="M223">
            <v>8.1209485992895E-2</v>
          </cell>
          <cell r="N223">
            <v>0.18103762550851499</v>
          </cell>
          <cell r="O223">
            <v>0.108703943060901</v>
          </cell>
          <cell r="P223">
            <v>0.35759174839554703</v>
          </cell>
          <cell r="Q223">
            <v>0.15763347545541601</v>
          </cell>
          <cell r="R223">
            <v>0.11851581812115999</v>
          </cell>
          <cell r="S223">
            <v>0.181223139443348</v>
          </cell>
          <cell r="T223">
            <v>0.16941646228254031</v>
          </cell>
          <cell r="U223">
            <v>0.14595170595884957</v>
          </cell>
        </row>
        <row r="224">
          <cell r="A224" t="str">
            <v>mscalc:ebitdaAsif</v>
          </cell>
          <cell r="B224" t="str">
            <v>LTM</v>
          </cell>
          <cell r="C224">
            <v>0.127067933826118</v>
          </cell>
          <cell r="D224">
            <v>6.9009009009008998E-2</v>
          </cell>
          <cell r="E224">
            <v>0.135049050834501</v>
          </cell>
          <cell r="F224">
            <v>0.12209531311540001</v>
          </cell>
          <cell r="G224">
            <v>3.6233813295468799E-2</v>
          </cell>
          <cell r="H224">
            <v>0.116748887156986</v>
          </cell>
          <cell r="I224">
            <v>0.108424358765925</v>
          </cell>
          <cell r="J224">
            <v>0.1020897665719154</v>
          </cell>
          <cell r="K224">
            <v>0.1107873274572532</v>
          </cell>
          <cell r="M224">
            <v>0.13743401378859399</v>
          </cell>
          <cell r="N224">
            <v>0.198633838519364</v>
          </cell>
          <cell r="O224">
            <v>0.115690329218107</v>
          </cell>
          <cell r="P224">
            <v>0.35759174839554703</v>
          </cell>
          <cell r="Q224">
            <v>0.137629839471199</v>
          </cell>
          <cell r="R224">
            <v>0.192253052164262</v>
          </cell>
          <cell r="S224">
            <v>0.20163706280278601</v>
          </cell>
          <cell r="T224">
            <v>0.19155284062283701</v>
          </cell>
          <cell r="U224">
            <v>0.16893854407472564</v>
          </cell>
        </row>
        <row r="225">
          <cell r="B225" t="str">
            <v>FY(2)</v>
          </cell>
          <cell r="C225">
            <v>2202.471</v>
          </cell>
          <cell r="D225">
            <v>2295</v>
          </cell>
          <cell r="E225">
            <v>3489</v>
          </cell>
          <cell r="F225">
            <v>1432.931</v>
          </cell>
          <cell r="G225">
            <v>194.42413565663199</v>
          </cell>
          <cell r="H225">
            <v>497.78500000000003</v>
          </cell>
          <cell r="I225">
            <v>1627.4839999999999</v>
          </cell>
          <cell r="J225">
            <v>1677.0135908080904</v>
          </cell>
          <cell r="K225">
            <v>11739.095135656633</v>
          </cell>
          <cell r="M225">
            <v>804.245</v>
          </cell>
          <cell r="N225">
            <v>188.31</v>
          </cell>
          <cell r="O225">
            <v>674.822</v>
          </cell>
          <cell r="P225">
            <v>1074.2840000000001</v>
          </cell>
          <cell r="Q225">
            <v>1710</v>
          </cell>
          <cell r="R225">
            <v>1492.085</v>
          </cell>
          <cell r="S225">
            <v>219.702</v>
          </cell>
          <cell r="T225">
            <v>880.49257142857152</v>
          </cell>
          <cell r="U225">
            <v>6163.4480000000003</v>
          </cell>
        </row>
        <row r="226">
          <cell r="B226" t="str">
            <v>Operating Margin Y/Y bps</v>
          </cell>
          <cell r="C226">
            <v>2256.6999999999998</v>
          </cell>
          <cell r="D226">
            <v>2308</v>
          </cell>
          <cell r="E226">
            <v>3355</v>
          </cell>
          <cell r="F226">
            <v>1481.8019999999999</v>
          </cell>
          <cell r="G226">
            <v>270.53497730279503</v>
          </cell>
          <cell r="H226">
            <v>541.79</v>
          </cell>
          <cell r="I226">
            <v>1827.10628618338</v>
          </cell>
          <cell r="J226">
            <v>1720.1333233551682</v>
          </cell>
          <cell r="K226">
            <v>12040.933263486177</v>
          </cell>
          <cell r="M226">
            <v>924.21299999999997</v>
          </cell>
          <cell r="N226">
            <v>236.45400000000001</v>
          </cell>
          <cell r="O226">
            <v>707.95799999999997</v>
          </cell>
          <cell r="P226">
            <v>1279.933</v>
          </cell>
          <cell r="Q226">
            <v>1896</v>
          </cell>
          <cell r="R226">
            <v>1213.1210000000001</v>
          </cell>
          <cell r="S226">
            <v>294.96199999999999</v>
          </cell>
          <cell r="T226">
            <v>936.09157142857134</v>
          </cell>
          <cell r="U226">
            <v>6552.6409999999996</v>
          </cell>
        </row>
        <row r="227">
          <cell r="B227" t="str">
            <v>FY(10)</v>
          </cell>
          <cell r="C227">
            <v>2077.9659999999999</v>
          </cell>
          <cell r="D227">
            <v>1597.80967741935</v>
          </cell>
          <cell r="E227">
            <v>2676</v>
          </cell>
          <cell r="F227">
            <v>1081.5509999999999</v>
          </cell>
          <cell r="G227">
            <v>20.883918009447999</v>
          </cell>
          <cell r="H227">
            <v>632.69015938101995</v>
          </cell>
          <cell r="I227">
            <v>1836.4380000000001</v>
          </cell>
          <cell r="J227">
            <v>1417.6198221156883</v>
          </cell>
          <cell r="K227">
            <v>9923.3387548098181</v>
          </cell>
          <cell r="M227">
            <v>696.773345376066</v>
          </cell>
          <cell r="N227">
            <v>294.072</v>
          </cell>
          <cell r="O227">
            <v>440.01</v>
          </cell>
          <cell r="P227">
            <v>1123.2919999999999</v>
          </cell>
          <cell r="Q227">
            <v>2116</v>
          </cell>
          <cell r="R227">
            <v>1060.547</v>
          </cell>
          <cell r="S227">
            <v>381.38400000000001</v>
          </cell>
          <cell r="T227">
            <v>873.15404933943807</v>
          </cell>
          <cell r="U227">
            <v>6112.0783453760669</v>
          </cell>
        </row>
        <row r="228">
          <cell r="B228" t="str">
            <v>FY(9)</v>
          </cell>
          <cell r="C228">
            <v>62.508698419419943</v>
          </cell>
          <cell r="D228">
            <v>1147.6229306386499</v>
          </cell>
          <cell r="E228">
            <v>23.190117634159929</v>
          </cell>
          <cell r="F228">
            <v>1067.8591081142599</v>
          </cell>
          <cell r="G228">
            <v>80.279486002775201</v>
          </cell>
          <cell r="H228">
            <v>-85.722445261109954</v>
          </cell>
          <cell r="I228">
            <v>-55.94125473822001</v>
          </cell>
          <cell r="J228">
            <v>-13.991220986437522</v>
          </cell>
          <cell r="K228">
            <v>163.63227994691553</v>
          </cell>
          <cell r="M228">
            <v>-289.60285912147998</v>
          </cell>
          <cell r="N228">
            <v>413.98299847029898</v>
          </cell>
          <cell r="O228">
            <v>-529.58047458125986</v>
          </cell>
          <cell r="P228">
            <v>569.20861717709397</v>
          </cell>
          <cell r="Q228">
            <v>2316.3087515114398</v>
          </cell>
          <cell r="R228">
            <v>64.589004760179918</v>
          </cell>
          <cell r="S228">
            <v>-588.53100067247294</v>
          </cell>
          <cell r="T228">
            <v>-154.78334248758779</v>
          </cell>
          <cell r="U228">
            <v>-48.215296494902724</v>
          </cell>
        </row>
        <row r="229">
          <cell r="A229">
            <v>2000</v>
          </cell>
          <cell r="B229" t="str">
            <v>FY(8)</v>
          </cell>
          <cell r="C229">
            <v>91.03132064154002</v>
          </cell>
          <cell r="D229">
            <v>210.97508145632401</v>
          </cell>
          <cell r="E229">
            <v>-190.37234592454294</v>
          </cell>
          <cell r="F229">
            <v>34.161564935549016</v>
          </cell>
          <cell r="G229">
            <v>120.232444262407</v>
          </cell>
          <cell r="H229">
            <v>-66.914211196460045</v>
          </cell>
          <cell r="I229">
            <v>-78.678061445185961</v>
          </cell>
          <cell r="J229">
            <v>3.3891411204012435E-2</v>
          </cell>
          <cell r="K229">
            <v>122.49688919317562</v>
          </cell>
          <cell r="M229">
            <v>-47.14202234840009</v>
          </cell>
          <cell r="N229">
            <v>424.20883851481801</v>
          </cell>
          <cell r="O229">
            <v>-322.63524761437014</v>
          </cell>
          <cell r="P229">
            <v>804.47400958100991</v>
          </cell>
          <cell r="Q229">
            <v>2331.5571745024199</v>
          </cell>
          <cell r="R229">
            <v>-89.297343102320013</v>
          </cell>
          <cell r="S229">
            <v>223.19931117773291</v>
          </cell>
          <cell r="T229">
            <v>113.71974153873052</v>
          </cell>
          <cell r="U229">
            <v>197.74276164353122</v>
          </cell>
        </row>
        <row r="230">
          <cell r="A230">
            <v>2001</v>
          </cell>
          <cell r="B230" t="str">
            <v>FY(7)</v>
          </cell>
          <cell r="C230">
            <v>49.149839329310083</v>
          </cell>
          <cell r="D230">
            <v>99.233456983777998</v>
          </cell>
          <cell r="E230">
            <v>42.082779412239979</v>
          </cell>
          <cell r="F230">
            <v>99.802596669385991</v>
          </cell>
          <cell r="G230">
            <v>-65.959999999999994</v>
          </cell>
          <cell r="H230">
            <v>50.469195922620003</v>
          </cell>
          <cell r="I230">
            <v>-16.886793836548009</v>
          </cell>
          <cell r="J230">
            <v>53.975179080130999</v>
          </cell>
          <cell r="K230">
            <v>70.738413320285829</v>
          </cell>
          <cell r="M230">
            <v>57.209848913150061</v>
          </cell>
          <cell r="N230">
            <v>128.65899999999999</v>
          </cell>
          <cell r="O230">
            <v>-30.635476890620016</v>
          </cell>
          <cell r="P230">
            <v>-51.270173621209835</v>
          </cell>
          <cell r="Q230">
            <v>439.97080982288298</v>
          </cell>
          <cell r="R230">
            <v>121.72119112402</v>
          </cell>
          <cell r="S230">
            <v>345.90223240993009</v>
          </cell>
          <cell r="T230">
            <v>147.14973862635887</v>
          </cell>
          <cell r="U230">
            <v>279.03581540875052</v>
          </cell>
        </row>
        <row r="231">
          <cell r="A231">
            <v>2002</v>
          </cell>
          <cell r="B231" t="str">
            <v>FY(6)</v>
          </cell>
          <cell r="C231">
            <v>-187.62291042933003</v>
          </cell>
          <cell r="D231">
            <v>-40.608294797810984</v>
          </cell>
          <cell r="E231">
            <v>7.8170175456900024</v>
          </cell>
          <cell r="F231">
            <v>209.720391142686</v>
          </cell>
          <cell r="G231">
            <v>35.716999999999999</v>
          </cell>
          <cell r="H231">
            <v>13.348844849720015</v>
          </cell>
          <cell r="I231">
            <v>-42.627771762181048</v>
          </cell>
          <cell r="J231">
            <v>-6.6621205752043409</v>
          </cell>
          <cell r="K231">
            <v>-47.416461911358873</v>
          </cell>
          <cell r="M231">
            <v>-17.903713775339892</v>
          </cell>
          <cell r="N231">
            <v>67.896000000000001</v>
          </cell>
          <cell r="O231">
            <v>-116.78511827054996</v>
          </cell>
          <cell r="P231">
            <v>565.57156528880989</v>
          </cell>
          <cell r="Q231">
            <v>460.0824294405881</v>
          </cell>
          <cell r="R231">
            <v>58.203262784869978</v>
          </cell>
          <cell r="S231">
            <v>329.82550294261006</v>
          </cell>
          <cell r="T231">
            <v>213.16565473516471</v>
          </cell>
          <cell r="U231">
            <v>304.10588059625445</v>
          </cell>
        </row>
        <row r="232">
          <cell r="B232" t="str">
            <v>FY(5)</v>
          </cell>
          <cell r="C232">
            <v>53.880851346869981</v>
          </cell>
          <cell r="D232">
            <v>246.34942403311607</v>
          </cell>
          <cell r="E232">
            <v>14.701856092999982</v>
          </cell>
          <cell r="F232">
            <v>268.19729283106994</v>
          </cell>
          <cell r="G232">
            <v>-31.690999999999999</v>
          </cell>
          <cell r="H232">
            <v>-280.63289918303394</v>
          </cell>
          <cell r="I232">
            <v>-41.886619048554927</v>
          </cell>
          <cell r="J232">
            <v>43.434984345411188</v>
          </cell>
          <cell r="K232">
            <v>83.28499468953504</v>
          </cell>
          <cell r="M232">
            <v>-37.997627305630111</v>
          </cell>
          <cell r="N232">
            <v>252.60856284038013</v>
          </cell>
          <cell r="O232">
            <v>1045.51392442824</v>
          </cell>
          <cell r="P232">
            <v>718.15964064507023</v>
          </cell>
          <cell r="Q232">
            <v>68.257087727290056</v>
          </cell>
          <cell r="R232">
            <v>-19.29987072409989</v>
          </cell>
          <cell r="S232">
            <v>274.76400136248998</v>
          </cell>
          <cell r="T232">
            <v>328.85795985339149</v>
          </cell>
          <cell r="U232">
            <v>142.53363962315606</v>
          </cell>
        </row>
        <row r="233">
          <cell r="B233" t="str">
            <v>FY(4)</v>
          </cell>
          <cell r="C233">
            <v>33.68501665489007</v>
          </cell>
          <cell r="D233">
            <v>172.42346896396796</v>
          </cell>
          <cell r="E233">
            <v>17.046235088375024</v>
          </cell>
          <cell r="F233">
            <v>150.73241930165003</v>
          </cell>
          <cell r="G233">
            <v>-297.4717670669354</v>
          </cell>
          <cell r="H233">
            <v>-45.780887081627029</v>
          </cell>
          <cell r="I233">
            <v>-44.860344442400056</v>
          </cell>
          <cell r="J233">
            <v>-2.0322655117256292</v>
          </cell>
          <cell r="K233">
            <v>49.708537862586667</v>
          </cell>
          <cell r="M233">
            <v>206.16382761031005</v>
          </cell>
          <cell r="N233">
            <v>-339.91001155204992</v>
          </cell>
          <cell r="O233">
            <v>3.1298148906899748</v>
          </cell>
          <cell r="P233">
            <v>350.53093653508006</v>
          </cell>
          <cell r="Q233">
            <v>-229.42000374110012</v>
          </cell>
          <cell r="R233">
            <v>-198.92509377309005</v>
          </cell>
          <cell r="S233">
            <v>7.9392228189198448</v>
          </cell>
          <cell r="T233">
            <v>-28.64161531589145</v>
          </cell>
          <cell r="U233">
            <v>-99.422003592611048</v>
          </cell>
        </row>
        <row r="234">
          <cell r="B234" t="str">
            <v>FY(3)</v>
          </cell>
          <cell r="C234">
            <v>106.80032347859984</v>
          </cell>
          <cell r="D234">
            <v>87.025680452336019</v>
          </cell>
          <cell r="E234">
            <v>-101.16974207639295</v>
          </cell>
          <cell r="F234">
            <v>134.83930585960994</v>
          </cell>
          <cell r="G234">
            <v>455.08348502501536</v>
          </cell>
          <cell r="H234">
            <v>21.712227894088027</v>
          </cell>
          <cell r="I234">
            <v>52.328489165171938</v>
          </cell>
          <cell r="J234">
            <v>108.08853854263261</v>
          </cell>
          <cell r="K234">
            <v>47.709156308266557</v>
          </cell>
          <cell r="M234">
            <v>-42.98264957891984</v>
          </cell>
          <cell r="N234">
            <v>-2.3958475389200542</v>
          </cell>
          <cell r="O234">
            <v>79.496041300410042</v>
          </cell>
          <cell r="P234">
            <v>189.13465146734976</v>
          </cell>
          <cell r="Q234">
            <v>-260.95001692666193</v>
          </cell>
          <cell r="R234">
            <v>81.708456480319995</v>
          </cell>
          <cell r="S234">
            <v>-518.54295343789988</v>
          </cell>
          <cell r="T234">
            <v>-67.790331176331705</v>
          </cell>
          <cell r="U234">
            <v>-58.30871862547243</v>
          </cell>
        </row>
        <row r="235">
          <cell r="B235" t="str">
            <v>FY(2)</v>
          </cell>
          <cell r="C235">
            <v>-72.55472343276989</v>
          </cell>
          <cell r="D235">
            <v>-13.652926921126074</v>
          </cell>
          <cell r="E235">
            <v>-51.136093027441959</v>
          </cell>
          <cell r="F235">
            <v>32.564906464150056</v>
          </cell>
          <cell r="G235">
            <v>171.92106869900005</v>
          </cell>
          <cell r="H235">
            <v>37.517175340053001</v>
          </cell>
          <cell r="I235">
            <v>31.494674559087997</v>
          </cell>
          <cell r="J235">
            <v>19.450583097279029</v>
          </cell>
          <cell r="K235">
            <v>-11.563665892048435</v>
          </cell>
          <cell r="M235">
            <v>-48.611418453470002</v>
          </cell>
          <cell r="N235">
            <v>126.42597246450005</v>
          </cell>
          <cell r="O235">
            <v>-179.39866270455019</v>
          </cell>
          <cell r="P235">
            <v>255.92691841554992</v>
          </cell>
          <cell r="Q235">
            <v>131.97088045693195</v>
          </cell>
          <cell r="R235">
            <v>-131.17975911106998</v>
          </cell>
          <cell r="S235">
            <v>203.78747822821009</v>
          </cell>
          <cell r="T235">
            <v>51.274487042300265</v>
          </cell>
          <cell r="U235">
            <v>86.288607063516878</v>
          </cell>
        </row>
        <row r="236">
          <cell r="B236" t="str">
            <v>FY(1)</v>
          </cell>
          <cell r="C236">
            <v>-161.83946934906004</v>
          </cell>
          <cell r="D236">
            <v>-332.30833135527092</v>
          </cell>
          <cell r="E236">
            <v>-212.89782884224408</v>
          </cell>
          <cell r="F236">
            <v>-448.37586372380696</v>
          </cell>
          <cell r="G236">
            <v>-790.16788234910803</v>
          </cell>
          <cell r="H236">
            <v>43.071328132620046</v>
          </cell>
          <cell r="I236">
            <v>-24.454755441249006</v>
          </cell>
          <cell r="J236">
            <v>-275.28182898973131</v>
          </cell>
          <cell r="K236">
            <v>-212.2000140130842</v>
          </cell>
          <cell r="M236">
            <v>-617.04882316215014</v>
          </cell>
          <cell r="N236">
            <v>71.696423519529986</v>
          </cell>
          <cell r="O236">
            <v>-870.31938769632984</v>
          </cell>
          <cell r="P236">
            <v>-113.72202601595993</v>
          </cell>
          <cell r="Q236">
            <v>279.24393748673992</v>
          </cell>
          <cell r="R236">
            <v>-136.00147726642794</v>
          </cell>
          <cell r="S236">
            <v>17.609826656769801</v>
          </cell>
          <cell r="T236">
            <v>-195.50593235397542</v>
          </cell>
          <cell r="U236">
            <v>2.1263749106512075</v>
          </cell>
        </row>
        <row r="237">
          <cell r="B237" t="str">
            <v>FY0</v>
          </cell>
          <cell r="C237">
            <v>75.645256720510005</v>
          </cell>
          <cell r="D237">
            <v>-221.77580721190708</v>
          </cell>
          <cell r="E237">
            <v>51.409315686781056</v>
          </cell>
          <cell r="F237">
            <v>70.320273931576978</v>
          </cell>
          <cell r="G237">
            <v>324.43123108406144</v>
          </cell>
          <cell r="H237">
            <v>237.27970424074999</v>
          </cell>
          <cell r="I237">
            <v>197.53779706255901</v>
          </cell>
          <cell r="J237">
            <v>104.97825307347591</v>
          </cell>
          <cell r="K237">
            <v>71.388710974396176</v>
          </cell>
          <cell r="M237">
            <v>-809.65406443281995</v>
          </cell>
          <cell r="N237">
            <v>378.51775036279986</v>
          </cell>
          <cell r="O237">
            <v>-97.510832817710025</v>
          </cell>
          <cell r="P237">
            <v>-583.39988898205024</v>
          </cell>
          <cell r="Q237">
            <v>253.76237123566014</v>
          </cell>
          <cell r="R237">
            <v>261.94064050112792</v>
          </cell>
          <cell r="S237">
            <v>101.83326920378016</v>
          </cell>
          <cell r="T237">
            <v>-70.644393561316008</v>
          </cell>
          <cell r="U237">
            <v>74.20958380425779</v>
          </cell>
        </row>
        <row r="238">
          <cell r="B238" t="str">
            <v>FY1</v>
          </cell>
          <cell r="C238">
            <v>101.22293751762004</v>
          </cell>
          <cell r="D238">
            <v>88.484096029610015</v>
          </cell>
          <cell r="E238">
            <v>91.801134998667905</v>
          </cell>
          <cell r="F238">
            <v>186.71673545685996</v>
          </cell>
          <cell r="G238">
            <v>201.85204419997257</v>
          </cell>
          <cell r="H238">
            <v>74.400189091739932</v>
          </cell>
          <cell r="I238">
            <v>52.998193591820012</v>
          </cell>
          <cell r="J238">
            <v>113.92504726947006</v>
          </cell>
          <cell r="K238">
            <v>101.37306263786213</v>
          </cell>
          <cell r="M238">
            <v>292.40465722339002</v>
          </cell>
          <cell r="N238">
            <v>-14.228792499339782</v>
          </cell>
          <cell r="O238">
            <v>423.66428651575001</v>
          </cell>
          <cell r="P238">
            <v>33.428940540990439</v>
          </cell>
          <cell r="Q238">
            <v>9.5280627633798076</v>
          </cell>
          <cell r="R238">
            <v>121.12283530583994</v>
          </cell>
          <cell r="S238">
            <v>145.76330956282996</v>
          </cell>
          <cell r="T238">
            <v>144.52618563040576</v>
          </cell>
          <cell r="U238">
            <v>107.54430555682676</v>
          </cell>
        </row>
        <row r="239">
          <cell r="B239" t="str">
            <v>FY2</v>
          </cell>
          <cell r="C239">
            <v>45.832467197579888</v>
          </cell>
          <cell r="D239">
            <v>26.176777713433005</v>
          </cell>
          <cell r="E239">
            <v>19.463486982565087</v>
          </cell>
          <cell r="F239">
            <v>43.416099795119955</v>
          </cell>
          <cell r="G239">
            <v>150.143806317024</v>
          </cell>
          <cell r="H239">
            <v>40.259383544240109</v>
          </cell>
          <cell r="I239">
            <v>-21.998487298039993</v>
          </cell>
          <cell r="J239">
            <v>43.327647750274579</v>
          </cell>
          <cell r="K239">
            <v>29.006798087091585</v>
          </cell>
          <cell r="M239">
            <v>193.07319311424988</v>
          </cell>
          <cell r="N239">
            <v>-226.61483564475006</v>
          </cell>
          <cell r="O239">
            <v>118.77755848651</v>
          </cell>
          <cell r="P239">
            <v>0.10978213258960867</v>
          </cell>
          <cell r="Q239">
            <v>17.007950949030072</v>
          </cell>
          <cell r="R239">
            <v>29.489681158759996</v>
          </cell>
          <cell r="S239">
            <v>63.794379368559973</v>
          </cell>
          <cell r="T239">
            <v>27.948244223564213</v>
          </cell>
          <cell r="U239">
            <v>34.972201137316581</v>
          </cell>
        </row>
        <row r="240">
          <cell r="B240" t="str">
            <v>FY1</v>
          </cell>
          <cell r="C240">
            <v>0.13117500179456759</v>
          </cell>
          <cell r="D240">
            <v>6.5535084047614267E-2</v>
          </cell>
          <cell r="E240">
            <v>0.10804999268238555</v>
          </cell>
          <cell r="F240">
            <v>0.13221807124923712</v>
          </cell>
          <cell r="G240">
            <v>3.1162078748501736E-2</v>
          </cell>
          <cell r="H240">
            <v>0.12228683052740648</v>
          </cell>
          <cell r="I240">
            <v>0.1153049316705531</v>
          </cell>
          <cell r="J240">
            <v>0.10081885581718085</v>
          </cell>
          <cell r="K240">
            <v>0.10694626695883833</v>
          </cell>
          <cell r="M240">
            <v>0.12962426004451924</v>
          </cell>
          <cell r="N240">
            <v>0.18973740063040617</v>
          </cell>
          <cell r="O240">
            <v>0.13377350142150843</v>
          </cell>
          <cell r="P240">
            <v>0.35011759997554609</v>
          </cell>
          <cell r="Q240">
            <v>0.16236654871799841</v>
          </cell>
          <cell r="R240">
            <v>0.13396830763081341</v>
          </cell>
          <cell r="S240">
            <v>0.21679103616775808</v>
          </cell>
          <cell r="T240">
            <v>0.18805409351264998</v>
          </cell>
          <cell r="U240">
            <v>0.1733366804761057</v>
          </cell>
        </row>
        <row r="241">
          <cell r="A241" t="str">
            <v>mscalc:ebitdaAsif</v>
          </cell>
          <cell r="B241" t="str">
            <v>EBITDA</v>
          </cell>
          <cell r="C241">
            <v>0.13801265994185535</v>
          </cell>
          <cell r="D241">
            <v>7.4867910171283802E-2</v>
          </cell>
          <cell r="E241">
            <v>0.1136629993270056</v>
          </cell>
          <cell r="F241">
            <v>0.14093185001476541</v>
          </cell>
          <cell r="G241">
            <v>4.5921397918058639E-2</v>
          </cell>
          <cell r="H241">
            <v>0.1175957634752702</v>
          </cell>
          <cell r="I241">
            <v>0.11813013251826068</v>
          </cell>
          <cell r="J241">
            <v>0.10701753048092852</v>
          </cell>
          <cell r="K241">
            <v>0.11299195340745029</v>
          </cell>
          <cell r="M241">
            <v>0.14313028905740297</v>
          </cell>
          <cell r="N241">
            <v>0.17561141951556042</v>
          </cell>
          <cell r="O241">
            <v>0.15127350142150642</v>
          </cell>
          <cell r="P241">
            <v>0.35199628077742695</v>
          </cell>
          <cell r="Q241">
            <v>0.16530301615151075</v>
          </cell>
          <cell r="R241">
            <v>0.14404459148537194</v>
          </cell>
          <cell r="S241">
            <v>0.22707900481134527</v>
          </cell>
          <cell r="T241">
            <v>0.19406258617430353</v>
          </cell>
          <cell r="U241">
            <v>0.18029940089007807</v>
          </cell>
        </row>
        <row r="242">
          <cell r="B242" t="str">
            <v>FY(2)</v>
          </cell>
          <cell r="C242">
            <v>2256.6999999999998</v>
          </cell>
          <cell r="D242">
            <v>2308</v>
          </cell>
          <cell r="E242">
            <v>3355</v>
          </cell>
          <cell r="F242">
            <v>1481.8019999999999</v>
          </cell>
          <cell r="G242">
            <v>270.53497730279503</v>
          </cell>
          <cell r="H242">
            <v>541.79</v>
          </cell>
          <cell r="I242">
            <v>1827.10628618338</v>
          </cell>
          <cell r="J242">
            <v>1720.1333233551682</v>
          </cell>
          <cell r="K242">
            <v>12040.933263486177</v>
          </cell>
          <cell r="M242">
            <v>962.62599999999998</v>
          </cell>
          <cell r="N242">
            <v>236.45400000000001</v>
          </cell>
          <cell r="O242">
            <v>707.95799999999997</v>
          </cell>
          <cell r="P242">
            <v>1074.2840000000001</v>
          </cell>
          <cell r="Q242">
            <v>1896</v>
          </cell>
          <cell r="R242">
            <v>1213.1210000000001</v>
          </cell>
          <cell r="S242">
            <v>294.96199999999999</v>
          </cell>
          <cell r="T242">
            <v>912.20071428571441</v>
          </cell>
          <cell r="U242">
            <v>6385.4050000000007</v>
          </cell>
        </row>
        <row r="243">
          <cell r="B243" t="str">
            <v>FY(1)</v>
          </cell>
          <cell r="C243">
            <v>2077.9659999999999</v>
          </cell>
          <cell r="D243">
            <v>1597.80967741935</v>
          </cell>
          <cell r="E243">
            <v>2676</v>
          </cell>
          <cell r="F243">
            <v>1081.5509999999999</v>
          </cell>
          <cell r="G243">
            <v>24.9609180094481</v>
          </cell>
          <cell r="H243">
            <v>632.69015938101995</v>
          </cell>
          <cell r="I243">
            <v>1836.4380000000001</v>
          </cell>
          <cell r="J243">
            <v>1418.2022506871167</v>
          </cell>
          <cell r="K243">
            <v>9927.4157548098174</v>
          </cell>
          <cell r="M243">
            <v>725.05174913631095</v>
          </cell>
          <cell r="N243">
            <v>294.072</v>
          </cell>
          <cell r="O243">
            <v>440.01</v>
          </cell>
          <cell r="P243">
            <v>1279.933</v>
          </cell>
          <cell r="Q243">
            <v>2116</v>
          </cell>
          <cell r="R243">
            <v>1060.547</v>
          </cell>
          <cell r="S243">
            <v>381.38400000000001</v>
          </cell>
          <cell r="T243">
            <v>899.57110701947306</v>
          </cell>
          <cell r="U243">
            <v>6296.9977491363115</v>
          </cell>
        </row>
        <row r="244">
          <cell r="B244" t="str">
            <v>FY0</v>
          </cell>
          <cell r="C244">
            <v>2301</v>
          </cell>
          <cell r="D244">
            <v>1158</v>
          </cell>
          <cell r="E244">
            <v>2664</v>
          </cell>
          <cell r="F244">
            <v>1147</v>
          </cell>
          <cell r="G244">
            <v>115.125</v>
          </cell>
          <cell r="H244">
            <v>885.16499999999996</v>
          </cell>
          <cell r="I244">
            <v>2426.2710000000002</v>
          </cell>
          <cell r="J244">
            <v>1528.0801428571431</v>
          </cell>
          <cell r="K244">
            <v>10696.561000000002</v>
          </cell>
          <cell r="M244">
            <v>387.79300000000001</v>
          </cell>
          <cell r="N244">
            <v>438.83600000000001</v>
          </cell>
          <cell r="O244">
            <v>401.83100000000002</v>
          </cell>
          <cell r="P244">
            <v>1123.2919999999999</v>
          </cell>
          <cell r="Q244">
            <v>2384</v>
          </cell>
          <cell r="R244">
            <v>1218.6880000000001</v>
          </cell>
          <cell r="S244">
            <v>430.70760552622602</v>
          </cell>
          <cell r="T244">
            <v>912.1639436466038</v>
          </cell>
          <cell r="U244">
            <v>6385.1476055262265</v>
          </cell>
        </row>
        <row r="245">
          <cell r="B245" t="str">
            <v>FY1</v>
          </cell>
          <cell r="C245">
            <v>2686.84181622079</v>
          </cell>
          <cell r="D245">
            <v>1347.8740241831399</v>
          </cell>
          <cell r="E245">
            <v>2960.5821133261602</v>
          </cell>
          <cell r="F245">
            <v>1374.02006461376</v>
          </cell>
          <cell r="G245">
            <v>161.96668774929</v>
          </cell>
          <cell r="H245">
            <v>1041.9889630135999</v>
          </cell>
          <cell r="I245">
            <v>2767.47676537285</v>
          </cell>
          <cell r="J245">
            <v>1762.9643477827988</v>
          </cell>
          <cell r="K245">
            <v>12340.750434479591</v>
          </cell>
          <cell r="M245">
            <v>506.856434846556</v>
          </cell>
          <cell r="N245">
            <v>482.94581708179197</v>
          </cell>
          <cell r="O245">
            <v>538.32960467117198</v>
          </cell>
          <cell r="P245">
            <v>1229.7363768574801</v>
          </cell>
          <cell r="Q245">
            <v>2324.7604263346402</v>
          </cell>
          <cell r="R245">
            <v>1405.9915882274099</v>
          </cell>
          <cell r="S245">
            <v>533.82068847242601</v>
          </cell>
          <cell r="T245">
            <v>1003.2058480702109</v>
          </cell>
          <cell r="U245">
            <v>7022.4409364914764</v>
          </cell>
        </row>
        <row r="246">
          <cell r="B246" t="str">
            <v>FY2</v>
          </cell>
          <cell r="C246">
            <v>3008.6000665880301</v>
          </cell>
          <cell r="D246">
            <v>1441.20570650286</v>
          </cell>
          <cell r="E246">
            <v>3034.9502716429602</v>
          </cell>
          <cell r="F246">
            <v>1490.9045633425301</v>
          </cell>
          <cell r="G246">
            <v>234.34480855729399</v>
          </cell>
          <cell r="H246">
            <v>1101.5944246275301</v>
          </cell>
          <cell r="I246">
            <v>2899.7095667612998</v>
          </cell>
          <cell r="J246">
            <v>1887.3299154317865</v>
          </cell>
          <cell r="K246">
            <v>13211.309408022506</v>
          </cell>
          <cell r="M246">
            <v>606.38347910348796</v>
          </cell>
          <cell r="N246">
            <v>494.18589722787698</v>
          </cell>
          <cell r="O246">
            <v>636.55593877707702</v>
          </cell>
          <cell r="P246">
            <v>1322.4822084172999</v>
          </cell>
          <cell r="Q246">
            <v>2344.0587649516701</v>
          </cell>
          <cell r="R246">
            <v>1533.4490512956399</v>
          </cell>
          <cell r="S246">
            <v>628.90968806985495</v>
          </cell>
          <cell r="T246">
            <v>1080.8607182632725</v>
          </cell>
          <cell r="U246">
            <v>7566.0250278429075</v>
          </cell>
        </row>
        <row r="247">
          <cell r="B247" t="str">
            <v>FQ(3)</v>
          </cell>
          <cell r="C247">
            <v>392</v>
          </cell>
          <cell r="D247">
            <v>226</v>
          </cell>
          <cell r="E247">
            <v>327</v>
          </cell>
          <cell r="F247">
            <v>223</v>
          </cell>
          <cell r="G247">
            <v>35.716999999999999</v>
          </cell>
          <cell r="H247">
            <v>188.416</v>
          </cell>
          <cell r="I247">
            <v>449.96800000000002</v>
          </cell>
          <cell r="J247">
            <v>263.15728571428571</v>
          </cell>
          <cell r="K247">
            <v>1842.1010000000001</v>
          </cell>
          <cell r="M247">
            <v>25.797000000000001</v>
          </cell>
          <cell r="N247">
            <v>67.896000000000001</v>
          </cell>
          <cell r="O247">
            <v>62.247</v>
          </cell>
          <cell r="P247">
            <v>229.47300000000001</v>
          </cell>
          <cell r="Q247">
            <v>496</v>
          </cell>
          <cell r="R247">
            <v>150.21199999999999</v>
          </cell>
          <cell r="S247">
            <v>68.209999999999994</v>
          </cell>
          <cell r="T247">
            <v>157.11928571428572</v>
          </cell>
          <cell r="U247">
            <v>1099.835</v>
          </cell>
        </row>
        <row r="248">
          <cell r="B248" t="str">
            <v>FQ(2)</v>
          </cell>
          <cell r="C248">
            <v>543</v>
          </cell>
          <cell r="D248">
            <v>188</v>
          </cell>
          <cell r="E248">
            <v>583</v>
          </cell>
          <cell r="F248">
            <v>284</v>
          </cell>
          <cell r="G248">
            <v>-31.690999999999999</v>
          </cell>
          <cell r="H248">
            <v>209.28800000000001</v>
          </cell>
          <cell r="I248">
            <v>527.60299999999995</v>
          </cell>
          <cell r="J248">
            <v>329.02857142857141</v>
          </cell>
          <cell r="K248">
            <v>2303.1999999999998</v>
          </cell>
          <cell r="M248">
            <v>67.600999999999999</v>
          </cell>
          <cell r="N248">
            <v>77.688999999999993</v>
          </cell>
          <cell r="O248">
            <v>81.658000000000001</v>
          </cell>
          <cell r="P248">
            <v>250.87799999999999</v>
          </cell>
          <cell r="Q248">
            <v>516</v>
          </cell>
          <cell r="R248">
            <v>236.643</v>
          </cell>
          <cell r="S248">
            <v>101.444</v>
          </cell>
          <cell r="T248">
            <v>190.27328571428572</v>
          </cell>
          <cell r="U248">
            <v>1331.913</v>
          </cell>
        </row>
        <row r="249">
          <cell r="B249" t="str">
            <v>FQ(1)</v>
          </cell>
          <cell r="C249">
            <v>489</v>
          </cell>
          <cell r="D249">
            <v>230</v>
          </cell>
          <cell r="E249">
            <v>389</v>
          </cell>
          <cell r="F249">
            <v>251</v>
          </cell>
          <cell r="G249">
            <v>48.911000000000001</v>
          </cell>
          <cell r="H249">
            <v>212.46199999999999</v>
          </cell>
          <cell r="I249">
            <v>688.21</v>
          </cell>
          <cell r="J249">
            <v>329.79757142857142</v>
          </cell>
          <cell r="K249">
            <v>2308.5830000000001</v>
          </cell>
          <cell r="M249">
            <v>105.699</v>
          </cell>
          <cell r="N249">
            <v>118.661</v>
          </cell>
          <cell r="O249">
            <v>106.85899999999999</v>
          </cell>
          <cell r="P249">
            <v>256.62700000000001</v>
          </cell>
          <cell r="Q249">
            <v>647</v>
          </cell>
          <cell r="R249">
            <v>147.88499999999999</v>
          </cell>
          <cell r="S249">
            <v>119.389</v>
          </cell>
          <cell r="T249">
            <v>214.58857142857141</v>
          </cell>
          <cell r="U249">
            <v>1502.12</v>
          </cell>
        </row>
        <row r="250">
          <cell r="B250" t="str">
            <v>Last Reported Q</v>
          </cell>
          <cell r="C250">
            <v>2301</v>
          </cell>
          <cell r="D250">
            <v>1158</v>
          </cell>
          <cell r="E250">
            <v>2664</v>
          </cell>
          <cell r="F250">
            <v>1147</v>
          </cell>
          <cell r="G250">
            <v>115.125</v>
          </cell>
          <cell r="H250">
            <v>885.16499999999996</v>
          </cell>
          <cell r="I250">
            <v>2426.2710000000002</v>
          </cell>
          <cell r="J250">
            <v>1528.0801428571431</v>
          </cell>
          <cell r="K250">
            <v>10696.561000000002</v>
          </cell>
          <cell r="M250">
            <v>387.79300000000001</v>
          </cell>
          <cell r="N250">
            <v>438.83600000000001</v>
          </cell>
          <cell r="O250">
            <v>401.83100000000002</v>
          </cell>
          <cell r="P250">
            <v>408.89</v>
          </cell>
          <cell r="Q250">
            <v>2384</v>
          </cell>
          <cell r="R250">
            <v>1218.6880000000001</v>
          </cell>
          <cell r="S250">
            <v>430.70760552622602</v>
          </cell>
          <cell r="T250">
            <v>810.10651507517525</v>
          </cell>
          <cell r="U250">
            <v>5670.7456055262264</v>
          </cell>
        </row>
        <row r="251">
          <cell r="B251" t="str">
            <v>LTM</v>
          </cell>
          <cell r="C251">
            <v>3725</v>
          </cell>
          <cell r="D251">
            <v>1802</v>
          </cell>
          <cell r="E251">
            <v>3963</v>
          </cell>
          <cell r="F251">
            <v>1905</v>
          </cell>
          <cell r="G251">
            <v>168.06200000000001</v>
          </cell>
          <cell r="H251">
            <v>1495.3309999999999</v>
          </cell>
          <cell r="I251">
            <v>4092.0520000000001</v>
          </cell>
          <cell r="J251">
            <v>2450.0635714285713</v>
          </cell>
          <cell r="K251">
            <v>17150.445</v>
          </cell>
          <cell r="M251">
            <v>586.89</v>
          </cell>
          <cell r="N251">
            <v>703.08199999999999</v>
          </cell>
          <cell r="O251">
            <v>652.59500000000003</v>
          </cell>
          <cell r="P251">
            <v>1145.8679999999999</v>
          </cell>
          <cell r="Q251">
            <v>4043</v>
          </cell>
          <cell r="R251">
            <v>1753.4280000000001</v>
          </cell>
          <cell r="S251">
            <v>719.75060552622608</v>
          </cell>
          <cell r="T251">
            <v>1372.0876579323178</v>
          </cell>
          <cell r="U251">
            <v>9604.613605526225</v>
          </cell>
        </row>
        <row r="252">
          <cell r="B252" t="str">
            <v>FY1</v>
          </cell>
          <cell r="C252">
            <v>7.9293440159680317E-2</v>
          </cell>
          <cell r="D252">
            <v>-0.28175242217070839</v>
          </cell>
          <cell r="E252">
            <v>-5.8706764560482072E-2</v>
          </cell>
          <cell r="F252">
            <v>-1.2659497227352157E-2</v>
          </cell>
          <cell r="G252">
            <v>2.8440816501221811</v>
          </cell>
          <cell r="H252">
            <v>0.37739008200740787</v>
          </cell>
          <cell r="I252">
            <v>0.25447263704823664</v>
          </cell>
          <cell r="J252">
            <v>3.1167021448063714E-2</v>
          </cell>
          <cell r="K252">
            <v>3.1167021448063714E-2</v>
          </cell>
          <cell r="M252">
            <v>-0.44755096954652773</v>
          </cell>
          <cell r="N252">
            <v>0.40776067925643722</v>
          </cell>
          <cell r="O252">
            <v>-0.10256876684475125</v>
          </cell>
          <cell r="P252">
            <v>8.7859867401067548E-2</v>
          </cell>
          <cell r="Q252">
            <v>9.4663871224688112E-2</v>
          </cell>
          <cell r="R252">
            <v>7.1548102236515865E-2</v>
          </cell>
          <cell r="S252">
            <v>0.10220319930856303</v>
          </cell>
          <cell r="T252">
            <v>2.8925996516275365E-2</v>
          </cell>
          <cell r="U252">
            <v>2.8925996516275365E-2</v>
          </cell>
        </row>
        <row r="253">
          <cell r="B253" t="str">
            <v>EBITDA Margin</v>
          </cell>
          <cell r="C253">
            <v>0.11823966128147112</v>
          </cell>
          <cell r="D253">
            <v>0.13978431130046953</v>
          </cell>
          <cell r="E253">
            <v>3.3430400435524144E-2</v>
          </cell>
          <cell r="F253">
            <v>7.7024231074919403E-2</v>
          </cell>
          <cell r="G253">
            <v>0.49767331916214141</v>
          </cell>
          <cell r="H253">
            <v>2.8087481082974541E-3</v>
          </cell>
          <cell r="I253">
            <v>9.2016676363640526E-2</v>
          </cell>
          <cell r="J253">
            <v>8.2720158998771387E-2</v>
          </cell>
          <cell r="K253">
            <v>8.2720158998771609E-2</v>
          </cell>
          <cell r="M253">
            <v>0.22592980450213873</v>
          </cell>
          <cell r="N253">
            <v>2.4701111113993424E-2</v>
          </cell>
          <cell r="O253">
            <v>0.21193428107274648</v>
          </cell>
          <cell r="P253">
            <v>7.6209113790322691E-2</v>
          </cell>
          <cell r="Q253">
            <v>6.5830701459941299E-3</v>
          </cell>
          <cell r="R253">
            <v>8.3458125413556905E-2</v>
          </cell>
          <cell r="S253">
            <v>0.21981119502112567</v>
          </cell>
          <cell r="T253">
            <v>7.5768860916895386E-2</v>
          </cell>
          <cell r="U253">
            <v>7.5768860916895386E-2</v>
          </cell>
        </row>
        <row r="254">
          <cell r="B254" t="str">
            <v>FY(2)</v>
          </cell>
          <cell r="C254">
            <v>0.13698804761528982</v>
          </cell>
          <cell r="D254">
            <v>0.11620805269441058</v>
          </cell>
          <cell r="E254">
            <v>0.12750351537262949</v>
          </cell>
          <cell r="F254">
            <v>0.16785605133955017</v>
          </cell>
          <cell r="G254">
            <v>8.2868419605755084E-2</v>
          </cell>
          <cell r="H254">
            <v>9.0672933445708689E-2</v>
          </cell>
          <cell r="I254">
            <v>9.9641903695533218E-2</v>
          </cell>
          <cell r="J254">
            <v>0.11739127482412529</v>
          </cell>
          <cell r="K254">
            <v>0.12156171950147786</v>
          </cell>
          <cell r="M254">
            <v>0.26019338014128879</v>
          </cell>
          <cell r="N254">
            <v>0.14935354914750854</v>
          </cell>
          <cell r="O254">
            <v>0.23170570059294651</v>
          </cell>
          <cell r="P254">
            <v>0.41121611234792088</v>
          </cell>
          <cell r="Q254">
            <v>0.12028167227050689</v>
          </cell>
          <cell r="R254">
            <v>0.12027421769325956</v>
          </cell>
          <cell r="S254">
            <v>0.19563394891903294</v>
          </cell>
          <cell r="T254">
            <v>0.21266551158749486</v>
          </cell>
          <cell r="U254">
            <v>0.16668711075578976</v>
          </cell>
        </row>
        <row r="255">
          <cell r="A255" t="str">
            <v>mscalc:netIncomeBeforeOperatingLeaseAdjustment</v>
          </cell>
          <cell r="B255" t="str">
            <v>FY(1)</v>
          </cell>
          <cell r="C255">
            <v>0.1267910598026713</v>
          </cell>
          <cell r="D255">
            <v>8.6431288394483163E-2</v>
          </cell>
          <cell r="E255">
            <v>0.10750441909047083</v>
          </cell>
          <cell r="F255">
            <v>0.13044879990350983</v>
          </cell>
          <cell r="G255">
            <v>8.2192422010453139E-3</v>
          </cell>
          <cell r="H255">
            <v>9.7544958469286569E-2</v>
          </cell>
          <cell r="I255">
            <v>9.6657149752059329E-2</v>
          </cell>
          <cell r="J255">
            <v>9.3370988230503743E-2</v>
          </cell>
          <cell r="K255">
            <v>0.10278859736299435</v>
          </cell>
          <cell r="M255">
            <v>0.20810559331730538</v>
          </cell>
          <cell r="N255">
            <v>0.15596243180303057</v>
          </cell>
          <cell r="O255">
            <v>0.14721878254841297</v>
          </cell>
          <cell r="P255">
            <v>0.40239886291219351</v>
          </cell>
          <cell r="Q255">
            <v>0.1456698334021754</v>
          </cell>
          <cell r="R255">
            <v>0.11728210409699492</v>
          </cell>
          <cell r="S255">
            <v>0.20788196779929119</v>
          </cell>
          <cell r="T255">
            <v>0.19778851083991483</v>
          </cell>
          <cell r="U255">
            <v>0.17045411078742415</v>
          </cell>
        </row>
        <row r="256">
          <cell r="B256" t="str">
            <v>FY0</v>
          </cell>
          <cell r="C256">
            <v>0.13395819991849567</v>
          </cell>
          <cell r="D256">
            <v>6.5954797094283174E-2</v>
          </cell>
          <cell r="E256">
            <v>0.1134147899016561</v>
          </cell>
          <cell r="F256">
            <v>0.1388956163720029</v>
          </cell>
          <cell r="G256">
            <v>4.3845283751823318E-2</v>
          </cell>
          <cell r="H256">
            <v>0.12320973779591446</v>
          </cell>
          <cell r="I256">
            <v>0.1195888161753558</v>
          </cell>
          <cell r="J256">
            <v>0.10555246300136163</v>
          </cell>
          <cell r="K256">
            <v>0.1107535514305215</v>
          </cell>
          <cell r="M256">
            <v>0.13241469973110248</v>
          </cell>
          <cell r="N256">
            <v>0.19677817860594007</v>
          </cell>
          <cell r="O256">
            <v>0.13436656302937447</v>
          </cell>
          <cell r="P256">
            <v>0.34771803961531267</v>
          </cell>
          <cell r="Q256">
            <v>0.1679228005916743</v>
          </cell>
          <cell r="R256">
            <v>0.14117380216116088</v>
          </cell>
          <cell r="S256">
            <v>0.22226456371027473</v>
          </cell>
          <cell r="T256">
            <v>0.19180552106354851</v>
          </cell>
          <cell r="U256">
            <v>0.17664338994555029</v>
          </cell>
        </row>
        <row r="257">
          <cell r="B257" t="str">
            <v>FY1</v>
          </cell>
          <cell r="C257">
            <v>0.14524953541489105</v>
          </cell>
          <cell r="D257">
            <v>7.5696969513404266E-2</v>
          </cell>
          <cell r="E257">
            <v>0.12062063000600672</v>
          </cell>
          <cell r="F257">
            <v>0.15384036187165825</v>
          </cell>
          <cell r="G257">
            <v>5.9166066089843448E-2</v>
          </cell>
          <cell r="H257">
            <v>0.13352223205816469</v>
          </cell>
          <cell r="I257">
            <v>0.1254741288661009</v>
          </cell>
          <cell r="J257">
            <v>0.11622427483143848</v>
          </cell>
          <cell r="K257">
            <v>0.12054122450092597</v>
          </cell>
          <cell r="M257">
            <v>0.16025826241318036</v>
          </cell>
          <cell r="N257">
            <v>0.19872151824836315</v>
          </cell>
          <cell r="O257">
            <v>0.18010886307621324</v>
          </cell>
          <cell r="P257">
            <v>0.35376895413704895</v>
          </cell>
          <cell r="Q257">
            <v>0.16537263357722404</v>
          </cell>
          <cell r="R257">
            <v>0.1543223268754341</v>
          </cell>
          <cell r="S257">
            <v>0.23604606226171623</v>
          </cell>
          <cell r="T257">
            <v>0.20694266008416859</v>
          </cell>
          <cell r="U257">
            <v>0.18732508010362472</v>
          </cell>
        </row>
        <row r="258">
          <cell r="B258" t="str">
            <v>FY2</v>
          </cell>
          <cell r="C258">
            <v>0.15013309545326939</v>
          </cell>
          <cell r="D258">
            <v>7.9193958122540042E-2</v>
          </cell>
          <cell r="E258">
            <v>0.12262063000600606</v>
          </cell>
          <cell r="F258">
            <v>0.15941706666592947</v>
          </cell>
          <cell r="G258">
            <v>7.9918982174010306E-2</v>
          </cell>
          <cell r="H258">
            <v>0.13497861403200276</v>
          </cell>
          <cell r="I258">
            <v>0.12334122145439311</v>
          </cell>
          <cell r="J258">
            <v>0.121371938272593</v>
          </cell>
          <cell r="K258">
            <v>0.1235346883153805</v>
          </cell>
          <cell r="M258">
            <v>0.17746344955354632</v>
          </cell>
          <cell r="N258">
            <v>0.17966044021851338</v>
          </cell>
          <cell r="O258">
            <v>0.19258538043028928</v>
          </cell>
          <cell r="P258">
            <v>0.35575566674388343</v>
          </cell>
          <cell r="Q258">
            <v>0.17352122215451327</v>
          </cell>
          <cell r="R258">
            <v>0.16219812579766729</v>
          </cell>
          <cell r="S258">
            <v>0.24375203757221914</v>
          </cell>
          <cell r="T258">
            <v>0.21213376035294743</v>
          </cell>
          <cell r="U258">
            <v>0.19533599961776127</v>
          </cell>
        </row>
        <row r="259">
          <cell r="B259" t="str">
            <v>FQ(3)</v>
          </cell>
          <cell r="C259">
            <v>0.10775151181968114</v>
          </cell>
          <cell r="D259">
            <v>5.8180917683151347E-2</v>
          </cell>
          <cell r="E259">
            <v>6.2896710905943454E-2</v>
          </cell>
          <cell r="F259">
            <v>0.13071512309495897</v>
          </cell>
          <cell r="G259">
            <v>5.7490672272424374E-2</v>
          </cell>
          <cell r="H259">
            <v>0.11138337159102128</v>
          </cell>
          <cell r="I259">
            <v>0.10334057228107695</v>
          </cell>
          <cell r="J259">
            <v>9.0251268521179637E-2</v>
          </cell>
          <cell r="K259">
            <v>8.7326027810072149E-2</v>
          </cell>
          <cell r="M259">
            <v>4.2871458746379182E-2</v>
          </cell>
          <cell r="N259">
            <v>0.1664019763543321</v>
          </cell>
          <cell r="O259">
            <v>0.10171078431372549</v>
          </cell>
          <cell r="P259">
            <v>0.3101242129418777</v>
          </cell>
          <cell r="Q259">
            <v>0.15861848417013111</v>
          </cell>
          <cell r="R259">
            <v>8.7067457978237187E-2</v>
          </cell>
          <cell r="S259">
            <v>0.17726275740912067</v>
          </cell>
          <cell r="T259">
            <v>0.14915101884482906</v>
          </cell>
          <cell r="U259">
            <v>0.14473941352003131</v>
          </cell>
        </row>
        <row r="260">
          <cell r="B260" t="str">
            <v>FQ(2)</v>
          </cell>
          <cell r="C260">
            <v>0.14266946925906462</v>
          </cell>
          <cell r="D260">
            <v>4.7683661878543789E-2</v>
          </cell>
          <cell r="E260">
            <v>0.11289697908597986</v>
          </cell>
          <cell r="F260">
            <v>0.1324009324009324</v>
          </cell>
          <cell r="G260">
            <v>-5.6420198826411437E-2</v>
          </cell>
          <cell r="H260">
            <v>0.11833299785823652</v>
          </cell>
          <cell r="I260">
            <v>0.11113215130063475</v>
          </cell>
          <cell r="J260">
            <v>8.69565704224258E-2</v>
          </cell>
          <cell r="K260">
            <v>0.1040500073004839</v>
          </cell>
          <cell r="M260">
            <v>0.10608721307050457</v>
          </cell>
          <cell r="N260">
            <v>0.17149132488631846</v>
          </cell>
          <cell r="O260">
            <v>0.12417654608604675</v>
          </cell>
          <cell r="P260">
            <v>0.32257143738813798</v>
          </cell>
          <cell r="Q260">
            <v>0.15901386748844376</v>
          </cell>
          <cell r="R260">
            <v>0.11450781714982507</v>
          </cell>
          <cell r="S260">
            <v>0.22119112305015418</v>
          </cell>
          <cell r="T260">
            <v>0.17414847558849011</v>
          </cell>
          <cell r="U260">
            <v>0.16055236030399414</v>
          </cell>
        </row>
        <row r="261">
          <cell r="B261" t="str">
            <v>FQ(1)</v>
          </cell>
          <cell r="C261">
            <v>0.12071093557146384</v>
          </cell>
          <cell r="D261">
            <v>5.5018734955040782E-2</v>
          </cell>
          <cell r="E261">
            <v>7.3716126587075992E-2</v>
          </cell>
          <cell r="F261">
            <v>0.13436830835117772</v>
          </cell>
          <cell r="G261">
            <v>7.7460193781139441E-2</v>
          </cell>
          <cell r="H261">
            <v>0.12181483241874644</v>
          </cell>
          <cell r="I261">
            <v>0.1312139343283992</v>
          </cell>
          <cell r="J261">
            <v>0.10204329514186336</v>
          </cell>
          <cell r="K261">
            <v>0.10038664671341772</v>
          </cell>
          <cell r="M261">
            <v>0.14024312576623624</v>
          </cell>
          <cell r="N261">
            <v>0.208969811812524</v>
          </cell>
          <cell r="O261">
            <v>0.14267613043118341</v>
          </cell>
          <cell r="P261">
            <v>0.33702985276523206</v>
          </cell>
          <cell r="Q261">
            <v>0.18027305656171635</v>
          </cell>
          <cell r="R261">
            <v>8.3208166142882178E-2</v>
          </cell>
          <cell r="S261">
            <v>0.23599327930421032</v>
          </cell>
          <cell r="T261">
            <v>0.18977048896914067</v>
          </cell>
          <cell r="U261">
            <v>0.17257593409458666</v>
          </cell>
        </row>
        <row r="262">
          <cell r="B262" t="str">
            <v>Last Reported Q</v>
          </cell>
          <cell r="C262">
            <v>0.13395819991849567</v>
          </cell>
          <cell r="D262">
            <v>6.5954797094283174E-2</v>
          </cell>
          <cell r="E262">
            <v>0.1134147899016561</v>
          </cell>
          <cell r="F262">
            <v>0.1388956163720029</v>
          </cell>
          <cell r="G262">
            <v>4.3845283751823318E-2</v>
          </cell>
          <cell r="H262">
            <v>0.12320973779591446</v>
          </cell>
          <cell r="I262">
            <v>0.1195888161753558</v>
          </cell>
          <cell r="J262">
            <v>0.10555246300136163</v>
          </cell>
          <cell r="K262">
            <v>0.1107535514305215</v>
          </cell>
          <cell r="M262">
            <v>0.13241469973110248</v>
          </cell>
          <cell r="N262">
            <v>0.19677817860594007</v>
          </cell>
          <cell r="O262">
            <v>0.13436656302937447</v>
          </cell>
          <cell r="P262">
            <v>0.38393246980061119</v>
          </cell>
          <cell r="Q262">
            <v>0.1679228005916743</v>
          </cell>
          <cell r="R262">
            <v>0.14117380216116088</v>
          </cell>
          <cell r="S262">
            <v>0.22226456371027473</v>
          </cell>
          <cell r="T262">
            <v>0.19697901109001972</v>
          </cell>
          <cell r="U262">
            <v>0.16687672680250146</v>
          </cell>
        </row>
        <row r="263">
          <cell r="B263" t="str">
            <v>LTM</v>
          </cell>
          <cell r="C263">
            <v>0.12991768973214285</v>
          </cell>
          <cell r="D263">
            <v>6.0950532559043924E-2</v>
          </cell>
          <cell r="E263">
            <v>0.10128038028061029</v>
          </cell>
          <cell r="F263">
            <v>0.13629534234814339</v>
          </cell>
          <cell r="G263">
            <v>3.7850898154233259E-2</v>
          </cell>
          <cell r="H263">
            <v>0.1207023044678138</v>
          </cell>
          <cell r="I263">
            <v>0.1181474006949358</v>
          </cell>
          <cell r="J263">
            <v>0.10073493546241762</v>
          </cell>
          <cell r="K263">
            <v>0.10534231755292885</v>
          </cell>
          <cell r="M263">
            <v>0.11925606841663891</v>
          </cell>
          <cell r="N263">
            <v>0.19215209018233734</v>
          </cell>
          <cell r="O263">
            <v>0.13028147082239661</v>
          </cell>
          <cell r="P263">
            <v>0.34265106717003696</v>
          </cell>
          <cell r="Q263">
            <v>0.16735656925242157</v>
          </cell>
          <cell r="R263">
            <v>0.12346629865368679</v>
          </cell>
          <cell r="S263">
            <v>0.2189597225568104</v>
          </cell>
          <cell r="T263">
            <v>0.18487475529347552</v>
          </cell>
          <cell r="U263">
            <v>0.16395638290338857</v>
          </cell>
        </row>
        <row r="264">
          <cell r="B264" t="str">
            <v>Last Reported Q</v>
          </cell>
          <cell r="C264">
            <v>193</v>
          </cell>
          <cell r="D264">
            <v>27</v>
          </cell>
          <cell r="E264">
            <v>-2</v>
          </cell>
          <cell r="F264">
            <v>83</v>
          </cell>
          <cell r="G264">
            <v>2.2584630489110999</v>
          </cell>
          <cell r="H264">
            <v>105.08</v>
          </cell>
          <cell r="I264">
            <v>347.79899999999998</v>
          </cell>
          <cell r="J264">
            <v>108.01963757841587</v>
          </cell>
          <cell r="K264">
            <v>756.13746304891106</v>
          </cell>
          <cell r="M264">
            <v>26.331</v>
          </cell>
          <cell r="N264">
            <v>62.628999999999998</v>
          </cell>
          <cell r="O264">
            <v>44.501489999999997</v>
          </cell>
          <cell r="P264">
            <v>622.12800000000004</v>
          </cell>
          <cell r="Q264">
            <v>307</v>
          </cell>
          <cell r="R264">
            <v>6.0990000000000002</v>
          </cell>
          <cell r="S264">
            <v>62.392000000000003</v>
          </cell>
          <cell r="T264">
            <v>161.58292714285716</v>
          </cell>
          <cell r="U264">
            <v>1131.0804900000001</v>
          </cell>
        </row>
        <row r="265">
          <cell r="B265" t="str">
            <v>EBITDA Growth, Y/Y</v>
          </cell>
          <cell r="C265">
            <v>895</v>
          </cell>
          <cell r="D265">
            <v>259.38200000000001</v>
          </cell>
          <cell r="E265">
            <v>917</v>
          </cell>
          <cell r="F265">
            <v>324</v>
          </cell>
          <cell r="G265">
            <v>-129.12349297410259</v>
          </cell>
          <cell r="H265">
            <v>397.26099999999997</v>
          </cell>
          <cell r="I265">
            <v>1054.4956247570569</v>
          </cell>
          <cell r="J265">
            <v>531.14501882613627</v>
          </cell>
          <cell r="K265">
            <v>3718.0151317829541</v>
          </cell>
          <cell r="M265">
            <v>99.525280000000024</v>
          </cell>
          <cell r="N265">
            <v>202.98999999999998</v>
          </cell>
          <cell r="O265">
            <v>127.42749000000001</v>
          </cell>
          <cell r="P265">
            <v>1107.99</v>
          </cell>
          <cell r="Q265">
            <v>993</v>
          </cell>
          <cell r="R265">
            <v>287.89599999999996</v>
          </cell>
          <cell r="S265">
            <v>182.76300000000001</v>
          </cell>
          <cell r="T265">
            <v>428.79882428571426</v>
          </cell>
          <cell r="U265">
            <v>3001.59177</v>
          </cell>
        </row>
        <row r="266">
          <cell r="B266" t="str">
            <v>FY(2)</v>
          </cell>
        </row>
        <row r="267">
          <cell r="A267" t="str">
            <v>mstag:adjEpsForConsensus</v>
          </cell>
          <cell r="B267" t="str">
            <v>FY(1)</v>
          </cell>
          <cell r="C267">
            <v>-7.9201488899720784E-2</v>
          </cell>
          <cell r="D267">
            <v>-0.30770811203667681</v>
          </cell>
          <cell r="E267">
            <v>-0.20238450074515646</v>
          </cell>
          <cell r="F267">
            <v>-0.2701109864880733</v>
          </cell>
          <cell r="G267">
            <v>-0.90773496921431085</v>
          </cell>
          <cell r="H267">
            <v>0.16777747721630143</v>
          </cell>
          <cell r="I267">
            <v>5.1073732749904455E-3</v>
          </cell>
          <cell r="J267">
            <v>-0.17552771553726221</v>
          </cell>
          <cell r="K267">
            <v>-0.17552771553726221</v>
          </cell>
          <cell r="M267">
            <v>-0.24679808239512446</v>
          </cell>
          <cell r="N267">
            <v>0.24367530259585379</v>
          </cell>
          <cell r="O267">
            <v>-0.37848007932673966</v>
          </cell>
          <cell r="P267">
            <v>0.19142889589717416</v>
          </cell>
          <cell r="Q267">
            <v>0.11603375527426163</v>
          </cell>
          <cell r="R267">
            <v>-0.12576981191488734</v>
          </cell>
          <cell r="S267">
            <v>0.29299367376136587</v>
          </cell>
          <cell r="T267">
            <v>-1.3845206508230845E-2</v>
          </cell>
          <cell r="U267">
            <v>-1.3845206508230734E-2</v>
          </cell>
        </row>
        <row r="268">
          <cell r="B268" t="str">
            <v>FY0</v>
          </cell>
          <cell r="C268">
            <v>0.10733284375201535</v>
          </cell>
          <cell r="D268">
            <v>-0.27525786308272593</v>
          </cell>
          <cell r="E268">
            <v>-4.484304932735439E-3</v>
          </cell>
          <cell r="F268">
            <v>6.0514021067892276E-2</v>
          </cell>
          <cell r="G268">
            <v>3.6122101741780241</v>
          </cell>
          <cell r="H268">
            <v>0.39904973528588439</v>
          </cell>
          <cell r="I268">
            <v>0.32118318178996508</v>
          </cell>
          <cell r="J268">
            <v>7.747688463813307E-2</v>
          </cell>
          <cell r="K268">
            <v>7.747688463813307E-2</v>
          </cell>
          <cell r="M268">
            <v>-0.4651512799438895</v>
          </cell>
          <cell r="N268">
            <v>0.49227400092494356</v>
          </cell>
          <cell r="O268">
            <v>-8.6768482534487767E-2</v>
          </cell>
          <cell r="P268">
            <v>-0.12238218719261096</v>
          </cell>
          <cell r="Q268">
            <v>0.12665406427221182</v>
          </cell>
          <cell r="R268">
            <v>0.14911267487438096</v>
          </cell>
          <cell r="S268">
            <v>0.12932793595490644</v>
          </cell>
          <cell r="T268">
            <v>1.3998711751485926E-2</v>
          </cell>
          <cell r="U268">
            <v>1.3998711751485926E-2</v>
          </cell>
        </row>
        <row r="269">
          <cell r="B269" t="str">
            <v>FY1</v>
          </cell>
          <cell r="C269">
            <v>0.16768440513724037</v>
          </cell>
          <cell r="D269">
            <v>0.16396720568492218</v>
          </cell>
          <cell r="E269">
            <v>0.11132962211942954</v>
          </cell>
          <cell r="F269">
            <v>0.1979250781288231</v>
          </cell>
          <cell r="G269">
            <v>0.40687676655192195</v>
          </cell>
          <cell r="H269">
            <v>0.17716918655120795</v>
          </cell>
          <cell r="I269">
            <v>0.14062970104034123</v>
          </cell>
          <cell r="J269">
            <v>0.15371196728365222</v>
          </cell>
          <cell r="K269">
            <v>0.153711967283652</v>
          </cell>
          <cell r="M269">
            <v>0.30702832399387292</v>
          </cell>
          <cell r="N269">
            <v>0.10051549344582478</v>
          </cell>
          <cell r="O269">
            <v>0.3396915735002326</v>
          </cell>
          <cell r="P269">
            <v>9.4761092269401104E-2</v>
          </cell>
          <cell r="Q269">
            <v>-2.48488144569462E-2</v>
          </cell>
          <cell r="R269">
            <v>0.1536928140979561</v>
          </cell>
          <cell r="S269">
            <v>0.23940390562692615</v>
          </cell>
          <cell r="T269">
            <v>9.9808707697482735E-2</v>
          </cell>
          <cell r="U269">
            <v>9.9808707697482957E-2</v>
          </cell>
        </row>
        <row r="270">
          <cell r="B270" t="str">
            <v>FY2</v>
          </cell>
          <cell r="C270">
            <v>0.11975332839646402</v>
          </cell>
          <cell r="D270">
            <v>6.9243624140826077E-2</v>
          </cell>
          <cell r="E270">
            <v>2.5119437823411195E-2</v>
          </cell>
          <cell r="F270">
            <v>8.5067534120490729E-2</v>
          </cell>
          <cell r="G270">
            <v>0.4468704139954931</v>
          </cell>
          <cell r="H270">
            <v>5.720354411580475E-2</v>
          </cell>
          <cell r="I270">
            <v>4.7780997854424578E-2</v>
          </cell>
          <cell r="J270">
            <v>7.0543438842309403E-2</v>
          </cell>
          <cell r="K270">
            <v>7.0543438842309403E-2</v>
          </cell>
          <cell r="M270">
            <v>0.19636141008461783</v>
          </cell>
          <cell r="N270">
            <v>2.3273998342098423E-2</v>
          </cell>
          <cell r="O270">
            <v>0.18246504233387761</v>
          </cell>
          <cell r="P270">
            <v>7.5419279534387984E-2</v>
          </cell>
          <cell r="Q270">
            <v>8.3012160730286944E-3</v>
          </cell>
          <cell r="R270">
            <v>9.0653076544306099E-2</v>
          </cell>
          <cell r="S270">
            <v>0.17812910149573691</v>
          </cell>
          <cell r="T270">
            <v>7.7406716021881428E-2</v>
          </cell>
          <cell r="U270">
            <v>7.7406716021881428E-2</v>
          </cell>
        </row>
        <row r="271">
          <cell r="B271" t="str">
            <v>FY1</v>
          </cell>
          <cell r="C271">
            <v>3.11</v>
          </cell>
          <cell r="D271">
            <v>1.03510445527076</v>
          </cell>
          <cell r="E271">
            <v>1.14784510187135</v>
          </cell>
          <cell r="F271">
            <v>1.8136411490884501</v>
          </cell>
          <cell r="G271">
            <v>-0.472295447628726</v>
          </cell>
          <cell r="H271">
            <v>3.3862868587624302</v>
          </cell>
          <cell r="I271">
            <v>2.6945205236563301</v>
          </cell>
          <cell r="M271">
            <v>1.0080029976226801</v>
          </cell>
          <cell r="N271">
            <v>3.19697659901902</v>
          </cell>
          <cell r="O271">
            <v>0.73983220363332802</v>
          </cell>
          <cell r="P271">
            <v>2.1342367427798301</v>
          </cell>
          <cell r="Q271">
            <v>1.5442144348621401</v>
          </cell>
          <cell r="R271">
            <v>1.1090965137337101</v>
          </cell>
          <cell r="S271">
            <v>1.24056550686542</v>
          </cell>
        </row>
        <row r="272">
          <cell r="A272" t="str">
            <v>mscalc:netIncomeBeforeOperatingLeaseAdjustment</v>
          </cell>
          <cell r="B272" t="str">
            <v>Net Income</v>
          </cell>
          <cell r="C272">
            <v>3.6141121475309599</v>
          </cell>
          <cell r="D272">
            <v>1.5303898670656499</v>
          </cell>
          <cell r="E272">
            <v>1.3294495544969001</v>
          </cell>
          <cell r="F272">
            <v>2.03885624205917</v>
          </cell>
          <cell r="G272">
            <v>-0.23101098907579101</v>
          </cell>
          <cell r="H272">
            <v>3.5442519215475099</v>
          </cell>
          <cell r="I272">
            <v>3.1175626704531201</v>
          </cell>
          <cell r="M272">
            <v>1.5590303512307999</v>
          </cell>
          <cell r="N272">
            <v>3.4587188109684202</v>
          </cell>
          <cell r="O272">
            <v>0.93491756401208104</v>
          </cell>
          <cell r="P272">
            <v>2.3560769521099698</v>
          </cell>
          <cell r="Q272">
            <v>1.64332942576824</v>
          </cell>
          <cell r="R272">
            <v>1.2755329709446399</v>
          </cell>
          <cell r="S272">
            <v>1.5606882755392599</v>
          </cell>
        </row>
        <row r="273">
          <cell r="B273" t="str">
            <v>FY(10)</v>
          </cell>
          <cell r="C273">
            <v>264.01</v>
          </cell>
          <cell r="D273">
            <v>384.12799999999999</v>
          </cell>
          <cell r="E273">
            <v>825</v>
          </cell>
          <cell r="F273">
            <v>202.291</v>
          </cell>
          <cell r="G273" t="str">
            <v>NA</v>
          </cell>
          <cell r="H273">
            <v>159.10599999999999</v>
          </cell>
          <cell r="I273">
            <v>526.822</v>
          </cell>
          <cell r="J273">
            <v>393.55950000000001</v>
          </cell>
          <cell r="K273">
            <v>2361.357</v>
          </cell>
          <cell r="M273">
            <v>149.60400000000001</v>
          </cell>
          <cell r="N273" t="str">
            <v>NA</v>
          </cell>
          <cell r="O273">
            <v>90.66</v>
          </cell>
          <cell r="P273">
            <v>21.001124000000001</v>
          </cell>
          <cell r="Q273" t="str">
            <v>NA</v>
          </cell>
          <cell r="R273">
            <v>446.56</v>
          </cell>
          <cell r="S273">
            <v>18.68</v>
          </cell>
          <cell r="T273">
            <v>145.30102479999999</v>
          </cell>
          <cell r="U273">
            <v>726.50512399999991</v>
          </cell>
        </row>
        <row r="274">
          <cell r="B274" t="str">
            <v>FY(9)</v>
          </cell>
          <cell r="C274">
            <v>368.71199999999999</v>
          </cell>
          <cell r="D274">
            <v>-88.56</v>
          </cell>
          <cell r="E274">
            <v>901</v>
          </cell>
          <cell r="F274">
            <v>134.77500000000001</v>
          </cell>
          <cell r="G274" t="str">
            <v>NA</v>
          </cell>
          <cell r="H274">
            <v>150.28800000000001</v>
          </cell>
          <cell r="I274">
            <v>538.06600000000003</v>
          </cell>
          <cell r="J274">
            <v>334.04683333333338</v>
          </cell>
          <cell r="K274">
            <v>2004.2810000000002</v>
          </cell>
          <cell r="M274">
            <v>156.85300000000001</v>
          </cell>
          <cell r="N274" t="str">
            <v>NA</v>
          </cell>
          <cell r="O274">
            <v>91.152000000000001</v>
          </cell>
          <cell r="P274">
            <v>38.685000000000002</v>
          </cell>
          <cell r="Q274">
            <v>877.41700000000003</v>
          </cell>
          <cell r="R274">
            <v>412.46089999999998</v>
          </cell>
          <cell r="S274">
            <v>10.494999999999999</v>
          </cell>
          <cell r="T274">
            <v>264.5104833333333</v>
          </cell>
          <cell r="U274">
            <v>1587.0628999999999</v>
          </cell>
        </row>
        <row r="275">
          <cell r="B275" t="str">
            <v>FY(8)</v>
          </cell>
          <cell r="C275">
            <v>491.98899999999998</v>
          </cell>
          <cell r="D275">
            <v>183</v>
          </cell>
          <cell r="E275">
            <v>746</v>
          </cell>
          <cell r="F275">
            <v>124.688</v>
          </cell>
          <cell r="G275" t="str">
            <v>NA</v>
          </cell>
          <cell r="H275">
            <v>155.04499999999999</v>
          </cell>
          <cell r="I275">
            <v>540.39700000000005</v>
          </cell>
          <cell r="J275">
            <v>373.51983333333334</v>
          </cell>
          <cell r="K275">
            <v>2241.1190000000001</v>
          </cell>
          <cell r="M275">
            <v>166.6</v>
          </cell>
          <cell r="N275" t="str">
            <v>NA</v>
          </cell>
          <cell r="O275">
            <v>101.666</v>
          </cell>
          <cell r="P275">
            <v>70.602440000000001</v>
          </cell>
          <cell r="Q275">
            <v>-7.7640000000000002</v>
          </cell>
          <cell r="R275">
            <v>405.77499999999998</v>
          </cell>
          <cell r="S275">
            <v>15.007</v>
          </cell>
          <cell r="T275">
            <v>125.31440666666664</v>
          </cell>
          <cell r="U275">
            <v>751.88643999999988</v>
          </cell>
        </row>
        <row r="276">
          <cell r="B276" t="str">
            <v>FY(7)</v>
          </cell>
          <cell r="C276">
            <v>635.47</v>
          </cell>
          <cell r="D276">
            <v>283</v>
          </cell>
          <cell r="E276">
            <v>706</v>
          </cell>
          <cell r="F276">
            <v>106.34099999999999</v>
          </cell>
          <cell r="G276" t="str">
            <v>NA</v>
          </cell>
          <cell r="H276">
            <v>200.07599999999999</v>
          </cell>
          <cell r="I276">
            <v>578.38800000000003</v>
          </cell>
          <cell r="J276">
            <v>418.21250000000003</v>
          </cell>
          <cell r="K276">
            <v>2509.2750000000001</v>
          </cell>
          <cell r="M276">
            <v>194.75399999999999</v>
          </cell>
          <cell r="N276">
            <v>33.71546</v>
          </cell>
          <cell r="O276">
            <v>99.644000000000005</v>
          </cell>
          <cell r="P276">
            <v>78.97</v>
          </cell>
          <cell r="Q276">
            <v>477.72370245564099</v>
          </cell>
          <cell r="R276">
            <v>517.41099999999994</v>
          </cell>
          <cell r="S276">
            <v>27.413</v>
          </cell>
          <cell r="T276">
            <v>204.23302320794872</v>
          </cell>
          <cell r="U276">
            <v>1429.6311624556411</v>
          </cell>
        </row>
        <row r="277">
          <cell r="B277" t="str">
            <v>FY(6)</v>
          </cell>
          <cell r="C277">
            <v>580.86199999999997</v>
          </cell>
          <cell r="D277">
            <v>360</v>
          </cell>
          <cell r="E277">
            <v>714</v>
          </cell>
          <cell r="F277">
            <v>242.88900000000001</v>
          </cell>
          <cell r="G277">
            <v>-69.899950647510195</v>
          </cell>
          <cell r="H277">
            <v>227.57400000000001</v>
          </cell>
          <cell r="I277">
            <v>609.41200000000003</v>
          </cell>
          <cell r="J277">
            <v>380.69100705035572</v>
          </cell>
          <cell r="K277">
            <v>2664.8370493524899</v>
          </cell>
          <cell r="M277">
            <v>204.83</v>
          </cell>
          <cell r="N277">
            <v>54.253999999999998</v>
          </cell>
          <cell r="O277">
            <v>83.108000000000004</v>
          </cell>
          <cell r="P277">
            <v>122.383</v>
          </cell>
          <cell r="Q277">
            <v>1042.69954791705</v>
          </cell>
          <cell r="R277">
            <v>583.65</v>
          </cell>
          <cell r="S277">
            <v>48.375999999999998</v>
          </cell>
          <cell r="T277">
            <v>305.61436398815005</v>
          </cell>
          <cell r="U277">
            <v>2139.3005479170502</v>
          </cell>
        </row>
        <row r="278">
          <cell r="B278" t="str">
            <v>FY(5)</v>
          </cell>
          <cell r="C278">
            <v>703.51288799999998</v>
          </cell>
          <cell r="D278">
            <v>657.37</v>
          </cell>
          <cell r="E278">
            <v>786.546594982079</v>
          </cell>
          <cell r="F278">
            <v>393.47500000000002</v>
          </cell>
          <cell r="G278">
            <v>-69.191530595781302</v>
          </cell>
          <cell r="H278">
            <v>185.72</v>
          </cell>
          <cell r="I278">
            <v>628.96199999999999</v>
          </cell>
          <cell r="J278">
            <v>469.4849931980425</v>
          </cell>
          <cell r="K278">
            <v>3286.3949523862975</v>
          </cell>
          <cell r="M278">
            <v>241.95355390734301</v>
          </cell>
          <cell r="N278">
            <v>86.960999999999999</v>
          </cell>
          <cell r="O278">
            <v>224.232</v>
          </cell>
          <cell r="P278">
            <v>220.239</v>
          </cell>
          <cell r="Q278">
            <v>1214.12078310316</v>
          </cell>
          <cell r="R278">
            <v>674.27200000000005</v>
          </cell>
          <cell r="S278">
            <v>90.489000000000004</v>
          </cell>
          <cell r="T278">
            <v>393.18104814435759</v>
          </cell>
          <cell r="U278">
            <v>2752.2673370105031</v>
          </cell>
        </row>
        <row r="279">
          <cell r="B279" t="str">
            <v>FY(4)</v>
          </cell>
          <cell r="C279">
            <v>831.621966099166</v>
          </cell>
          <cell r="D279">
            <v>928.03159479553904</v>
          </cell>
          <cell r="E279">
            <v>1089.0546208098101</v>
          </cell>
          <cell r="F279">
            <v>551.18021775831903</v>
          </cell>
          <cell r="G279">
            <v>-113.296092527064</v>
          </cell>
          <cell r="H279">
            <v>199.63200000000001</v>
          </cell>
          <cell r="I279">
            <v>642.13399999999695</v>
          </cell>
          <cell r="J279">
            <v>589.76547241939534</v>
          </cell>
          <cell r="K279">
            <v>4128.3583069357674</v>
          </cell>
          <cell r="M279">
            <v>363.59381999999999</v>
          </cell>
          <cell r="N279">
            <v>83.953999999999994</v>
          </cell>
          <cell r="O279">
            <v>293.71100000000001</v>
          </cell>
          <cell r="P279">
            <v>336.64699999999999</v>
          </cell>
          <cell r="Q279">
            <v>1076.3882618510199</v>
          </cell>
          <cell r="R279">
            <v>546.83600000000001</v>
          </cell>
          <cell r="S279">
            <v>129.832005188067</v>
          </cell>
          <cell r="T279">
            <v>404.42315529129809</v>
          </cell>
          <cell r="U279">
            <v>2830.9620870390868</v>
          </cell>
        </row>
        <row r="280">
          <cell r="B280" t="str">
            <v>FY(3)</v>
          </cell>
          <cell r="C280">
            <v>1108.5977755399999</v>
          </cell>
          <cell r="D280">
            <v>1134</v>
          </cell>
          <cell r="E280">
            <v>1137.6065454545501</v>
          </cell>
          <cell r="F280">
            <v>677.99900000000002</v>
          </cell>
          <cell r="G280">
            <v>29.8422306591854</v>
          </cell>
          <cell r="H280">
            <v>241.63399999999999</v>
          </cell>
          <cell r="I280">
            <v>784.33473025389503</v>
          </cell>
          <cell r="J280">
            <v>730.57346884394724</v>
          </cell>
          <cell r="K280">
            <v>5114.0142819076309</v>
          </cell>
          <cell r="M280">
            <v>446.524</v>
          </cell>
          <cell r="N280">
            <v>100.86799999999999</v>
          </cell>
          <cell r="O280">
            <v>387.35899999999998</v>
          </cell>
          <cell r="P280">
            <v>464.00954749822699</v>
          </cell>
          <cell r="Q280">
            <v>780.95348837209303</v>
          </cell>
          <cell r="R280">
            <v>675.04899999999998</v>
          </cell>
          <cell r="S280">
            <v>108.90600000000001</v>
          </cell>
          <cell r="T280">
            <v>423.38129083861713</v>
          </cell>
          <cell r="U280">
            <v>2963.6690358703199</v>
          </cell>
        </row>
        <row r="281">
          <cell r="B281" t="str">
            <v>FY(2)</v>
          </cell>
          <cell r="C281">
            <v>1083.8209999999999</v>
          </cell>
          <cell r="D281">
            <v>1073</v>
          </cell>
          <cell r="E281">
            <v>968.870454545455</v>
          </cell>
          <cell r="F281">
            <v>694.02599999999995</v>
          </cell>
          <cell r="G281">
            <v>63.374305710902703</v>
          </cell>
          <cell r="H281">
            <v>261.05099999999999</v>
          </cell>
          <cell r="I281">
            <v>902.52825069543098</v>
          </cell>
          <cell r="J281">
            <v>720.95300156454118</v>
          </cell>
          <cell r="K281">
            <v>5046.671010951788</v>
          </cell>
          <cell r="M281">
            <v>499.12700000000001</v>
          </cell>
          <cell r="N281">
            <v>125.371</v>
          </cell>
          <cell r="O281">
            <v>400.01900000000001</v>
          </cell>
          <cell r="P281">
            <v>636.529</v>
          </cell>
          <cell r="Q281">
            <v>888.19060546964795</v>
          </cell>
          <cell r="R281">
            <v>461.45582675721101</v>
          </cell>
          <cell r="S281">
            <v>152.53</v>
          </cell>
          <cell r="T281">
            <v>451.88891888955135</v>
          </cell>
          <cell r="U281">
            <v>3163.2224322268594</v>
          </cell>
        </row>
        <row r="282">
          <cell r="B282" t="str">
            <v>FY(1)</v>
          </cell>
          <cell r="C282">
            <v>885.62900000000002</v>
          </cell>
          <cell r="D282">
            <v>562.53838064516106</v>
          </cell>
          <cell r="E282">
            <v>545</v>
          </cell>
          <cell r="F282">
            <v>394.55099999999999</v>
          </cell>
          <cell r="G282">
            <v>-109.755122537465</v>
          </cell>
          <cell r="H282">
            <v>302.774720000005</v>
          </cell>
          <cell r="I282">
            <v>883.85870191995605</v>
          </cell>
          <cell r="J282">
            <v>494.9423828610939</v>
          </cell>
          <cell r="K282">
            <v>3464.5966800276574</v>
          </cell>
          <cell r="M282">
            <v>318.97024840902799</v>
          </cell>
          <cell r="N282">
            <v>149.422</v>
          </cell>
          <cell r="O282">
            <v>204.88800000000001</v>
          </cell>
          <cell r="P282">
            <v>742.00199999999995</v>
          </cell>
          <cell r="Q282">
            <v>967</v>
          </cell>
          <cell r="R282">
            <v>353.38200000000001</v>
          </cell>
          <cell r="S282">
            <v>199.364</v>
          </cell>
          <cell r="T282">
            <v>419.28974977271827</v>
          </cell>
          <cell r="U282">
            <v>2935.028248409028</v>
          </cell>
        </row>
        <row r="283">
          <cell r="B283" t="str">
            <v>FY0</v>
          </cell>
          <cell r="C283">
            <v>990.1</v>
          </cell>
          <cell r="D283">
            <v>249.58199999999999</v>
          </cell>
          <cell r="E283">
            <v>576</v>
          </cell>
          <cell r="F283">
            <v>427.8</v>
          </cell>
          <cell r="G283">
            <v>-47.731873116743998</v>
          </cell>
          <cell r="H283">
            <v>442.75700000000001</v>
          </cell>
          <cell r="I283">
            <v>1213.5719999999999</v>
          </cell>
          <cell r="J283">
            <v>550.29701812617952</v>
          </cell>
          <cell r="K283">
            <v>3852.0791268832563</v>
          </cell>
          <cell r="M283">
            <v>95.928809999999999</v>
          </cell>
          <cell r="N283">
            <v>231.32900000000001</v>
          </cell>
          <cell r="O283">
            <v>159.06599</v>
          </cell>
          <cell r="P283">
            <v>622.12800000000004</v>
          </cell>
          <cell r="Q283">
            <v>1099.8</v>
          </cell>
          <cell r="R283">
            <v>405.17</v>
          </cell>
          <cell r="S283">
            <v>219.893</v>
          </cell>
          <cell r="T283">
            <v>404.75925714285717</v>
          </cell>
          <cell r="U283">
            <v>2833.3148000000001</v>
          </cell>
        </row>
        <row r="284">
          <cell r="B284" t="str">
            <v>FY1</v>
          </cell>
          <cell r="C284">
            <v>1190.2064623122999</v>
          </cell>
          <cell r="D284">
            <v>371.94239455885997</v>
          </cell>
          <cell r="E284">
            <v>780.85661388894903</v>
          </cell>
          <cell r="F284">
            <v>574.20119639689005</v>
          </cell>
          <cell r="G284">
            <v>-14.812477877415599</v>
          </cell>
          <cell r="H284">
            <v>520.84207533519498</v>
          </cell>
          <cell r="I284">
            <v>1413.51496786962</v>
          </cell>
          <cell r="J284">
            <v>690.96446178348549</v>
          </cell>
          <cell r="K284">
            <v>4836.7512324843983</v>
          </cell>
          <cell r="M284">
            <v>155.41382199654501</v>
          </cell>
          <cell r="N284">
            <v>257.42391448394397</v>
          </cell>
          <cell r="O284">
            <v>248.62981426116701</v>
          </cell>
          <cell r="P284">
            <v>691.98393385513396</v>
          </cell>
          <cell r="Q284">
            <v>1083.8921535054101</v>
          </cell>
          <cell r="R284">
            <v>546.01826939091302</v>
          </cell>
          <cell r="S284">
            <v>279.22350732756701</v>
          </cell>
          <cell r="T284">
            <v>466.08363068866856</v>
          </cell>
          <cell r="U284">
            <v>3262.5854148206799</v>
          </cell>
        </row>
        <row r="285">
          <cell r="B285" t="str">
            <v>FY2</v>
          </cell>
          <cell r="C285">
            <v>1377.4147410483899</v>
          </cell>
          <cell r="D285">
            <v>461.162423782784</v>
          </cell>
          <cell r="E285">
            <v>888.32831729053999</v>
          </cell>
          <cell r="F285">
            <v>631.87045905384298</v>
          </cell>
          <cell r="G285">
            <v>21.642644285581799</v>
          </cell>
          <cell r="H285">
            <v>560.83917130142299</v>
          </cell>
          <cell r="I285">
            <v>1528.2089011232599</v>
          </cell>
          <cell r="J285">
            <v>781.35237969797447</v>
          </cell>
          <cell r="K285">
            <v>5469.4666578858214</v>
          </cell>
          <cell r="M285">
            <v>204.14473111967499</v>
          </cell>
          <cell r="N285">
            <v>256.17082013345799</v>
          </cell>
          <cell r="O285">
            <v>305.99673004238099</v>
          </cell>
          <cell r="P285">
            <v>736.84328923360295</v>
          </cell>
          <cell r="Q285">
            <v>1074.52887673393</v>
          </cell>
          <cell r="R285">
            <v>630.31680483250398</v>
          </cell>
          <cell r="S285">
            <v>334.56420596740901</v>
          </cell>
          <cell r="T285">
            <v>506.08077972327999</v>
          </cell>
          <cell r="U285">
            <v>3542.5654580629598</v>
          </cell>
        </row>
        <row r="286">
          <cell r="B286" t="str">
            <v>FQ(3)</v>
          </cell>
          <cell r="C286">
            <v>137</v>
          </cell>
          <cell r="D286">
            <v>25</v>
          </cell>
          <cell r="E286">
            <v>-68</v>
          </cell>
          <cell r="F286">
            <v>68</v>
          </cell>
          <cell r="G286">
            <v>-4.7939999999999996</v>
          </cell>
          <cell r="H286">
            <v>91.387</v>
          </cell>
          <cell r="I286">
            <v>209.214</v>
          </cell>
          <cell r="J286">
            <v>65.400999999999996</v>
          </cell>
          <cell r="K286">
            <v>457.80700000000002</v>
          </cell>
          <cell r="M286">
            <v>-23.105</v>
          </cell>
          <cell r="N286">
            <v>33.174999999999997</v>
          </cell>
          <cell r="O286">
            <v>15.680999999999999</v>
          </cell>
          <cell r="P286">
            <v>123.145</v>
          </cell>
          <cell r="Q286">
            <v>215</v>
          </cell>
          <cell r="R286">
            <v>2.601</v>
          </cell>
          <cell r="S286">
            <v>30.805</v>
          </cell>
          <cell r="T286">
            <v>56.757428571428569</v>
          </cell>
          <cell r="U286">
            <v>397.30199999999996</v>
          </cell>
        </row>
        <row r="287">
          <cell r="B287" t="str">
            <v>FQ(2)</v>
          </cell>
          <cell r="C287">
            <v>229.1</v>
          </cell>
          <cell r="D287">
            <v>-0.61799999999999999</v>
          </cell>
          <cell r="E287">
            <v>84</v>
          </cell>
          <cell r="F287">
            <v>105</v>
          </cell>
          <cell r="G287">
            <v>-54.902999999999999</v>
          </cell>
          <cell r="H287">
            <v>103.407</v>
          </cell>
          <cell r="I287">
            <v>261.56099999999998</v>
          </cell>
          <cell r="J287">
            <v>103.9352857142857</v>
          </cell>
          <cell r="K287">
            <v>727.54699999999991</v>
          </cell>
          <cell r="M287">
            <v>6.8895899999999903</v>
          </cell>
          <cell r="N287">
            <v>38.960999999999999</v>
          </cell>
          <cell r="O287">
            <v>28.571999999999999</v>
          </cell>
          <cell r="P287">
            <v>136.26599999999999</v>
          </cell>
          <cell r="Q287">
            <v>228</v>
          </cell>
          <cell r="R287">
            <v>60.262999999999998</v>
          </cell>
          <cell r="S287">
            <v>49.021000000000001</v>
          </cell>
          <cell r="T287">
            <v>78.281798571428567</v>
          </cell>
          <cell r="U287">
            <v>547.97258999999997</v>
          </cell>
        </row>
        <row r="288">
          <cell r="B288" t="str">
            <v>FQ(1)</v>
          </cell>
          <cell r="C288">
            <v>193</v>
          </cell>
          <cell r="D288">
            <v>27</v>
          </cell>
          <cell r="E288">
            <v>-12</v>
          </cell>
          <cell r="F288">
            <v>83</v>
          </cell>
          <cell r="G288">
            <v>1.8857268832559799</v>
          </cell>
          <cell r="H288">
            <v>105.08</v>
          </cell>
          <cell r="I288">
            <v>347.79899999999998</v>
          </cell>
          <cell r="J288">
            <v>106.53781812617942</v>
          </cell>
          <cell r="K288">
            <v>745.76472688325589</v>
          </cell>
          <cell r="M288">
            <v>30.623000000000001</v>
          </cell>
          <cell r="N288">
            <v>62.628999999999998</v>
          </cell>
          <cell r="O288">
            <v>44.501489999999997</v>
          </cell>
          <cell r="P288">
            <v>140.827</v>
          </cell>
          <cell r="Q288">
            <v>307</v>
          </cell>
          <cell r="R288">
            <v>6.0990000000000002</v>
          </cell>
          <cell r="S288">
            <v>62.392000000000003</v>
          </cell>
          <cell r="T288">
            <v>93.438784285714306</v>
          </cell>
          <cell r="U288">
            <v>654.07149000000015</v>
          </cell>
        </row>
        <row r="289">
          <cell r="B289" t="str">
            <v>Last Reported Q</v>
          </cell>
          <cell r="C289">
            <v>990.1</v>
          </cell>
          <cell r="D289">
            <v>249.58199999999999</v>
          </cell>
          <cell r="E289">
            <v>576</v>
          </cell>
          <cell r="F289">
            <v>427.8</v>
          </cell>
          <cell r="G289">
            <v>-47.731873116743998</v>
          </cell>
          <cell r="H289">
            <v>442.75700000000001</v>
          </cell>
          <cell r="I289">
            <v>1213.5719999999999</v>
          </cell>
          <cell r="J289">
            <v>550.29701812617952</v>
          </cell>
          <cell r="K289">
            <v>3852.0791268832563</v>
          </cell>
          <cell r="M289">
            <v>95.928809999999999</v>
          </cell>
          <cell r="N289">
            <v>231.32900000000001</v>
          </cell>
          <cell r="O289">
            <v>159.06599</v>
          </cell>
          <cell r="P289">
            <v>240.95</v>
          </cell>
          <cell r="Q289">
            <v>1099.8</v>
          </cell>
          <cell r="R289">
            <v>405.17</v>
          </cell>
          <cell r="S289">
            <v>219.893</v>
          </cell>
          <cell r="T289">
            <v>350.3052571428571</v>
          </cell>
          <cell r="U289">
            <v>2452.1367999999998</v>
          </cell>
        </row>
        <row r="290">
          <cell r="B290" t="str">
            <v>LTM</v>
          </cell>
          <cell r="C290">
            <v>1549.2</v>
          </cell>
          <cell r="D290">
            <v>300.964</v>
          </cell>
          <cell r="E290">
            <v>580</v>
          </cell>
          <cell r="F290">
            <v>683.8</v>
          </cell>
          <cell r="G290">
            <v>-105.54314623348802</v>
          </cell>
          <cell r="H290">
            <v>742.63099999999997</v>
          </cell>
          <cell r="I290">
            <v>2032.1459999999997</v>
          </cell>
          <cell r="J290">
            <v>826.17112196664436</v>
          </cell>
          <cell r="K290">
            <v>5783.1978537665109</v>
          </cell>
          <cell r="M290">
            <v>110.3364</v>
          </cell>
          <cell r="N290">
            <v>366.09399999999999</v>
          </cell>
          <cell r="O290">
            <v>247.82048</v>
          </cell>
          <cell r="P290">
            <v>641.18799999999999</v>
          </cell>
          <cell r="Q290">
            <v>1849.8</v>
          </cell>
          <cell r="R290">
            <v>474.13300000000004</v>
          </cell>
          <cell r="S290">
            <v>362.11099999999999</v>
          </cell>
          <cell r="T290">
            <v>578.78326857142849</v>
          </cell>
          <cell r="U290">
            <v>4051.4828799999996</v>
          </cell>
        </row>
        <row r="291">
          <cell r="B291" t="str">
            <v>FQ(3)</v>
          </cell>
          <cell r="C291">
            <v>6.4183381088825209E-2</v>
          </cell>
          <cell r="D291">
            <v>3.6115991111283878E-2</v>
          </cell>
          <cell r="E291">
            <v>0.10436097806906983</v>
          </cell>
          <cell r="F291">
            <v>2.9552368535419381E-2</v>
          </cell>
          <cell r="G291">
            <v>-8.5798356710030096E-2</v>
          </cell>
          <cell r="H291">
            <v>5.6159579081397279E-2</v>
          </cell>
          <cell r="I291">
            <v>4.3851399344251564E-2</v>
          </cell>
          <cell r="J291">
            <v>3.5489334360031009E-2</v>
          </cell>
          <cell r="K291">
            <v>5.8316995678285438E-2</v>
          </cell>
          <cell r="M291">
            <v>9.7305990751085966E-2</v>
          </cell>
          <cell r="N291">
            <v>9.8874375558863026E-2</v>
          </cell>
          <cell r="O291">
            <v>4.2699569393839017E-2</v>
          </cell>
          <cell r="P291">
            <v>0.19376130355109239</v>
          </cell>
          <cell r="Q291">
            <v>5.9529642332190102E-2</v>
          </cell>
          <cell r="R291">
            <v>7.3194762331742616E-2</v>
          </cell>
          <cell r="S291">
            <v>7.9800739256570843E-2</v>
          </cell>
          <cell r="T291">
            <v>9.2166626167912005E-2</v>
          </cell>
          <cell r="U291">
            <v>7.7996182250806484E-2</v>
          </cell>
        </row>
        <row r="292">
          <cell r="A292" t="str">
            <v>mstag:adjEpsForConsensus</v>
          </cell>
          <cell r="B292" t="str">
            <v>EPS</v>
          </cell>
          <cell r="C292">
            <v>3.7658053875755909E-2</v>
          </cell>
          <cell r="D292">
            <v>6.4359422215875383E-3</v>
          </cell>
          <cell r="E292">
            <v>9.6172340834775917E-3</v>
          </cell>
          <cell r="F292">
            <v>3.9859320046893319E-2</v>
          </cell>
          <cell r="G292">
            <v>-7.7165014663606243E-3</v>
          </cell>
          <cell r="H292">
            <v>5.4024032882497568E-2</v>
          </cell>
          <cell r="I292">
            <v>4.8048515648253277E-2</v>
          </cell>
          <cell r="J292">
            <v>2.6846656756014938E-2</v>
          </cell>
          <cell r="K292">
            <v>2.7296515280776795E-2</v>
          </cell>
          <cell r="M292">
            <v>-4.3768051544101315E-2</v>
          </cell>
          <cell r="N292">
            <v>8.1306491774993619E-2</v>
          </cell>
          <cell r="O292">
            <v>2.5622549019607841E-2</v>
          </cell>
          <cell r="P292">
            <v>0.22588351439616103</v>
          </cell>
          <cell r="Q292">
            <v>6.8755996162456035E-2</v>
          </cell>
          <cell r="R292">
            <v>1.507618953222079E-3</v>
          </cell>
          <cell r="S292">
            <v>8.0055405981351163E-2</v>
          </cell>
          <cell r="T292">
            <v>6.2766217820527201E-2</v>
          </cell>
          <cell r="U292">
            <v>6.2249080363126458E-2</v>
          </cell>
        </row>
        <row r="293">
          <cell r="B293" t="str">
            <v>FY(10)</v>
          </cell>
          <cell r="C293">
            <v>0.77521446372088398</v>
          </cell>
          <cell r="D293">
            <v>1.4</v>
          </cell>
          <cell r="E293">
            <v>1.8784153005464499</v>
          </cell>
          <cell r="F293">
            <v>1.4613761964962999</v>
          </cell>
          <cell r="G293" t="str">
            <v>NA</v>
          </cell>
          <cell r="H293">
            <v>1.6372326095779799</v>
          </cell>
          <cell r="I293">
            <v>1.6577637227997</v>
          </cell>
          <cell r="J293">
            <v>1.8959747286601904E-2</v>
          </cell>
          <cell r="K293">
            <v>3.092076908075473E-2</v>
          </cell>
          <cell r="M293">
            <v>1.3898421605150499</v>
          </cell>
          <cell r="N293" t="str">
            <v>NA</v>
          </cell>
          <cell r="O293">
            <v>0.41371261553099398</v>
          </cell>
          <cell r="P293" t="str">
            <v>NA</v>
          </cell>
          <cell r="Q293" t="str">
            <v>NA</v>
          </cell>
          <cell r="R293">
            <v>0.81070495076287297</v>
          </cell>
          <cell r="S293">
            <v>0.13085369962356699</v>
          </cell>
          <cell r="T293">
            <v>7.2375282624266277E-2</v>
          </cell>
          <cell r="U293">
            <v>6.4194610152069412E-2</v>
          </cell>
        </row>
        <row r="294">
          <cell r="B294" t="str">
            <v>FY(9)</v>
          </cell>
          <cell r="C294">
            <v>1.07237890611166</v>
          </cell>
          <cell r="D294">
            <v>-0.44</v>
          </cell>
          <cell r="E294">
            <v>2.10016098088076</v>
          </cell>
          <cell r="F294">
            <v>0.92919013844067999</v>
          </cell>
          <cell r="G294" t="str">
            <v>NA</v>
          </cell>
          <cell r="H294">
            <v>0.90120980436249298</v>
          </cell>
          <cell r="I294">
            <v>0.93027911866000801</v>
          </cell>
          <cell r="J294">
            <v>3.2613120775195285E-2</v>
          </cell>
          <cell r="K294">
            <v>3.28813844777502E-2</v>
          </cell>
          <cell r="M294">
            <v>1.53542621089314</v>
          </cell>
          <cell r="N294" t="str">
            <v>NA</v>
          </cell>
          <cell r="O294">
            <v>0.42122774912660099</v>
          </cell>
          <cell r="P294">
            <v>0.13003536181999101</v>
          </cell>
          <cell r="Q294">
            <v>0.999041521977453</v>
          </cell>
          <cell r="R294">
            <v>0.78378468838372195</v>
          </cell>
          <cell r="S294">
            <v>7.5941413026930193E-2</v>
          </cell>
          <cell r="T294">
            <v>8.699911328383772E-2</v>
          </cell>
          <cell r="U294">
            <v>0.10112604374923474</v>
          </cell>
        </row>
        <row r="295">
          <cell r="B295" t="str">
            <v>FY(8)</v>
          </cell>
          <cell r="C295">
            <v>1.4191983074683301</v>
          </cell>
          <cell r="D295">
            <v>0.56999999999999995</v>
          </cell>
          <cell r="E295">
            <v>1.60143363650378</v>
          </cell>
          <cell r="F295">
            <v>0.46398124546486302</v>
          </cell>
          <cell r="G295" t="str">
            <v>NA</v>
          </cell>
          <cell r="H295">
            <v>0.95576405027709099</v>
          </cell>
          <cell r="I295">
            <v>0.97136844341894002</v>
          </cell>
          <cell r="J295">
            <v>2.9910983539014519E-2</v>
          </cell>
          <cell r="K295">
            <v>3.8970939552062538E-2</v>
          </cell>
          <cell r="M295">
            <v>1.6249853692793901</v>
          </cell>
          <cell r="N295" t="str">
            <v>NA</v>
          </cell>
          <cell r="O295">
            <v>0.45921469255751202</v>
          </cell>
          <cell r="P295">
            <v>0.195661357058865</v>
          </cell>
          <cell r="Q295">
            <v>-8.90735342104753E-3</v>
          </cell>
          <cell r="R295">
            <v>0.78103307517848597</v>
          </cell>
          <cell r="S295">
            <v>0.107571157241721</v>
          </cell>
          <cell r="T295">
            <v>8.142679641502977E-2</v>
          </cell>
          <cell r="U295">
            <v>7.8553207218398979E-2</v>
          </cell>
        </row>
        <row r="296">
          <cell r="B296" t="str">
            <v>FY(7)</v>
          </cell>
          <cell r="C296">
            <v>1.8429396202147099</v>
          </cell>
          <cell r="D296">
            <v>0.94</v>
          </cell>
          <cell r="E296">
            <v>1.70938972591492</v>
          </cell>
          <cell r="F296">
            <v>0.370127283723937</v>
          </cell>
          <cell r="G296" t="str">
            <v>NA</v>
          </cell>
          <cell r="H296">
            <v>1.2544579038447099</v>
          </cell>
          <cell r="I296">
            <v>1.07558342936518</v>
          </cell>
          <cell r="M296">
            <v>1.9353280798163599</v>
          </cell>
          <cell r="N296">
            <v>0.40010402540755902</v>
          </cell>
          <cell r="O296">
            <v>0.45635198695666102</v>
          </cell>
          <cell r="P296">
            <v>0.21405208526080999</v>
          </cell>
          <cell r="Q296">
            <v>0.51707348651642404</v>
          </cell>
          <cell r="R296">
            <v>0.97464618533151604</v>
          </cell>
          <cell r="S296">
            <v>0.176735357727373</v>
          </cell>
        </row>
        <row r="297">
          <cell r="B297" t="str">
            <v>FY(6)</v>
          </cell>
          <cell r="C297">
            <v>1.6897901951429499</v>
          </cell>
          <cell r="D297">
            <v>1.2</v>
          </cell>
          <cell r="E297">
            <v>1.8506172802885601</v>
          </cell>
          <cell r="F297">
            <v>0.88174338254112505</v>
          </cell>
          <cell r="G297">
            <v>-0.499913824862043</v>
          </cell>
          <cell r="H297">
            <v>1.4667904170775601</v>
          </cell>
          <cell r="I297">
            <v>1.1603136408820001</v>
          </cell>
          <cell r="M297">
            <v>2.0569391444065102</v>
          </cell>
          <cell r="N297">
            <v>0.62053859923024501</v>
          </cell>
          <cell r="O297">
            <v>0.383656247547559</v>
          </cell>
          <cell r="P297">
            <v>0.32926625843458401</v>
          </cell>
          <cell r="Q297">
            <v>1.0553914221029499</v>
          </cell>
          <cell r="R297">
            <v>1.1101679803131399</v>
          </cell>
          <cell r="S297">
            <v>0.29924111670925502</v>
          </cell>
        </row>
        <row r="298">
          <cell r="A298" t="str">
            <v>mscalc:totalCashIncludingShorttermInvestmentsForCac</v>
          </cell>
          <cell r="B298" t="str">
            <v>FY(5)</v>
          </cell>
          <cell r="C298">
            <v>2.04119863603426</v>
          </cell>
          <cell r="D298">
            <v>2.2599999999999998</v>
          </cell>
          <cell r="E298">
            <v>2.20692086134141</v>
          </cell>
          <cell r="F298">
            <v>1.3831814139226799</v>
          </cell>
          <cell r="G298">
            <v>-0.49610332398208501</v>
          </cell>
          <cell r="H298">
            <v>1.2040334606671801</v>
          </cell>
          <cell r="I298">
            <v>1.2268856649054201</v>
          </cell>
          <cell r="M298">
            <v>2.5439339071322</v>
          </cell>
          <cell r="N298">
            <v>1.0125578552091501</v>
          </cell>
          <cell r="O298">
            <v>0.99496818508559404</v>
          </cell>
          <cell r="P298">
            <v>0.57122145046919004</v>
          </cell>
          <cell r="Q298">
            <v>1.22494717770251</v>
          </cell>
          <cell r="R298">
            <v>1.4087813785758301</v>
          </cell>
          <cell r="S298">
            <v>0.540867507514041</v>
          </cell>
        </row>
        <row r="299">
          <cell r="B299" t="str">
            <v>FY(4)</v>
          </cell>
          <cell r="C299">
            <v>2.4284486808766101</v>
          </cell>
          <cell r="D299">
            <v>3.6336397603584198</v>
          </cell>
          <cell r="E299">
            <v>2.5058780966631602</v>
          </cell>
          <cell r="F299">
            <v>1.98426148320344</v>
          </cell>
          <cell r="G299">
            <v>-0.81891959260101599</v>
          </cell>
          <cell r="H299">
            <v>1.3624223480615401</v>
          </cell>
          <cell r="I299">
            <v>1.2668460007154301</v>
          </cell>
          <cell r="J299">
            <v>934.86214260037673</v>
          </cell>
          <cell r="K299">
            <v>6544.0349982026373</v>
          </cell>
          <cell r="M299">
            <v>3.9858565461900199</v>
          </cell>
          <cell r="N299">
            <v>1.0005780312375301</v>
          </cell>
          <cell r="O299">
            <v>1.26039453978226</v>
          </cell>
          <cell r="P299">
            <v>0.86277489742203195</v>
          </cell>
          <cell r="Q299">
            <v>1.1929264385604199</v>
          </cell>
          <cell r="R299">
            <v>1.3287632730684</v>
          </cell>
          <cell r="S299">
            <v>0.76400511877328903</v>
          </cell>
          <cell r="T299">
            <v>742.61106636551267</v>
          </cell>
          <cell r="U299">
            <v>5198.2774645585887</v>
          </cell>
        </row>
        <row r="300">
          <cell r="B300" t="str">
            <v>FY(3)</v>
          </cell>
          <cell r="C300">
            <v>3.31</v>
          </cell>
          <cell r="D300">
            <v>4.8837209302325597</v>
          </cell>
          <cell r="E300">
            <v>2.0770614304446702</v>
          </cell>
          <cell r="F300">
            <v>2.55149905494669</v>
          </cell>
          <cell r="G300">
            <v>0.21962195068579499</v>
          </cell>
          <cell r="H300">
            <v>1.7017917007071</v>
          </cell>
          <cell r="I300">
            <v>1.6338775120122</v>
          </cell>
          <cell r="J300">
            <v>747.65958469519319</v>
          </cell>
          <cell r="K300">
            <v>5233.6170928663523</v>
          </cell>
          <cell r="M300">
            <v>4.8529942397565504</v>
          </cell>
          <cell r="N300">
            <v>1.2508897900467499</v>
          </cell>
          <cell r="O300">
            <v>1.6960864158610001</v>
          </cell>
          <cell r="P300">
            <v>1.1943771412713899</v>
          </cell>
          <cell r="Q300">
            <v>0.93175389657940999</v>
          </cell>
          <cell r="R300">
            <v>1.67714662290667</v>
          </cell>
          <cell r="S300">
            <v>0.64679793670709995</v>
          </cell>
          <cell r="T300">
            <v>742.61106636551267</v>
          </cell>
          <cell r="U300">
            <v>5198.2774645585887</v>
          </cell>
        </row>
        <row r="301">
          <cell r="B301" t="str">
            <v>FY(2)</v>
          </cell>
          <cell r="C301">
            <v>3.39</v>
          </cell>
          <cell r="D301">
            <v>4.7651826357277702</v>
          </cell>
          <cell r="E301">
            <v>2.1292197011621501</v>
          </cell>
          <cell r="F301">
            <v>2.7888518417687198</v>
          </cell>
          <cell r="G301">
            <v>0.41278125259495102</v>
          </cell>
          <cell r="H301">
            <v>1.9036822857226201</v>
          </cell>
          <cell r="I301">
            <v>1.92828963541067</v>
          </cell>
          <cell r="J301">
            <v>741.50341404003791</v>
          </cell>
          <cell r="K301">
            <v>5190.5238982802657</v>
          </cell>
          <cell r="M301">
            <v>5.45356904821739</v>
          </cell>
          <cell r="N301">
            <v>1.11670185002093</v>
          </cell>
          <cell r="O301">
            <v>1.8159569638641699</v>
          </cell>
          <cell r="P301">
            <v>1.6868129829656899</v>
          </cell>
          <cell r="Q301">
            <v>1.11882277420426</v>
          </cell>
          <cell r="R301">
            <v>1.2136220796667601</v>
          </cell>
          <cell r="S301">
            <v>0.89916095308231403</v>
          </cell>
          <cell r="T301">
            <v>755.60655281196853</v>
          </cell>
          <cell r="U301">
            <v>5289.2458696837793</v>
          </cell>
        </row>
        <row r="302">
          <cell r="B302" t="str">
            <v>FY(1)</v>
          </cell>
          <cell r="C302">
            <v>2.89</v>
          </cell>
          <cell r="D302">
            <v>2.52400843811626</v>
          </cell>
          <cell r="E302">
            <v>1.29323129857033</v>
          </cell>
          <cell r="F302">
            <v>1.80139710078758</v>
          </cell>
          <cell r="G302">
            <v>-0.79312003221084204</v>
          </cell>
          <cell r="H302">
            <v>2.3067627390142502</v>
          </cell>
          <cell r="I302">
            <v>1.9985273245524799</v>
          </cell>
          <cell r="J302">
            <v>1191.4163447597857</v>
          </cell>
          <cell r="K302">
            <v>8339.9144133185</v>
          </cell>
          <cell r="M302">
            <v>3.5722553046670802</v>
          </cell>
          <cell r="N302">
            <v>1.4741130973521199</v>
          </cell>
          <cell r="O302">
            <v>0.98702199612683195</v>
          </cell>
          <cell r="P302">
            <v>2.0596348737991299</v>
          </cell>
          <cell r="Q302">
            <v>1.34492350486787</v>
          </cell>
          <cell r="R302">
            <v>1.0476755183056099</v>
          </cell>
          <cell r="S302">
            <v>1.16684752728228</v>
          </cell>
          <cell r="T302">
            <v>1087.3847737330791</v>
          </cell>
          <cell r="U302">
            <v>7611.693416131553</v>
          </cell>
        </row>
        <row r="303">
          <cell r="B303" t="str">
            <v>FY0</v>
          </cell>
          <cell r="C303">
            <v>3.2250814332247599</v>
          </cell>
          <cell r="D303">
            <v>1.07185741893923</v>
          </cell>
          <cell r="E303">
            <v>1.3637977980347999</v>
          </cell>
          <cell r="F303">
            <v>1.9476439790575899</v>
          </cell>
          <cell r="G303">
            <v>-0.32505046574263302</v>
          </cell>
          <cell r="H303">
            <v>3.5404627917437099</v>
          </cell>
          <cell r="I303">
            <v>2.83955201617291</v>
          </cell>
          <cell r="J303">
            <v>1563.6266665338462</v>
          </cell>
          <cell r="K303">
            <v>10945.386665736924</v>
          </cell>
          <cell r="M303">
            <v>1.0857232916170301</v>
          </cell>
          <cell r="N303">
            <v>2.2898250181267499</v>
          </cell>
          <cell r="O303">
            <v>0.76073186478937904</v>
          </cell>
          <cell r="P303">
            <v>1.9105951722867101</v>
          </cell>
          <cell r="Q303">
            <v>1.57451682176092</v>
          </cell>
          <cell r="R303">
            <v>1.2399430783590699</v>
          </cell>
          <cell r="S303">
            <v>1.2842313990523899</v>
          </cell>
          <cell r="T303">
            <v>1157.569772525901</v>
          </cell>
          <cell r="U303">
            <v>8102.9884076813069</v>
          </cell>
        </row>
        <row r="304">
          <cell r="B304" t="str">
            <v>FY1</v>
          </cell>
          <cell r="C304">
            <v>3.84</v>
          </cell>
          <cell r="D304">
            <v>1.5673931502691101</v>
          </cell>
          <cell r="E304">
            <v>1.8332979923671699</v>
          </cell>
          <cell r="F304">
            <v>2.5862513892318302</v>
          </cell>
          <cell r="G304">
            <v>-9.7405174087837498E-2</v>
          </cell>
          <cell r="H304">
            <v>4.2896851724700404</v>
          </cell>
          <cell r="I304">
            <v>3.4390463814732599</v>
          </cell>
          <cell r="J304">
            <v>741.43169975432386</v>
          </cell>
          <cell r="K304">
            <v>5190.0218982802671</v>
          </cell>
          <cell r="M304">
            <v>1.7864819853377301</v>
          </cell>
          <cell r="N304">
            <v>2.7325550569536099</v>
          </cell>
          <cell r="O304">
            <v>1.15945960309165</v>
          </cell>
          <cell r="P304">
            <v>2.1782807832683999</v>
          </cell>
          <cell r="Q304">
            <v>1.6516746689870401</v>
          </cell>
          <cell r="R304">
            <v>1.69537580939143</v>
          </cell>
          <cell r="S304">
            <v>1.61941939902598</v>
          </cell>
          <cell r="T304">
            <v>699.77055281196863</v>
          </cell>
          <cell r="U304">
            <v>4898.3938696837804</v>
          </cell>
        </row>
        <row r="305">
          <cell r="B305" t="str">
            <v>FY2</v>
          </cell>
          <cell r="C305">
            <v>4.5728797622460302</v>
          </cell>
          <cell r="D305">
            <v>1.94285457963845</v>
          </cell>
          <cell r="E305">
            <v>2.0856204477039402</v>
          </cell>
          <cell r="F305">
            <v>2.9116860600686101</v>
          </cell>
          <cell r="G305">
            <v>0.13182592432298201</v>
          </cell>
          <cell r="H305">
            <v>4.8723869135682998</v>
          </cell>
          <cell r="I305">
            <v>3.8781326293192002</v>
          </cell>
          <cell r="J305">
            <v>698.08827118289616</v>
          </cell>
          <cell r="K305">
            <v>4886.617898280273</v>
          </cell>
          <cell r="M305">
            <v>2.4574533255178199</v>
          </cell>
          <cell r="N305">
            <v>2.98453685978743</v>
          </cell>
          <cell r="O305">
            <v>1.4121827801328699</v>
          </cell>
          <cell r="P305">
            <v>2.4232914952671898</v>
          </cell>
          <cell r="Q305">
            <v>1.7645736925778299</v>
          </cell>
          <cell r="R305">
            <v>1.98791893284279</v>
          </cell>
          <cell r="S305">
            <v>1.9456738520825001</v>
          </cell>
          <cell r="T305">
            <v>646.65298138339688</v>
          </cell>
          <cell r="U305">
            <v>4526.5708696837783</v>
          </cell>
        </row>
        <row r="306">
          <cell r="B306" t="str">
            <v>FQ(3)</v>
          </cell>
          <cell r="C306">
            <v>0.45</v>
          </cell>
          <cell r="D306">
            <v>0.112258643915582</v>
          </cell>
          <cell r="E306">
            <v>-0.16136687233032701</v>
          </cell>
          <cell r="F306">
            <v>0.31278748850046001</v>
          </cell>
          <cell r="G306">
            <v>-3.4664526345474199E-2</v>
          </cell>
          <cell r="H306">
            <v>0.72206156569008495</v>
          </cell>
          <cell r="I306">
            <v>0.48651822379909199</v>
          </cell>
          <cell r="J306">
            <v>951.39055689718236</v>
          </cell>
          <cell r="K306">
            <v>6659.7338982802767</v>
          </cell>
          <cell r="M306">
            <v>-0.26346397254181902</v>
          </cell>
          <cell r="N306">
            <v>0.32625264296602202</v>
          </cell>
          <cell r="O306">
            <v>7.5649103171463603E-2</v>
          </cell>
          <cell r="P306">
            <v>0.38320548925643</v>
          </cell>
          <cell r="Q306">
            <v>0.30846484935437601</v>
          </cell>
          <cell r="R306">
            <v>8.04553257961238E-3</v>
          </cell>
          <cell r="S306">
            <v>0.18086892567228299</v>
          </cell>
          <cell r="T306">
            <v>817.61028571428574</v>
          </cell>
          <cell r="U306">
            <v>5723.2719999999999</v>
          </cell>
        </row>
        <row r="307">
          <cell r="B307" t="str">
            <v>FQ(2)</v>
          </cell>
          <cell r="C307">
            <v>0.75</v>
          </cell>
          <cell r="D307">
            <v>-2.64328485885372E-3</v>
          </cell>
          <cell r="E307">
            <v>0.19900497512437801</v>
          </cell>
          <cell r="F307">
            <v>0.479890310786106</v>
          </cell>
          <cell r="G307">
            <v>-0.396913067052232</v>
          </cell>
          <cell r="H307">
            <v>0.82292412739340104</v>
          </cell>
          <cell r="I307">
            <v>0.60764125235507704</v>
          </cell>
          <cell r="J307">
            <v>951.70144671342098</v>
          </cell>
          <cell r="K307">
            <v>6661.9101269939465</v>
          </cell>
          <cell r="M307">
            <v>7.8399485650561193E-2</v>
          </cell>
          <cell r="N307">
            <v>0.38030953043325499</v>
          </cell>
          <cell r="O307">
            <v>0.13669832308686</v>
          </cell>
          <cell r="P307">
            <v>0.42515100838658099</v>
          </cell>
          <cell r="Q307">
            <v>0.32571428571428601</v>
          </cell>
          <cell r="R307">
            <v>0.18502780191404899</v>
          </cell>
          <cell r="S307">
            <v>0.28714391088612501</v>
          </cell>
          <cell r="T307">
            <v>844.17771428571439</v>
          </cell>
          <cell r="U307">
            <v>5909.2440000000006</v>
          </cell>
        </row>
        <row r="308">
          <cell r="B308" t="str">
            <v>FQ(1)</v>
          </cell>
          <cell r="C308">
            <v>0.63</v>
          </cell>
          <cell r="D308">
            <v>0.11363636363636399</v>
          </cell>
          <cell r="E308">
            <v>-2.8449502133712699E-2</v>
          </cell>
          <cell r="F308">
            <v>0.37607612143180802</v>
          </cell>
          <cell r="G308">
            <v>1.23689909433279E-2</v>
          </cell>
          <cell r="H308">
            <v>0.843013927219047</v>
          </cell>
          <cell r="I308">
            <v>0.81243984937817104</v>
          </cell>
          <cell r="J308">
            <v>951.70144671342098</v>
          </cell>
          <cell r="K308">
            <v>6661.9101269939465</v>
          </cell>
          <cell r="M308">
            <v>0.34512566212104101</v>
          </cell>
          <cell r="N308">
            <v>0.61409108068224705</v>
          </cell>
          <cell r="O308">
            <v>0.21252615894514101</v>
          </cell>
          <cell r="P308">
            <v>0.43855628046027101</v>
          </cell>
          <cell r="Q308">
            <v>0.43607954545454503</v>
          </cell>
          <cell r="R308">
            <v>1.8579840918299399E-2</v>
          </cell>
          <cell r="S308">
            <v>0.36392078850375198</v>
          </cell>
          <cell r="T308">
            <v>844.17771428571439</v>
          </cell>
          <cell r="U308">
            <v>5909.2440000000006</v>
          </cell>
        </row>
        <row r="309">
          <cell r="B309" t="str">
            <v>Last Reported Q</v>
          </cell>
          <cell r="C309">
            <v>3.2250814332247599</v>
          </cell>
          <cell r="D309">
            <v>1.07185741893923</v>
          </cell>
          <cell r="E309">
            <v>1.3637977980347999</v>
          </cell>
          <cell r="F309">
            <v>1.9476439790575899</v>
          </cell>
          <cell r="G309">
            <v>-0.32505046574263302</v>
          </cell>
          <cell r="H309">
            <v>3.5404627917437099</v>
          </cell>
          <cell r="I309">
            <v>2.83955201617291</v>
          </cell>
          <cell r="M309">
            <v>1.0857232916170301</v>
          </cell>
          <cell r="N309">
            <v>2.2898250181267499</v>
          </cell>
          <cell r="O309">
            <v>0.76073186478937904</v>
          </cell>
          <cell r="P309">
            <v>0.74973318273326695</v>
          </cell>
          <cell r="Q309">
            <v>1.57451682176092</v>
          </cell>
          <cell r="R309">
            <v>1.2399430783590699</v>
          </cell>
          <cell r="S309">
            <v>1.2842313990523899</v>
          </cell>
        </row>
        <row r="310">
          <cell r="A310" t="str">
            <v>mstag:shortTermBorrowings</v>
          </cell>
          <cell r="B310" t="str">
            <v>LTM</v>
          </cell>
          <cell r="C310">
            <v>5.0550814332247604</v>
          </cell>
          <cell r="D310">
            <v>1.2951091416323224</v>
          </cell>
          <cell r="E310">
            <v>1.3729863986951383</v>
          </cell>
          <cell r="F310">
            <v>3.116397899775964</v>
          </cell>
          <cell r="G310">
            <v>-0.74425906819701138</v>
          </cell>
          <cell r="H310">
            <v>5.928462412046243</v>
          </cell>
          <cell r="I310">
            <v>4.7461513417052501</v>
          </cell>
          <cell r="M310">
            <v>1.2457844668468132</v>
          </cell>
          <cell r="N310">
            <v>3.6104782722082742</v>
          </cell>
          <cell r="O310">
            <v>1.1856054499928437</v>
          </cell>
          <cell r="P310">
            <v>1.996645960836549</v>
          </cell>
          <cell r="Q310">
            <v>2.6447755022841273</v>
          </cell>
          <cell r="R310">
            <v>1.4515962537710307</v>
          </cell>
          <cell r="S310">
            <v>2.11616502411455</v>
          </cell>
        </row>
        <row r="311">
          <cell r="B311" t="str">
            <v>FY(2)</v>
          </cell>
          <cell r="C311">
            <v>18.841000000000001</v>
          </cell>
          <cell r="D311">
            <v>434</v>
          </cell>
          <cell r="E311">
            <v>650</v>
          </cell>
          <cell r="F311">
            <v>6.8</v>
          </cell>
          <cell r="G311">
            <v>236.667</v>
          </cell>
          <cell r="H311">
            <v>0</v>
          </cell>
          <cell r="I311">
            <v>1.8540000000000001</v>
          </cell>
          <cell r="J311">
            <v>192.59457142857141</v>
          </cell>
          <cell r="K311">
            <v>1348.1619999999998</v>
          </cell>
          <cell r="M311">
            <v>0</v>
          </cell>
          <cell r="N311">
            <v>0</v>
          </cell>
          <cell r="O311">
            <v>0</v>
          </cell>
          <cell r="P311">
            <v>0.23499999999999999</v>
          </cell>
          <cell r="Q311">
            <v>325</v>
          </cell>
          <cell r="R311">
            <v>18</v>
          </cell>
          <cell r="S311" t="str">
            <v>NA</v>
          </cell>
          <cell r="T311">
            <v>57.205833333333338</v>
          </cell>
          <cell r="U311">
            <v>343.23500000000001</v>
          </cell>
        </row>
        <row r="312">
          <cell r="B312" t="str">
            <v>EPS Y/Y Δ</v>
          </cell>
          <cell r="C312">
            <v>12.701000000000001</v>
          </cell>
          <cell r="D312">
            <v>203</v>
          </cell>
          <cell r="E312">
            <v>666</v>
          </cell>
          <cell r="F312">
            <v>261</v>
          </cell>
          <cell r="G312">
            <v>319.24200000000002</v>
          </cell>
          <cell r="H312">
            <v>0</v>
          </cell>
          <cell r="I312">
            <v>2.008</v>
          </cell>
          <cell r="J312">
            <v>209.13585714285713</v>
          </cell>
          <cell r="K312">
            <v>1463.951</v>
          </cell>
          <cell r="M312">
            <v>0</v>
          </cell>
          <cell r="N312">
            <v>0</v>
          </cell>
          <cell r="O312">
            <v>0</v>
          </cell>
          <cell r="P312">
            <v>0.28499999999999998</v>
          </cell>
          <cell r="Q312">
            <v>138</v>
          </cell>
          <cell r="R312">
            <v>0</v>
          </cell>
          <cell r="S312" t="str">
            <v>NA</v>
          </cell>
          <cell r="T312">
            <v>23.047499999999999</v>
          </cell>
          <cell r="U312">
            <v>138.285</v>
          </cell>
        </row>
        <row r="313">
          <cell r="B313" t="str">
            <v>FY(10)</v>
          </cell>
          <cell r="C313">
            <v>17</v>
          </cell>
          <cell r="D313">
            <v>0</v>
          </cell>
          <cell r="E313">
            <v>966</v>
          </cell>
          <cell r="F313">
            <v>299</v>
          </cell>
          <cell r="G313">
            <v>4.673</v>
          </cell>
          <cell r="H313">
            <v>0</v>
          </cell>
          <cell r="I313">
            <v>395.02699999999999</v>
          </cell>
          <cell r="J313">
            <v>240.24285714285716</v>
          </cell>
          <cell r="K313">
            <v>1681.7</v>
          </cell>
          <cell r="M313">
            <v>0</v>
          </cell>
          <cell r="N313">
            <v>0</v>
          </cell>
          <cell r="O313">
            <v>75</v>
          </cell>
          <cell r="P313">
            <v>8.0039999999999996</v>
          </cell>
          <cell r="Q313">
            <v>50</v>
          </cell>
          <cell r="R313">
            <v>0</v>
          </cell>
          <cell r="S313" t="str">
            <v>NA</v>
          </cell>
          <cell r="T313">
            <v>22.167333333333335</v>
          </cell>
          <cell r="U313">
            <v>133.00400000000002</v>
          </cell>
        </row>
        <row r="314">
          <cell r="B314" t="str">
            <v>FY(9)</v>
          </cell>
          <cell r="C314">
            <v>0.38333191174535419</v>
          </cell>
          <cell r="D314">
            <v>-1.3142857142857143</v>
          </cell>
          <cell r="E314">
            <v>0.11804933673070162</v>
          </cell>
          <cell r="F314">
            <v>-0.36416773403833624</v>
          </cell>
          <cell r="G314">
            <v>4.8470000000000004</v>
          </cell>
          <cell r="H314">
            <v>-0.44955298404739652</v>
          </cell>
          <cell r="I314">
            <v>-0.43883491605853564</v>
          </cell>
          <cell r="J314">
            <v>-0.34424334999232115</v>
          </cell>
          <cell r="K314">
            <v>799.84699999999998</v>
          </cell>
          <cell r="M314">
            <v>0.10474862147233988</v>
          </cell>
          <cell r="N314">
            <v>0</v>
          </cell>
          <cell r="O314">
            <v>1.8165106195665359E-2</v>
          </cell>
          <cell r="P314">
            <v>0.70399999999999996</v>
          </cell>
          <cell r="Q314">
            <v>0</v>
          </cell>
          <cell r="R314">
            <v>-3.3205992332745793E-2</v>
          </cell>
          <cell r="S314">
            <v>-0.41964642004471842</v>
          </cell>
          <cell r="T314">
            <v>-8.2484671177364743E-2</v>
          </cell>
          <cell r="U314">
            <v>50.704000000000001</v>
          </cell>
        </row>
        <row r="315">
          <cell r="B315" t="str">
            <v>FY(8)</v>
          </cell>
          <cell r="C315">
            <v>0.32341124893457951</v>
          </cell>
          <cell r="D315">
            <v>-2.2954545454545454</v>
          </cell>
          <cell r="E315">
            <v>-0.23747100765952955</v>
          </cell>
          <cell r="F315">
            <v>-0.50066060080717933</v>
          </cell>
          <cell r="G315">
            <v>4.8470000000000004</v>
          </cell>
          <cell r="H315">
            <v>6.0534456738616127E-2</v>
          </cell>
          <cell r="I315">
            <v>4.4168813353693048E-2</v>
          </cell>
          <cell r="J315">
            <v>-0.43424527248239436</v>
          </cell>
          <cell r="K315">
            <v>786.84699999999998</v>
          </cell>
          <cell r="M315">
            <v>5.832853298378593E-2</v>
          </cell>
          <cell r="N315">
            <v>0</v>
          </cell>
          <cell r="O315">
            <v>9.0181483792735495E-2</v>
          </cell>
          <cell r="P315">
            <v>0.50467806849125085</v>
          </cell>
          <cell r="Q315">
            <v>-1.0089158991143998</v>
          </cell>
          <cell r="R315">
            <v>-3.5106748651982933E-3</v>
          </cell>
          <cell r="S315">
            <v>0.41650191844039486</v>
          </cell>
          <cell r="T315">
            <v>9.5439049547615031E-3</v>
          </cell>
          <cell r="U315">
            <v>50</v>
          </cell>
        </row>
        <row r="316">
          <cell r="B316" t="str">
            <v>FY(7)</v>
          </cell>
          <cell r="C316">
            <v>0.29857794398182502</v>
          </cell>
          <cell r="D316">
            <v>0.64912280701754388</v>
          </cell>
          <cell r="E316">
            <v>6.7412153054826396E-2</v>
          </cell>
          <cell r="F316">
            <v>-0.20227964526215647</v>
          </cell>
          <cell r="G316">
            <v>4.673</v>
          </cell>
          <cell r="H316">
            <v>0.31251840188069724</v>
          </cell>
          <cell r="I316">
            <v>0.10728677326538727</v>
          </cell>
          <cell r="J316">
            <v>0.20543973898968723</v>
          </cell>
          <cell r="K316">
            <v>1681.7</v>
          </cell>
          <cell r="M316">
            <v>0.19098184907018156</v>
          </cell>
          <cell r="N316">
            <v>0</v>
          </cell>
          <cell r="O316">
            <v>-6.2339155241477595E-3</v>
          </cell>
          <cell r="P316">
            <v>9.3992643608273196E-2</v>
          </cell>
          <cell r="Q316">
            <v>-59.050181919874326</v>
          </cell>
          <cell r="R316">
            <v>0.24789361207114635</v>
          </cell>
          <cell r="S316">
            <v>0.64296231684330118</v>
          </cell>
          <cell r="T316">
            <v>-9.6467642356342616</v>
          </cell>
          <cell r="U316">
            <v>125.33499999999999</v>
          </cell>
        </row>
        <row r="317">
          <cell r="B317" t="str">
            <v>FY(6)</v>
          </cell>
          <cell r="C317">
            <v>-8.3100620005075121E-2</v>
          </cell>
          <cell r="D317">
            <v>0.27659574468085113</v>
          </cell>
          <cell r="E317">
            <v>8.2618698493727383E-2</v>
          </cell>
          <cell r="F317">
            <v>1.3822706979871873</v>
          </cell>
          <cell r="G317">
            <v>4.6859999999999999</v>
          </cell>
          <cell r="H317">
            <v>0.16926236630347291</v>
          </cell>
          <cell r="I317">
            <v>7.8776047681237138E-2</v>
          </cell>
          <cell r="J317">
            <v>0.3177371558569001</v>
          </cell>
          <cell r="K317">
            <v>1907.1309999999999</v>
          </cell>
          <cell r="M317">
            <v>6.2837441288863927E-2</v>
          </cell>
          <cell r="N317">
            <v>0.55094315434128438</v>
          </cell>
          <cell r="O317">
            <v>-0.15929751921077051</v>
          </cell>
          <cell r="P317">
            <v>0.53825298190107462</v>
          </cell>
          <cell r="Q317">
            <v>1.0410859377324253</v>
          </cell>
          <cell r="R317">
            <v>0.13904717119015597</v>
          </cell>
          <cell r="S317">
            <v>0.69315931207639814</v>
          </cell>
          <cell r="T317">
            <v>0.40943263990277595</v>
          </cell>
          <cell r="U317">
            <v>77.399000000000001</v>
          </cell>
        </row>
        <row r="318">
          <cell r="B318" t="str">
            <v>FY(5)</v>
          </cell>
          <cell r="C318">
            <v>0.20795980583943563</v>
          </cell>
          <cell r="D318">
            <v>0.8833333333333333</v>
          </cell>
          <cell r="E318">
            <v>0.19253228900861274</v>
          </cell>
          <cell r="F318">
            <v>0.56868930497266024</v>
          </cell>
          <cell r="G318">
            <v>-7.6223154680900018E-3</v>
          </cell>
          <cell r="H318">
            <v>-0.17913735551524679</v>
          </cell>
          <cell r="I318">
            <v>5.7374163051996829E-2</v>
          </cell>
          <cell r="J318">
            <v>0.2461613178889574</v>
          </cell>
          <cell r="K318">
            <v>1301.9349999999999</v>
          </cell>
          <cell r="M318">
            <v>0.2367570105561887</v>
          </cell>
          <cell r="N318">
            <v>0.63174032439753192</v>
          </cell>
          <cell r="O318">
            <v>1.5933845504816269</v>
          </cell>
          <cell r="P318">
            <v>0.73483141936535756</v>
          </cell>
          <cell r="Q318">
            <v>0.1606567497599205</v>
          </cell>
          <cell r="R318">
            <v>0.2689803737434957</v>
          </cell>
          <cell r="S318">
            <v>0.80746387215080495</v>
          </cell>
          <cell r="T318">
            <v>0.6334020429221322</v>
          </cell>
          <cell r="U318">
            <v>77.489999999999995</v>
          </cell>
        </row>
        <row r="319">
          <cell r="B319" t="str">
            <v>FY(4)</v>
          </cell>
          <cell r="C319">
            <v>0.18971698197619724</v>
          </cell>
          <cell r="D319">
            <v>0.60780520369841606</v>
          </cell>
          <cell r="E319">
            <v>0.13546350508465355</v>
          </cell>
          <cell r="F319">
            <v>0.43456343703759504</v>
          </cell>
          <cell r="G319">
            <v>0.65070370024488766</v>
          </cell>
          <cell r="H319">
            <v>0.13154857615551108</v>
          </cell>
          <cell r="I319">
            <v>3.2570545856928312E-2</v>
          </cell>
          <cell r="J319">
            <v>0.3117674214363127</v>
          </cell>
          <cell r="K319">
            <v>1063.2470000000001</v>
          </cell>
          <cell r="M319">
            <v>0.5668082158169403</v>
          </cell>
          <cell r="N319">
            <v>-1.1831248861474242E-2</v>
          </cell>
          <cell r="O319">
            <v>0.26676868534628784</v>
          </cell>
          <cell r="P319">
            <v>0.51040353388929227</v>
          </cell>
          <cell r="Q319">
            <v>-2.6140506076472336E-2</v>
          </cell>
          <cell r="R319">
            <v>-5.6799519587859892E-2</v>
          </cell>
          <cell r="S319">
            <v>0.41255503087039358</v>
          </cell>
          <cell r="T319">
            <v>0.23739488448530108</v>
          </cell>
          <cell r="U319">
            <v>58.003999999999998</v>
          </cell>
        </row>
        <row r="320">
          <cell r="B320" t="str">
            <v>FY(3)</v>
          </cell>
          <cell r="C320">
            <v>0.3630100673180261</v>
          </cell>
          <cell r="D320">
            <v>0.34403002287459361</v>
          </cell>
          <cell r="E320">
            <v>-0.17112431238754366</v>
          </cell>
          <cell r="F320">
            <v>0.28586835784741838</v>
          </cell>
          <cell r="G320">
            <v>-1.2681849996875048</v>
          </cell>
          <cell r="H320">
            <v>0.24909262030853796</v>
          </cell>
          <cell r="I320">
            <v>0.2897207009293119</v>
          </cell>
          <cell r="J320">
            <v>1.3201779600405647E-2</v>
          </cell>
          <cell r="K320">
            <v>1063.2470000000001</v>
          </cell>
          <cell r="M320">
            <v>0.21755366343914351</v>
          </cell>
          <cell r="N320">
            <v>0.25016715437938464</v>
          </cell>
          <cell r="O320">
            <v>0.34567896188602032</v>
          </cell>
          <cell r="P320">
            <v>0.38434387096817968</v>
          </cell>
          <cell r="Q320">
            <v>-0.21893432280382974</v>
          </cell>
          <cell r="R320">
            <v>0.26218616731765776</v>
          </cell>
          <cell r="S320">
            <v>-0.15341151411967069</v>
          </cell>
          <cell r="T320">
            <v>0.15536914015241221</v>
          </cell>
          <cell r="U320">
            <v>58.003999999999998</v>
          </cell>
        </row>
        <row r="321">
          <cell r="B321" t="str">
            <v>FY(2)</v>
          </cell>
          <cell r="C321">
            <v>2.4169184290030232E-2</v>
          </cell>
          <cell r="D321">
            <v>-2.427212697002834E-2</v>
          </cell>
          <cell r="E321">
            <v>2.51115686579928E-2</v>
          </cell>
          <cell r="F321">
            <v>9.3024838226714035E-2</v>
          </cell>
          <cell r="G321">
            <v>0.87950817896842159</v>
          </cell>
          <cell r="H321">
            <v>0.11863413420786695</v>
          </cell>
          <cell r="I321">
            <v>0.18019228567255752</v>
          </cell>
          <cell r="J321">
            <v>0.18519543757907925</v>
          </cell>
          <cell r="M321">
            <v>0.12375345586459363</v>
          </cell>
          <cell r="N321">
            <v>-0.10727399095711287</v>
          </cell>
          <cell r="O321">
            <v>7.0674788078129103E-2</v>
          </cell>
          <cell r="P321">
            <v>0.41229509899202532</v>
          </cell>
          <cell r="Q321">
            <v>0.20077069525719637</v>
          </cell>
          <cell r="R321">
            <v>-0.27637687540793165</v>
          </cell>
          <cell r="S321">
            <v>0.39017288406950468</v>
          </cell>
          <cell r="T321">
            <v>0.11628800798520066</v>
          </cell>
        </row>
        <row r="322">
          <cell r="A322" t="str">
            <v>mstag:longTermDebt</v>
          </cell>
          <cell r="B322" t="str">
            <v>FY(1)</v>
          </cell>
          <cell r="C322">
            <v>-0.14749262536873153</v>
          </cell>
          <cell r="D322">
            <v>-0.47032283312877121</v>
          </cell>
          <cell r="E322">
            <v>-0.39262665197749624</v>
          </cell>
          <cell r="F322">
            <v>-0.3540721404385847</v>
          </cell>
          <cell r="G322">
            <v>-2.9214051685363369</v>
          </cell>
          <cell r="H322">
            <v>0.21173725065084814</v>
          </cell>
          <cell r="I322">
            <v>3.6424864736075424E-2</v>
          </cell>
          <cell r="J322">
            <v>-0.57682247200899972</v>
          </cell>
          <cell r="M322">
            <v>-0.34496927185056092</v>
          </cell>
          <cell r="N322">
            <v>0.32005968945470187</v>
          </cell>
          <cell r="O322">
            <v>-0.45647280427474968</v>
          </cell>
          <cell r="P322">
            <v>0.22102147339295364</v>
          </cell>
          <cell r="Q322">
            <v>0.20208806602495155</v>
          </cell>
          <cell r="R322">
            <v>-0.13673660371004148</v>
          </cell>
          <cell r="S322">
            <v>0.29770707155636522</v>
          </cell>
          <cell r="T322">
            <v>1.4671088656231457E-2</v>
          </cell>
        </row>
        <row r="323">
          <cell r="B323" t="str">
            <v>FY0</v>
          </cell>
          <cell r="C323">
            <v>0.11594513260372308</v>
          </cell>
          <cell r="D323">
            <v>-0.57533524739751352</v>
          </cell>
          <cell r="E323">
            <v>5.4566031260209424E-2</v>
          </cell>
          <cell r="F323">
            <v>8.1185252383314088E-2</v>
          </cell>
          <cell r="G323">
            <v>-0.59016233036436283</v>
          </cell>
          <cell r="H323">
            <v>0.53481878819347384</v>
          </cell>
          <cell r="I323">
            <v>0.42082221308070245</v>
          </cell>
          <cell r="J323">
            <v>5.9771199656495034E-3</v>
          </cell>
          <cell r="K323">
            <v>13906.364000000001</v>
          </cell>
          <cell r="M323">
            <v>-0.69606783417787799</v>
          </cell>
          <cell r="N323">
            <v>0.55335775948253563</v>
          </cell>
          <cell r="O323">
            <v>-0.22926554040886304</v>
          </cell>
          <cell r="P323">
            <v>-7.2362195556296083E-2</v>
          </cell>
          <cell r="Q323">
            <v>0.17071105982016865</v>
          </cell>
          <cell r="R323">
            <v>0.18351823316861648</v>
          </cell>
          <cell r="S323">
            <v>0.10059915201046898</v>
          </cell>
          <cell r="T323">
            <v>1.4986620483932336E-3</v>
          </cell>
          <cell r="U323">
            <v>1855.865</v>
          </cell>
        </row>
        <row r="324">
          <cell r="B324" t="str">
            <v>FY1</v>
          </cell>
          <cell r="C324">
            <v>0.19066760933238913</v>
          </cell>
          <cell r="D324">
            <v>0.46231497079181483</v>
          </cell>
          <cell r="E324">
            <v>0.34425938728520356</v>
          </cell>
          <cell r="F324">
            <v>0.32788713801956981</v>
          </cell>
          <cell r="G324">
            <v>-0.70033830326838997</v>
          </cell>
          <cell r="H324">
            <v>0.21161707516698169</v>
          </cell>
          <cell r="I324">
            <v>0.21112286793334967</v>
          </cell>
          <cell r="J324">
            <v>0.1496472493229884</v>
          </cell>
          <cell r="K324">
            <v>18116.307000000001</v>
          </cell>
          <cell r="M324">
            <v>0.64543028516687695</v>
          </cell>
          <cell r="N324">
            <v>0.19334666855419669</v>
          </cell>
          <cell r="O324">
            <v>0.52413702745666524</v>
          </cell>
          <cell r="P324">
            <v>0.14010587635962057</v>
          </cell>
          <cell r="Q324">
            <v>4.9004142832737463E-2</v>
          </cell>
          <cell r="R324">
            <v>0.36730132131152016</v>
          </cell>
          <cell r="S324">
            <v>0.2610028069870578</v>
          </cell>
          <cell r="T324">
            <v>0.31147544695266788</v>
          </cell>
          <cell r="U324">
            <v>2957.2190000000001</v>
          </cell>
        </row>
        <row r="325">
          <cell r="B325" t="str">
            <v>FY2</v>
          </cell>
          <cell r="C325">
            <v>0.19085410475157039</v>
          </cell>
          <cell r="D325">
            <v>0.23954515132650411</v>
          </cell>
          <cell r="E325">
            <v>0.13763308332158775</v>
          </cell>
          <cell r="F325">
            <v>0.1258325745872062</v>
          </cell>
          <cell r="G325">
            <v>-2.353377020856251</v>
          </cell>
          <cell r="H325">
            <v>0.13583788032694577</v>
          </cell>
          <cell r="I325">
            <v>0.12767674498703308</v>
          </cell>
          <cell r="J325">
            <v>-0.19942821165077196</v>
          </cell>
          <cell r="K325">
            <v>17655.983</v>
          </cell>
          <cell r="M325">
            <v>0.37558248316354792</v>
          </cell>
          <cell r="N325">
            <v>9.221472123410468E-2</v>
          </cell>
          <cell r="O325">
            <v>0.21796634946775573</v>
          </cell>
          <cell r="P325">
            <v>0.11247893929962682</v>
          </cell>
          <cell r="Q325">
            <v>6.8354274428650053E-2</v>
          </cell>
          <cell r="R325">
            <v>0.17255355528304417</v>
          </cell>
          <cell r="S325">
            <v>0.20146384145623419</v>
          </cell>
          <cell r="T325">
            <v>0.17723059490470908</v>
          </cell>
          <cell r="U325">
            <v>3022.1860000000001</v>
          </cell>
        </row>
        <row r="326">
          <cell r="B326" t="str">
            <v>FY1</v>
          </cell>
          <cell r="C326">
            <v>2054</v>
          </cell>
          <cell r="D326">
            <v>2999</v>
          </cell>
          <cell r="E326">
            <v>8618.2000000000007</v>
          </cell>
          <cell r="F326">
            <v>2259</v>
          </cell>
          <cell r="G326">
            <v>499.60599999999999</v>
          </cell>
          <cell r="H326">
            <v>150</v>
          </cell>
          <cell r="I326">
            <v>774.7</v>
          </cell>
          <cell r="J326">
            <v>2479.2151428571428</v>
          </cell>
          <cell r="K326">
            <v>17354.506000000001</v>
          </cell>
          <cell r="M326">
            <v>50.582000000000001</v>
          </cell>
          <cell r="N326" t="str">
            <v>NA</v>
          </cell>
          <cell r="O326">
            <v>0</v>
          </cell>
          <cell r="P326">
            <v>24.428999999999998</v>
          </cell>
          <cell r="Q326">
            <v>0</v>
          </cell>
          <cell r="R326">
            <v>2880.2820000000002</v>
          </cell>
          <cell r="S326">
            <v>0</v>
          </cell>
          <cell r="T326">
            <v>492.54883333333333</v>
          </cell>
          <cell r="U326">
            <v>2955.2930000000001</v>
          </cell>
        </row>
        <row r="327">
          <cell r="B327" t="str">
            <v>Net Income Margin</v>
          </cell>
          <cell r="C327">
            <v>2037</v>
          </cell>
          <cell r="D327">
            <v>2597</v>
          </cell>
          <cell r="E327">
            <v>8355.4</v>
          </cell>
          <cell r="F327">
            <v>1909</v>
          </cell>
          <cell r="G327">
            <v>476.60599999999999</v>
          </cell>
          <cell r="H327">
            <v>150</v>
          </cell>
          <cell r="I327">
            <v>774.7</v>
          </cell>
          <cell r="J327">
            <v>2328.5294285714285</v>
          </cell>
          <cell r="K327">
            <v>16299.706</v>
          </cell>
          <cell r="M327">
            <v>50.582000000000001</v>
          </cell>
          <cell r="N327" t="str">
            <v>NA</v>
          </cell>
          <cell r="O327">
            <v>0</v>
          </cell>
          <cell r="P327">
            <v>25.132999999999999</v>
          </cell>
          <cell r="Q327">
            <v>0</v>
          </cell>
          <cell r="R327">
            <v>2878.2820000000002</v>
          </cell>
          <cell r="S327">
            <v>0</v>
          </cell>
          <cell r="T327">
            <v>492.33283333333338</v>
          </cell>
          <cell r="U327">
            <v>2953.9970000000003</v>
          </cell>
        </row>
        <row r="328">
          <cell r="B328" t="str">
            <v>FY(10)</v>
          </cell>
          <cell r="C328">
            <v>5.7935299255208496E-2</v>
          </cell>
          <cell r="D328">
            <v>1.2101187663421857E-2</v>
          </cell>
          <cell r="E328">
            <v>5.1469212053153662E-2</v>
          </cell>
          <cell r="F328">
            <v>3.92874344532919E-2</v>
          </cell>
          <cell r="G328">
            <v>635.4</v>
          </cell>
          <cell r="H328">
            <v>6.4450923950777714E-2</v>
          </cell>
          <cell r="I328">
            <v>5.9897807329261712E-2</v>
          </cell>
          <cell r="J328">
            <v>4.752364411751922E-2</v>
          </cell>
          <cell r="K328">
            <v>3.4351025607138229E-2</v>
          </cell>
          <cell r="M328">
            <v>0.14512571081565068</v>
          </cell>
          <cell r="N328" t="str">
            <v>NA</v>
          </cell>
          <cell r="O328">
            <v>0.10895272706296327</v>
          </cell>
          <cell r="P328">
            <v>4.1358625076558596E-2</v>
          </cell>
          <cell r="Q328">
            <v>0</v>
          </cell>
          <cell r="R328">
            <v>4.572598812205611E-2</v>
          </cell>
          <cell r="S328">
            <v>6.7166942933268137E-2</v>
          </cell>
          <cell r="T328">
            <v>8.1665998802099363E-2</v>
          </cell>
          <cell r="U328">
            <v>2.9919546644090092E-2</v>
          </cell>
        </row>
        <row r="329">
          <cell r="B329" t="str">
            <v>FY(9)</v>
          </cell>
          <cell r="C329">
            <v>5.9931731738239978E-2</v>
          </cell>
          <cell r="D329">
            <v>-2.7808829994347799E-3</v>
          </cell>
          <cell r="E329">
            <v>5.4153143406659457E-2</v>
          </cell>
          <cell r="F329">
            <v>2.4378058788428116E-2</v>
          </cell>
          <cell r="G329">
            <v>631.94000000000005</v>
          </cell>
          <cell r="H329">
            <v>5.5476499230908083E-2</v>
          </cell>
          <cell r="I329">
            <v>5.6171381456489332E-2</v>
          </cell>
          <cell r="J329">
            <v>4.1221655270215034E-2</v>
          </cell>
          <cell r="K329">
            <v>2.7663271784373999E-2</v>
          </cell>
          <cell r="M329">
            <v>0.12673924777230844</v>
          </cell>
          <cell r="N329" t="str">
            <v>NA</v>
          </cell>
          <cell r="O329">
            <v>8.6118055201265253E-2</v>
          </cell>
          <cell r="P329">
            <v>7.0464480874316948E-2</v>
          </cell>
          <cell r="Q329">
            <v>6.4169722482663394E-2</v>
          </cell>
          <cell r="R329">
            <v>4.5425209251101321E-2</v>
          </cell>
          <cell r="S329">
            <v>3.5536157490019732E-2</v>
          </cell>
          <cell r="T329">
            <v>7.1408812178612516E-2</v>
          </cell>
          <cell r="U329">
            <v>6.0567113597635745E-2</v>
          </cell>
        </row>
        <row r="330">
          <cell r="B330" t="str">
            <v>FY(8)</v>
          </cell>
          <cell r="C330">
            <v>6.5697991332478528E-2</v>
          </cell>
          <cell r="D330">
            <v>1.0257847533632286E-2</v>
          </cell>
          <cell r="E330">
            <v>4.7260057016154579E-2</v>
          </cell>
          <cell r="F330">
            <v>2.2130834751771789E-2</v>
          </cell>
          <cell r="G330">
            <v>598.07899999999995</v>
          </cell>
          <cell r="H330">
            <v>5.1913616706109562E-2</v>
          </cell>
          <cell r="I330">
            <v>5.0461957318509172E-2</v>
          </cell>
          <cell r="J330">
            <v>4.1287050776442652E-2</v>
          </cell>
          <cell r="K330">
            <v>3.7077995485691816E-2</v>
          </cell>
          <cell r="M330">
            <v>0.1220644274511614</v>
          </cell>
          <cell r="N330" t="str">
            <v>NA</v>
          </cell>
          <cell r="O330">
            <v>7.9973380489094179E-2</v>
          </cell>
          <cell r="P330">
            <v>0.11757451818595117</v>
          </cell>
          <cell r="Q330">
            <v>-5.6066372070281121E-4</v>
          </cell>
          <cell r="R330">
            <v>4.8174640864300129E-2</v>
          </cell>
          <cell r="S330">
            <v>4.3005175407928746E-2</v>
          </cell>
          <cell r="T330">
            <v>6.8371913112955471E-2</v>
          </cell>
          <cell r="U330">
            <v>2.8622122577042136E-2</v>
          </cell>
        </row>
        <row r="331">
          <cell r="B331" t="str">
            <v>FY(7)</v>
          </cell>
          <cell r="C331">
            <v>6.9676535398502257E-2</v>
          </cell>
          <cell r="D331">
            <v>1.6279337321675105E-2</v>
          </cell>
          <cell r="E331">
            <v>4.5340697450388545E-2</v>
          </cell>
          <cell r="F331">
            <v>1.7888503556807996E-2</v>
          </cell>
          <cell r="G331">
            <v>514.60599999999999</v>
          </cell>
          <cell r="H331">
            <v>5.6657101861073485E-2</v>
          </cell>
          <cell r="I331">
            <v>4.8274602049693326E-2</v>
          </cell>
          <cell r="J331">
            <v>4.2352796273023442E-2</v>
          </cell>
          <cell r="K331">
            <v>3.9495927902977658E-2</v>
          </cell>
          <cell r="M331">
            <v>0.12204489781338887</v>
          </cell>
          <cell r="N331">
            <v>6.1200245414809118E-2</v>
          </cell>
          <cell r="O331">
            <v>7.2053180111980211E-2</v>
          </cell>
          <cell r="P331">
            <v>0.10977203224909647</v>
          </cell>
          <cell r="Q331">
            <v>3.3048788124032377E-2</v>
          </cell>
          <cell r="R331">
            <v>6.1270950868468239E-2</v>
          </cell>
          <cell r="S331">
            <v>6.4843857184083406E-2</v>
          </cell>
          <cell r="T331">
            <v>7.489056453797982E-2</v>
          </cell>
          <cell r="U331">
            <v>5.1851808847542182E-2</v>
          </cell>
        </row>
        <row r="332">
          <cell r="B332" t="str">
            <v>FY(6)</v>
          </cell>
          <cell r="C332">
            <v>5.6492578262754653E-2</v>
          </cell>
          <cell r="D332">
            <v>2.0556158282418774E-2</v>
          </cell>
          <cell r="E332">
            <v>4.632753698416818E-2</v>
          </cell>
          <cell r="F332">
            <v>3.7665548279526076E-2</v>
          </cell>
          <cell r="G332">
            <v>-2.8624187351994703E-2</v>
          </cell>
          <cell r="H332">
            <v>5.8045958981100515E-2</v>
          </cell>
          <cell r="I332">
            <v>4.5724402379422838E-2</v>
          </cell>
          <cell r="J332">
            <v>3.3741142259628043E-2</v>
          </cell>
          <cell r="K332">
            <v>3.842803169640515E-2</v>
          </cell>
          <cell r="M332">
            <v>0.11993729978001054</v>
          </cell>
          <cell r="N332">
            <v>7.382822493291312E-2</v>
          </cell>
          <cell r="O332">
            <v>5.7897391454582448E-2</v>
          </cell>
          <cell r="P332">
            <v>0.13210514612383772</v>
          </cell>
          <cell r="Q332">
            <v>6.5769812615373971E-2</v>
          </cell>
          <cell r="R332">
            <v>6.5329277355102813E-2</v>
          </cell>
          <cell r="S332">
            <v>8.8219257022290054E-2</v>
          </cell>
          <cell r="T332">
            <v>8.6155201326301528E-2</v>
          </cell>
          <cell r="U332">
            <v>7.0977314468242264E-2</v>
          </cell>
        </row>
        <row r="333">
          <cell r="B333" t="str">
            <v>FY(5)</v>
          </cell>
          <cell r="C333">
            <v>6.0125709402001584E-2</v>
          </cell>
          <cell r="D333">
            <v>3.632681255526083E-2</v>
          </cell>
          <cell r="E333">
            <v>4.9857162460831578E-2</v>
          </cell>
          <cell r="F333">
            <v>5.5174900121476633E-2</v>
          </cell>
          <cell r="G333">
            <v>-2.5006182052030538E-2</v>
          </cell>
          <cell r="H333">
            <v>4.3801990099033253E-2</v>
          </cell>
          <cell r="I333">
            <v>4.2174051494208296E-2</v>
          </cell>
          <cell r="J333">
            <v>3.749349201154023E-2</v>
          </cell>
          <cell r="K333">
            <v>4.4039051222133092E-2</v>
          </cell>
          <cell r="M333">
            <v>0.11970467536853013</v>
          </cell>
          <cell r="N333">
            <v>9.0188672200719341E-2</v>
          </cell>
          <cell r="O333">
            <v>0.11919365992980166</v>
          </cell>
          <cell r="P333">
            <v>0.17310304173543978</v>
          </cell>
          <cell r="Q333">
            <v>7.4637043284143362E-2</v>
          </cell>
          <cell r="R333">
            <v>7.1667691292550684E-2</v>
          </cell>
          <cell r="S333">
            <v>0.10931923890063426</v>
          </cell>
          <cell r="T333">
            <v>0.10825914610168845</v>
          </cell>
          <cell r="U333">
            <v>8.4316571263007345E-2</v>
          </cell>
        </row>
        <row r="334">
          <cell r="B334" t="str">
            <v>FY(4)</v>
          </cell>
          <cell r="C334">
            <v>6.2051153250896565E-2</v>
          </cell>
          <cell r="D334">
            <v>4.9413321697222672E-2</v>
          </cell>
          <cell r="E334">
            <v>4.8640224243403758E-2</v>
          </cell>
          <cell r="F334">
            <v>7.137225303541328E-2</v>
          </cell>
          <cell r="G334">
            <v>-4.0778442514653214E-2</v>
          </cell>
          <cell r="H334">
            <v>4.0377178900683007E-2</v>
          </cell>
          <cell r="I334">
            <v>4.0244189892129661E-2</v>
          </cell>
          <cell r="J334">
            <v>3.8759982643585107E-2</v>
          </cell>
          <cell r="K334">
            <v>4.8018534510282804E-2</v>
          </cell>
          <cell r="M334">
            <v>0.1313483666430168</v>
          </cell>
          <cell r="N334">
            <v>6.9709145287861388E-2</v>
          </cell>
          <cell r="O334">
            <v>0.12649259548605879</v>
          </cell>
          <cell r="P334">
            <v>0.20381799644488358</v>
          </cell>
          <cell r="Q334">
            <v>6.7177698424203958E-2</v>
          </cell>
          <cell r="R334">
            <v>5.6552665598014376E-2</v>
          </cell>
          <cell r="S334">
            <v>0.11888212893797678</v>
          </cell>
          <cell r="T334">
            <v>0.11056865668885939</v>
          </cell>
          <cell r="U334">
            <v>8.1511609039378055E-2</v>
          </cell>
        </row>
        <row r="335">
          <cell r="B335" t="str">
            <v>FY(3)</v>
          </cell>
          <cell r="C335">
            <v>7.1130982682978017E-2</v>
          </cell>
          <cell r="D335">
            <v>5.6976083309283464E-2</v>
          </cell>
          <cell r="E335">
            <v>4.2180442916371901E-2</v>
          </cell>
          <cell r="F335">
            <v>7.9199032602248087E-2</v>
          </cell>
          <cell r="G335">
            <v>1.0150408234000237E-2</v>
          </cell>
          <cell r="H335">
            <v>4.3379693045684092E-2</v>
          </cell>
          <cell r="I335">
            <v>4.5064699151949855E-2</v>
          </cell>
          <cell r="J335">
            <v>4.9725905991787958E-2</v>
          </cell>
          <cell r="K335">
            <v>5.275772799682768E-2</v>
          </cell>
          <cell r="M335">
            <v>0.1359622626801974</v>
          </cell>
          <cell r="N335">
            <v>7.1375197423167711E-2</v>
          </cell>
          <cell r="O335">
            <v>0.13861929302403478</v>
          </cell>
          <cell r="P335">
            <v>0.22800499610494254</v>
          </cell>
          <cell r="Q335">
            <v>4.9045625094020787E-2</v>
          </cell>
          <cell r="R335">
            <v>6.3262207407757273E-2</v>
          </cell>
          <cell r="S335">
            <v>8.8923400263081182E-2</v>
          </cell>
          <cell r="T335">
            <v>0.11074185457102881</v>
          </cell>
          <cell r="U335">
            <v>7.9358667406064287E-2</v>
          </cell>
        </row>
        <row r="336">
          <cell r="B336" t="str">
            <v>FY(2)</v>
          </cell>
          <cell r="C336">
            <v>6.5790988059755848E-2</v>
          </cell>
          <cell r="D336">
            <v>5.4025667478813932E-2</v>
          </cell>
          <cell r="E336">
            <v>3.6820980296638731E-2</v>
          </cell>
          <cell r="F336">
            <v>7.8618104096891933E-2</v>
          </cell>
          <cell r="G336">
            <v>1.9412382865364255E-2</v>
          </cell>
          <cell r="H336">
            <v>4.3688993796370736E-2</v>
          </cell>
          <cell r="I336">
            <v>4.9219705344096379E-2</v>
          </cell>
          <cell r="J336">
            <v>4.965383170541883E-2</v>
          </cell>
          <cell r="K336">
            <v>5.0949705676878843E-2</v>
          </cell>
          <cell r="M336">
            <v>0.13491173233403322</v>
          </cell>
          <cell r="N336">
            <v>7.9189203016960127E-2</v>
          </cell>
          <cell r="O336">
            <v>0.13092116007657215</v>
          </cell>
          <cell r="P336">
            <v>0.24365156772018359</v>
          </cell>
          <cell r="Q336">
            <v>5.6346546055297084E-2</v>
          </cell>
          <cell r="R336">
            <v>4.5750785423069804E-2</v>
          </cell>
          <cell r="S336">
            <v>0.10116573059790784</v>
          </cell>
          <cell r="T336">
            <v>0.11313381788914624</v>
          </cell>
          <cell r="U336">
            <v>8.2573996153070497E-2</v>
          </cell>
          <cell r="W336">
            <v>1.9679625000000001</v>
          </cell>
        </row>
        <row r="337">
          <cell r="B337" t="str">
            <v>FY(1)</v>
          </cell>
          <cell r="C337">
            <v>5.4038343024852185E-2</v>
          </cell>
          <cell r="D337">
            <v>3.0429729959475491E-2</v>
          </cell>
          <cell r="E337">
            <v>2.1894584605495742E-2</v>
          </cell>
          <cell r="F337">
            <v>4.7587866361114457E-2</v>
          </cell>
          <cell r="G337">
            <v>-3.6140655347666757E-2</v>
          </cell>
          <cell r="H337">
            <v>4.6680270034300066E-2</v>
          </cell>
          <cell r="I337">
            <v>4.6520091019211077E-2</v>
          </cell>
          <cell r="J337">
            <v>3.0144318522397469E-2</v>
          </cell>
          <cell r="K337">
            <v>3.5872481012592806E-2</v>
          </cell>
          <cell r="M337">
            <v>9.1551386331804568E-2</v>
          </cell>
          <cell r="N337">
            <v>7.9246641927393405E-2</v>
          </cell>
          <cell r="O337">
            <v>6.8551537280469158E-2</v>
          </cell>
          <cell r="P337">
            <v>0.23327843026046943</v>
          </cell>
          <cell r="Q337">
            <v>6.6570287759878832E-2</v>
          </cell>
          <cell r="R337">
            <v>3.9079252979834236E-2</v>
          </cell>
          <cell r="S337">
            <v>0.10866785347140387</v>
          </cell>
          <cell r="T337">
            <v>9.8135055715893357E-2</v>
          </cell>
          <cell r="U337">
            <v>7.944859600547749E-2</v>
          </cell>
          <cell r="W337">
            <v>0.15743700000000002</v>
          </cell>
          <cell r="X337">
            <v>2.3615550000000005</v>
          </cell>
        </row>
        <row r="338">
          <cell r="B338" t="str">
            <v>FY0</v>
          </cell>
          <cell r="C338">
            <v>5.7641031612039359E-2</v>
          </cell>
          <cell r="D338">
            <v>1.421513831466786E-2</v>
          </cell>
          <cell r="E338">
            <v>2.4522116735493208E-2</v>
          </cell>
          <cell r="F338">
            <v>5.1804310971179462E-2</v>
          </cell>
          <cell r="G338">
            <v>-1.8178653818107862E-2</v>
          </cell>
          <cell r="H338">
            <v>6.1629158266883234E-2</v>
          </cell>
          <cell r="I338">
            <v>5.9815922798219512E-2</v>
          </cell>
          <cell r="J338">
            <v>3.5921289268624972E-2</v>
          </cell>
          <cell r="K338">
            <v>3.9884916628223133E-2</v>
          </cell>
          <cell r="M338">
            <v>3.27555798369542E-2</v>
          </cell>
          <cell r="N338">
            <v>0.10373009342609429</v>
          </cell>
          <cell r="O338">
            <v>5.3189401442807663E-2</v>
          </cell>
          <cell r="P338">
            <v>0.19258138449289702</v>
          </cell>
          <cell r="Q338">
            <v>7.7467070507853772E-2</v>
          </cell>
          <cell r="R338">
            <v>4.6935220024844376E-2</v>
          </cell>
          <cell r="S338">
            <v>0.1134747124983551</v>
          </cell>
          <cell r="T338">
            <v>8.8590494604258052E-2</v>
          </cell>
          <cell r="U338">
            <v>7.8382891355829779E-2</v>
          </cell>
          <cell r="X338">
            <v>1.5527607462809245</v>
          </cell>
        </row>
        <row r="339">
          <cell r="B339" t="str">
            <v>FY1</v>
          </cell>
          <cell r="C339">
            <v>6.4342059385477615E-2</v>
          </cell>
          <cell r="D339">
            <v>2.0888385410296403E-2</v>
          </cell>
          <cell r="E339">
            <v>3.1813816711141418E-2</v>
          </cell>
          <cell r="F339">
            <v>6.4289686967320903E-2</v>
          </cell>
          <cell r="G339">
            <v>-5.4109647929955719E-3</v>
          </cell>
          <cell r="H339">
            <v>6.6741586443900089E-2</v>
          </cell>
          <cell r="I339">
            <v>6.408709964679335E-2</v>
          </cell>
          <cell r="J339">
            <v>4.3821667110276318E-2</v>
          </cell>
          <cell r="K339">
            <v>4.7244121762731239E-2</v>
          </cell>
          <cell r="M339">
            <v>4.9138863306919793E-2</v>
          </cell>
          <cell r="N339">
            <v>0.10592424514367912</v>
          </cell>
          <cell r="O339">
            <v>8.3184043353480633E-2</v>
          </cell>
          <cell r="P339">
            <v>0.19906903395437484</v>
          </cell>
          <cell r="Q339">
            <v>7.7103041633192648E-2</v>
          </cell>
          <cell r="R339">
            <v>5.9931233269422908E-2</v>
          </cell>
          <cell r="S339">
            <v>0.12346769396327388</v>
          </cell>
          <cell r="T339">
            <v>9.9688307803477691E-2</v>
          </cell>
          <cell r="U339">
            <v>8.7030148021657691E-2</v>
          </cell>
          <cell r="X339">
            <v>1.1645705597106935</v>
          </cell>
        </row>
        <row r="340">
          <cell r="B340" t="str">
            <v>FY2</v>
          </cell>
          <cell r="C340">
            <v>6.8734804965646143E-2</v>
          </cell>
          <cell r="D340">
            <v>2.5340780647728017E-2</v>
          </cell>
          <cell r="E340">
            <v>3.5890992658464148E-2</v>
          </cell>
          <cell r="F340">
            <v>6.7563637252128633E-2</v>
          </cell>
          <cell r="G340">
            <v>7.3808253466599869E-3</v>
          </cell>
          <cell r="H340">
            <v>6.8719750522266018E-2</v>
          </cell>
          <cell r="I340">
            <v>6.5003459195586075E-2</v>
          </cell>
          <cell r="J340">
            <v>4.8376321512639861E-2</v>
          </cell>
          <cell r="K340">
            <v>5.1143216615833258E-2</v>
          </cell>
          <cell r="M340">
            <v>5.9744748069720834E-2</v>
          </cell>
          <cell r="N340">
            <v>9.3130464819987338E-2</v>
          </cell>
          <cell r="O340">
            <v>9.2577090363576101E-2</v>
          </cell>
          <cell r="P340">
            <v>0.19821527577355608</v>
          </cell>
          <cell r="Q340">
            <v>7.9543041633187123E-2</v>
          </cell>
          <cell r="R340">
            <v>6.6670753955747591E-2</v>
          </cell>
          <cell r="S340">
            <v>0.12966998036485877</v>
          </cell>
          <cell r="T340">
            <v>0.10279305071151912</v>
          </cell>
          <cell r="U340">
            <v>9.1460253226173738E-2</v>
          </cell>
        </row>
        <row r="341">
          <cell r="B341" t="str">
            <v>FQ(3)</v>
          </cell>
          <cell r="C341">
            <v>3.7658053875755909E-2</v>
          </cell>
          <cell r="D341">
            <v>6.4359422215875383E-3</v>
          </cell>
          <cell r="E341">
            <v>-1.3079438353529526E-2</v>
          </cell>
          <cell r="F341">
            <v>3.9859320046893319E-2</v>
          </cell>
          <cell r="G341">
            <v>-7.7165014663606243E-3</v>
          </cell>
          <cell r="H341">
            <v>5.4024032882497568E-2</v>
          </cell>
          <cell r="I341">
            <v>4.8048515648253277E-2</v>
          </cell>
          <cell r="J341">
            <v>2.3604274979299639E-2</v>
          </cell>
          <cell r="K341">
            <v>2.1702646496389557E-2</v>
          </cell>
          <cell r="M341">
            <v>-3.8397684007252429E-2</v>
          </cell>
          <cell r="N341">
            <v>8.1306491774993619E-2</v>
          </cell>
          <cell r="O341">
            <v>2.5622549019607841E-2</v>
          </cell>
          <cell r="P341">
            <v>0.16642588105235703</v>
          </cell>
          <cell r="Q341">
            <v>6.8755996162456035E-2</v>
          </cell>
          <cell r="R341">
            <v>1.507618953222079E-3</v>
          </cell>
          <cell r="S341">
            <v>8.0055405981351163E-2</v>
          </cell>
          <cell r="T341">
            <v>5.5039465562390762E-2</v>
          </cell>
          <cell r="U341">
            <v>5.2285350502880412E-2</v>
          </cell>
        </row>
        <row r="342">
          <cell r="B342" t="str">
            <v>FQ(2)</v>
          </cell>
          <cell r="C342">
            <v>6.0194429847609039E-2</v>
          </cell>
          <cell r="D342">
            <v>-1.5674735660074499E-4</v>
          </cell>
          <cell r="E342">
            <v>1.6266460108443067E-2</v>
          </cell>
          <cell r="F342">
            <v>4.8951048951048952E-2</v>
          </cell>
          <cell r="G342">
            <v>-9.774504358229362E-2</v>
          </cell>
          <cell r="H342">
            <v>5.846708989300229E-2</v>
          </cell>
          <cell r="I342">
            <v>5.5094145837581147E-2</v>
          </cell>
          <cell r="J342">
            <v>2.0153054814112874E-2</v>
          </cell>
          <cell r="K342">
            <v>3.2867866733868163E-2</v>
          </cell>
          <cell r="M342">
            <v>1.08119318101569E-2</v>
          </cell>
          <cell r="N342">
            <v>8.6002825482318662E-2</v>
          </cell>
          <cell r="O342">
            <v>4.3449169398840623E-2</v>
          </cell>
          <cell r="P342">
            <v>0.17520675183607973</v>
          </cell>
          <cell r="Q342">
            <v>7.0261941448382131E-2</v>
          </cell>
          <cell r="R342">
            <v>2.9160315686075262E-2</v>
          </cell>
          <cell r="S342">
            <v>0.10688665710186514</v>
          </cell>
          <cell r="T342">
            <v>7.4539941823388342E-2</v>
          </cell>
          <cell r="U342">
            <v>6.6054083642394706E-2</v>
          </cell>
        </row>
        <row r="343">
          <cell r="B343" t="str">
            <v>FQ(1)</v>
          </cell>
          <cell r="C343">
            <v>4.7642557393236237E-2</v>
          </cell>
          <cell r="D343">
            <v>6.4587210599395695E-3</v>
          </cell>
          <cell r="E343">
            <v>-2.2740193291642978E-3</v>
          </cell>
          <cell r="F343">
            <v>4.4432548179871523E-2</v>
          </cell>
          <cell r="G343">
            <v>2.9864196151236392E-3</v>
          </cell>
          <cell r="H343">
            <v>6.024749174234393E-2</v>
          </cell>
          <cell r="I343">
            <v>6.6311264215112978E-2</v>
          </cell>
          <cell r="J343">
            <v>3.2257854696637653E-2</v>
          </cell>
          <cell r="K343">
            <v>3.2428905596618297E-2</v>
          </cell>
          <cell r="M343">
            <v>4.0631086768459994E-2</v>
          </cell>
          <cell r="N343">
            <v>0.11029378097274223</v>
          </cell>
          <cell r="O343">
            <v>5.9417553894590108E-2</v>
          </cell>
          <cell r="P343">
            <v>0.18494898461724343</v>
          </cell>
          <cell r="Q343">
            <v>8.5539147394817494E-2</v>
          </cell>
          <cell r="R343">
            <v>3.4316300186323051E-3</v>
          </cell>
          <cell r="S343">
            <v>0.12332872109112474</v>
          </cell>
          <cell r="T343">
            <v>8.67987006796586E-2</v>
          </cell>
          <cell r="U343">
            <v>7.5145127121260702E-2</v>
          </cell>
        </row>
        <row r="344">
          <cell r="B344" t="str">
            <v>Last Reported Q</v>
          </cell>
          <cell r="C344">
            <v>5.7641031612039359E-2</v>
          </cell>
          <cell r="D344">
            <v>1.421513831466786E-2</v>
          </cell>
          <cell r="E344">
            <v>2.4522116735493208E-2</v>
          </cell>
          <cell r="F344">
            <v>5.1804310971179462E-2</v>
          </cell>
          <cell r="G344">
            <v>-1.8178653818107862E-2</v>
          </cell>
          <cell r="H344">
            <v>6.1629158266883234E-2</v>
          </cell>
          <cell r="I344">
            <v>5.9815922798219512E-2</v>
          </cell>
          <cell r="J344">
            <v>3.5921289268624972E-2</v>
          </cell>
          <cell r="K344">
            <v>3.9884916628223133E-2</v>
          </cell>
          <cell r="M344">
            <v>3.27555798369542E-2</v>
          </cell>
          <cell r="N344">
            <v>0.10373009342609429</v>
          </cell>
          <cell r="O344">
            <v>5.3189401442807663E-2</v>
          </cell>
          <cell r="P344">
            <v>0.22624306928136484</v>
          </cell>
          <cell r="Q344">
            <v>7.7467070507853772E-2</v>
          </cell>
          <cell r="R344">
            <v>4.6935220024844376E-2</v>
          </cell>
          <cell r="S344">
            <v>0.1134747124983551</v>
          </cell>
          <cell r="T344">
            <v>9.3399306716896321E-2</v>
          </cell>
          <cell r="U344">
            <v>7.2160627776563305E-2</v>
          </cell>
        </row>
        <row r="345">
          <cell r="B345" t="str">
            <v>LTM</v>
          </cell>
          <cell r="C345">
            <v>5.4031808035714286E-2</v>
          </cell>
          <cell r="D345">
            <v>1.0179753652108822E-2</v>
          </cell>
          <cell r="E345">
            <v>1.4822765723632088E-2</v>
          </cell>
          <cell r="F345">
            <v>4.8923231022393932E-2</v>
          </cell>
          <cell r="G345">
            <v>-2.3770411389612774E-2</v>
          </cell>
          <cell r="H345">
            <v>5.9944770133995101E-2</v>
          </cell>
          <cell r="I345">
            <v>5.8672951304775935E-2</v>
          </cell>
          <cell r="J345">
            <v>3.1829266926143913E-2</v>
          </cell>
          <cell r="K345">
            <v>3.5521845921950616E-2</v>
          </cell>
          <cell r="M345">
            <v>2.2420360318365685E-2</v>
          </cell>
          <cell r="N345">
            <v>0.10005337542877304</v>
          </cell>
          <cell r="O345">
            <v>4.9473895194281789E-2</v>
          </cell>
          <cell r="P345">
            <v>0.19173565581430119</v>
          </cell>
          <cell r="Q345">
            <v>7.6570908187763881E-2</v>
          </cell>
          <cell r="R345">
            <v>3.3385714485891907E-2</v>
          </cell>
          <cell r="S345">
            <v>0.11015999637374407</v>
          </cell>
          <cell r="T345">
            <v>8.3399986543303078E-2</v>
          </cell>
          <cell r="U345">
            <v>6.9161187079676278E-2</v>
          </cell>
        </row>
        <row r="346">
          <cell r="B346" t="str">
            <v>Unadjusted Net Debt</v>
          </cell>
        </row>
        <row r="347">
          <cell r="B347" t="str">
            <v>FY(2)</v>
          </cell>
          <cell r="C347">
            <v>438.44063685600293</v>
          </cell>
          <cell r="D347">
            <v>640.86940520445978</v>
          </cell>
          <cell r="E347">
            <v>7286.125</v>
          </cell>
          <cell r="F347">
            <v>228.000703241682</v>
          </cell>
          <cell r="G347">
            <v>408.79410000000001</v>
          </cell>
          <cell r="H347">
            <v>-222.63499999999999</v>
          </cell>
          <cell r="I347">
            <v>-69.103843504782958</v>
          </cell>
          <cell r="J347">
            <v>1244.3558573996229</v>
          </cell>
          <cell r="K347">
            <v>8710.4910017973598</v>
          </cell>
          <cell r="M347">
            <v>-648.52</v>
          </cell>
          <cell r="N347">
            <v>-111.926</v>
          </cell>
          <cell r="O347">
            <v>-619.93899999999906</v>
          </cell>
          <cell r="P347">
            <v>-695.80499999999995</v>
          </cell>
          <cell r="Q347">
            <v>-1387.99470245564</v>
          </cell>
          <cell r="R347">
            <v>664.67723789704996</v>
          </cell>
          <cell r="S347">
            <v>-199.67</v>
          </cell>
          <cell r="T347">
            <v>-428.45392350836988</v>
          </cell>
          <cell r="U347">
            <v>-2999.1774645585892</v>
          </cell>
        </row>
        <row r="348">
          <cell r="A348" t="str">
            <v>mscalc:totalCashIncludingShorttermInvestmentsForCac</v>
          </cell>
          <cell r="B348" t="str">
            <v>Cash &amp; ST Inv. (Unadjusted Cash on Hand)</v>
          </cell>
          <cell r="C348">
            <v>1400.9176368560052</v>
          </cell>
          <cell r="D348">
            <v>1175.8694052044598</v>
          </cell>
          <cell r="E348">
            <v>9170.1249999999964</v>
          </cell>
          <cell r="F348">
            <v>2139.5977032416822</v>
          </cell>
          <cell r="G348">
            <v>471.42610004233597</v>
          </cell>
          <cell r="H348">
            <v>-113.678</v>
          </cell>
          <cell r="I348">
            <v>102.38306178916901</v>
          </cell>
          <cell r="J348">
            <v>2049.5201295905213</v>
          </cell>
          <cell r="K348">
            <v>14346.640907133649</v>
          </cell>
          <cell r="M348">
            <v>-648.52</v>
          </cell>
          <cell r="N348">
            <v>-111.926</v>
          </cell>
          <cell r="O348">
            <v>-619.93899999999906</v>
          </cell>
          <cell r="P348">
            <v>-696.04</v>
          </cell>
          <cell r="Q348">
            <v>-1712.99470245564</v>
          </cell>
          <cell r="R348">
            <v>1886.3162378970501</v>
          </cell>
          <cell r="S348">
            <v>-199.67</v>
          </cell>
          <cell r="T348">
            <v>-300.39620922265561</v>
          </cell>
          <cell r="U348">
            <v>-2102.7734645585892</v>
          </cell>
        </row>
        <row r="349">
          <cell r="B349" t="str">
            <v>FY(2)</v>
          </cell>
          <cell r="C349">
            <v>663.65836314399496</v>
          </cell>
          <cell r="D349">
            <v>2532.1305947955402</v>
          </cell>
          <cell r="E349">
            <v>582.87500000000398</v>
          </cell>
          <cell r="F349">
            <v>357.40229675831802</v>
          </cell>
          <cell r="G349">
            <v>101.16189995766401</v>
          </cell>
          <cell r="H349">
            <v>263.678</v>
          </cell>
          <cell r="I349">
            <v>732.71093821083105</v>
          </cell>
          <cell r="J349">
            <v>747.65958469519319</v>
          </cell>
          <cell r="K349">
            <v>5233.6170928663523</v>
          </cell>
          <cell r="M349">
            <v>522.13461840902801</v>
          </cell>
          <cell r="N349">
            <v>228.53</v>
          </cell>
          <cell r="O349">
            <v>483.85199999999901</v>
          </cell>
          <cell r="P349">
            <v>698.90499999999997</v>
          </cell>
          <cell r="Q349">
            <v>1715</v>
          </cell>
          <cell r="R349">
            <v>1173.3968696837801</v>
          </cell>
          <cell r="S349">
            <v>365.983</v>
          </cell>
          <cell r="T349">
            <v>741.11449829897253</v>
          </cell>
          <cell r="U349">
            <v>5187.8014880928076</v>
          </cell>
        </row>
        <row r="350">
          <cell r="B350" t="str">
            <v>FY(1)</v>
          </cell>
          <cell r="C350">
            <v>676.15936314399596</v>
          </cell>
          <cell r="D350">
            <v>2351.6269754406999</v>
          </cell>
          <cell r="E350">
            <v>1305.875</v>
          </cell>
          <cell r="F350">
            <v>71.919296758318097</v>
          </cell>
          <cell r="G350">
            <v>14.0472478064653</v>
          </cell>
          <cell r="H350">
            <v>322.15537499999999</v>
          </cell>
          <cell r="I350">
            <v>452.817640130786</v>
          </cell>
          <cell r="J350">
            <v>742.08584261146666</v>
          </cell>
          <cell r="K350">
            <v>5194.6008982802668</v>
          </cell>
          <cell r="M350">
            <v>522.13461840902801</v>
          </cell>
          <cell r="N350">
            <v>228.53</v>
          </cell>
          <cell r="O350">
            <v>483.85199999999901</v>
          </cell>
          <cell r="P350">
            <v>698.90499999999997</v>
          </cell>
          <cell r="Q350">
            <v>1715</v>
          </cell>
          <cell r="R350">
            <v>1173.3968696837801</v>
          </cell>
          <cell r="S350">
            <v>365.983</v>
          </cell>
          <cell r="T350">
            <v>741.11449829897253</v>
          </cell>
          <cell r="U350">
            <v>5187.8014880928076</v>
          </cell>
        </row>
        <row r="351">
          <cell r="B351" t="str">
            <v>FY0</v>
          </cell>
          <cell r="C351">
            <v>2265.757363144</v>
          </cell>
          <cell r="D351">
            <v>3007.2089754407002</v>
          </cell>
          <cell r="E351">
            <v>1686.375</v>
          </cell>
          <cell r="F351">
            <v>794.71929675831802</v>
          </cell>
          <cell r="G351">
            <v>164.16725116241</v>
          </cell>
          <cell r="H351">
            <v>770.00937499999998</v>
          </cell>
          <cell r="I351">
            <v>1745.38064013079</v>
          </cell>
          <cell r="J351">
            <v>1490.5168430908884</v>
          </cell>
          <cell r="K351">
            <v>10433.617901636218</v>
          </cell>
          <cell r="M351">
            <v>727.57220840902801</v>
          </cell>
          <cell r="N351">
            <v>346.87931378455897</v>
          </cell>
          <cell r="O351">
            <v>698.63491999999906</v>
          </cell>
          <cell r="P351">
            <v>800.36199999999997</v>
          </cell>
          <cell r="Q351">
            <v>2574.8000000000002</v>
          </cell>
          <cell r="R351">
            <v>1804.384</v>
          </cell>
          <cell r="S351">
            <v>501.53600000000102</v>
          </cell>
          <cell r="T351">
            <v>1064.8812060276553</v>
          </cell>
          <cell r="U351">
            <v>7454.168442193587</v>
          </cell>
        </row>
        <row r="352">
          <cell r="B352" t="str">
            <v>FY1</v>
          </cell>
          <cell r="C352">
            <v>2856.51614066414</v>
          </cell>
          <cell r="D352">
            <v>2894.3353540059602</v>
          </cell>
          <cell r="E352">
            <v>2642.7166360280198</v>
          </cell>
          <cell r="F352">
            <v>803.77325799983203</v>
          </cell>
          <cell r="G352">
            <v>168.64782983552701</v>
          </cell>
          <cell r="H352">
            <v>877.70577551911504</v>
          </cell>
          <cell r="I352">
            <v>2246.3475460263999</v>
          </cell>
          <cell r="J352">
            <v>1784.2917914398563</v>
          </cell>
          <cell r="K352">
            <v>12490.042540078994</v>
          </cell>
          <cell r="M352">
            <v>655.20583485722204</v>
          </cell>
          <cell r="N352">
            <v>418.99402043374801</v>
          </cell>
          <cell r="O352">
            <v>788.63650584369498</v>
          </cell>
          <cell r="P352">
            <v>954.40471939409099</v>
          </cell>
          <cell r="Q352">
            <v>2478.3974420773002</v>
          </cell>
          <cell r="R352">
            <v>1753.2076471989801</v>
          </cell>
          <cell r="S352">
            <v>727.98320368492102</v>
          </cell>
          <cell r="T352">
            <v>1110.9756247842795</v>
          </cell>
          <cell r="U352">
            <v>7776.8293734899571</v>
          </cell>
        </row>
        <row r="353">
          <cell r="B353" t="str">
            <v>FY2</v>
          </cell>
          <cell r="C353">
            <v>2958.2194660018799</v>
          </cell>
          <cell r="D353">
            <v>2984.7676295696201</v>
          </cell>
          <cell r="E353">
            <v>3421.2931870386501</v>
          </cell>
          <cell r="F353">
            <v>776.76218468146806</v>
          </cell>
          <cell r="G353">
            <v>155.83245585719601</v>
          </cell>
          <cell r="H353">
            <v>1014.8548907238001</v>
          </cell>
          <cell r="I353">
            <v>2770.0936741191899</v>
          </cell>
          <cell r="J353">
            <v>2011.689069713115</v>
          </cell>
          <cell r="K353">
            <v>14081.823487991805</v>
          </cell>
          <cell r="M353">
            <v>545.06647740002302</v>
          </cell>
          <cell r="N353">
            <v>465.93234996454299</v>
          </cell>
          <cell r="O353">
            <v>950.79550408930095</v>
          </cell>
          <cell r="P353">
            <v>1107.9918350544999</v>
          </cell>
          <cell r="Q353">
            <v>2368.83194985604</v>
          </cell>
          <cell r="R353">
            <v>2087.7913938627498</v>
          </cell>
          <cell r="S353">
            <v>921.75489727911997</v>
          </cell>
          <cell r="T353">
            <v>1206.8806296437538</v>
          </cell>
          <cell r="U353">
            <v>8448.1644075062759</v>
          </cell>
        </row>
        <row r="354">
          <cell r="B354" t="str">
            <v>FQ(3)</v>
          </cell>
          <cell r="C354">
            <v>893.65736314399498</v>
          </cell>
          <cell r="D354">
            <v>2137.6269754406999</v>
          </cell>
          <cell r="E354">
            <v>294.87500000000398</v>
          </cell>
          <cell r="F354">
            <v>77.619296758318498</v>
          </cell>
          <cell r="G354">
            <v>13.828247806465299</v>
          </cell>
          <cell r="H354">
            <v>460.35537499999998</v>
          </cell>
          <cell r="I354">
            <v>1012.23464013079</v>
          </cell>
          <cell r="J354">
            <v>698.59955689718186</v>
          </cell>
          <cell r="K354">
            <v>4890.1968982802728</v>
          </cell>
          <cell r="M354">
            <v>463.72861840902902</v>
          </cell>
          <cell r="N354">
            <v>247.74700000000001</v>
          </cell>
          <cell r="O354">
            <v>449.33199999999999</v>
          </cell>
          <cell r="P354">
            <v>551.26700000000005</v>
          </cell>
          <cell r="Q354">
            <v>1708</v>
          </cell>
          <cell r="R354">
            <v>935.99786968377805</v>
          </cell>
          <cell r="S354">
            <v>297.625</v>
          </cell>
          <cell r="T354">
            <v>664.81392687040102</v>
          </cell>
          <cell r="U354">
            <v>4653.6974880928074</v>
          </cell>
        </row>
        <row r="355">
          <cell r="B355" t="str">
            <v>FQ(2)</v>
          </cell>
          <cell r="C355">
            <v>1353.757363144</v>
          </cell>
          <cell r="D355">
            <v>2312.0089754406999</v>
          </cell>
          <cell r="E355">
            <v>514.87500000000398</v>
          </cell>
          <cell r="F355">
            <v>518.619296758318</v>
          </cell>
          <cell r="G355">
            <v>16.548247806465302</v>
          </cell>
          <cell r="H355">
            <v>521.561375</v>
          </cell>
          <cell r="I355">
            <v>1426.59264013079</v>
          </cell>
          <cell r="J355">
            <v>951.99469975432532</v>
          </cell>
          <cell r="K355">
            <v>6663.9628982802769</v>
          </cell>
          <cell r="M355">
            <v>441.27420840902897</v>
          </cell>
          <cell r="N355">
            <v>245.45400000000001</v>
          </cell>
          <cell r="O355">
            <v>529.78800000000001</v>
          </cell>
          <cell r="P355">
            <v>800.36199999999997</v>
          </cell>
          <cell r="Q355">
            <v>2131</v>
          </cell>
          <cell r="R355">
            <v>1550.31486968378</v>
          </cell>
          <cell r="S355">
            <v>288.76</v>
          </cell>
          <cell r="T355">
            <v>855.27901115611553</v>
          </cell>
          <cell r="U355">
            <v>5986.9530780928089</v>
          </cell>
        </row>
        <row r="356">
          <cell r="B356" t="str">
            <v>FQ(1)</v>
          </cell>
          <cell r="C356">
            <v>1530.757363144</v>
          </cell>
          <cell r="D356">
            <v>2129.0089754406999</v>
          </cell>
          <cell r="E356">
            <v>488.87500000000398</v>
          </cell>
          <cell r="F356">
            <v>483.619296758318</v>
          </cell>
          <cell r="G356">
            <v>11.527851162409601</v>
          </cell>
          <cell r="H356">
            <v>577.14337499999999</v>
          </cell>
          <cell r="I356">
            <v>1445.3386401307901</v>
          </cell>
          <cell r="J356">
            <v>952.32435737660296</v>
          </cell>
          <cell r="K356">
            <v>6666.2705016362206</v>
          </cell>
          <cell r="M356">
            <v>526.36420840902895</v>
          </cell>
          <cell r="N356">
            <v>285.53031378455898</v>
          </cell>
          <cell r="O356">
            <v>515.90300000000002</v>
          </cell>
          <cell r="P356">
            <v>994.68</v>
          </cell>
          <cell r="Q356">
            <v>2398</v>
          </cell>
          <cell r="R356">
            <v>968.16886968377798</v>
          </cell>
          <cell r="S356">
            <v>418.39499999999998</v>
          </cell>
          <cell r="T356">
            <v>872.43448455390956</v>
          </cell>
          <cell r="U356">
            <v>6107.0413918773666</v>
          </cell>
        </row>
        <row r="357">
          <cell r="B357" t="str">
            <v>Last Reported Q</v>
          </cell>
          <cell r="C357">
            <v>2265.757363144</v>
          </cell>
          <cell r="D357">
            <v>3007.2089754407002</v>
          </cell>
          <cell r="E357">
            <v>1686.375</v>
          </cell>
          <cell r="F357">
            <v>794.71929675831802</v>
          </cell>
          <cell r="G357">
            <v>164.16725116241</v>
          </cell>
          <cell r="H357">
            <v>770.00937499999998</v>
          </cell>
          <cell r="I357">
            <v>1745.38064013079</v>
          </cell>
          <cell r="J357">
            <v>1490.5168430908884</v>
          </cell>
          <cell r="K357">
            <v>10433.617901636218</v>
          </cell>
          <cell r="M357">
            <v>727.57220840902801</v>
          </cell>
          <cell r="N357">
            <v>346.87931378455897</v>
          </cell>
          <cell r="O357">
            <v>698.63491999999906</v>
          </cell>
          <cell r="P357">
            <v>1103.1769999999999</v>
          </cell>
          <cell r="Q357">
            <v>2574.8000000000002</v>
          </cell>
          <cell r="R357">
            <v>1804.384</v>
          </cell>
          <cell r="S357">
            <v>501.53600000000102</v>
          </cell>
          <cell r="T357">
            <v>1108.1404917419411</v>
          </cell>
          <cell r="U357">
            <v>7756.9834421935875</v>
          </cell>
        </row>
        <row r="358">
          <cell r="A358" t="str">
            <v>mscalc:shareholdersEquityExcludingAdjustments2</v>
          </cell>
          <cell r="B358" t="str">
            <v>LTM</v>
          </cell>
          <cell r="C358">
            <v>2265.757363144</v>
          </cell>
          <cell r="D358">
            <v>3007.2089754407002</v>
          </cell>
          <cell r="E358">
            <v>1686.375</v>
          </cell>
          <cell r="F358">
            <v>794.71929675831802</v>
          </cell>
          <cell r="G358">
            <v>164.16725116241</v>
          </cell>
          <cell r="H358">
            <v>770.00937499999998</v>
          </cell>
          <cell r="I358">
            <v>1745.38064013079</v>
          </cell>
          <cell r="J358">
            <v>1490.5168430908884</v>
          </cell>
          <cell r="K358">
            <v>10433.617901636218</v>
          </cell>
          <cell r="M358">
            <v>727.57220840902801</v>
          </cell>
          <cell r="N358">
            <v>346.87931378455897</v>
          </cell>
          <cell r="O358">
            <v>698.63491999999906</v>
          </cell>
          <cell r="P358">
            <v>1103.1769999999999</v>
          </cell>
          <cell r="Q358">
            <v>2574.8000000000002</v>
          </cell>
          <cell r="R358">
            <v>1804.384</v>
          </cell>
          <cell r="S358">
            <v>501.53600000000102</v>
          </cell>
          <cell r="T358">
            <v>1108.1404917419411</v>
          </cell>
          <cell r="U358">
            <v>7756.9834421935875</v>
          </cell>
        </row>
        <row r="359">
          <cell r="B359" t="str">
            <v>FY(2)</v>
          </cell>
          <cell r="C359">
            <v>5603.3950000000004</v>
          </cell>
          <cell r="D359">
            <v>4288</v>
          </cell>
          <cell r="E359">
            <v>12254</v>
          </cell>
          <cell r="F359">
            <v>2168.5210000000002</v>
          </cell>
          <cell r="G359">
            <v>1096.1389999999999</v>
          </cell>
          <cell r="H359">
            <v>909.83</v>
          </cell>
          <cell r="I359">
            <v>2290.1210000000001</v>
          </cell>
          <cell r="J359">
            <v>4087.1437142857144</v>
          </cell>
          <cell r="K359">
            <v>28610.006000000001</v>
          </cell>
          <cell r="M359">
            <v>1405.297</v>
          </cell>
          <cell r="N359">
            <v>312.11599999999999</v>
          </cell>
          <cell r="O359">
            <v>1417.3119999999999</v>
          </cell>
          <cell r="P359">
            <v>1910.354</v>
          </cell>
          <cell r="Q359">
            <v>5174</v>
          </cell>
          <cell r="R359">
            <v>2955</v>
          </cell>
          <cell r="S359">
            <v>675.28300000000002</v>
          </cell>
          <cell r="T359">
            <v>1978.4802857142856</v>
          </cell>
          <cell r="U359">
            <v>13849.361999999999</v>
          </cell>
        </row>
        <row r="360">
          <cell r="A360" t="str">
            <v>mstag:shortTermBorrowings</v>
          </cell>
          <cell r="B360" t="str">
            <v>ST. Debt</v>
          </cell>
          <cell r="C360">
            <v>6101.6030000000001</v>
          </cell>
          <cell r="D360">
            <v>5312</v>
          </cell>
          <cell r="E360">
            <v>9907</v>
          </cell>
          <cell r="F360">
            <v>1115</v>
          </cell>
          <cell r="G360">
            <v>1175.3088999576601</v>
          </cell>
          <cell r="H360">
            <v>970.649</v>
          </cell>
          <cell r="I360">
            <v>2131.2449999999999</v>
          </cell>
          <cell r="J360">
            <v>3816.11512856538</v>
          </cell>
          <cell r="K360">
            <v>26712.805899957661</v>
          </cell>
          <cell r="M360">
            <v>1618.3130000000001</v>
          </cell>
          <cell r="N360">
            <v>197.27600000000001</v>
          </cell>
          <cell r="O360">
            <v>1340.4639999999999</v>
          </cell>
          <cell r="P360">
            <v>1490.375</v>
          </cell>
          <cell r="Q360">
            <v>4274</v>
          </cell>
          <cell r="R360">
            <v>2219.23776210295</v>
          </cell>
          <cell r="S360">
            <v>853.43100000000004</v>
          </cell>
          <cell r="T360">
            <v>1713.2995374432787</v>
          </cell>
          <cell r="U360">
            <v>11993.09676210295</v>
          </cell>
        </row>
        <row r="361">
          <cell r="B361" t="str">
            <v>FY(2)</v>
          </cell>
          <cell r="C361">
            <v>12.701000000000001</v>
          </cell>
          <cell r="D361">
            <v>203</v>
          </cell>
          <cell r="E361">
            <v>666</v>
          </cell>
          <cell r="F361">
            <v>261</v>
          </cell>
          <cell r="G361">
            <v>319.24200000000002</v>
          </cell>
          <cell r="H361">
            <v>0</v>
          </cell>
          <cell r="I361">
            <v>2.008</v>
          </cell>
          <cell r="J361">
            <v>209.13585714285713</v>
          </cell>
          <cell r="K361">
            <v>1463.951</v>
          </cell>
          <cell r="M361">
            <v>0</v>
          </cell>
          <cell r="N361">
            <v>0</v>
          </cell>
          <cell r="O361">
            <v>0</v>
          </cell>
          <cell r="P361">
            <v>0.23499999999999999</v>
          </cell>
          <cell r="Q361">
            <v>138</v>
          </cell>
          <cell r="R361">
            <v>0</v>
          </cell>
          <cell r="S361" t="str">
            <v>NA</v>
          </cell>
          <cell r="T361">
            <v>23.03916666666667</v>
          </cell>
          <cell r="U361">
            <v>138.23500000000001</v>
          </cell>
        </row>
        <row r="362">
          <cell r="B362" t="str">
            <v>FY(1)</v>
          </cell>
          <cell r="C362">
            <v>17</v>
          </cell>
          <cell r="D362">
            <v>0</v>
          </cell>
          <cell r="E362">
            <v>966</v>
          </cell>
          <cell r="F362">
            <v>299</v>
          </cell>
          <cell r="G362">
            <v>4.673</v>
          </cell>
          <cell r="H362">
            <v>0</v>
          </cell>
          <cell r="I362">
            <v>395.02699999999999</v>
          </cell>
          <cell r="J362">
            <v>240.24285714285716</v>
          </cell>
          <cell r="K362">
            <v>1681.7</v>
          </cell>
          <cell r="M362">
            <v>0</v>
          </cell>
          <cell r="N362">
            <v>0</v>
          </cell>
          <cell r="O362">
            <v>75</v>
          </cell>
          <cell r="P362">
            <v>0.28499999999999998</v>
          </cell>
          <cell r="Q362">
            <v>50</v>
          </cell>
          <cell r="R362">
            <v>0</v>
          </cell>
          <cell r="S362" t="str">
            <v>NA</v>
          </cell>
          <cell r="T362">
            <v>20.880833333333332</v>
          </cell>
          <cell r="U362">
            <v>125.285</v>
          </cell>
        </row>
        <row r="363">
          <cell r="B363" t="str">
            <v>FY0</v>
          </cell>
          <cell r="C363">
            <v>16</v>
          </cell>
          <cell r="D363">
            <v>393</v>
          </cell>
          <cell r="E363">
            <v>242</v>
          </cell>
          <cell r="F363">
            <v>356</v>
          </cell>
          <cell r="G363">
            <v>27.856999999999999</v>
          </cell>
          <cell r="H363">
            <v>0</v>
          </cell>
          <cell r="I363">
            <v>0</v>
          </cell>
          <cell r="J363">
            <v>147.83671428571429</v>
          </cell>
          <cell r="K363">
            <v>1034.857</v>
          </cell>
          <cell r="M363">
            <v>11.61</v>
          </cell>
          <cell r="N363">
            <v>0</v>
          </cell>
          <cell r="O363">
            <v>30</v>
          </cell>
          <cell r="P363">
            <v>8.0039999999999996</v>
          </cell>
          <cell r="Q363">
            <v>0</v>
          </cell>
          <cell r="R363">
            <v>0</v>
          </cell>
          <cell r="S363" t="str">
            <v>NA</v>
          </cell>
          <cell r="T363">
            <v>8.2690000000000001</v>
          </cell>
          <cell r="U363">
            <v>49.613999999999997</v>
          </cell>
        </row>
        <row r="364">
          <cell r="B364" t="str">
            <v>FY1</v>
          </cell>
          <cell r="C364">
            <v>16</v>
          </cell>
          <cell r="D364">
            <v>393</v>
          </cell>
          <cell r="E364">
            <v>242</v>
          </cell>
          <cell r="F364">
            <v>6</v>
          </cell>
          <cell r="G364">
            <v>27.856999999999999</v>
          </cell>
          <cell r="H364">
            <v>0</v>
          </cell>
          <cell r="I364">
            <v>0</v>
          </cell>
          <cell r="J364">
            <v>97.83671428571428</v>
          </cell>
          <cell r="K364">
            <v>684.85699999999997</v>
          </cell>
          <cell r="M364">
            <v>11.61</v>
          </cell>
          <cell r="N364">
            <v>0</v>
          </cell>
          <cell r="O364">
            <v>30</v>
          </cell>
          <cell r="P364">
            <v>0.73699999999999999</v>
          </cell>
          <cell r="Q364">
            <v>0</v>
          </cell>
          <cell r="R364">
            <v>0</v>
          </cell>
          <cell r="S364" t="str">
            <v>NA</v>
          </cell>
          <cell r="T364">
            <v>7.0578333333333338</v>
          </cell>
          <cell r="U364">
            <v>42.347000000000001</v>
          </cell>
        </row>
        <row r="365">
          <cell r="B365" t="str">
            <v>FY2</v>
          </cell>
          <cell r="C365">
            <v>16</v>
          </cell>
          <cell r="D365">
            <v>393</v>
          </cell>
          <cell r="E365">
            <v>242</v>
          </cell>
          <cell r="F365">
            <v>6</v>
          </cell>
          <cell r="G365">
            <v>27.856999999999999</v>
          </cell>
          <cell r="H365">
            <v>0</v>
          </cell>
          <cell r="I365">
            <v>0</v>
          </cell>
          <cell r="J365">
            <v>97.83671428571428</v>
          </cell>
          <cell r="K365">
            <v>684.85699999999997</v>
          </cell>
          <cell r="M365">
            <v>11.61</v>
          </cell>
          <cell r="N365">
            <v>0</v>
          </cell>
          <cell r="O365">
            <v>30</v>
          </cell>
          <cell r="P365">
            <v>0</v>
          </cell>
          <cell r="Q365">
            <v>0</v>
          </cell>
          <cell r="R365">
            <v>0</v>
          </cell>
          <cell r="S365" t="str">
            <v>NA</v>
          </cell>
          <cell r="T365">
            <v>6.9349999999999996</v>
          </cell>
          <cell r="U365">
            <v>41.61</v>
          </cell>
        </row>
        <row r="366">
          <cell r="B366" t="str">
            <v>FQ(3)</v>
          </cell>
          <cell r="C366">
            <v>17</v>
          </cell>
          <cell r="D366">
            <v>506</v>
          </cell>
          <cell r="E366">
            <v>135</v>
          </cell>
          <cell r="F366">
            <v>500</v>
          </cell>
          <cell r="G366">
            <v>4.6859999999999999</v>
          </cell>
          <cell r="H366">
            <v>0</v>
          </cell>
          <cell r="I366">
            <v>744.44500000000005</v>
          </cell>
          <cell r="J366">
            <v>272.44728571428567</v>
          </cell>
          <cell r="K366">
            <v>1907.1309999999999</v>
          </cell>
          <cell r="M366">
            <v>0</v>
          </cell>
          <cell r="N366">
            <v>0</v>
          </cell>
          <cell r="O366">
            <v>75</v>
          </cell>
          <cell r="P366">
            <v>2.4900000000000002</v>
          </cell>
          <cell r="Q366">
            <v>0</v>
          </cell>
          <cell r="R366">
            <v>0</v>
          </cell>
          <cell r="S366" t="str">
            <v>NA</v>
          </cell>
          <cell r="T366">
            <v>12.914999999999999</v>
          </cell>
          <cell r="U366">
            <v>77.489999999999995</v>
          </cell>
        </row>
        <row r="367">
          <cell r="B367" t="str">
            <v>FQ(2)</v>
          </cell>
          <cell r="C367">
            <v>16</v>
          </cell>
          <cell r="D367">
            <v>393</v>
          </cell>
          <cell r="E367">
            <v>92</v>
          </cell>
          <cell r="F367">
            <v>375</v>
          </cell>
          <cell r="G367">
            <v>4.7290000000000001</v>
          </cell>
          <cell r="H367">
            <v>0</v>
          </cell>
          <cell r="I367">
            <v>421.20600000000002</v>
          </cell>
          <cell r="J367">
            <v>185.99071428571429</v>
          </cell>
          <cell r="K367">
            <v>1301.9349999999999</v>
          </cell>
          <cell r="M367">
            <v>0</v>
          </cell>
          <cell r="N367">
            <v>0</v>
          </cell>
          <cell r="O367">
            <v>75</v>
          </cell>
          <cell r="P367">
            <v>8.0039999999999996</v>
          </cell>
          <cell r="Q367">
            <v>0</v>
          </cell>
          <cell r="R367">
            <v>0</v>
          </cell>
          <cell r="S367" t="str">
            <v>NA</v>
          </cell>
          <cell r="T367">
            <v>13.834000000000001</v>
          </cell>
          <cell r="U367">
            <v>83.004000000000005</v>
          </cell>
        </row>
        <row r="368">
          <cell r="B368" t="str">
            <v>FQ(1)</v>
          </cell>
          <cell r="C368">
            <v>17</v>
          </cell>
          <cell r="D368">
            <v>393</v>
          </cell>
          <cell r="E368">
            <v>92</v>
          </cell>
          <cell r="F368">
            <v>356</v>
          </cell>
          <cell r="G368">
            <v>4.8470000000000004</v>
          </cell>
          <cell r="H368">
            <v>0</v>
          </cell>
          <cell r="I368">
            <v>202.667</v>
          </cell>
          <cell r="J368">
            <v>152.2162857142857</v>
          </cell>
          <cell r="K368">
            <v>1065.5139999999999</v>
          </cell>
          <cell r="M368">
            <v>0</v>
          </cell>
          <cell r="N368">
            <v>0</v>
          </cell>
          <cell r="O368">
            <v>50</v>
          </cell>
          <cell r="P368">
            <v>0.70399999999999996</v>
          </cell>
          <cell r="Q368">
            <v>0</v>
          </cell>
          <cell r="R368">
            <v>0</v>
          </cell>
          <cell r="S368" t="str">
            <v>NA</v>
          </cell>
          <cell r="T368">
            <v>8.4506666666666668</v>
          </cell>
          <cell r="U368">
            <v>50.704000000000001</v>
          </cell>
        </row>
        <row r="369">
          <cell r="B369" t="str">
            <v>Last Reported Q</v>
          </cell>
          <cell r="C369">
            <v>16</v>
          </cell>
          <cell r="D369">
            <v>393</v>
          </cell>
          <cell r="E369">
            <v>242</v>
          </cell>
          <cell r="F369">
            <v>356</v>
          </cell>
          <cell r="G369">
            <v>27.856999999999999</v>
          </cell>
          <cell r="H369">
            <v>0</v>
          </cell>
          <cell r="I369">
            <v>0</v>
          </cell>
          <cell r="J369">
            <v>147.83671428571429</v>
          </cell>
          <cell r="K369">
            <v>1034.857</v>
          </cell>
          <cell r="M369">
            <v>11.61</v>
          </cell>
          <cell r="N369">
            <v>0</v>
          </cell>
          <cell r="O369">
            <v>30</v>
          </cell>
          <cell r="P369">
            <v>0.73699999999999999</v>
          </cell>
          <cell r="Q369">
            <v>0</v>
          </cell>
          <cell r="R369">
            <v>0</v>
          </cell>
          <cell r="S369" t="str">
            <v>NA</v>
          </cell>
          <cell r="T369">
            <v>7.0578333333333338</v>
          </cell>
          <cell r="U369">
            <v>42.347000000000001</v>
          </cell>
        </row>
        <row r="370">
          <cell r="B370" t="str">
            <v>LTM</v>
          </cell>
          <cell r="C370">
            <v>16</v>
          </cell>
          <cell r="D370">
            <v>393</v>
          </cell>
          <cell r="E370">
            <v>242</v>
          </cell>
          <cell r="F370">
            <v>356</v>
          </cell>
          <cell r="G370">
            <v>27.856999999999999</v>
          </cell>
          <cell r="H370">
            <v>0</v>
          </cell>
          <cell r="I370">
            <v>0</v>
          </cell>
          <cell r="J370">
            <v>147.83671428571429</v>
          </cell>
          <cell r="K370">
            <v>1034.857</v>
          </cell>
          <cell r="M370">
            <v>11.61</v>
          </cell>
          <cell r="N370">
            <v>0</v>
          </cell>
          <cell r="O370">
            <v>30</v>
          </cell>
          <cell r="P370">
            <v>0.73699999999999999</v>
          </cell>
          <cell r="Q370">
            <v>0</v>
          </cell>
          <cell r="R370">
            <v>0</v>
          </cell>
          <cell r="S370" t="str">
            <v>NA</v>
          </cell>
          <cell r="T370">
            <v>7.0578333333333338</v>
          </cell>
          <cell r="U370">
            <v>42.347000000000001</v>
          </cell>
        </row>
        <row r="371">
          <cell r="B371" t="str">
            <v>FY(2)</v>
          </cell>
          <cell r="C371">
            <v>6662.2930000000006</v>
          </cell>
          <cell r="D371">
            <v>7732</v>
          </cell>
          <cell r="E371">
            <v>20751</v>
          </cell>
          <cell r="F371">
            <v>2798.973</v>
          </cell>
          <cell r="G371">
            <v>1782.8159999999998</v>
          </cell>
          <cell r="H371">
            <v>1059.83</v>
          </cell>
          <cell r="I371">
            <v>3077.62</v>
          </cell>
          <cell r="J371">
            <v>6266.3617142857156</v>
          </cell>
          <cell r="K371">
            <v>43864.532000000007</v>
          </cell>
          <cell r="M371">
            <v>1405.297</v>
          </cell>
          <cell r="N371">
            <v>312.11599999999999</v>
          </cell>
          <cell r="O371">
            <v>1417.3119999999999</v>
          </cell>
          <cell r="P371">
            <v>1913.454</v>
          </cell>
          <cell r="Q371">
            <v>5687</v>
          </cell>
          <cell r="R371">
            <v>4638</v>
          </cell>
          <cell r="S371">
            <v>675.28300000000002</v>
          </cell>
          <cell r="T371">
            <v>2292.6374285714287</v>
          </cell>
          <cell r="U371">
            <v>16048.462</v>
          </cell>
        </row>
        <row r="372">
          <cell r="A372" t="str">
            <v>mstag:longTermDebt</v>
          </cell>
          <cell r="B372" t="str">
            <v>LT. Debt</v>
          </cell>
          <cell r="C372">
            <v>8166.1790000000001</v>
          </cell>
          <cell r="D372">
            <v>9020</v>
          </cell>
          <cell r="E372">
            <v>19660</v>
          </cell>
          <cell r="F372">
            <v>3612</v>
          </cell>
          <cell r="G372">
            <v>1747.89689995766</v>
          </cell>
          <cell r="H372">
            <v>1120.6489999999999</v>
          </cell>
          <cell r="I372">
            <v>2966.3389999999999</v>
          </cell>
          <cell r="J372">
            <v>6613.2948428510945</v>
          </cell>
          <cell r="K372">
            <v>46293.063899957662</v>
          </cell>
          <cell r="M372">
            <v>1618.3130000000001</v>
          </cell>
          <cell r="N372">
            <v>197.27600000000001</v>
          </cell>
          <cell r="O372">
            <v>1340.4639999999999</v>
          </cell>
          <cell r="P372">
            <v>1493.24</v>
          </cell>
          <cell r="Q372">
            <v>4462</v>
          </cell>
          <cell r="R372">
            <v>5123.8767621029501</v>
          </cell>
          <cell r="S372">
            <v>853.43100000000004</v>
          </cell>
          <cell r="T372">
            <v>2155.5143945861355</v>
          </cell>
          <cell r="U372">
            <v>15088.600762102949</v>
          </cell>
        </row>
        <row r="373">
          <cell r="B373" t="str">
            <v>FY(2)</v>
          </cell>
          <cell r="C373">
            <v>2051.875</v>
          </cell>
          <cell r="D373">
            <v>3505</v>
          </cell>
          <cell r="E373">
            <v>9087</v>
          </cell>
          <cell r="F373">
            <v>2236</v>
          </cell>
          <cell r="G373">
            <v>253.346</v>
          </cell>
          <cell r="H373">
            <v>150</v>
          </cell>
          <cell r="I373">
            <v>833.08600000000001</v>
          </cell>
          <cell r="J373">
            <v>2588.0438571428572</v>
          </cell>
          <cell r="K373">
            <v>18116.307000000001</v>
          </cell>
          <cell r="M373">
            <v>0</v>
          </cell>
          <cell r="N373" t="str">
            <v>NA</v>
          </cell>
          <cell r="O373">
            <v>0</v>
          </cell>
          <cell r="P373">
            <v>2.8650000000000002</v>
          </cell>
          <cell r="Q373">
            <v>50</v>
          </cell>
          <cell r="R373">
            <v>2904.6390000000001</v>
          </cell>
          <cell r="S373">
            <v>0</v>
          </cell>
          <cell r="T373">
            <v>492.91733333333332</v>
          </cell>
          <cell r="U373">
            <v>2957.5039999999999</v>
          </cell>
        </row>
        <row r="374">
          <cell r="B374" t="str">
            <v>FY(1)</v>
          </cell>
          <cell r="C374">
            <v>2053</v>
          </cell>
          <cell r="D374">
            <v>3505</v>
          </cell>
          <cell r="E374">
            <v>8733</v>
          </cell>
          <cell r="F374">
            <v>2214</v>
          </cell>
          <cell r="G374">
            <v>635.4</v>
          </cell>
          <cell r="H374">
            <v>150</v>
          </cell>
          <cell r="I374">
            <v>383.78199999999998</v>
          </cell>
          <cell r="J374">
            <v>2524.883142857143</v>
          </cell>
          <cell r="K374">
            <v>17674.182000000001</v>
          </cell>
          <cell r="M374">
            <v>100</v>
          </cell>
          <cell r="N374" t="str">
            <v>NA</v>
          </cell>
          <cell r="O374">
            <v>0</v>
          </cell>
          <cell r="P374">
            <v>2.58</v>
          </cell>
          <cell r="Q374">
            <v>0</v>
          </cell>
          <cell r="R374">
            <v>2897.114</v>
          </cell>
          <cell r="S374">
            <v>0</v>
          </cell>
          <cell r="T374">
            <v>499.94900000000001</v>
          </cell>
          <cell r="U374">
            <v>2999.694</v>
          </cell>
        </row>
        <row r="375">
          <cell r="B375" t="str">
            <v>FY0</v>
          </cell>
          <cell r="C375">
            <v>2052</v>
          </cell>
          <cell r="D375">
            <v>2999</v>
          </cell>
          <cell r="E375">
            <v>8456</v>
          </cell>
          <cell r="F375">
            <v>2257</v>
          </cell>
          <cell r="G375">
            <v>493.33</v>
          </cell>
          <cell r="H375">
            <v>150</v>
          </cell>
          <cell r="I375">
            <v>774.3</v>
          </cell>
          <cell r="J375">
            <v>2454.5185714285717</v>
          </cell>
          <cell r="K375">
            <v>17181.63</v>
          </cell>
          <cell r="M375">
            <v>71.212999999999994</v>
          </cell>
          <cell r="N375" t="str">
            <v>NA</v>
          </cell>
          <cell r="O375">
            <v>0</v>
          </cell>
          <cell r="P375">
            <v>25.071999999999999</v>
          </cell>
          <cell r="Q375">
            <v>0</v>
          </cell>
          <cell r="R375">
            <v>2722.8130000000001</v>
          </cell>
          <cell r="S375">
            <v>0</v>
          </cell>
          <cell r="T375">
            <v>469.84966666666668</v>
          </cell>
          <cell r="U375">
            <v>2819.098</v>
          </cell>
        </row>
        <row r="376">
          <cell r="B376" t="str">
            <v>FY1</v>
          </cell>
          <cell r="C376">
            <v>2052</v>
          </cell>
          <cell r="D376">
            <v>2606</v>
          </cell>
          <cell r="E376">
            <v>8218</v>
          </cell>
          <cell r="F376">
            <v>2382</v>
          </cell>
          <cell r="G376">
            <v>470.33</v>
          </cell>
          <cell r="H376">
            <v>150</v>
          </cell>
          <cell r="I376">
            <v>774.3</v>
          </cell>
          <cell r="J376">
            <v>2378.9471428571428</v>
          </cell>
          <cell r="K376">
            <v>16652.63</v>
          </cell>
          <cell r="M376">
            <v>71.212999999999994</v>
          </cell>
          <cell r="N376" t="str">
            <v>NA</v>
          </cell>
          <cell r="O376">
            <v>0</v>
          </cell>
          <cell r="P376">
            <v>24.338999999999999</v>
          </cell>
          <cell r="Q376">
            <v>0</v>
          </cell>
          <cell r="R376">
            <v>2722.8130000000001</v>
          </cell>
          <cell r="S376">
            <v>0</v>
          </cell>
          <cell r="T376">
            <v>469.72750000000002</v>
          </cell>
          <cell r="U376">
            <v>2818.3650000000002</v>
          </cell>
        </row>
        <row r="377">
          <cell r="B377" t="str">
            <v>FY2</v>
          </cell>
          <cell r="C377">
            <v>1636</v>
          </cell>
          <cell r="D377">
            <v>2606</v>
          </cell>
          <cell r="E377">
            <v>7556</v>
          </cell>
          <cell r="F377">
            <v>2382</v>
          </cell>
          <cell r="G377">
            <v>378.33</v>
          </cell>
          <cell r="H377">
            <v>150</v>
          </cell>
          <cell r="I377">
            <v>774.3</v>
          </cell>
          <cell r="J377">
            <v>2211.8042857142855</v>
          </cell>
          <cell r="K377">
            <v>15482.63</v>
          </cell>
          <cell r="M377">
            <v>71.212999999999994</v>
          </cell>
          <cell r="N377" t="str">
            <v>NA</v>
          </cell>
          <cell r="O377">
            <v>0</v>
          </cell>
          <cell r="P377">
            <v>25.076000000000001</v>
          </cell>
          <cell r="Q377">
            <v>0</v>
          </cell>
          <cell r="R377">
            <v>2722.8130000000001</v>
          </cell>
          <cell r="S377">
            <v>0</v>
          </cell>
          <cell r="T377">
            <v>469.85033333333331</v>
          </cell>
          <cell r="U377">
            <v>2819.1019999999999</v>
          </cell>
        </row>
        <row r="378">
          <cell r="B378" t="str">
            <v>FQ(3)</v>
          </cell>
          <cell r="C378">
            <v>2056</v>
          </cell>
          <cell r="D378">
            <v>2999</v>
          </cell>
          <cell r="E378">
            <v>8719</v>
          </cell>
          <cell r="F378">
            <v>2002</v>
          </cell>
          <cell r="G378">
            <v>631.94000000000005</v>
          </cell>
          <cell r="H378">
            <v>150</v>
          </cell>
          <cell r="I378">
            <v>391.93099999999998</v>
          </cell>
          <cell r="J378">
            <v>2421.4101428571425</v>
          </cell>
          <cell r="K378">
            <v>16949.870999999999</v>
          </cell>
          <cell r="M378">
            <v>100</v>
          </cell>
          <cell r="N378" t="str">
            <v>NA</v>
          </cell>
          <cell r="O378">
            <v>0</v>
          </cell>
          <cell r="P378">
            <v>24.986000000000001</v>
          </cell>
          <cell r="Q378">
            <v>0</v>
          </cell>
          <cell r="R378">
            <v>2897.297</v>
          </cell>
          <cell r="S378">
            <v>0</v>
          </cell>
          <cell r="T378">
            <v>503.7138333333333</v>
          </cell>
          <cell r="U378">
            <v>3022.2829999999999</v>
          </cell>
        </row>
        <row r="379">
          <cell r="B379" t="str">
            <v>FQ(2)</v>
          </cell>
          <cell r="C379">
            <v>2053</v>
          </cell>
          <cell r="D379">
            <v>2999</v>
          </cell>
          <cell r="E379">
            <v>8632</v>
          </cell>
          <cell r="F379">
            <v>2260</v>
          </cell>
          <cell r="G379">
            <v>598.07899999999995</v>
          </cell>
          <cell r="H379">
            <v>150</v>
          </cell>
          <cell r="I379">
            <v>791.33199999999999</v>
          </cell>
          <cell r="J379">
            <v>2497.6301428571428</v>
          </cell>
          <cell r="K379">
            <v>17483.411</v>
          </cell>
          <cell r="M379">
            <v>36.729999999999997</v>
          </cell>
          <cell r="N379" t="str">
            <v>NA</v>
          </cell>
          <cell r="O379">
            <v>0</v>
          </cell>
          <cell r="P379">
            <v>25.071999999999999</v>
          </cell>
          <cell r="Q379">
            <v>0</v>
          </cell>
          <cell r="R379">
            <v>3251</v>
          </cell>
          <cell r="S379">
            <v>0</v>
          </cell>
          <cell r="T379">
            <v>552.13366666666673</v>
          </cell>
          <cell r="U379">
            <v>3312.8020000000001</v>
          </cell>
        </row>
        <row r="380">
          <cell r="B380" t="str">
            <v>FQ(1)</v>
          </cell>
          <cell r="C380">
            <v>2054</v>
          </cell>
          <cell r="D380">
            <v>2999</v>
          </cell>
          <cell r="E380">
            <v>8618</v>
          </cell>
          <cell r="F380">
            <v>2259</v>
          </cell>
          <cell r="G380">
            <v>514.60599999999999</v>
          </cell>
          <cell r="H380">
            <v>150</v>
          </cell>
          <cell r="I380">
            <v>790.75699999999995</v>
          </cell>
          <cell r="J380">
            <v>2483.6232857142859</v>
          </cell>
          <cell r="K380">
            <v>17385.363000000001</v>
          </cell>
          <cell r="M380">
            <v>50.582000000000001</v>
          </cell>
          <cell r="N380" t="str">
            <v>NA</v>
          </cell>
          <cell r="O380">
            <v>0</v>
          </cell>
          <cell r="P380">
            <v>24.428999999999998</v>
          </cell>
          <cell r="Q380">
            <v>0</v>
          </cell>
          <cell r="R380">
            <v>2880.2820000000002</v>
          </cell>
          <cell r="S380">
            <v>0</v>
          </cell>
          <cell r="T380">
            <v>492.54883333333333</v>
          </cell>
          <cell r="U380">
            <v>2955.2930000000001</v>
          </cell>
        </row>
        <row r="381">
          <cell r="B381" t="str">
            <v>Last Reported Q</v>
          </cell>
          <cell r="C381">
            <v>2052</v>
          </cell>
          <cell r="D381">
            <v>2999</v>
          </cell>
          <cell r="E381">
            <v>8456</v>
          </cell>
          <cell r="F381">
            <v>2257</v>
          </cell>
          <cell r="G381">
            <v>493.33</v>
          </cell>
          <cell r="H381">
            <v>150</v>
          </cell>
          <cell r="I381">
            <v>774.3</v>
          </cell>
          <cell r="J381">
            <v>2454.5185714285717</v>
          </cell>
          <cell r="K381">
            <v>17181.63</v>
          </cell>
          <cell r="M381">
            <v>71.212999999999994</v>
          </cell>
          <cell r="N381" t="str">
            <v>NA</v>
          </cell>
          <cell r="O381">
            <v>0</v>
          </cell>
          <cell r="P381">
            <v>24.338999999999999</v>
          </cell>
          <cell r="Q381">
            <v>0</v>
          </cell>
          <cell r="R381">
            <v>2722.8130000000001</v>
          </cell>
          <cell r="S381">
            <v>0</v>
          </cell>
          <cell r="T381">
            <v>469.72750000000002</v>
          </cell>
          <cell r="U381">
            <v>2818.3650000000002</v>
          </cell>
        </row>
        <row r="382">
          <cell r="B382" t="str">
            <v>LTM</v>
          </cell>
          <cell r="C382">
            <v>2052</v>
          </cell>
          <cell r="D382">
            <v>2999</v>
          </cell>
          <cell r="E382">
            <v>8456</v>
          </cell>
          <cell r="F382">
            <v>2257</v>
          </cell>
          <cell r="G382">
            <v>493.33</v>
          </cell>
          <cell r="H382">
            <v>150</v>
          </cell>
          <cell r="I382">
            <v>774.3</v>
          </cell>
          <cell r="J382">
            <v>2454.5185714285717</v>
          </cell>
          <cell r="K382">
            <v>17181.63</v>
          </cell>
          <cell r="M382">
            <v>71.212999999999994</v>
          </cell>
          <cell r="N382" t="str">
            <v>NA</v>
          </cell>
          <cell r="O382">
            <v>0</v>
          </cell>
          <cell r="P382">
            <v>24.338999999999999</v>
          </cell>
          <cell r="Q382">
            <v>0</v>
          </cell>
          <cell r="R382">
            <v>2722.8130000000001</v>
          </cell>
          <cell r="S382">
            <v>0</v>
          </cell>
          <cell r="T382">
            <v>469.72750000000002</v>
          </cell>
          <cell r="U382">
            <v>2818.3650000000002</v>
          </cell>
        </row>
        <row r="383">
          <cell r="B383" t="str">
            <v>FY(2)</v>
          </cell>
          <cell r="C383" t="e">
            <v>#VALUE!</v>
          </cell>
          <cell r="D383" t="e">
            <v>#VALUE!</v>
          </cell>
          <cell r="E383" t="e">
            <v>#VALUE!</v>
          </cell>
          <cell r="F383" t="e">
            <v>#VALUE!</v>
          </cell>
          <cell r="G383" t="e">
            <v>#VALUE!</v>
          </cell>
          <cell r="H383" t="e">
            <v>#VALUE!</v>
          </cell>
          <cell r="I383" t="e">
            <v>#VALUE!</v>
          </cell>
          <cell r="J383" t="e">
            <v>#VALUE!</v>
          </cell>
          <cell r="K383" t="e">
            <v>#VALUE!</v>
          </cell>
          <cell r="M383" t="e">
            <v>#VALUE!</v>
          </cell>
          <cell r="N383" t="e">
            <v>#VALUE!</v>
          </cell>
          <cell r="O383" t="e">
            <v>#VALUE!</v>
          </cell>
          <cell r="P383" t="e">
            <v>#VALUE!</v>
          </cell>
          <cell r="Q383" t="e">
            <v>#VALUE!</v>
          </cell>
          <cell r="R383" t="e">
            <v>#VALUE!</v>
          </cell>
          <cell r="S383" t="e">
            <v>#VALUE!</v>
          </cell>
          <cell r="T383" t="e">
            <v>#VALUE!</v>
          </cell>
          <cell r="U383" t="e">
            <v>#VALUE!</v>
          </cell>
        </row>
        <row r="384">
          <cell r="B384" t="str">
            <v>Unadjusted Debt</v>
          </cell>
          <cell r="C384" t="e">
            <v>#VALUE!</v>
          </cell>
          <cell r="D384" t="e">
            <v>#VALUE!</v>
          </cell>
          <cell r="E384" t="e">
            <v>#VALUE!</v>
          </cell>
          <cell r="F384" t="e">
            <v>#VALUE!</v>
          </cell>
          <cell r="G384" t="e">
            <v>#VALUE!</v>
          </cell>
          <cell r="H384" t="e">
            <v>#VALUE!</v>
          </cell>
          <cell r="I384" t="e">
            <v>#VALUE!</v>
          </cell>
          <cell r="J384" t="e">
            <v>#VALUE!</v>
          </cell>
          <cell r="K384" t="e">
            <v>#VALUE!</v>
          </cell>
          <cell r="M384" t="e">
            <v>#VALUE!</v>
          </cell>
          <cell r="N384" t="e">
            <v>#VALUE!</v>
          </cell>
          <cell r="O384" t="e">
            <v>#VALUE!</v>
          </cell>
          <cell r="P384" t="e">
            <v>#VALUE!</v>
          </cell>
          <cell r="Q384" t="e">
            <v>#VALUE!</v>
          </cell>
          <cell r="R384" t="e">
            <v>#VALUE!</v>
          </cell>
          <cell r="S384" t="e">
            <v>#VALUE!</v>
          </cell>
          <cell r="T384" t="e">
            <v>#VALUE!</v>
          </cell>
          <cell r="U384" t="e">
            <v>#VALUE!</v>
          </cell>
        </row>
        <row r="385">
          <cell r="B385" t="str">
            <v>FY(2)</v>
          </cell>
          <cell r="C385">
            <v>2064.576</v>
          </cell>
          <cell r="D385">
            <v>3708</v>
          </cell>
          <cell r="E385">
            <v>9753</v>
          </cell>
          <cell r="F385">
            <v>2497</v>
          </cell>
          <cell r="G385">
            <v>572.58799999999997</v>
          </cell>
          <cell r="H385">
            <v>150</v>
          </cell>
          <cell r="I385">
            <v>835.09400000000005</v>
          </cell>
          <cell r="J385">
            <v>2797.1797142857145</v>
          </cell>
          <cell r="K385">
            <v>19580.258000000002</v>
          </cell>
          <cell r="M385">
            <v>0</v>
          </cell>
          <cell r="N385">
            <v>0</v>
          </cell>
          <cell r="O385">
            <v>0</v>
          </cell>
          <cell r="P385">
            <v>3.1</v>
          </cell>
          <cell r="Q385">
            <v>188</v>
          </cell>
          <cell r="R385">
            <v>2904.6390000000001</v>
          </cell>
          <cell r="S385">
            <v>0</v>
          </cell>
          <cell r="T385">
            <v>442.24842857142858</v>
          </cell>
          <cell r="U385">
            <v>3095.739</v>
          </cell>
        </row>
        <row r="386">
          <cell r="B386" t="str">
            <v>FY(1)</v>
          </cell>
          <cell r="C386">
            <v>2070</v>
          </cell>
          <cell r="D386">
            <v>3505</v>
          </cell>
          <cell r="E386">
            <v>9699</v>
          </cell>
          <cell r="F386">
            <v>2513</v>
          </cell>
          <cell r="G386">
            <v>640.07299999999998</v>
          </cell>
          <cell r="H386">
            <v>150</v>
          </cell>
          <cell r="I386">
            <v>778.80899999999997</v>
          </cell>
          <cell r="J386">
            <v>2765.1260000000002</v>
          </cell>
          <cell r="K386">
            <v>19355.882000000001</v>
          </cell>
          <cell r="M386">
            <v>100</v>
          </cell>
          <cell r="N386">
            <v>0</v>
          </cell>
          <cell r="O386">
            <v>75</v>
          </cell>
          <cell r="P386">
            <v>2.8650000000000002</v>
          </cell>
          <cell r="Q386">
            <v>50</v>
          </cell>
          <cell r="R386">
            <v>2897.114</v>
          </cell>
          <cell r="S386">
            <v>0</v>
          </cell>
          <cell r="T386">
            <v>446.42557142857146</v>
          </cell>
          <cell r="U386">
            <v>3124.9790000000003</v>
          </cell>
        </row>
        <row r="387">
          <cell r="B387" t="str">
            <v>FY0</v>
          </cell>
          <cell r="C387">
            <v>2068</v>
          </cell>
          <cell r="D387">
            <v>3392</v>
          </cell>
          <cell r="E387">
            <v>8698</v>
          </cell>
          <cell r="F387">
            <v>2613</v>
          </cell>
          <cell r="G387">
            <v>521.18700000000001</v>
          </cell>
          <cell r="H387">
            <v>150</v>
          </cell>
          <cell r="I387">
            <v>774.3</v>
          </cell>
          <cell r="J387">
            <v>2602.3552857142859</v>
          </cell>
          <cell r="K387">
            <v>18216.487000000001</v>
          </cell>
          <cell r="M387">
            <v>82.822999999999993</v>
          </cell>
          <cell r="N387">
            <v>0</v>
          </cell>
          <cell r="O387">
            <v>30</v>
          </cell>
          <cell r="P387">
            <v>33.076000000000001</v>
          </cell>
          <cell r="Q387">
            <v>0</v>
          </cell>
          <cell r="R387">
            <v>2722.8130000000001</v>
          </cell>
          <cell r="S387">
            <v>0</v>
          </cell>
          <cell r="T387">
            <v>409.81599999999997</v>
          </cell>
          <cell r="U387">
            <v>2868.712</v>
          </cell>
        </row>
        <row r="388">
          <cell r="B388" t="str">
            <v>FY1</v>
          </cell>
          <cell r="C388">
            <v>2068</v>
          </cell>
          <cell r="D388">
            <v>2999</v>
          </cell>
          <cell r="E388">
            <v>8460</v>
          </cell>
          <cell r="F388">
            <v>2388</v>
          </cell>
          <cell r="G388">
            <v>498.18700000000001</v>
          </cell>
          <cell r="H388">
            <v>150</v>
          </cell>
          <cell r="I388">
            <v>774.3</v>
          </cell>
          <cell r="J388">
            <v>2476.7838571428574</v>
          </cell>
          <cell r="K388">
            <v>17337.487000000001</v>
          </cell>
          <cell r="M388">
            <v>82.822999999999993</v>
          </cell>
          <cell r="N388">
            <v>0</v>
          </cell>
          <cell r="O388">
            <v>30</v>
          </cell>
          <cell r="P388">
            <v>25.075999999999997</v>
          </cell>
          <cell r="Q388">
            <v>0</v>
          </cell>
          <cell r="R388">
            <v>2722.8130000000001</v>
          </cell>
          <cell r="S388">
            <v>0</v>
          </cell>
          <cell r="T388">
            <v>408.67314285714286</v>
          </cell>
          <cell r="U388">
            <v>2860.712</v>
          </cell>
        </row>
        <row r="389">
          <cell r="B389" t="str">
            <v>FY2</v>
          </cell>
          <cell r="C389">
            <v>1652</v>
          </cell>
          <cell r="D389">
            <v>2999</v>
          </cell>
          <cell r="E389">
            <v>7798</v>
          </cell>
          <cell r="F389">
            <v>2388</v>
          </cell>
          <cell r="G389">
            <v>406.18700000000001</v>
          </cell>
          <cell r="H389">
            <v>150</v>
          </cell>
          <cell r="I389">
            <v>774.3</v>
          </cell>
          <cell r="J389">
            <v>2309.6410000000001</v>
          </cell>
          <cell r="K389">
            <v>16167.486999999999</v>
          </cell>
          <cell r="M389">
            <v>82.822999999999993</v>
          </cell>
          <cell r="N389">
            <v>0</v>
          </cell>
          <cell r="O389">
            <v>30</v>
          </cell>
          <cell r="P389">
            <v>25.076000000000001</v>
          </cell>
          <cell r="Q389">
            <v>0</v>
          </cell>
          <cell r="R389">
            <v>2722.8130000000001</v>
          </cell>
          <cell r="S389">
            <v>0</v>
          </cell>
          <cell r="T389">
            <v>408.67314285714286</v>
          </cell>
          <cell r="U389">
            <v>2860.712</v>
          </cell>
        </row>
        <row r="390">
          <cell r="B390" t="str">
            <v>FQ(3)</v>
          </cell>
          <cell r="C390">
            <v>2073</v>
          </cell>
          <cell r="D390">
            <v>3505</v>
          </cell>
          <cell r="E390">
            <v>8854</v>
          </cell>
          <cell r="F390">
            <v>2502</v>
          </cell>
          <cell r="G390">
            <v>636.62600000000009</v>
          </cell>
          <cell r="H390">
            <v>150</v>
          </cell>
          <cell r="I390">
            <v>1136.376</v>
          </cell>
          <cell r="J390">
            <v>2693.8574285714285</v>
          </cell>
          <cell r="K390">
            <v>18857.002</v>
          </cell>
          <cell r="M390">
            <v>100</v>
          </cell>
          <cell r="N390">
            <v>0</v>
          </cell>
          <cell r="O390">
            <v>75</v>
          </cell>
          <cell r="P390">
            <v>27.475999999999999</v>
          </cell>
          <cell r="Q390">
            <v>0</v>
          </cell>
          <cell r="R390">
            <v>2897.297</v>
          </cell>
          <cell r="S390">
            <v>0</v>
          </cell>
          <cell r="T390">
            <v>442.82471428571432</v>
          </cell>
          <cell r="U390">
            <v>3099.7730000000001</v>
          </cell>
        </row>
        <row r="391">
          <cell r="B391" t="str">
            <v>FQ(2)</v>
          </cell>
          <cell r="C391">
            <v>2069</v>
          </cell>
          <cell r="D391">
            <v>3392</v>
          </cell>
          <cell r="E391">
            <v>8724</v>
          </cell>
          <cell r="F391">
            <v>2635</v>
          </cell>
          <cell r="G391">
            <v>602.80799999999999</v>
          </cell>
          <cell r="H391">
            <v>150</v>
          </cell>
          <cell r="I391">
            <v>1212.538</v>
          </cell>
          <cell r="J391">
            <v>2683.6208571428574</v>
          </cell>
          <cell r="K391">
            <v>18785.346000000001</v>
          </cell>
          <cell r="M391">
            <v>36.729999999999997</v>
          </cell>
          <cell r="N391">
            <v>0</v>
          </cell>
          <cell r="O391">
            <v>75</v>
          </cell>
          <cell r="P391">
            <v>33.076000000000001</v>
          </cell>
          <cell r="Q391">
            <v>0</v>
          </cell>
          <cell r="R391">
            <v>3251</v>
          </cell>
          <cell r="S391">
            <v>0</v>
          </cell>
          <cell r="T391">
            <v>485.11514285714287</v>
          </cell>
          <cell r="U391">
            <v>3395.806</v>
          </cell>
        </row>
        <row r="392">
          <cell r="B392" t="str">
            <v>FQ(1)</v>
          </cell>
          <cell r="C392">
            <v>2071</v>
          </cell>
          <cell r="D392">
            <v>3392</v>
          </cell>
          <cell r="E392">
            <v>8710</v>
          </cell>
          <cell r="F392">
            <v>2615</v>
          </cell>
          <cell r="G392">
            <v>519.45299999999997</v>
          </cell>
          <cell r="H392">
            <v>150</v>
          </cell>
          <cell r="I392">
            <v>993.42399999999998</v>
          </cell>
          <cell r="J392">
            <v>2635.8395714285716</v>
          </cell>
          <cell r="K392">
            <v>18450.877</v>
          </cell>
          <cell r="M392">
            <v>50.582000000000001</v>
          </cell>
          <cell r="N392">
            <v>0</v>
          </cell>
          <cell r="O392">
            <v>50</v>
          </cell>
          <cell r="P392">
            <v>25.132999999999999</v>
          </cell>
          <cell r="Q392">
            <v>0</v>
          </cell>
          <cell r="R392">
            <v>2880.2820000000002</v>
          </cell>
          <cell r="S392">
            <v>0</v>
          </cell>
          <cell r="T392">
            <v>429.42814285714292</v>
          </cell>
          <cell r="U392">
            <v>3005.9970000000003</v>
          </cell>
        </row>
        <row r="393">
          <cell r="B393" t="str">
            <v>Last Reported Q</v>
          </cell>
          <cell r="C393">
            <v>2068</v>
          </cell>
          <cell r="D393">
            <v>3392</v>
          </cell>
          <cell r="E393">
            <v>8698</v>
          </cell>
          <cell r="F393">
            <v>2613</v>
          </cell>
          <cell r="G393">
            <v>521.18700000000001</v>
          </cell>
          <cell r="H393">
            <v>150</v>
          </cell>
          <cell r="I393">
            <v>774.3</v>
          </cell>
          <cell r="J393">
            <v>2602.3552857142859</v>
          </cell>
          <cell r="K393">
            <v>18216.487000000001</v>
          </cell>
          <cell r="M393">
            <v>82.822999999999993</v>
          </cell>
          <cell r="N393">
            <v>0</v>
          </cell>
          <cell r="O393">
            <v>30</v>
          </cell>
          <cell r="P393">
            <v>25.075999999999997</v>
          </cell>
          <cell r="Q393">
            <v>0</v>
          </cell>
          <cell r="R393">
            <v>2722.8130000000001</v>
          </cell>
          <cell r="S393">
            <v>0</v>
          </cell>
          <cell r="T393">
            <v>408.67314285714286</v>
          </cell>
          <cell r="U393">
            <v>2860.712</v>
          </cell>
        </row>
        <row r="394">
          <cell r="B394" t="str">
            <v>LTM</v>
          </cell>
          <cell r="C394">
            <v>2068</v>
          </cell>
          <cell r="D394">
            <v>3392</v>
          </cell>
          <cell r="E394">
            <v>8698</v>
          </cell>
          <cell r="F394">
            <v>2613</v>
          </cell>
          <cell r="G394">
            <v>521.18700000000001</v>
          </cell>
          <cell r="H394">
            <v>150</v>
          </cell>
          <cell r="I394">
            <v>774.3</v>
          </cell>
          <cell r="J394">
            <v>2602.3552857142859</v>
          </cell>
          <cell r="K394">
            <v>18216.487000000001</v>
          </cell>
          <cell r="M394">
            <v>82.822999999999993</v>
          </cell>
          <cell r="N394">
            <v>0</v>
          </cell>
          <cell r="O394">
            <v>30</v>
          </cell>
          <cell r="P394">
            <v>25.075999999999997</v>
          </cell>
          <cell r="Q394">
            <v>0</v>
          </cell>
          <cell r="R394">
            <v>2722.8130000000001</v>
          </cell>
          <cell r="S394">
            <v>0</v>
          </cell>
          <cell r="T394">
            <v>408.67314285714286</v>
          </cell>
          <cell r="U394">
            <v>2860.712</v>
          </cell>
        </row>
        <row r="396">
          <cell r="B396" t="str">
            <v>Unadjusted Net Debt</v>
          </cell>
        </row>
        <row r="397">
          <cell r="B397" t="str">
            <v>FY(2)</v>
          </cell>
          <cell r="C397">
            <v>1400.9176368560052</v>
          </cell>
          <cell r="D397">
            <v>1175.8694052044598</v>
          </cell>
          <cell r="E397">
            <v>9170.1249999999964</v>
          </cell>
          <cell r="F397">
            <v>2139.5977032416822</v>
          </cell>
          <cell r="G397">
            <v>471.42610004233597</v>
          </cell>
          <cell r="H397">
            <v>-113.678</v>
          </cell>
          <cell r="I397">
            <v>102.38306178916901</v>
          </cell>
          <cell r="J397">
            <v>2049.5201295905213</v>
          </cell>
          <cell r="K397">
            <v>14346.640907133649</v>
          </cell>
          <cell r="M397">
            <v>-522.13461840902801</v>
          </cell>
          <cell r="N397">
            <v>-228.53</v>
          </cell>
          <cell r="O397">
            <v>-483.85199999999901</v>
          </cell>
          <cell r="P397">
            <v>-695.80499999999995</v>
          </cell>
          <cell r="Q397">
            <v>-1527</v>
          </cell>
          <cell r="R397">
            <v>1731.24213031622</v>
          </cell>
          <cell r="S397">
            <v>-365.983</v>
          </cell>
          <cell r="T397">
            <v>-298.8660697275439</v>
          </cell>
          <cell r="U397">
            <v>-2092.0624880928071</v>
          </cell>
        </row>
        <row r="398">
          <cell r="B398" t="str">
            <v>FY(1)</v>
          </cell>
          <cell r="C398">
            <v>1393.840636856004</v>
          </cell>
          <cell r="D398">
            <v>1153.3730245593001</v>
          </cell>
          <cell r="E398">
            <v>8393.125</v>
          </cell>
          <cell r="F398">
            <v>2441.0807032416819</v>
          </cell>
          <cell r="G398">
            <v>626.02575219353469</v>
          </cell>
          <cell r="H398">
            <v>-172.15537499999999</v>
          </cell>
          <cell r="I398">
            <v>325.99135986921397</v>
          </cell>
          <cell r="J398">
            <v>2023.0401573885335</v>
          </cell>
          <cell r="K398">
            <v>14161.281101719735</v>
          </cell>
          <cell r="M398">
            <v>-422.13461840902801</v>
          </cell>
          <cell r="N398">
            <v>-228.53</v>
          </cell>
          <cell r="O398">
            <v>-408.85199999999901</v>
          </cell>
          <cell r="P398">
            <v>-696.04</v>
          </cell>
          <cell r="Q398">
            <v>-1665</v>
          </cell>
          <cell r="R398">
            <v>1723.7171303162199</v>
          </cell>
          <cell r="S398">
            <v>-365.983</v>
          </cell>
          <cell r="T398">
            <v>-294.68892687040096</v>
          </cell>
          <cell r="U398">
            <v>-2062.8224880928069</v>
          </cell>
        </row>
        <row r="399">
          <cell r="B399" t="str">
            <v>FY0</v>
          </cell>
          <cell r="C399">
            <v>-197.75736314400001</v>
          </cell>
          <cell r="D399">
            <v>384.79102455929979</v>
          </cell>
          <cell r="E399">
            <v>7011.625</v>
          </cell>
          <cell r="F399">
            <v>1818.280703241682</v>
          </cell>
          <cell r="G399">
            <v>357.01974883758999</v>
          </cell>
          <cell r="H399">
            <v>-620.00937499999998</v>
          </cell>
          <cell r="I399">
            <v>-971.08064013079002</v>
          </cell>
          <cell r="J399">
            <v>1111.8384426233977</v>
          </cell>
          <cell r="K399">
            <v>7782.8690983637835</v>
          </cell>
          <cell r="M399">
            <v>-644.74920840902803</v>
          </cell>
          <cell r="N399">
            <v>-346.87931378455897</v>
          </cell>
          <cell r="O399">
            <v>-668.63491999999906</v>
          </cell>
          <cell r="P399">
            <v>-767.28599999999994</v>
          </cell>
          <cell r="Q399">
            <v>-2574.8000000000002</v>
          </cell>
          <cell r="R399">
            <v>918.42900000000009</v>
          </cell>
          <cell r="S399">
            <v>-501.53600000000102</v>
          </cell>
          <cell r="T399">
            <v>-655.06520602765534</v>
          </cell>
          <cell r="U399">
            <v>-4585.4564421935875</v>
          </cell>
        </row>
        <row r="400">
          <cell r="B400" t="str">
            <v>FY1</v>
          </cell>
          <cell r="C400">
            <v>-788.51614066414004</v>
          </cell>
          <cell r="D400">
            <v>104.6646459940398</v>
          </cell>
          <cell r="E400">
            <v>5817.2833639719802</v>
          </cell>
          <cell r="F400">
            <v>1584.2267420001681</v>
          </cell>
          <cell r="G400">
            <v>329.53917016447303</v>
          </cell>
          <cell r="H400">
            <v>-727.70577551911504</v>
          </cell>
          <cell r="I400">
            <v>-1472.0475460263999</v>
          </cell>
          <cell r="J400">
            <v>692.49206570300078</v>
          </cell>
          <cell r="K400">
            <v>4847.4444599210055</v>
          </cell>
          <cell r="M400">
            <v>-572.38283485722206</v>
          </cell>
          <cell r="N400">
            <v>-418.99402043374801</v>
          </cell>
          <cell r="O400">
            <v>-758.63650584369498</v>
          </cell>
          <cell r="P400">
            <v>-929.32871939409097</v>
          </cell>
          <cell r="Q400">
            <v>-2478.3974420773002</v>
          </cell>
          <cell r="R400">
            <v>969.60535280101999</v>
          </cell>
          <cell r="S400">
            <v>-727.98320368492102</v>
          </cell>
          <cell r="T400">
            <v>-702.3024819271368</v>
          </cell>
          <cell r="U400">
            <v>-4916.1173734899576</v>
          </cell>
        </row>
        <row r="401">
          <cell r="B401" t="str">
            <v>FY2</v>
          </cell>
          <cell r="C401">
            <v>-1306.2194660018799</v>
          </cell>
          <cell r="D401">
            <v>14.232370430379888</v>
          </cell>
          <cell r="E401">
            <v>4376.7068129613499</v>
          </cell>
          <cell r="F401">
            <v>1611.2378153185318</v>
          </cell>
          <cell r="G401">
            <v>250.354544142804</v>
          </cell>
          <cell r="H401">
            <v>-864.85489072380005</v>
          </cell>
          <cell r="I401">
            <v>-1995.79367411919</v>
          </cell>
          <cell r="J401">
            <v>297.95193028688522</v>
          </cell>
          <cell r="K401">
            <v>2085.6635120081964</v>
          </cell>
          <cell r="M401">
            <v>-462.24347740002304</v>
          </cell>
          <cell r="N401">
            <v>-465.93234996454299</v>
          </cell>
          <cell r="O401">
            <v>-920.79550408930095</v>
          </cell>
          <cell r="P401">
            <v>-1082.9158350544999</v>
          </cell>
          <cell r="Q401">
            <v>-2368.83194985604</v>
          </cell>
          <cell r="R401">
            <v>635.02160613725027</v>
          </cell>
          <cell r="S401">
            <v>-921.75489727911997</v>
          </cell>
          <cell r="T401">
            <v>-798.20748678661107</v>
          </cell>
          <cell r="U401">
            <v>-5587.4524075062773</v>
          </cell>
        </row>
        <row r="402">
          <cell r="B402" t="str">
            <v>FQ(3)</v>
          </cell>
          <cell r="C402">
            <v>1179.3426368560049</v>
          </cell>
          <cell r="D402">
            <v>1367.3730245593001</v>
          </cell>
          <cell r="E402">
            <v>8559.1249999999964</v>
          </cell>
          <cell r="F402">
            <v>2424.3807032416817</v>
          </cell>
          <cell r="G402">
            <v>622.79775219353473</v>
          </cell>
          <cell r="H402">
            <v>-310.35537499999998</v>
          </cell>
          <cell r="I402">
            <v>124.14135986920996</v>
          </cell>
          <cell r="J402">
            <v>1995.2578716742471</v>
          </cell>
          <cell r="K402">
            <v>13966.80510171973</v>
          </cell>
          <cell r="M402">
            <v>-363.72861840902902</v>
          </cell>
          <cell r="N402">
            <v>-247.74700000000001</v>
          </cell>
          <cell r="O402">
            <v>-374.33199999999999</v>
          </cell>
          <cell r="P402">
            <v>-523.79100000000005</v>
          </cell>
          <cell r="Q402">
            <v>-1708</v>
          </cell>
          <cell r="R402">
            <v>1961.2991303162221</v>
          </cell>
          <cell r="S402">
            <v>-297.625</v>
          </cell>
          <cell r="T402">
            <v>-221.98921258468667</v>
          </cell>
          <cell r="U402">
            <v>-1553.9244880928068</v>
          </cell>
        </row>
        <row r="403">
          <cell r="B403" t="str">
            <v>FQ(2)</v>
          </cell>
          <cell r="C403">
            <v>715.24263685599999</v>
          </cell>
          <cell r="D403">
            <v>1079.9910245593001</v>
          </cell>
          <cell r="E403">
            <v>8209.1249999999964</v>
          </cell>
          <cell r="F403">
            <v>2116.3807032416821</v>
          </cell>
          <cell r="G403">
            <v>586.25975219353472</v>
          </cell>
          <cell r="H403">
            <v>-371.561375</v>
          </cell>
          <cell r="I403">
            <v>-214.05464013078995</v>
          </cell>
          <cell r="J403">
            <v>1731.626157388532</v>
          </cell>
          <cell r="K403">
            <v>12121.383101719724</v>
          </cell>
          <cell r="M403">
            <v>-404.54420840902895</v>
          </cell>
          <cell r="N403">
            <v>-245.45400000000001</v>
          </cell>
          <cell r="O403">
            <v>-454.78800000000001</v>
          </cell>
          <cell r="P403">
            <v>-767.28599999999994</v>
          </cell>
          <cell r="Q403">
            <v>-2131</v>
          </cell>
          <cell r="R403">
            <v>1700.68513031622</v>
          </cell>
          <cell r="S403">
            <v>-288.76</v>
          </cell>
          <cell r="T403">
            <v>-370.16386829897277</v>
          </cell>
          <cell r="U403">
            <v>-2591.1470780928094</v>
          </cell>
        </row>
        <row r="404">
          <cell r="B404" t="str">
            <v>FQ(1)</v>
          </cell>
          <cell r="C404">
            <v>540.24263685599999</v>
          </cell>
          <cell r="D404">
            <v>1262.9910245593001</v>
          </cell>
          <cell r="E404">
            <v>8221.1249999999964</v>
          </cell>
          <cell r="F404">
            <v>2131.3807032416821</v>
          </cell>
          <cell r="G404">
            <v>507.92514883759037</v>
          </cell>
          <cell r="H404">
            <v>-427.14337499999999</v>
          </cell>
          <cell r="I404">
            <v>-451.91464013079008</v>
          </cell>
          <cell r="J404">
            <v>1683.5152140519683</v>
          </cell>
          <cell r="K404">
            <v>11784.606498363779</v>
          </cell>
          <cell r="M404">
            <v>-475.78220840902895</v>
          </cell>
          <cell r="N404">
            <v>-285.53031378455898</v>
          </cell>
          <cell r="O404">
            <v>-465.90300000000002</v>
          </cell>
          <cell r="P404">
            <v>-969.54699999999991</v>
          </cell>
          <cell r="Q404">
            <v>-2398</v>
          </cell>
          <cell r="R404">
            <v>1912.1131303162222</v>
          </cell>
          <cell r="S404">
            <v>-418.39499999999998</v>
          </cell>
          <cell r="T404">
            <v>-443.00634169676653</v>
          </cell>
          <cell r="U404">
            <v>-3101.0443918773658</v>
          </cell>
        </row>
        <row r="405">
          <cell r="B405" t="str">
            <v>Last Reported Q</v>
          </cell>
          <cell r="C405">
            <v>-197.75736314400001</v>
          </cell>
          <cell r="D405">
            <v>384.79102455929979</v>
          </cell>
          <cell r="E405">
            <v>7011.625</v>
          </cell>
          <cell r="F405">
            <v>1818.280703241682</v>
          </cell>
          <cell r="G405">
            <v>357.01974883758999</v>
          </cell>
          <cell r="H405">
            <v>-620.00937499999998</v>
          </cell>
          <cell r="I405">
            <v>-971.08064013079002</v>
          </cell>
          <cell r="J405">
            <v>1111.8384426233977</v>
          </cell>
          <cell r="K405">
            <v>7782.8690983637835</v>
          </cell>
          <cell r="M405">
            <v>-644.74920840902803</v>
          </cell>
          <cell r="N405">
            <v>-346.87931378455897</v>
          </cell>
          <cell r="O405">
            <v>-668.63491999999906</v>
          </cell>
          <cell r="P405">
            <v>-1078.1009999999999</v>
          </cell>
          <cell r="Q405">
            <v>-2574.8000000000002</v>
          </cell>
          <cell r="R405">
            <v>918.42900000000009</v>
          </cell>
          <cell r="S405">
            <v>-501.53600000000102</v>
          </cell>
          <cell r="T405">
            <v>-699.46734888479818</v>
          </cell>
          <cell r="U405">
            <v>-4896.2714421935871</v>
          </cell>
        </row>
        <row r="406">
          <cell r="B406" t="str">
            <v>LTM</v>
          </cell>
          <cell r="C406">
            <v>-197.75736314400001</v>
          </cell>
          <cell r="D406">
            <v>384.79102455929979</v>
          </cell>
          <cell r="E406">
            <v>7011.625</v>
          </cell>
          <cell r="F406">
            <v>1818.280703241682</v>
          </cell>
          <cell r="G406">
            <v>357.01974883758999</v>
          </cell>
          <cell r="H406">
            <v>-620.00937499999998</v>
          </cell>
          <cell r="I406">
            <v>-971.08064013079002</v>
          </cell>
          <cell r="J406">
            <v>1111.8384426233977</v>
          </cell>
          <cell r="K406">
            <v>7782.8690983637835</v>
          </cell>
          <cell r="M406">
            <v>-644.74920840902803</v>
          </cell>
          <cell r="N406">
            <v>-346.87931378455897</v>
          </cell>
          <cell r="O406">
            <v>-668.63491999999906</v>
          </cell>
          <cell r="P406">
            <v>-1078.1009999999999</v>
          </cell>
          <cell r="Q406">
            <v>-2574.8000000000002</v>
          </cell>
          <cell r="R406">
            <v>918.42900000000009</v>
          </cell>
          <cell r="S406">
            <v>-501.53600000000102</v>
          </cell>
          <cell r="T406">
            <v>-699.46734888479818</v>
          </cell>
          <cell r="U406">
            <v>-4896.2714421935871</v>
          </cell>
        </row>
        <row r="408">
          <cell r="A408" t="str">
            <v>mscalc:shareholdersEquityExcludingAdjustments2</v>
          </cell>
          <cell r="B408" t="str">
            <v>Shareholders' Equity</v>
          </cell>
        </row>
        <row r="409">
          <cell r="B409" t="str">
            <v>FY(2)</v>
          </cell>
          <cell r="C409">
            <v>6101.6030000000001</v>
          </cell>
          <cell r="D409">
            <v>5312</v>
          </cell>
          <cell r="E409">
            <v>9907</v>
          </cell>
          <cell r="F409">
            <v>1115</v>
          </cell>
          <cell r="G409">
            <v>1175.3088999576601</v>
          </cell>
          <cell r="H409">
            <v>970.649</v>
          </cell>
          <cell r="I409">
            <v>2131.2449999999999</v>
          </cell>
          <cell r="J409">
            <v>3816.11512856538</v>
          </cell>
          <cell r="K409">
            <v>26712.805899957661</v>
          </cell>
          <cell r="M409">
            <v>1618.3130000000001</v>
          </cell>
          <cell r="N409">
            <v>197.27600000000001</v>
          </cell>
          <cell r="O409">
            <v>1340.4639999999999</v>
          </cell>
          <cell r="P409">
            <v>1910.354</v>
          </cell>
          <cell r="Q409">
            <v>4274</v>
          </cell>
          <cell r="R409">
            <v>2219.23776210295</v>
          </cell>
          <cell r="S409">
            <v>853.43100000000004</v>
          </cell>
          <cell r="T409">
            <v>1773.2965374432786</v>
          </cell>
          <cell r="U409">
            <v>12413.07576210295</v>
          </cell>
        </row>
        <row r="410">
          <cell r="B410" t="str">
            <v>FY(1)</v>
          </cell>
          <cell r="C410">
            <v>6739</v>
          </cell>
          <cell r="D410">
            <v>4155</v>
          </cell>
          <cell r="E410">
            <v>4646</v>
          </cell>
          <cell r="F410">
            <v>1210</v>
          </cell>
          <cell r="G410">
            <v>969.39424780646596</v>
          </cell>
          <cell r="H410">
            <v>996.36900000000003</v>
          </cell>
          <cell r="I410">
            <v>2134.5569999999998</v>
          </cell>
          <cell r="J410">
            <v>2978.6171782580668</v>
          </cell>
          <cell r="K410">
            <v>20850.320247806467</v>
          </cell>
          <cell r="M410">
            <v>1845.578</v>
          </cell>
          <cell r="N410">
            <v>355.06</v>
          </cell>
          <cell r="O410">
            <v>1409.0309999999999</v>
          </cell>
          <cell r="P410">
            <v>1490.375</v>
          </cell>
          <cell r="Q410">
            <v>4387</v>
          </cell>
          <cell r="R410">
            <v>1874</v>
          </cell>
          <cell r="S410">
            <v>1053.7750000000001</v>
          </cell>
          <cell r="T410">
            <v>1773.5455714285713</v>
          </cell>
          <cell r="U410">
            <v>12414.819</v>
          </cell>
        </row>
        <row r="411">
          <cell r="B411" t="str">
            <v>FY0</v>
          </cell>
          <cell r="C411">
            <v>7853</v>
          </cell>
          <cell r="D411">
            <v>4774</v>
          </cell>
          <cell r="E411">
            <v>4701</v>
          </cell>
          <cell r="F411">
            <v>1572</v>
          </cell>
          <cell r="G411">
            <v>1088.4762511624101</v>
          </cell>
          <cell r="H411">
            <v>1157.2929999999999</v>
          </cell>
          <cell r="I411">
            <v>2889.2759999999998</v>
          </cell>
          <cell r="J411">
            <v>3433.5778930232013</v>
          </cell>
          <cell r="K411">
            <v>24035.04525116241</v>
          </cell>
          <cell r="M411">
            <v>1830.9169999999999</v>
          </cell>
          <cell r="N411">
            <v>434.48899999999998</v>
          </cell>
          <cell r="O411">
            <v>1578.5170000000001</v>
          </cell>
          <cell r="P411">
            <v>1696.0419999999999</v>
          </cell>
          <cell r="Q411">
            <v>4891</v>
          </cell>
          <cell r="R411">
            <v>2184</v>
          </cell>
          <cell r="S411">
            <v>1296.7750000000001</v>
          </cell>
          <cell r="T411">
            <v>1987.3914285714286</v>
          </cell>
          <cell r="U411">
            <v>13911.74</v>
          </cell>
        </row>
        <row r="412">
          <cell r="B412" t="str">
            <v>FY1</v>
          </cell>
          <cell r="C412">
            <v>8743.2064623123206</v>
          </cell>
          <cell r="D412">
            <v>4957.1669827170499</v>
          </cell>
          <cell r="E412">
            <v>5396.9706138889496</v>
          </cell>
          <cell r="F412">
            <v>2006.10798487689</v>
          </cell>
          <cell r="G412">
            <v>1073.6637732849899</v>
          </cell>
          <cell r="H412">
            <v>1220.4279908261001</v>
          </cell>
          <cell r="I412">
            <v>3405.5016296878398</v>
          </cell>
          <cell r="J412">
            <v>3829.0064910848769</v>
          </cell>
          <cell r="K412">
            <v>26803.045437594137</v>
          </cell>
          <cell r="M412">
            <v>1722.9869249752701</v>
          </cell>
          <cell r="N412">
            <v>516.91291448393997</v>
          </cell>
          <cell r="O412">
            <v>1653.0837178745001</v>
          </cell>
          <cell r="P412">
            <v>1912.53454591285</v>
          </cell>
          <cell r="Q412">
            <v>4712.3968391781</v>
          </cell>
          <cell r="R412">
            <v>2011.9392668427699</v>
          </cell>
          <cell r="S412">
            <v>1587.9007739159299</v>
          </cell>
          <cell r="T412">
            <v>2016.8221404547658</v>
          </cell>
          <cell r="U412">
            <v>14117.75498318336</v>
          </cell>
        </row>
        <row r="413">
          <cell r="B413" t="str">
            <v>FY2</v>
          </cell>
          <cell r="C413">
            <v>9520.6212033606007</v>
          </cell>
          <cell r="D413">
            <v>5110.6210396290498</v>
          </cell>
          <cell r="E413">
            <v>6188.3885193436599</v>
          </cell>
          <cell r="F413">
            <v>2284.9148605284499</v>
          </cell>
          <cell r="G413">
            <v>1070.3064175705799</v>
          </cell>
          <cell r="H413">
            <v>1369.67472339298</v>
          </cell>
          <cell r="I413">
            <v>4020.41295026936</v>
          </cell>
          <cell r="J413">
            <v>4223.5628162992407</v>
          </cell>
          <cell r="K413">
            <v>29564.939714094682</v>
          </cell>
          <cell r="M413">
            <v>1671.9507421953499</v>
          </cell>
          <cell r="N413">
            <v>568.14707851062997</v>
          </cell>
          <cell r="O413">
            <v>1772.59744765189</v>
          </cell>
          <cell r="P413">
            <v>2075.2400173670699</v>
          </cell>
          <cell r="Q413">
            <v>4390.0381761579001</v>
          </cell>
          <cell r="R413">
            <v>2201.0343082925201</v>
          </cell>
          <cell r="S413">
            <v>1900.71093984038</v>
          </cell>
          <cell r="T413">
            <v>2082.8169585736773</v>
          </cell>
          <cell r="U413">
            <v>14579.718710015743</v>
          </cell>
        </row>
        <row r="414">
          <cell r="B414" t="str">
            <v>FQ(3)</v>
          </cell>
          <cell r="C414">
            <v>6885</v>
          </cell>
          <cell r="D414">
            <v>4196</v>
          </cell>
          <cell r="E414">
            <v>4555</v>
          </cell>
          <cell r="F414">
            <v>1274</v>
          </cell>
          <cell r="G414">
            <v>991.83624780646505</v>
          </cell>
          <cell r="H414">
            <v>1035.758</v>
          </cell>
          <cell r="I414">
            <v>2335.4740000000002</v>
          </cell>
          <cell r="J414">
            <v>3039.0097496866388</v>
          </cell>
          <cell r="K414">
            <v>21273.06824780647</v>
          </cell>
          <cell r="M414">
            <v>1771.4059999999999</v>
          </cell>
          <cell r="N414">
            <v>397.149</v>
          </cell>
          <cell r="O414">
            <v>1433.47</v>
          </cell>
          <cell r="P414">
            <v>1541.914</v>
          </cell>
          <cell r="Q414">
            <v>4540</v>
          </cell>
          <cell r="R414">
            <v>1839.2148696837801</v>
          </cell>
          <cell r="S414">
            <v>1091.626</v>
          </cell>
          <cell r="T414">
            <v>1802.1114099548254</v>
          </cell>
          <cell r="U414">
            <v>12614.779869683778</v>
          </cell>
        </row>
        <row r="415">
          <cell r="B415" t="str">
            <v>FQ(2)</v>
          </cell>
          <cell r="C415">
            <v>7136</v>
          </cell>
          <cell r="D415">
            <v>4536</v>
          </cell>
          <cell r="E415">
            <v>4549</v>
          </cell>
          <cell r="F415">
            <v>1357</v>
          </cell>
          <cell r="G415">
            <v>962.96024780646496</v>
          </cell>
          <cell r="H415">
            <v>1069.422</v>
          </cell>
          <cell r="I415">
            <v>2831.9119999999998</v>
          </cell>
          <cell r="J415">
            <v>3206.0420354009234</v>
          </cell>
          <cell r="K415">
            <v>22442.294247806465</v>
          </cell>
          <cell r="M415">
            <v>1756.258</v>
          </cell>
          <cell r="N415">
            <v>429.57600000000002</v>
          </cell>
          <cell r="O415">
            <v>1469.857</v>
          </cell>
          <cell r="P415">
            <v>1696.0419999999999</v>
          </cell>
          <cell r="Q415">
            <v>4745</v>
          </cell>
          <cell r="R415">
            <v>1876</v>
          </cell>
          <cell r="S415">
            <v>1148.2149999999999</v>
          </cell>
          <cell r="T415">
            <v>1874.421142857143</v>
          </cell>
          <cell r="U415">
            <v>13120.948</v>
          </cell>
        </row>
        <row r="416">
          <cell r="B416" t="str">
            <v>FQ(1)</v>
          </cell>
          <cell r="C416">
            <v>7395</v>
          </cell>
          <cell r="D416">
            <v>4588</v>
          </cell>
          <cell r="E416">
            <v>4494</v>
          </cell>
          <cell r="F416">
            <v>1430</v>
          </cell>
          <cell r="G416">
            <v>1069.4598511624099</v>
          </cell>
          <cell r="H416">
            <v>1107.193</v>
          </cell>
          <cell r="I416">
            <v>2940.5070000000001</v>
          </cell>
          <cell r="J416">
            <v>3289.1656930232016</v>
          </cell>
          <cell r="K416">
            <v>23024.159851162411</v>
          </cell>
          <cell r="M416">
            <v>1782.376</v>
          </cell>
          <cell r="N416">
            <v>448.44900000000001</v>
          </cell>
          <cell r="O416">
            <v>1523.3050000000001</v>
          </cell>
          <cell r="P416">
            <v>1840.981</v>
          </cell>
          <cell r="Q416">
            <v>4981</v>
          </cell>
          <cell r="R416">
            <v>1865</v>
          </cell>
          <cell r="S416">
            <v>1215.26</v>
          </cell>
          <cell r="T416">
            <v>1950.910142857143</v>
          </cell>
          <cell r="U416">
            <v>13656.371000000001</v>
          </cell>
        </row>
        <row r="417">
          <cell r="B417" t="str">
            <v>Last Reported Q</v>
          </cell>
          <cell r="C417">
            <v>7853</v>
          </cell>
          <cell r="D417">
            <v>4774</v>
          </cell>
          <cell r="E417">
            <v>4701</v>
          </cell>
          <cell r="F417">
            <v>1572</v>
          </cell>
          <cell r="G417">
            <v>1088.4762511624101</v>
          </cell>
          <cell r="H417">
            <v>1157.2929999999999</v>
          </cell>
          <cell r="I417">
            <v>2889.2759999999998</v>
          </cell>
          <cell r="J417">
            <v>3433.5778930232013</v>
          </cell>
          <cell r="K417">
            <v>24035.04525116241</v>
          </cell>
          <cell r="M417">
            <v>1830.9169999999999</v>
          </cell>
          <cell r="N417">
            <v>434.48899999999998</v>
          </cell>
          <cell r="O417">
            <v>1578.5170000000001</v>
          </cell>
          <cell r="P417">
            <v>1865.566</v>
          </cell>
          <cell r="Q417">
            <v>4891</v>
          </cell>
          <cell r="R417">
            <v>2184</v>
          </cell>
          <cell r="S417">
            <v>1296.7750000000001</v>
          </cell>
          <cell r="T417">
            <v>2011.6091428571428</v>
          </cell>
          <cell r="U417">
            <v>14081.263999999999</v>
          </cell>
        </row>
        <row r="418">
          <cell r="B418" t="str">
            <v>LTM</v>
          </cell>
          <cell r="C418">
            <v>7853</v>
          </cell>
          <cell r="D418">
            <v>4774</v>
          </cell>
          <cell r="E418">
            <v>4701</v>
          </cell>
          <cell r="F418">
            <v>1572</v>
          </cell>
          <cell r="G418">
            <v>1088.4762511624101</v>
          </cell>
          <cell r="H418">
            <v>1157.2929999999999</v>
          </cell>
          <cell r="I418">
            <v>2889.2759999999998</v>
          </cell>
          <cell r="J418">
            <v>3433.5778930232013</v>
          </cell>
          <cell r="K418">
            <v>24035.04525116241</v>
          </cell>
          <cell r="M418">
            <v>1830.9169999999999</v>
          </cell>
          <cell r="N418">
            <v>434.48899999999998</v>
          </cell>
          <cell r="O418">
            <v>1578.5170000000001</v>
          </cell>
          <cell r="P418">
            <v>1865.566</v>
          </cell>
          <cell r="Q418">
            <v>4891</v>
          </cell>
          <cell r="R418">
            <v>2184</v>
          </cell>
          <cell r="S418">
            <v>1296.7750000000001</v>
          </cell>
          <cell r="T418">
            <v>2011.6091428571428</v>
          </cell>
          <cell r="U418">
            <v>14081.263999999999</v>
          </cell>
        </row>
        <row r="419">
          <cell r="B419" t="str">
            <v>FY1</v>
          </cell>
          <cell r="C419">
            <v>1.4809307600267818</v>
          </cell>
          <cell r="D419">
            <v>1.6952981091780144</v>
          </cell>
          <cell r="E419">
            <v>3.4410419583047971</v>
          </cell>
          <cell r="F419">
            <v>2.4186860774510537</v>
          </cell>
          <cell r="G419">
            <v>6.3385571555919507</v>
          </cell>
          <cell r="H419">
            <v>1.900098027765555</v>
          </cell>
          <cell r="I419">
            <v>2.2013545974281428</v>
          </cell>
          <cell r="J419">
            <v>2.7822809551066134</v>
          </cell>
          <cell r="K419">
            <v>2.3066225639221698</v>
          </cell>
          <cell r="M419">
            <v>2.6669756192435479</v>
          </cell>
          <cell r="N419">
            <v>0.77306828247647918</v>
          </cell>
          <cell r="O419">
            <v>1.8005922814156723</v>
          </cell>
          <cell r="P419">
            <v>0.13348743351882905</v>
          </cell>
          <cell r="Q419">
            <v>1.5560441034066363</v>
          </cell>
          <cell r="R419">
            <v>3.1519676961742058</v>
          </cell>
          <cell r="S419">
            <v>0.84923530832250471</v>
          </cell>
          <cell r="T419">
            <v>1.5616243892225536</v>
          </cell>
          <cell r="U419">
            <v>1.6332140081940278</v>
          </cell>
        </row>
        <row r="420">
          <cell r="B420" t="str">
            <v>Total Capitalization</v>
          </cell>
          <cell r="C420">
            <v>1.1181009497855385</v>
          </cell>
          <cell r="D420">
            <v>1.1713922360269251</v>
          </cell>
          <cell r="E420">
            <v>2.9385369993289423</v>
          </cell>
          <cell r="F420">
            <v>2.0884778637610841</v>
          </cell>
          <cell r="G420">
            <v>4.7694258543874373</v>
          </cell>
          <cell r="H420">
            <v>1.8604840886408607</v>
          </cell>
          <cell r="I420">
            <v>1.9928163212591523</v>
          </cell>
          <cell r="J420">
            <v>2.2770334733128488</v>
          </cell>
          <cell r="K420">
            <v>1.9437264725656025</v>
          </cell>
          <cell r="M420">
            <v>2.8344898287836364</v>
          </cell>
          <cell r="N420">
            <v>0.78610647369306275</v>
          </cell>
          <cell r="O420">
            <v>1.6718605411603178</v>
          </cell>
          <cell r="P420">
            <v>9.0088846790629187E-2</v>
          </cell>
          <cell r="Q420">
            <v>1.5147230801771487</v>
          </cell>
          <cell r="R420">
            <v>2.9339800205554445</v>
          </cell>
          <cell r="S420">
            <v>0.61862510334400245</v>
          </cell>
          <cell r="T420">
            <v>1.49283912778632</v>
          </cell>
          <cell r="U420">
            <v>1.5665265365502281</v>
          </cell>
        </row>
        <row r="421">
          <cell r="B421" t="str">
            <v>FY(2)</v>
          </cell>
          <cell r="C421">
            <v>8166.1790000000001</v>
          </cell>
          <cell r="D421">
            <v>9020</v>
          </cell>
          <cell r="E421">
            <v>19660</v>
          </cell>
          <cell r="F421">
            <v>3612</v>
          </cell>
          <cell r="G421">
            <v>1747.89689995766</v>
          </cell>
          <cell r="H421">
            <v>1120.6489999999999</v>
          </cell>
          <cell r="I421">
            <v>2966.3389999999999</v>
          </cell>
          <cell r="J421">
            <v>6613.2948428510945</v>
          </cell>
          <cell r="K421">
            <v>46293.063899957662</v>
          </cell>
          <cell r="M421">
            <v>1618.3130000000001</v>
          </cell>
          <cell r="N421">
            <v>197.27600000000001</v>
          </cell>
          <cell r="O421">
            <v>1340.4639999999999</v>
          </cell>
          <cell r="P421">
            <v>1913.454</v>
          </cell>
          <cell r="Q421">
            <v>4462</v>
          </cell>
          <cell r="R421">
            <v>5123.8767621029501</v>
          </cell>
          <cell r="S421">
            <v>853.43100000000004</v>
          </cell>
          <cell r="T421">
            <v>2215.5449660147069</v>
          </cell>
          <cell r="U421">
            <v>15508.814762102949</v>
          </cell>
        </row>
        <row r="422">
          <cell r="B422" t="str">
            <v>FY(1)</v>
          </cell>
          <cell r="C422">
            <v>8809</v>
          </cell>
          <cell r="D422">
            <v>7660</v>
          </cell>
          <cell r="E422">
            <v>14345</v>
          </cell>
          <cell r="F422">
            <v>3723</v>
          </cell>
          <cell r="G422">
            <v>1609.4672478064658</v>
          </cell>
          <cell r="H422">
            <v>1146.3690000000001</v>
          </cell>
          <cell r="I422">
            <v>2913.366</v>
          </cell>
          <cell r="J422">
            <v>5743.743178258067</v>
          </cell>
          <cell r="K422">
            <v>40206.202247806468</v>
          </cell>
          <cell r="M422">
            <v>1945.578</v>
          </cell>
          <cell r="N422">
            <v>355.06</v>
          </cell>
          <cell r="O422">
            <v>1484.0309999999999</v>
          </cell>
          <cell r="P422">
            <v>1493.24</v>
          </cell>
          <cell r="Q422">
            <v>4437</v>
          </cell>
          <cell r="R422">
            <v>4771.1139999999996</v>
          </cell>
          <cell r="S422">
            <v>1053.7750000000001</v>
          </cell>
          <cell r="T422">
            <v>2219.9711428571427</v>
          </cell>
          <cell r="U422">
            <v>15539.797999999999</v>
          </cell>
        </row>
        <row r="423">
          <cell r="B423" t="str">
            <v>FY0</v>
          </cell>
          <cell r="C423">
            <v>9921</v>
          </cell>
          <cell r="D423">
            <v>8166</v>
          </cell>
          <cell r="E423">
            <v>13399</v>
          </cell>
          <cell r="F423">
            <v>4185</v>
          </cell>
          <cell r="G423">
            <v>1609.6632511624102</v>
          </cell>
          <cell r="H423">
            <v>1307.2929999999999</v>
          </cell>
          <cell r="I423">
            <v>3663.576</v>
          </cell>
          <cell r="J423">
            <v>6035.9331787374877</v>
          </cell>
          <cell r="K423">
            <v>42251.532251162411</v>
          </cell>
          <cell r="M423">
            <v>1913.74</v>
          </cell>
          <cell r="N423">
            <v>434.48899999999998</v>
          </cell>
          <cell r="O423">
            <v>1608.5170000000001</v>
          </cell>
          <cell r="P423">
            <v>1729.1179999999999</v>
          </cell>
          <cell r="Q423">
            <v>4891</v>
          </cell>
          <cell r="R423">
            <v>4906.8130000000001</v>
          </cell>
          <cell r="S423">
            <v>1296.7750000000001</v>
          </cell>
          <cell r="T423">
            <v>2397.2074285714289</v>
          </cell>
          <cell r="U423">
            <v>16780.452000000001</v>
          </cell>
        </row>
        <row r="424">
          <cell r="B424" t="str">
            <v>FY1</v>
          </cell>
          <cell r="C424">
            <v>10811.206462312321</v>
          </cell>
          <cell r="D424">
            <v>7956.1669827170499</v>
          </cell>
          <cell r="E424">
            <v>13856.970613888949</v>
          </cell>
          <cell r="F424">
            <v>4394.1079848768895</v>
          </cell>
          <cell r="G424">
            <v>1571.8507732849898</v>
          </cell>
          <cell r="H424">
            <v>1370.4279908261001</v>
          </cell>
          <cell r="I424">
            <v>4179.8016296878395</v>
          </cell>
          <cell r="J424">
            <v>6305.7903482277343</v>
          </cell>
          <cell r="K424">
            <v>44140.532437594142</v>
          </cell>
          <cell r="M424">
            <v>1805.8099249752702</v>
          </cell>
          <cell r="N424">
            <v>516.91291448393997</v>
          </cell>
          <cell r="O424">
            <v>1683.0837178745001</v>
          </cell>
          <cell r="P424">
            <v>1937.6105459128501</v>
          </cell>
          <cell r="Q424">
            <v>4712.3968391781</v>
          </cell>
          <cell r="R424">
            <v>4734.75226684277</v>
          </cell>
          <cell r="S424">
            <v>1587.9007739159299</v>
          </cell>
          <cell r="T424">
            <v>2425.4952833119087</v>
          </cell>
          <cell r="U424">
            <v>16978.46698318336</v>
          </cell>
        </row>
        <row r="425">
          <cell r="B425" t="str">
            <v>FY2</v>
          </cell>
          <cell r="C425">
            <v>11172.621203360601</v>
          </cell>
          <cell r="D425">
            <v>8109.6210396290498</v>
          </cell>
          <cell r="E425">
            <v>13986.38851934366</v>
          </cell>
          <cell r="F425">
            <v>4672.9148605284499</v>
          </cell>
          <cell r="G425">
            <v>1476.4934175705798</v>
          </cell>
          <cell r="H425">
            <v>1519.67472339298</v>
          </cell>
          <cell r="I425">
            <v>4794.7129502693597</v>
          </cell>
          <cell r="J425">
            <v>6533.2038162992394</v>
          </cell>
          <cell r="K425">
            <v>45732.426714094676</v>
          </cell>
          <cell r="M425">
            <v>1754.77374219535</v>
          </cell>
          <cell r="N425">
            <v>568.14707851062997</v>
          </cell>
          <cell r="O425">
            <v>1802.59744765189</v>
          </cell>
          <cell r="P425">
            <v>2100.3160173670699</v>
          </cell>
          <cell r="Q425">
            <v>4390.0381761579001</v>
          </cell>
          <cell r="R425">
            <v>4923.8473082925202</v>
          </cell>
          <cell r="S425">
            <v>1900.71093984038</v>
          </cell>
          <cell r="T425">
            <v>2491.4901014308198</v>
          </cell>
          <cell r="U425">
            <v>17440.430710015738</v>
          </cell>
        </row>
        <row r="426">
          <cell r="B426" t="str">
            <v>FQ(3)</v>
          </cell>
          <cell r="C426">
            <v>8958</v>
          </cell>
          <cell r="D426">
            <v>7701</v>
          </cell>
          <cell r="E426">
            <v>13409</v>
          </cell>
          <cell r="F426">
            <v>3776</v>
          </cell>
          <cell r="G426">
            <v>1628.4622478064653</v>
          </cell>
          <cell r="H426">
            <v>1185.758</v>
          </cell>
          <cell r="I426">
            <v>3471.8500000000004</v>
          </cell>
          <cell r="J426">
            <v>5732.8671782580659</v>
          </cell>
          <cell r="K426">
            <v>40130.070247806463</v>
          </cell>
          <cell r="M426">
            <v>1871.4059999999999</v>
          </cell>
          <cell r="N426">
            <v>397.149</v>
          </cell>
          <cell r="O426">
            <v>1508.47</v>
          </cell>
          <cell r="P426">
            <v>1569.3899999999999</v>
          </cell>
          <cell r="Q426">
            <v>4540</v>
          </cell>
          <cell r="R426">
            <v>4736.5118696837799</v>
          </cell>
          <cell r="S426">
            <v>1091.626</v>
          </cell>
          <cell r="T426">
            <v>2244.9361242405398</v>
          </cell>
          <cell r="U426">
            <v>15714.552869683779</v>
          </cell>
        </row>
        <row r="427">
          <cell r="B427" t="str">
            <v>FQ(2)</v>
          </cell>
          <cell r="C427">
            <v>9205</v>
          </cell>
          <cell r="D427">
            <v>7928</v>
          </cell>
          <cell r="E427">
            <v>13273</v>
          </cell>
          <cell r="F427">
            <v>3992</v>
          </cell>
          <cell r="G427">
            <v>1565.7682478064648</v>
          </cell>
          <cell r="H427">
            <v>1219.422</v>
          </cell>
          <cell r="I427">
            <v>4044.45</v>
          </cell>
          <cell r="J427">
            <v>5889.6628925437808</v>
          </cell>
          <cell r="K427">
            <v>41227.640247806463</v>
          </cell>
          <cell r="M427">
            <v>1792.9880000000001</v>
          </cell>
          <cell r="N427">
            <v>429.57600000000002</v>
          </cell>
          <cell r="O427">
            <v>1544.857</v>
          </cell>
          <cell r="P427">
            <v>1729.1179999999999</v>
          </cell>
          <cell r="Q427">
            <v>4745</v>
          </cell>
          <cell r="R427">
            <v>5127</v>
          </cell>
          <cell r="S427">
            <v>1148.2149999999999</v>
          </cell>
          <cell r="T427">
            <v>2359.5362857142859</v>
          </cell>
          <cell r="U427">
            <v>16516.754000000001</v>
          </cell>
        </row>
        <row r="428">
          <cell r="B428" t="str">
            <v>FQ(1)</v>
          </cell>
          <cell r="C428">
            <v>9466</v>
          </cell>
          <cell r="D428">
            <v>7980</v>
          </cell>
          <cell r="E428">
            <v>13204</v>
          </cell>
          <cell r="F428">
            <v>4045</v>
          </cell>
          <cell r="G428">
            <v>1588.9128511624099</v>
          </cell>
          <cell r="H428">
            <v>1257.193</v>
          </cell>
          <cell r="I428">
            <v>3933.931</v>
          </cell>
          <cell r="J428">
            <v>5925.0052644517718</v>
          </cell>
          <cell r="K428">
            <v>41475.036851162404</v>
          </cell>
          <cell r="M428">
            <v>1832.9580000000001</v>
          </cell>
          <cell r="N428">
            <v>448.44900000000001</v>
          </cell>
          <cell r="O428">
            <v>1573.3050000000001</v>
          </cell>
          <cell r="P428">
            <v>1866.114</v>
          </cell>
          <cell r="Q428">
            <v>4981</v>
          </cell>
          <cell r="R428">
            <v>4745.2820000000002</v>
          </cell>
          <cell r="S428">
            <v>1215.26</v>
          </cell>
          <cell r="T428">
            <v>2380.3382857142856</v>
          </cell>
          <cell r="U428">
            <v>16662.367999999999</v>
          </cell>
        </row>
        <row r="429">
          <cell r="B429" t="str">
            <v>Last Reported Q</v>
          </cell>
          <cell r="C429">
            <v>9921</v>
          </cell>
          <cell r="D429">
            <v>8166</v>
          </cell>
          <cell r="E429">
            <v>13399</v>
          </cell>
          <cell r="F429">
            <v>4185</v>
          </cell>
          <cell r="G429">
            <v>1609.6632511624102</v>
          </cell>
          <cell r="H429">
            <v>1307.2929999999999</v>
          </cell>
          <cell r="I429">
            <v>3663.576</v>
          </cell>
          <cell r="J429">
            <v>6035.9331787374877</v>
          </cell>
          <cell r="K429">
            <v>42251.532251162411</v>
          </cell>
          <cell r="M429">
            <v>1913.74</v>
          </cell>
          <cell r="N429">
            <v>434.48899999999998</v>
          </cell>
          <cell r="O429">
            <v>1608.5170000000001</v>
          </cell>
          <cell r="P429">
            <v>1890.6420000000001</v>
          </cell>
          <cell r="Q429">
            <v>4891</v>
          </cell>
          <cell r="R429">
            <v>4906.8130000000001</v>
          </cell>
          <cell r="S429">
            <v>1296.7750000000001</v>
          </cell>
          <cell r="T429">
            <v>2420.2822857142855</v>
          </cell>
          <cell r="U429">
            <v>16941.975999999999</v>
          </cell>
        </row>
        <row r="430">
          <cell r="B430" t="str">
            <v>LTM</v>
          </cell>
          <cell r="C430">
            <v>9921</v>
          </cell>
          <cell r="D430">
            <v>8166</v>
          </cell>
          <cell r="E430">
            <v>13399</v>
          </cell>
          <cell r="F430">
            <v>4185</v>
          </cell>
          <cell r="G430">
            <v>1609.6632511624102</v>
          </cell>
          <cell r="H430">
            <v>1307.2929999999999</v>
          </cell>
          <cell r="I430">
            <v>3663.576</v>
          </cell>
          <cell r="J430">
            <v>6035.9331787374877</v>
          </cell>
          <cell r="K430">
            <v>42251.532251162411</v>
          </cell>
          <cell r="M430">
            <v>1913.74</v>
          </cell>
          <cell r="N430">
            <v>434.48899999999998</v>
          </cell>
          <cell r="O430">
            <v>1608.5170000000001</v>
          </cell>
          <cell r="P430">
            <v>1890.6420000000001</v>
          </cell>
          <cell r="Q430">
            <v>4891</v>
          </cell>
          <cell r="R430">
            <v>4906.8130000000001</v>
          </cell>
          <cell r="S430">
            <v>1296.7750000000001</v>
          </cell>
          <cell r="T430">
            <v>2420.2822857142855</v>
          </cell>
          <cell r="U430">
            <v>16941.975999999999</v>
          </cell>
        </row>
        <row r="431">
          <cell r="B431" t="str">
            <v>FY(2)</v>
          </cell>
          <cell r="C431">
            <v>6.5809269699786982E-2</v>
          </cell>
          <cell r="D431">
            <v>8.2885334351326931E-2</v>
          </cell>
          <cell r="E431">
            <v>0.35112163269240038</v>
          </cell>
          <cell r="F431">
            <v>8.1458700473953122E-2</v>
          </cell>
          <cell r="G431">
            <v>0.22929685396586078</v>
          </cell>
          <cell r="H431">
            <v>-0.21006670881179057</v>
          </cell>
          <cell r="I431">
            <v>-2.2453663384297919E-2</v>
          </cell>
          <cell r="J431">
            <v>8.2578774141034234E-2</v>
          </cell>
          <cell r="K431">
            <v>0.19857708733327781</v>
          </cell>
          <cell r="M431">
            <v>-0.46148251935356011</v>
          </cell>
          <cell r="N431">
            <v>-0.35860385241384618</v>
          </cell>
          <cell r="O431">
            <v>-0.43740474927186046</v>
          </cell>
          <cell r="P431">
            <v>-0.36363821654453149</v>
          </cell>
          <cell r="Q431">
            <v>-0.24406448082567961</v>
          </cell>
          <cell r="R431">
            <v>0.14331117677814789</v>
          </cell>
          <cell r="S431">
            <v>-0.29568343938763447</v>
          </cell>
          <cell r="T431">
            <v>-0.28822372585985206</v>
          </cell>
          <cell r="U431">
            <v>-0.18688254765837309</v>
          </cell>
        </row>
        <row r="432">
          <cell r="B432" t="str">
            <v>Unadjusted Cash/Market Cap</v>
          </cell>
          <cell r="C432">
            <v>0.17155117918135337</v>
          </cell>
          <cell r="D432">
            <v>0.13036246177433036</v>
          </cell>
          <cell r="E432">
            <v>0.46643565615462851</v>
          </cell>
          <cell r="F432">
            <v>0.59235816811785225</v>
          </cell>
          <cell r="G432">
            <v>0.26971047322857289</v>
          </cell>
          <cell r="H432">
            <v>-0.10143943375668921</v>
          </cell>
          <cell r="I432">
            <v>3.451495658087933E-2</v>
          </cell>
          <cell r="J432">
            <v>0.22335620875441822</v>
          </cell>
          <cell r="K432">
            <v>0.30990908137205347</v>
          </cell>
          <cell r="M432">
            <v>-0.40073829969851316</v>
          </cell>
          <cell r="N432">
            <v>-0.56735740789553724</v>
          </cell>
          <cell r="O432">
            <v>-0.46248090213537929</v>
          </cell>
          <cell r="P432">
            <v>-0.46612734724491706</v>
          </cell>
          <cell r="Q432">
            <v>-0.38390737392551322</v>
          </cell>
          <cell r="R432">
            <v>0.36814239012315064</v>
          </cell>
          <cell r="S432">
            <v>-0.23396150362478041</v>
          </cell>
          <cell r="T432">
            <v>-0.30663292062878422</v>
          </cell>
          <cell r="U432">
            <v>-0.13936172728752871</v>
          </cell>
        </row>
        <row r="433">
          <cell r="B433" t="str">
            <v>FY(2)</v>
          </cell>
          <cell r="C433" t="e">
            <v>#VALUE!</v>
          </cell>
          <cell r="D433" t="e">
            <v>#VALUE!</v>
          </cell>
          <cell r="E433" t="e">
            <v>#VALUE!</v>
          </cell>
          <cell r="F433" t="e">
            <v>#VALUE!</v>
          </cell>
          <cell r="G433" t="e">
            <v>#VALUE!</v>
          </cell>
          <cell r="H433" t="e">
            <v>#VALUE!</v>
          </cell>
          <cell r="I433" t="e">
            <v>#VALUE!</v>
          </cell>
          <cell r="J433" t="e">
            <v>#VALUE!</v>
          </cell>
          <cell r="K433" t="e">
            <v>#VALUE!</v>
          </cell>
          <cell r="M433" t="e">
            <v>#VALUE!</v>
          </cell>
          <cell r="N433" t="e">
            <v>#VALUE!</v>
          </cell>
          <cell r="O433" t="e">
            <v>#VALUE!</v>
          </cell>
          <cell r="P433" t="e">
            <v>#VALUE!</v>
          </cell>
          <cell r="Q433" t="e">
            <v>#VALUE!</v>
          </cell>
          <cell r="R433" t="e">
            <v>#VALUE!</v>
          </cell>
          <cell r="S433" t="e">
            <v>#VALUE!</v>
          </cell>
          <cell r="T433" t="e">
            <v>#VALUE!</v>
          </cell>
          <cell r="U433" t="e">
            <v>#VALUE!</v>
          </cell>
        </row>
        <row r="434">
          <cell r="B434" t="str">
            <v>FY(1)</v>
          </cell>
          <cell r="C434" t="e">
            <v>#VALUE!</v>
          </cell>
          <cell r="D434" t="e">
            <v>#VALUE!</v>
          </cell>
          <cell r="E434" t="e">
            <v>#VALUE!</v>
          </cell>
          <cell r="F434" t="e">
            <v>#VALUE!</v>
          </cell>
          <cell r="G434" t="e">
            <v>#VALUE!</v>
          </cell>
          <cell r="H434" t="e">
            <v>#VALUE!</v>
          </cell>
          <cell r="I434" t="e">
            <v>#VALUE!</v>
          </cell>
          <cell r="J434" t="e">
            <v>#VALUE!</v>
          </cell>
          <cell r="K434" t="e">
            <v>#VALUE!</v>
          </cell>
          <cell r="M434" t="e">
            <v>#VALUE!</v>
          </cell>
          <cell r="N434" t="e">
            <v>#VALUE!</v>
          </cell>
          <cell r="O434" t="e">
            <v>#VALUE!</v>
          </cell>
          <cell r="P434" t="e">
            <v>#VALUE!</v>
          </cell>
          <cell r="Q434" t="e">
            <v>#VALUE!</v>
          </cell>
          <cell r="R434" t="e">
            <v>#VALUE!</v>
          </cell>
          <cell r="S434" t="e">
            <v>#VALUE!</v>
          </cell>
          <cell r="T434" t="e">
            <v>#VALUE!</v>
          </cell>
          <cell r="U434" t="e">
            <v>#VALUE!</v>
          </cell>
        </row>
        <row r="435">
          <cell r="B435" t="str">
            <v>FY0</v>
          </cell>
          <cell r="C435" t="e">
            <v>#VALUE!</v>
          </cell>
          <cell r="D435" t="e">
            <v>#VALUE!</v>
          </cell>
          <cell r="E435" t="e">
            <v>#VALUE!</v>
          </cell>
          <cell r="F435" t="e">
            <v>#VALUE!</v>
          </cell>
          <cell r="G435" t="e">
            <v>#VALUE!</v>
          </cell>
          <cell r="H435" t="e">
            <v>#VALUE!</v>
          </cell>
          <cell r="I435" t="e">
            <v>#VALUE!</v>
          </cell>
          <cell r="J435" t="e">
            <v>#VALUE!</v>
          </cell>
          <cell r="K435" t="e">
            <v>#VALUE!</v>
          </cell>
          <cell r="M435" t="e">
            <v>#VALUE!</v>
          </cell>
          <cell r="N435" t="e">
            <v>#VALUE!</v>
          </cell>
          <cell r="O435" t="e">
            <v>#VALUE!</v>
          </cell>
          <cell r="P435" t="e">
            <v>#VALUE!</v>
          </cell>
          <cell r="Q435" t="e">
            <v>#VALUE!</v>
          </cell>
          <cell r="R435" t="e">
            <v>#VALUE!</v>
          </cell>
          <cell r="S435" t="e">
            <v>#VALUE!</v>
          </cell>
          <cell r="T435" t="e">
            <v>#VALUE!</v>
          </cell>
          <cell r="U435" t="e">
            <v>#VALUE!</v>
          </cell>
        </row>
        <row r="436">
          <cell r="B436" t="str">
            <v>FY1</v>
          </cell>
          <cell r="C436" t="e">
            <v>#VALUE!</v>
          </cell>
          <cell r="D436" t="e">
            <v>#VALUE!</v>
          </cell>
          <cell r="E436" t="e">
            <v>#VALUE!</v>
          </cell>
          <cell r="F436" t="e">
            <v>#VALUE!</v>
          </cell>
          <cell r="G436" t="e">
            <v>#VALUE!</v>
          </cell>
          <cell r="H436" t="e">
            <v>#VALUE!</v>
          </cell>
          <cell r="I436" t="e">
            <v>#VALUE!</v>
          </cell>
          <cell r="J436" t="e">
            <v>#VALUE!</v>
          </cell>
          <cell r="K436" t="e">
            <v>#VALUE!</v>
          </cell>
          <cell r="M436" t="e">
            <v>#VALUE!</v>
          </cell>
          <cell r="N436" t="e">
            <v>#VALUE!</v>
          </cell>
          <cell r="O436" t="e">
            <v>#VALUE!</v>
          </cell>
          <cell r="P436" t="e">
            <v>#VALUE!</v>
          </cell>
          <cell r="Q436" t="e">
            <v>#VALUE!</v>
          </cell>
          <cell r="R436" t="e">
            <v>#VALUE!</v>
          </cell>
          <cell r="S436" t="e">
            <v>#VALUE!</v>
          </cell>
          <cell r="T436" t="e">
            <v>#VALUE!</v>
          </cell>
          <cell r="U436" t="e">
            <v>#VALUE!</v>
          </cell>
        </row>
        <row r="437">
          <cell r="B437" t="str">
            <v>FY2</v>
          </cell>
          <cell r="C437" t="e">
            <v>#VALUE!</v>
          </cell>
          <cell r="D437" t="e">
            <v>#VALUE!</v>
          </cell>
          <cell r="E437" t="e">
            <v>#VALUE!</v>
          </cell>
          <cell r="F437" t="e">
            <v>#VALUE!</v>
          </cell>
          <cell r="G437" t="e">
            <v>#VALUE!</v>
          </cell>
          <cell r="H437" t="e">
            <v>#VALUE!</v>
          </cell>
          <cell r="I437" t="e">
            <v>#VALUE!</v>
          </cell>
          <cell r="J437" t="e">
            <v>#VALUE!</v>
          </cell>
          <cell r="K437" t="e">
            <v>#VALUE!</v>
          </cell>
          <cell r="M437" t="e">
            <v>#VALUE!</v>
          </cell>
          <cell r="N437" t="e">
            <v>#VALUE!</v>
          </cell>
          <cell r="O437" t="e">
            <v>#VALUE!</v>
          </cell>
          <cell r="P437" t="e">
            <v>#VALUE!</v>
          </cell>
          <cell r="Q437" t="e">
            <v>#VALUE!</v>
          </cell>
          <cell r="R437" t="e">
            <v>#VALUE!</v>
          </cell>
          <cell r="S437" t="e">
            <v>#VALUE!</v>
          </cell>
          <cell r="T437" t="e">
            <v>#VALUE!</v>
          </cell>
          <cell r="U437" t="e">
            <v>#VALUE!</v>
          </cell>
        </row>
        <row r="438">
          <cell r="B438" t="str">
            <v>FQ(3)</v>
          </cell>
          <cell r="C438" t="e">
            <v>#VALUE!</v>
          </cell>
          <cell r="D438" t="e">
            <v>#VALUE!</v>
          </cell>
          <cell r="E438" t="e">
            <v>#VALUE!</v>
          </cell>
          <cell r="F438" t="e">
            <v>#VALUE!</v>
          </cell>
          <cell r="G438" t="e">
            <v>#VALUE!</v>
          </cell>
          <cell r="H438" t="e">
            <v>#VALUE!</v>
          </cell>
          <cell r="I438" t="e">
            <v>#VALUE!</v>
          </cell>
          <cell r="J438" t="e">
            <v>#VALUE!</v>
          </cell>
          <cell r="K438" t="e">
            <v>#VALUE!</v>
          </cell>
          <cell r="M438" t="e">
            <v>#VALUE!</v>
          </cell>
          <cell r="N438" t="e">
            <v>#VALUE!</v>
          </cell>
          <cell r="O438" t="e">
            <v>#VALUE!</v>
          </cell>
          <cell r="P438" t="e">
            <v>#VALUE!</v>
          </cell>
          <cell r="Q438" t="e">
            <v>#VALUE!</v>
          </cell>
          <cell r="R438" t="e">
            <v>#VALUE!</v>
          </cell>
          <cell r="S438" t="e">
            <v>#VALUE!</v>
          </cell>
          <cell r="T438" t="e">
            <v>#VALUE!</v>
          </cell>
          <cell r="U438" t="e">
            <v>#VALUE!</v>
          </cell>
        </row>
        <row r="439">
          <cell r="B439" t="str">
            <v>FQ(2)</v>
          </cell>
          <cell r="C439" t="e">
            <v>#VALUE!</v>
          </cell>
          <cell r="D439" t="e">
            <v>#VALUE!</v>
          </cell>
          <cell r="E439" t="e">
            <v>#VALUE!</v>
          </cell>
          <cell r="F439" t="e">
            <v>#VALUE!</v>
          </cell>
          <cell r="G439" t="e">
            <v>#VALUE!</v>
          </cell>
          <cell r="H439" t="e">
            <v>#VALUE!</v>
          </cell>
          <cell r="I439" t="e">
            <v>#VALUE!</v>
          </cell>
          <cell r="J439" t="e">
            <v>#VALUE!</v>
          </cell>
          <cell r="K439" t="e">
            <v>#VALUE!</v>
          </cell>
          <cell r="M439" t="e">
            <v>#VALUE!</v>
          </cell>
          <cell r="N439" t="e">
            <v>#VALUE!</v>
          </cell>
          <cell r="O439" t="e">
            <v>#VALUE!</v>
          </cell>
          <cell r="P439" t="e">
            <v>#VALUE!</v>
          </cell>
          <cell r="Q439" t="e">
            <v>#VALUE!</v>
          </cell>
          <cell r="R439" t="e">
            <v>#VALUE!</v>
          </cell>
          <cell r="S439" t="e">
            <v>#VALUE!</v>
          </cell>
          <cell r="T439" t="e">
            <v>#VALUE!</v>
          </cell>
          <cell r="U439" t="e">
            <v>#VALUE!</v>
          </cell>
        </row>
        <row r="440">
          <cell r="B440" t="str">
            <v>FQ(1)</v>
          </cell>
          <cell r="C440" t="e">
            <v>#VALUE!</v>
          </cell>
          <cell r="D440" t="e">
            <v>#VALUE!</v>
          </cell>
          <cell r="E440" t="e">
            <v>#VALUE!</v>
          </cell>
          <cell r="F440" t="e">
            <v>#VALUE!</v>
          </cell>
          <cell r="G440" t="e">
            <v>#VALUE!</v>
          </cell>
          <cell r="H440" t="e">
            <v>#VALUE!</v>
          </cell>
          <cell r="I440" t="e">
            <v>#VALUE!</v>
          </cell>
          <cell r="J440" t="e">
            <v>#VALUE!</v>
          </cell>
          <cell r="K440" t="e">
            <v>#VALUE!</v>
          </cell>
          <cell r="M440" t="e">
            <v>#VALUE!</v>
          </cell>
          <cell r="N440" t="e">
            <v>#VALUE!</v>
          </cell>
          <cell r="O440" t="e">
            <v>#VALUE!</v>
          </cell>
          <cell r="P440" t="e">
            <v>#VALUE!</v>
          </cell>
          <cell r="Q440" t="e">
            <v>#VALUE!</v>
          </cell>
          <cell r="R440" t="e">
            <v>#VALUE!</v>
          </cell>
          <cell r="S440" t="e">
            <v>#VALUE!</v>
          </cell>
          <cell r="T440" t="e">
            <v>#VALUE!</v>
          </cell>
          <cell r="U440" t="e">
            <v>#VALUE!</v>
          </cell>
        </row>
        <row r="441">
          <cell r="A441" t="str">
            <v>mscalc:bookValuePerShareReported</v>
          </cell>
          <cell r="B441" t="str">
            <v>Last Reported Q</v>
          </cell>
          <cell r="C441" t="e">
            <v>#VALUE!</v>
          </cell>
          <cell r="D441" t="e">
            <v>#VALUE!</v>
          </cell>
          <cell r="E441" t="e">
            <v>#VALUE!</v>
          </cell>
          <cell r="F441" t="e">
            <v>#VALUE!</v>
          </cell>
          <cell r="G441" t="e">
            <v>#VALUE!</v>
          </cell>
          <cell r="H441" t="e">
            <v>#VALUE!</v>
          </cell>
          <cell r="I441" t="e">
            <v>#VALUE!</v>
          </cell>
          <cell r="J441" t="e">
            <v>#VALUE!</v>
          </cell>
          <cell r="K441" t="e">
            <v>#VALUE!</v>
          </cell>
          <cell r="M441" t="e">
            <v>#VALUE!</v>
          </cell>
          <cell r="N441" t="e">
            <v>#VALUE!</v>
          </cell>
          <cell r="O441" t="e">
            <v>#VALUE!</v>
          </cell>
          <cell r="P441" t="e">
            <v>#VALUE!</v>
          </cell>
          <cell r="Q441" t="e">
            <v>#VALUE!</v>
          </cell>
          <cell r="R441" t="e">
            <v>#VALUE!</v>
          </cell>
          <cell r="S441" t="e">
            <v>#VALUE!</v>
          </cell>
          <cell r="T441" t="e">
            <v>#VALUE!</v>
          </cell>
          <cell r="U441" t="e">
            <v>#VALUE!</v>
          </cell>
        </row>
        <row r="442">
          <cell r="B442" t="str">
            <v>LTM</v>
          </cell>
          <cell r="C442" t="e">
            <v>#VALUE!</v>
          </cell>
          <cell r="D442" t="e">
            <v>#VALUE!</v>
          </cell>
          <cell r="E442" t="e">
            <v>#VALUE!</v>
          </cell>
          <cell r="F442" t="e">
            <v>#VALUE!</v>
          </cell>
          <cell r="G442" t="e">
            <v>#VALUE!</v>
          </cell>
          <cell r="H442" t="e">
            <v>#VALUE!</v>
          </cell>
          <cell r="I442" t="e">
            <v>#VALUE!</v>
          </cell>
          <cell r="J442" t="e">
            <v>#VALUE!</v>
          </cell>
          <cell r="K442" t="e">
            <v>#VALUE!</v>
          </cell>
          <cell r="M442" t="e">
            <v>#VALUE!</v>
          </cell>
          <cell r="N442" t="e">
            <v>#VALUE!</v>
          </cell>
          <cell r="O442" t="e">
            <v>#VALUE!</v>
          </cell>
          <cell r="P442" t="e">
            <v>#VALUE!</v>
          </cell>
          <cell r="Q442" t="e">
            <v>#VALUE!</v>
          </cell>
          <cell r="R442" t="e">
            <v>#VALUE!</v>
          </cell>
          <cell r="S442" t="e">
            <v>#VALUE!</v>
          </cell>
          <cell r="T442" t="e">
            <v>#VALUE!</v>
          </cell>
          <cell r="U442" t="e">
            <v>#VALUE!</v>
          </cell>
        </row>
        <row r="443">
          <cell r="B443" t="str">
            <v>LTM Cash to Sales</v>
          </cell>
          <cell r="C443">
            <v>7.9023345533761155E-2</v>
          </cell>
          <cell r="D443">
            <v>0.10171530997194646</v>
          </cell>
          <cell r="E443">
            <v>4.3097830253775969E-2</v>
          </cell>
          <cell r="F443">
            <v>5.6859075392310082E-2</v>
          </cell>
          <cell r="G443">
            <v>3.6973723411650533E-2</v>
          </cell>
          <cell r="H443">
            <v>6.2154737662979645E-2</v>
          </cell>
          <cell r="I443">
            <v>5.039334442834939E-2</v>
          </cell>
          <cell r="J443">
            <v>6.1459623807824756E-2</v>
          </cell>
          <cell r="K443">
            <v>6.408588758018148E-2</v>
          </cell>
          <cell r="M443">
            <v>0.14784269805938441</v>
          </cell>
          <cell r="N443">
            <v>9.4802007709936922E-2</v>
          </cell>
          <cell r="O443">
            <v>0.13947269737814</v>
          </cell>
          <cell r="P443">
            <v>0.32988509699846741</v>
          </cell>
          <cell r="Q443">
            <v>0.10658167066810167</v>
          </cell>
          <cell r="R443">
            <v>0.12705432662757407</v>
          </cell>
          <cell r="S443">
            <v>0.15257532618810868</v>
          </cell>
          <cell r="T443">
            <v>0.15688768908995904</v>
          </cell>
          <cell r="U443">
            <v>0.13241625323602554</v>
          </cell>
        </row>
        <row r="444">
          <cell r="B444" t="str">
            <v>FY2</v>
          </cell>
          <cell r="C444">
            <v>28.941094679444198</v>
          </cell>
          <cell r="D444">
            <v>21.266051315025202</v>
          </cell>
          <cell r="E444">
            <v>13.083380297252999</v>
          </cell>
          <cell r="F444">
            <v>8.1142551074679794</v>
          </cell>
          <cell r="G444">
            <v>6.3740220739144702</v>
          </cell>
          <cell r="H444">
            <v>11.257598977178199</v>
          </cell>
          <cell r="I444">
            <v>9.1456806254300105</v>
          </cell>
          <cell r="M444">
            <v>20.9365909688578</v>
          </cell>
          <cell r="N444">
            <v>8.6045504321921999</v>
          </cell>
          <cell r="O444">
            <v>7.6901666904003703</v>
          </cell>
          <cell r="P444">
            <v>7.6203246194170697</v>
          </cell>
          <cell r="Q444">
            <v>7.6048157398120697</v>
          </cell>
          <cell r="R444">
            <v>6.9148812185110096</v>
          </cell>
          <cell r="S444">
            <v>9.2979721334564491</v>
          </cell>
        </row>
        <row r="446">
          <cell r="A446" t="str">
            <v>Free Cash Flow</v>
          </cell>
          <cell r="B446" t="str">
            <v>Unadjusted Net Debt/EBITDA</v>
          </cell>
        </row>
        <row r="447">
          <cell r="B447" t="str">
            <v>FY(2)</v>
          </cell>
          <cell r="C447">
            <v>0.62078151143528393</v>
          </cell>
          <cell r="D447">
            <v>0.50947547885808486</v>
          </cell>
          <cell r="E447">
            <v>2.7332712369597605</v>
          </cell>
          <cell r="F447">
            <v>1.4439160584488901</v>
          </cell>
          <cell r="G447">
            <v>1.7425698693100762</v>
          </cell>
          <cell r="H447">
            <v>-0.20981930268185092</v>
          </cell>
          <cell r="I447">
            <v>5.6035635454484554E-2</v>
          </cell>
          <cell r="J447">
            <v>0.98517578396924699</v>
          </cell>
          <cell r="K447">
            <v>1.1914891141070827</v>
          </cell>
          <cell r="M447">
            <v>-0.54240651967537545</v>
          </cell>
          <cell r="N447">
            <v>-0.9664881964356703</v>
          </cell>
          <cell r="O447">
            <v>-0.68344732314628698</v>
          </cell>
          <cell r="P447">
            <v>-0.64769185801892226</v>
          </cell>
          <cell r="Q447">
            <v>-0.805379746835443</v>
          </cell>
          <cell r="R447">
            <v>1.427097651690326</v>
          </cell>
          <cell r="S447">
            <v>-1.240780168292865</v>
          </cell>
          <cell r="T447">
            <v>-0.49415659438774812</v>
          </cell>
          <cell r="U447">
            <v>-0.32763191811526549</v>
          </cell>
        </row>
        <row r="448">
          <cell r="A448" t="str">
            <v>mstag:interestExpense</v>
          </cell>
          <cell r="B448" t="str">
            <v>FY(1)</v>
          </cell>
          <cell r="C448">
            <v>0.67077162805166402</v>
          </cell>
          <cell r="D448">
            <v>0.72184631302404723</v>
          </cell>
          <cell r="E448">
            <v>3.1364443198804186</v>
          </cell>
          <cell r="F448">
            <v>2.257018580946883</v>
          </cell>
          <cell r="G448">
            <v>25.080237511960661</v>
          </cell>
          <cell r="H448">
            <v>-0.27210060477062714</v>
          </cell>
          <cell r="I448">
            <v>0.1775128590615169</v>
          </cell>
          <cell r="J448">
            <v>4.5388186583077941</v>
          </cell>
          <cell r="K448">
            <v>1.4264821229894211</v>
          </cell>
          <cell r="M448">
            <v>-0.58221308880625289</v>
          </cell>
          <cell r="N448">
            <v>-0.77712260942898337</v>
          </cell>
          <cell r="O448">
            <v>-0.9291879730006114</v>
          </cell>
          <cell r="P448">
            <v>-0.5438097150397716</v>
          </cell>
          <cell r="Q448">
            <v>-0.78686200378071836</v>
          </cell>
          <cell r="R448">
            <v>1.6253095151051484</v>
          </cell>
          <cell r="S448">
            <v>-0.95961812766135968</v>
          </cell>
          <cell r="T448">
            <v>-0.42192914323036412</v>
          </cell>
          <cell r="U448">
            <v>-0.32758825241373812</v>
          </cell>
        </row>
        <row r="449">
          <cell r="A449">
            <v>0.38</v>
          </cell>
          <cell r="B449" t="str">
            <v>FY0</v>
          </cell>
          <cell r="C449">
            <v>-8.5944095238591922E-2</v>
          </cell>
          <cell r="D449">
            <v>0.33228931309093246</v>
          </cell>
          <cell r="E449">
            <v>2.6319913663663663</v>
          </cell>
          <cell r="F449">
            <v>1.5852490873946661</v>
          </cell>
          <cell r="G449">
            <v>3.1011487412602823</v>
          </cell>
          <cell r="H449">
            <v>-0.70044497353600743</v>
          </cell>
          <cell r="I449">
            <v>-0.40023585169619963</v>
          </cell>
          <cell r="J449">
            <v>0.92343622680592119</v>
          </cell>
          <cell r="K449">
            <v>0.72760479731418182</v>
          </cell>
          <cell r="M449">
            <v>-1.6626117758933967</v>
          </cell>
          <cell r="N449">
            <v>-0.79045318475366411</v>
          </cell>
          <cell r="O449">
            <v>-1.6639704751499984</v>
          </cell>
          <cell r="P449">
            <v>-0.68306905061195133</v>
          </cell>
          <cell r="Q449">
            <v>-1.0800335570469799</v>
          </cell>
          <cell r="R449">
            <v>0.75362110728915033</v>
          </cell>
          <cell r="S449">
            <v>-1.164446584097903</v>
          </cell>
          <cell r="T449">
            <v>-0.89870907432353486</v>
          </cell>
          <cell r="U449">
            <v>-0.71814415664016296</v>
          </cell>
        </row>
        <row r="450">
          <cell r="A450" t="str">
            <v>mstag:otherInterestIncomeExpense</v>
          </cell>
          <cell r="B450" t="str">
            <v>FY1</v>
          </cell>
          <cell r="C450">
            <v>-0.29347322790041919</v>
          </cell>
          <cell r="D450">
            <v>7.7651652985500877E-2</v>
          </cell>
          <cell r="E450">
            <v>1.9649120143593546</v>
          </cell>
          <cell r="F450">
            <v>1.1529866140968601</v>
          </cell>
          <cell r="G450">
            <v>2.0346107878341644</v>
          </cell>
          <cell r="H450">
            <v>-0.69838146213609853</v>
          </cell>
          <cell r="I450">
            <v>-0.53190963134538816</v>
          </cell>
          <cell r="J450">
            <v>0.52948524969913913</v>
          </cell>
          <cell r="K450">
            <v>0.39279981275510029</v>
          </cell>
          <cell r="M450">
            <v>-1.1292800002243304</v>
          </cell>
          <cell r="N450">
            <v>-0.86757976902155665</v>
          </cell>
          <cell r="O450">
            <v>-1.4092416602410212</v>
          </cell>
          <cell r="P450">
            <v>-0.75571377482459823</v>
          </cell>
          <cell r="Q450">
            <v>-1.0660872466694959</v>
          </cell>
          <cell r="R450">
            <v>0.68962386469426917</v>
          </cell>
          <cell r="S450">
            <v>-1.3637223498551692</v>
          </cell>
          <cell r="T450">
            <v>-0.84314299087741451</v>
          </cell>
          <cell r="U450">
            <v>-0.70005820169220656</v>
          </cell>
        </row>
        <row r="451">
          <cell r="B451" t="str">
            <v>FY2</v>
          </cell>
          <cell r="C451">
            <v>-0.43416188163660691</v>
          </cell>
          <cell r="D451">
            <v>9.8753220072346718E-3</v>
          </cell>
          <cell r="E451">
            <v>1.4421016561144622</v>
          </cell>
          <cell r="F451">
            <v>1.0807115726483665</v>
          </cell>
          <cell r="G451">
            <v>1.0683170055444</v>
          </cell>
          <cell r="H451">
            <v>-0.7850937435673967</v>
          </cell>
          <cell r="I451">
            <v>-0.68827364540108127</v>
          </cell>
          <cell r="J451">
            <v>0.24192518367276833</v>
          </cell>
          <cell r="K451">
            <v>0.15786955309226858</v>
          </cell>
          <cell r="M451">
            <v>-0.7622956319381099</v>
          </cell>
          <cell r="N451">
            <v>-0.94282809885546814</v>
          </cell>
          <cell r="O451">
            <v>-1.4465272382161611</v>
          </cell>
          <cell r="P451">
            <v>-0.81885096688786108</v>
          </cell>
          <cell r="Q451">
            <v>-1.0105684999347193</v>
          </cell>
          <cell r="R451">
            <v>0.41411327334332276</v>
          </cell>
          <cell r="S451">
            <v>-1.4656395262537882</v>
          </cell>
          <cell r="T451">
            <v>-0.86179952696325501</v>
          </cell>
          <cell r="U451">
            <v>-0.73849245633532801</v>
          </cell>
        </row>
        <row r="452">
          <cell r="B452" t="str">
            <v>FQ(3)</v>
          </cell>
          <cell r="C452">
            <v>3.0085271348367471</v>
          </cell>
          <cell r="D452">
            <v>6.0503231175190271</v>
          </cell>
          <cell r="E452">
            <v>26.174694189602434</v>
          </cell>
          <cell r="F452">
            <v>10.871662346375254</v>
          </cell>
          <cell r="G452">
            <v>17.437011848518488</v>
          </cell>
          <cell r="H452">
            <v>-1.647181635317595</v>
          </cell>
          <cell r="I452">
            <v>0.27588930739343676</v>
          </cell>
          <cell r="J452">
            <v>8.8815609012753978</v>
          </cell>
          <cell r="K452">
            <v>7.5819974592705446</v>
          </cell>
          <cell r="M452">
            <v>-14.099647959415011</v>
          </cell>
          <cell r="N452">
            <v>-3.6489189348415225</v>
          </cell>
          <cell r="O452">
            <v>-6.013655276559513</v>
          </cell>
          <cell r="P452">
            <v>-2.2825822645801468</v>
          </cell>
          <cell r="Q452">
            <v>-3.443548387096774</v>
          </cell>
          <cell r="R452">
            <v>13.056873820441924</v>
          </cell>
          <cell r="S452">
            <v>-4.36336314323413</v>
          </cell>
          <cell r="T452">
            <v>-2.9706917350407389</v>
          </cell>
          <cell r="U452">
            <v>-1.4128705561223336</v>
          </cell>
        </row>
        <row r="453">
          <cell r="B453" t="str">
            <v>FQ(2)</v>
          </cell>
          <cell r="C453">
            <v>1.3172055927366482</v>
          </cell>
          <cell r="D453">
            <v>5.744633109357979</v>
          </cell>
          <cell r="E453">
            <v>14.080831903945105</v>
          </cell>
          <cell r="F453">
            <v>7.4520447297242329</v>
          </cell>
          <cell r="G453">
            <v>-18.499250645089607</v>
          </cell>
          <cell r="H453">
            <v>-1.7753591940292801</v>
          </cell>
          <cell r="I453">
            <v>-0.40571156746794457</v>
          </cell>
          <cell r="J453">
            <v>1.1306277041681621</v>
          </cell>
          <cell r="K453">
            <v>5.2628443477421527</v>
          </cell>
          <cell r="M453">
            <v>-5.9842932561504849</v>
          </cell>
          <cell r="N453">
            <v>-3.1594434218486533</v>
          </cell>
          <cell r="O453">
            <v>-5.5694236939430306</v>
          </cell>
          <cell r="P453">
            <v>-3.0584028890536437</v>
          </cell>
          <cell r="Q453">
            <v>-4.1298449612403099</v>
          </cell>
          <cell r="R453">
            <v>7.1867121795963538</v>
          </cell>
          <cell r="S453">
            <v>-2.8464965892512124</v>
          </cell>
          <cell r="T453">
            <v>-2.508741804555854</v>
          </cell>
          <cell r="U453">
            <v>-1.9454326807327575</v>
          </cell>
        </row>
        <row r="454">
          <cell r="B454" t="str">
            <v>FQ(1)</v>
          </cell>
          <cell r="C454">
            <v>1.104790668417178</v>
          </cell>
          <cell r="D454">
            <v>5.49126532417087</v>
          </cell>
          <cell r="E454">
            <v>21.133997429305904</v>
          </cell>
          <cell r="F454">
            <v>8.4915565866202467</v>
          </cell>
          <cell r="G454">
            <v>10.384681336255451</v>
          </cell>
          <cell r="H454">
            <v>-2.0104459856350783</v>
          </cell>
          <cell r="I454">
            <v>-0.65665224296477831</v>
          </cell>
          <cell r="J454">
            <v>6.2770275880242554</v>
          </cell>
          <cell r="K454">
            <v>5.1046925747801914</v>
          </cell>
          <cell r="M454">
            <v>-4.5012933746679629</v>
          </cell>
          <cell r="N454">
            <v>-2.4062692357603508</v>
          </cell>
          <cell r="O454">
            <v>-4.3599790377974719</v>
          </cell>
          <cell r="P454">
            <v>-3.778039723022129</v>
          </cell>
          <cell r="Q454">
            <v>-3.7063369397217927</v>
          </cell>
          <cell r="R454">
            <v>12.929730062658297</v>
          </cell>
          <cell r="S454">
            <v>-3.5044685858831217</v>
          </cell>
          <cell r="T454">
            <v>-1.3323795477420757</v>
          </cell>
          <cell r="U454">
            <v>-2.0644451787323024</v>
          </cell>
        </row>
        <row r="455">
          <cell r="B455" t="str">
            <v>Last Reported Q</v>
          </cell>
          <cell r="C455">
            <v>-8.5944095238591922E-2</v>
          </cell>
          <cell r="D455">
            <v>0.33228931309093246</v>
          </cell>
          <cell r="E455">
            <v>2.6319913663663663</v>
          </cell>
          <cell r="F455">
            <v>1.5852490873946661</v>
          </cell>
          <cell r="G455">
            <v>3.1011487412602823</v>
          </cell>
          <cell r="H455">
            <v>-0.70044497353600743</v>
          </cell>
          <cell r="I455">
            <v>-0.40023585169619963</v>
          </cell>
          <cell r="J455">
            <v>0.92343622680592119</v>
          </cell>
          <cell r="K455">
            <v>0.72760479731418182</v>
          </cell>
          <cell r="M455">
            <v>-1.6626117758933967</v>
          </cell>
          <cell r="N455">
            <v>-0.79045318475366411</v>
          </cell>
          <cell r="O455">
            <v>-1.6639704751499984</v>
          </cell>
          <cell r="P455">
            <v>-2.6366528895301915</v>
          </cell>
          <cell r="Q455">
            <v>-1.0800335570469799</v>
          </cell>
          <cell r="R455">
            <v>0.75362110728915033</v>
          </cell>
          <cell r="S455">
            <v>-1.164446584097903</v>
          </cell>
          <cell r="T455">
            <v>-1.1777924798832833</v>
          </cell>
          <cell r="U455">
            <v>-0.86342639624357287</v>
          </cell>
        </row>
        <row r="456">
          <cell r="B456" t="str">
            <v>LTM</v>
          </cell>
          <cell r="C456">
            <v>-5.3089225005100674E-2</v>
          </cell>
          <cell r="D456">
            <v>0.21353552972214196</v>
          </cell>
          <cell r="E456">
            <v>1.7692720161493818</v>
          </cell>
          <cell r="F456">
            <v>0.95447805944445252</v>
          </cell>
          <cell r="G456">
            <v>2.1243335723577608</v>
          </cell>
          <cell r="H456">
            <v>-0.4146301889013202</v>
          </cell>
          <cell r="I456">
            <v>-0.23730896873519447</v>
          </cell>
          <cell r="J456">
            <v>0.62237011357601735</v>
          </cell>
          <cell r="K456">
            <v>0.45379983425291787</v>
          </cell>
          <cell r="M456">
            <v>-1.098586120753511</v>
          </cell>
          <cell r="N456">
            <v>-0.49336964078807161</v>
          </cell>
          <cell r="O456">
            <v>-1.0245786743692473</v>
          </cell>
          <cell r="P456">
            <v>-0.94085968017258526</v>
          </cell>
          <cell r="Q456">
            <v>-0.6368538214197379</v>
          </cell>
          <cell r="R456">
            <v>0.52379054058678198</v>
          </cell>
          <cell r="S456">
            <v>-0.69681914283811763</v>
          </cell>
          <cell r="T456">
            <v>-0.62389664853635551</v>
          </cell>
          <cell r="U456">
            <v>-0.50978328158630037</v>
          </cell>
        </row>
        <row r="457">
          <cell r="B457" t="str">
            <v>FY1</v>
          </cell>
          <cell r="C457">
            <v>3.8862183909618229E-2</v>
          </cell>
          <cell r="D457">
            <v>-2.7339277114496467E-3</v>
          </cell>
          <cell r="E457">
            <v>3.5223782244625912E-2</v>
          </cell>
          <cell r="F457">
            <v>2.6424387208056593E-2</v>
          </cell>
          <cell r="G457">
            <v>-1.8071537178470622E-2</v>
          </cell>
          <cell r="H457">
            <v>5.3285963374375404E-2</v>
          </cell>
          <cell r="I457">
            <v>4.6996767941554794E-2</v>
          </cell>
          <cell r="J457">
            <v>2.5712517112615813E-2</v>
          </cell>
          <cell r="K457">
            <v>3.0552783656178185E-2</v>
          </cell>
          <cell r="M457">
            <v>1.7558553174681878E-2</v>
          </cell>
          <cell r="N457">
            <v>9.4733747506953347E-2</v>
          </cell>
          <cell r="O457">
            <v>3.927450676946953E-2</v>
          </cell>
          <cell r="P457">
            <v>0.18632383464964566</v>
          </cell>
          <cell r="Q457">
            <v>7.601987728838501E-2</v>
          </cell>
          <cell r="R457">
            <v>3.9489732823429061E-2</v>
          </cell>
          <cell r="S457">
            <v>7.0273028870299736E-2</v>
          </cell>
          <cell r="T457">
            <v>7.4810468726123444E-2</v>
          </cell>
          <cell r="U457">
            <v>7.1133632257864343E-2</v>
          </cell>
        </row>
        <row r="458">
          <cell r="A458" t="str">
            <v>mstag:rentalPaymentOnCapitalizedOperatingLeasesLessee</v>
          </cell>
          <cell r="B458" t="str">
            <v>Rent Payments</v>
          </cell>
          <cell r="C458">
            <v>4.0399164926698122E-2</v>
          </cell>
          <cell r="D458">
            <v>1.6931586348310497E-2</v>
          </cell>
          <cell r="E458">
            <v>2.9456136212050146E-2</v>
          </cell>
          <cell r="F458">
            <v>2.0077868758461886E-2</v>
          </cell>
          <cell r="G458">
            <v>2.2569207819594437E-4</v>
          </cell>
          <cell r="H458">
            <v>4.4593896192770086E-2</v>
          </cell>
          <cell r="I458">
            <v>4.9015164653234404E-2</v>
          </cell>
          <cell r="J458">
            <v>2.8671358452817299E-2</v>
          </cell>
          <cell r="K458">
            <v>3.3086860119727286E-2</v>
          </cell>
          <cell r="M458">
            <v>1.3331044461962222E-2</v>
          </cell>
          <cell r="N458">
            <v>8.085394256907405E-2</v>
          </cell>
          <cell r="O458">
            <v>5.1174560505937175E-2</v>
          </cell>
          <cell r="P458">
            <v>0.18148861674681205</v>
          </cell>
          <cell r="Q458">
            <v>7.2415679205012184E-2</v>
          </cell>
          <cell r="R458">
            <v>4.2100436438037216E-2</v>
          </cell>
          <cell r="S458">
            <v>7.2374325816125115E-2</v>
          </cell>
          <cell r="T458">
            <v>7.3391229391851429E-2</v>
          </cell>
          <cell r="U458">
            <v>6.9928491080842994E-2</v>
          </cell>
        </row>
        <row r="459">
          <cell r="B459" t="str">
            <v>FY(2)</v>
          </cell>
          <cell r="C459">
            <v>413.3</v>
          </cell>
          <cell r="D459">
            <v>210</v>
          </cell>
          <cell r="E459">
            <v>221</v>
          </cell>
          <cell r="F459">
            <v>81</v>
          </cell>
          <cell r="G459">
            <v>87.075000000000003</v>
          </cell>
          <cell r="H459">
            <v>301.58199999999999</v>
          </cell>
          <cell r="I459">
            <v>886.9</v>
          </cell>
          <cell r="J459">
            <v>314.40814285714288</v>
          </cell>
          <cell r="K459">
            <v>2200.857</v>
          </cell>
          <cell r="M459">
            <v>231.65299999999999</v>
          </cell>
          <cell r="N459">
            <v>77.64</v>
          </cell>
          <cell r="O459">
            <v>167.05099999999999</v>
          </cell>
          <cell r="P459">
            <v>107.458</v>
          </cell>
          <cell r="Q459">
            <v>970</v>
          </cell>
          <cell r="R459">
            <v>441</v>
          </cell>
          <cell r="S459">
            <v>100.02</v>
          </cell>
          <cell r="T459">
            <v>299.26028571428571</v>
          </cell>
          <cell r="U459">
            <v>2094.8220000000001</v>
          </cell>
        </row>
        <row r="460">
          <cell r="B460" t="str">
            <v>FY(1)</v>
          </cell>
          <cell r="C460">
            <v>445</v>
          </cell>
          <cell r="D460">
            <v>217</v>
          </cell>
          <cell r="E460">
            <v>230</v>
          </cell>
          <cell r="F460">
            <v>76</v>
          </cell>
          <cell r="G460">
            <v>83.682000000000002</v>
          </cell>
          <cell r="H460">
            <v>325.89999999999998</v>
          </cell>
          <cell r="I460">
            <v>928.3</v>
          </cell>
          <cell r="J460">
            <v>329.41171428571425</v>
          </cell>
          <cell r="K460">
            <v>2305.8819999999996</v>
          </cell>
          <cell r="M460">
            <v>280.61399999999998</v>
          </cell>
          <cell r="N460">
            <v>88.031000000000006</v>
          </cell>
          <cell r="O460">
            <v>197.82</v>
          </cell>
          <cell r="P460">
            <v>132.96899999999999</v>
          </cell>
          <cell r="Q460">
            <v>992</v>
          </cell>
          <cell r="R460">
            <v>391</v>
          </cell>
          <cell r="S460">
            <v>112.907</v>
          </cell>
          <cell r="T460">
            <v>313.62014285714292</v>
          </cell>
          <cell r="U460">
            <v>2195.3410000000003</v>
          </cell>
        </row>
        <row r="461">
          <cell r="B461" t="str">
            <v>FY0</v>
          </cell>
          <cell r="C461">
            <v>496</v>
          </cell>
          <cell r="D461">
            <v>231</v>
          </cell>
          <cell r="E461">
            <v>230</v>
          </cell>
          <cell r="F461">
            <v>89</v>
          </cell>
          <cell r="G461">
            <v>88.454999999999998</v>
          </cell>
          <cell r="H461">
            <v>336.5</v>
          </cell>
          <cell r="I461">
            <v>949</v>
          </cell>
          <cell r="J461">
            <v>345.70785714285711</v>
          </cell>
          <cell r="K461">
            <v>2419.9549999999999</v>
          </cell>
          <cell r="M461">
            <v>301.13799999999998</v>
          </cell>
          <cell r="N461">
            <v>97.888999999999996</v>
          </cell>
          <cell r="O461">
            <v>229.428</v>
          </cell>
          <cell r="P461">
            <v>151.267</v>
          </cell>
          <cell r="Q461">
            <v>973</v>
          </cell>
          <cell r="R461">
            <v>407</v>
          </cell>
          <cell r="S461">
            <v>127.434109734499</v>
          </cell>
          <cell r="T461">
            <v>326.73658710492839</v>
          </cell>
          <cell r="U461">
            <v>2287.1561097344988</v>
          </cell>
        </row>
        <row r="462">
          <cell r="B462" t="str">
            <v>FY1</v>
          </cell>
          <cell r="C462">
            <v>518.56303309414204</v>
          </cell>
          <cell r="D462">
            <v>236.036967509025</v>
          </cell>
          <cell r="E462">
            <v>235.41176470588201</v>
          </cell>
          <cell r="F462">
            <v>94.618556360602398</v>
          </cell>
          <cell r="G462">
            <v>90.912720945319705</v>
          </cell>
          <cell r="H462">
            <v>357.93168758199101</v>
          </cell>
          <cell r="I462">
            <v>970.16158569428001</v>
          </cell>
          <cell r="J462">
            <v>357.66233084160604</v>
          </cell>
          <cell r="K462">
            <v>2503.6363158912422</v>
          </cell>
          <cell r="M462">
            <v>318.11697719272098</v>
          </cell>
          <cell r="N462">
            <v>105.26366844444399</v>
          </cell>
          <cell r="O462">
            <v>234.19916455511199</v>
          </cell>
          <cell r="P462">
            <v>166.354913589744</v>
          </cell>
          <cell r="Q462">
            <v>967.79732534490495</v>
          </cell>
          <cell r="R462">
            <v>457.30408312233999</v>
          </cell>
          <cell r="S462">
            <v>146.22090008927199</v>
          </cell>
          <cell r="T462">
            <v>342.17957604836266</v>
          </cell>
          <cell r="U462">
            <v>2395.2570323385385</v>
          </cell>
        </row>
        <row r="463">
          <cell r="B463" t="str">
            <v>FY2</v>
          </cell>
          <cell r="C463">
            <v>552.77130938437199</v>
          </cell>
          <cell r="D463">
            <v>241.82093644258001</v>
          </cell>
          <cell r="E463">
            <v>239.98217166756399</v>
          </cell>
          <cell r="F463">
            <v>100.17534986731199</v>
          </cell>
          <cell r="G463">
            <v>96.459784775814597</v>
          </cell>
          <cell r="H463">
            <v>383.82128500347801</v>
          </cell>
          <cell r="I463">
            <v>986.94424197336195</v>
          </cell>
          <cell r="J463">
            <v>371.7107255877832</v>
          </cell>
          <cell r="K463">
            <v>2601.9750791144825</v>
          </cell>
          <cell r="M463">
            <v>353.83675694878099</v>
          </cell>
          <cell r="N463">
            <v>117.765877715481</v>
          </cell>
          <cell r="O463">
            <v>253.48517768534199</v>
          </cell>
          <cell r="P463">
            <v>179.71223459268501</v>
          </cell>
          <cell r="Q463">
            <v>953.87523311373502</v>
          </cell>
          <cell r="R463">
            <v>472.39043594442302</v>
          </cell>
          <cell r="S463">
            <v>166.065647668351</v>
          </cell>
          <cell r="T463">
            <v>356.73305195268546</v>
          </cell>
          <cell r="U463">
            <v>2497.1313636687983</v>
          </cell>
        </row>
        <row r="464">
          <cell r="B464" t="str">
            <v>FY1</v>
          </cell>
          <cell r="C464">
            <v>2.1678220019136387</v>
          </cell>
          <cell r="D464">
            <v>-0.20556202869745732</v>
          </cell>
          <cell r="E464">
            <v>1.946659427655937</v>
          </cell>
          <cell r="F464">
            <v>0.97354893957990185</v>
          </cell>
          <cell r="G464">
            <v>-0.32022714107024319</v>
          </cell>
          <cell r="H464">
            <v>3.0324798233633263</v>
          </cell>
          <cell r="I464">
            <v>2.1899111206141724</v>
          </cell>
          <cell r="M464">
            <v>0.59076362179338449</v>
          </cell>
          <cell r="N464">
            <v>3.0549856965789917</v>
          </cell>
          <cell r="O464">
            <v>0.55397571895375231</v>
          </cell>
          <cell r="P464">
            <v>2.0205286121042589</v>
          </cell>
          <cell r="Q464">
            <v>1.5531511857589593</v>
          </cell>
          <cell r="R464">
            <v>1.0250297702777731</v>
          </cell>
          <cell r="S464">
            <v>0.79672676486813154</v>
          </cell>
        </row>
        <row r="465">
          <cell r="B465" t="str">
            <v>Adjusted Net Debt/EBITDAR (includes Rent capitalized at 8x)</v>
          </cell>
          <cell r="C465">
            <v>2.4259351333438075</v>
          </cell>
          <cell r="D465">
            <v>1.2413658361277</v>
          </cell>
          <cell r="E465">
            <v>1.6008639174988561</v>
          </cell>
          <cell r="F465">
            <v>0.76128900106267405</v>
          </cell>
          <cell r="G465">
            <v>3.6556641974695874E-3</v>
          </cell>
          <cell r="H465">
            <v>2.7280154257731373</v>
          </cell>
          <cell r="I465">
            <v>2.5010561968072311</v>
          </cell>
          <cell r="M465">
            <v>0.51679513609987526</v>
          </cell>
          <cell r="N465">
            <v>3.0815192419646067</v>
          </cell>
          <cell r="O465">
            <v>0.75955113998499157</v>
          </cell>
          <cell r="P465">
            <v>2.1733260926685545</v>
          </cell>
          <cell r="Q465">
            <v>1.5555110393579679</v>
          </cell>
          <cell r="R465">
            <v>1.119845743374736</v>
          </cell>
          <cell r="S465">
            <v>0.95223954907340669</v>
          </cell>
        </row>
        <row r="466">
          <cell r="B466" t="str">
            <v>FY(2)</v>
          </cell>
          <cell r="C466">
            <v>1.7630403134292154</v>
          </cell>
          <cell r="D466">
            <v>1.1341816541717473</v>
          </cell>
          <cell r="E466">
            <v>3.0587597874720349</v>
          </cell>
          <cell r="F466">
            <v>1.7837177731034912</v>
          </cell>
          <cell r="G466">
            <v>3.2662010966582922</v>
          </cell>
          <cell r="H466">
            <v>2.7259358859435694</v>
          </cell>
          <cell r="I466">
            <v>2.6520141454465453</v>
          </cell>
          <cell r="J466">
            <v>2.3405500937464141</v>
          </cell>
          <cell r="K466">
            <v>2.2436432720862096</v>
          </cell>
          <cell r="M466">
            <v>1.1145547912933007</v>
          </cell>
          <cell r="N466">
            <v>1.2499124465924214</v>
          </cell>
          <cell r="O466">
            <v>0.97433969250602104</v>
          </cell>
          <cell r="P466">
            <v>0.13865886124043997</v>
          </cell>
          <cell r="Q466">
            <v>2.1748080949057922</v>
          </cell>
          <cell r="R466">
            <v>3.1794784845342146</v>
          </cell>
          <cell r="S466">
            <v>1.0992323700826874</v>
          </cell>
          <cell r="T466">
            <v>1.418712105879268</v>
          </cell>
          <cell r="U466">
            <v>1.7294953910912045</v>
          </cell>
        </row>
        <row r="467">
          <cell r="B467" t="str">
            <v>FY(1)</v>
          </cell>
          <cell r="C467">
            <v>1.9634987696449357</v>
          </cell>
          <cell r="D467">
            <v>1.5921080102834659</v>
          </cell>
          <cell r="E467">
            <v>3.5213781830695114</v>
          </cell>
          <cell r="F467">
            <v>2.6340789332320407</v>
          </cell>
          <cell r="G467">
            <v>11.924217205587883</v>
          </cell>
          <cell r="H467">
            <v>2.5402353666684365</v>
          </cell>
          <cell r="I467">
            <v>2.8040238749093813</v>
          </cell>
          <cell r="J467">
            <v>3.8542200490565222</v>
          </cell>
          <cell r="K467">
            <v>2.6655393954503377</v>
          </cell>
          <cell r="M467">
            <v>1.8125081650204506</v>
          </cell>
          <cell r="N467">
            <v>1.2449993849825833</v>
          </cell>
          <cell r="O467">
            <v>1.8401580358402727</v>
          </cell>
          <cell r="P467">
            <v>0.26025301117841149</v>
          </cell>
          <cell r="Q467">
            <v>2.0176962676962678</v>
          </cell>
          <cell r="R467">
            <v>3.3424457701446935</v>
          </cell>
          <cell r="S467">
            <v>1.0869568735825657</v>
          </cell>
          <cell r="T467">
            <v>1.6578596440636062</v>
          </cell>
          <cell r="U467">
            <v>1.8251633583838809</v>
          </cell>
        </row>
        <row r="468">
          <cell r="B468" t="str">
            <v>FY0</v>
          </cell>
          <cell r="C468">
            <v>1.3479594697375761</v>
          </cell>
          <cell r="D468">
            <v>1.6074809392075593</v>
          </cell>
          <cell r="E468">
            <v>3.0586126468555634</v>
          </cell>
          <cell r="F468">
            <v>2.047152672525633</v>
          </cell>
          <cell r="G468">
            <v>5.2296873407878488</v>
          </cell>
          <cell r="H468">
            <v>1.696038296095902</v>
          </cell>
          <cell r="I468">
            <v>1.9615963754819123</v>
          </cell>
          <cell r="J468">
            <v>2.4212182486702849</v>
          </cell>
          <cell r="K468">
            <v>2.0693383134945118</v>
          </cell>
          <cell r="M468">
            <v>2.5610036296682419</v>
          </cell>
          <cell r="N468">
            <v>0.81276759274384647</v>
          </cell>
          <cell r="O468">
            <v>1.8483523878471451</v>
          </cell>
          <cell r="P468">
            <v>0.34745351137138419</v>
          </cell>
          <cell r="Q468">
            <v>1.5517426273458446</v>
          </cell>
          <cell r="R468">
            <v>2.567792220893554</v>
          </cell>
          <cell r="S468">
            <v>0.92796661441807282</v>
          </cell>
          <cell r="T468">
            <v>1.5167255120411556</v>
          </cell>
          <cell r="U468">
            <v>1.5811015026553612</v>
          </cell>
        </row>
        <row r="469">
          <cell r="A469" t="str">
            <v>mstag:capitalExpenditures</v>
          </cell>
          <cell r="B469" t="str">
            <v>FY1</v>
          </cell>
          <cell r="C469">
            <v>1.0482258192150369</v>
          </cell>
          <cell r="D469">
            <v>1.2582527657927727</v>
          </cell>
          <cell r="E469">
            <v>2.4094468811563323</v>
          </cell>
          <cell r="F469">
            <v>1.5941125062690669</v>
          </cell>
          <cell r="G469">
            <v>4.17922891856856</v>
          </cell>
          <cell r="H469">
            <v>1.5256205587282161</v>
          </cell>
          <cell r="I469">
            <v>1.6826788867179201</v>
          </cell>
          <cell r="J469">
            <v>1.9567951909211292</v>
          </cell>
          <cell r="K469">
            <v>1.6758209958676464</v>
          </cell>
          <cell r="M469">
            <v>2.391050370712593</v>
          </cell>
          <cell r="N469">
            <v>0.71932761632238529</v>
          </cell>
          <cell r="O469">
            <v>1.4432560378481065</v>
          </cell>
          <cell r="P469">
            <v>0.28759622817734298</v>
          </cell>
          <cell r="Q469">
            <v>1.5987513531074025</v>
          </cell>
          <cell r="R469">
            <v>2.4837915361158127</v>
          </cell>
          <cell r="S469">
            <v>0.64964261665766232</v>
          </cell>
          <cell r="T469">
            <v>1.3676308227059006</v>
          </cell>
          <cell r="U469">
            <v>1.5126774008222057</v>
          </cell>
        </row>
        <row r="470">
          <cell r="B470" t="str">
            <v>FY2</v>
          </cell>
          <cell r="C470">
            <v>0.87493009858381077</v>
          </cell>
          <cell r="D470">
            <v>1.1579138512985476</v>
          </cell>
          <cell r="E470">
            <v>1.9226546792326706</v>
          </cell>
          <cell r="F470">
            <v>1.5163541404967966</v>
          </cell>
          <cell r="G470">
            <v>3.0895363696481981</v>
          </cell>
          <cell r="H470">
            <v>1.4849145427793713</v>
          </cell>
          <cell r="I470">
            <v>1.5179536310666246</v>
          </cell>
          <cell r="J470">
            <v>1.6520367590151455</v>
          </cell>
          <cell r="K470">
            <v>1.4482420880717608</v>
          </cell>
          <cell r="M470">
            <v>2.4665701567877596</v>
          </cell>
          <cell r="N470">
            <v>0.77815718698320846</v>
          </cell>
          <cell r="O470">
            <v>1.2438592969656144</v>
          </cell>
          <cell r="P470">
            <v>0.23617584483676721</v>
          </cell>
          <cell r="Q470">
            <v>1.5955958846176646</v>
          </cell>
          <cell r="R470">
            <v>2.200647221162388</v>
          </cell>
          <cell r="S470">
            <v>0.51167660904846224</v>
          </cell>
          <cell r="T470">
            <v>1.2903831714859808</v>
          </cell>
          <cell r="U470">
            <v>1.4299289350190132</v>
          </cell>
        </row>
        <row r="471">
          <cell r="B471" t="str">
            <v>FY1</v>
          </cell>
          <cell r="C471">
            <v>647.25003538475005</v>
          </cell>
          <cell r="D471">
            <v>597.63773739153396</v>
          </cell>
          <cell r="E471">
            <v>398.916049323469</v>
          </cell>
          <cell r="F471">
            <v>361</v>
          </cell>
          <cell r="G471">
            <v>66.837014679888597</v>
          </cell>
          <cell r="H471">
            <v>164.974553241579</v>
          </cell>
          <cell r="I471">
            <v>465.40417961601298</v>
          </cell>
          <cell r="J471">
            <v>386.00279566246201</v>
          </cell>
          <cell r="K471">
            <v>2702.0195696372339</v>
          </cell>
          <cell r="M471">
            <v>185.09325427162901</v>
          </cell>
          <cell r="N471">
            <v>49.858069962182</v>
          </cell>
          <cell r="O471">
            <v>129.30167913915301</v>
          </cell>
          <cell r="P471">
            <v>107.320766852448</v>
          </cell>
          <cell r="Q471">
            <v>350.99767742648697</v>
          </cell>
          <cell r="R471">
            <v>225.261</v>
          </cell>
          <cell r="S471">
            <v>119.233752219984</v>
          </cell>
          <cell r="T471">
            <v>166.72374283884042</v>
          </cell>
          <cell r="U471">
            <v>1167.0661998718829</v>
          </cell>
          <cell r="W471">
            <v>3869.0857695091167</v>
          </cell>
        </row>
        <row r="472">
          <cell r="B472" t="str">
            <v>Adjusted Net Debt/Cap (includes Rent capitalized at 8x)</v>
          </cell>
          <cell r="C472">
            <v>746.07111004947603</v>
          </cell>
          <cell r="D472">
            <v>394.57224859306899</v>
          </cell>
          <cell r="E472">
            <v>618.35365471548903</v>
          </cell>
          <cell r="F472">
            <v>465.162968324612</v>
          </cell>
          <cell r="G472">
            <v>45.8188964183229</v>
          </cell>
          <cell r="H472">
            <v>200.649569914437</v>
          </cell>
          <cell r="I472">
            <v>517.37070757901802</v>
          </cell>
          <cell r="J472">
            <v>426.85702222777485</v>
          </cell>
          <cell r="K472">
            <v>2987.9991555944239</v>
          </cell>
          <cell r="M472">
            <v>246.71197020712299</v>
          </cell>
          <cell r="N472">
            <v>67.516321371336403</v>
          </cell>
          <cell r="O472">
            <v>135.41319328435799</v>
          </cell>
          <cell r="P472">
            <v>137.30003618500299</v>
          </cell>
          <cell r="Q472">
            <v>423.142401533449</v>
          </cell>
          <cell r="R472">
            <v>252.161501557756</v>
          </cell>
          <cell r="S472">
            <v>148.570424497277</v>
          </cell>
          <cell r="T472">
            <v>201.5451212337575</v>
          </cell>
          <cell r="U472">
            <v>1410.8158486363025</v>
          </cell>
          <cell r="W472">
            <v>4398.8150042307261</v>
          </cell>
          <cell r="X472">
            <v>0.13691328295077265</v>
          </cell>
        </row>
        <row r="473">
          <cell r="B473" t="str">
            <v>FY(2)</v>
          </cell>
          <cell r="C473">
            <v>0.43550302523316747</v>
          </cell>
          <cell r="D473">
            <v>0.34964680059462472</v>
          </cell>
          <cell r="E473">
            <v>0.52473300112136523</v>
          </cell>
          <cell r="F473">
            <v>0.7142928672679153</v>
          </cell>
          <cell r="G473">
            <v>0.4984460608672418</v>
          </cell>
          <cell r="H473">
            <v>0.70313158045244917</v>
          </cell>
          <cell r="I473">
            <v>0.77154204302150575</v>
          </cell>
          <cell r="J473">
            <v>0.57104219693689562</v>
          </cell>
          <cell r="K473">
            <v>0.54466525719550296</v>
          </cell>
          <cell r="M473">
            <v>0.38342940939156683</v>
          </cell>
          <cell r="N473">
            <v>0.4797066456825303</v>
          </cell>
          <cell r="O473">
            <v>0.31848964014715719</v>
          </cell>
          <cell r="P473">
            <v>5.9088361908869382E-2</v>
          </cell>
          <cell r="Q473">
            <v>0.50998199967272129</v>
          </cell>
          <cell r="R473">
            <v>0.60787298235139131</v>
          </cell>
          <cell r="S473">
            <v>0.26256613636624776</v>
          </cell>
          <cell r="T473">
            <v>0.37444788221721204</v>
          </cell>
          <cell r="U473">
            <v>0.45453050790622207</v>
          </cell>
        </row>
        <row r="474">
          <cell r="B474" t="str">
            <v>FY(1)</v>
          </cell>
          <cell r="C474">
            <v>0.42366442772181695</v>
          </cell>
          <cell r="D474">
            <v>0.41016752157869452</v>
          </cell>
          <cell r="E474">
            <v>0.68775045575596683</v>
          </cell>
          <cell r="F474">
            <v>0.71590113352887597</v>
          </cell>
          <cell r="G474">
            <v>0.57198793761492206</v>
          </cell>
          <cell r="H474">
            <v>0.70963308161370375</v>
          </cell>
          <cell r="I474">
            <v>0.78410355528262954</v>
          </cell>
          <cell r="J474">
            <v>0.61474401615665852</v>
          </cell>
          <cell r="K474">
            <v>0.60997299068920097</v>
          </cell>
          <cell r="M474">
            <v>0.43497953260620403</v>
          </cell>
          <cell r="N474">
            <v>0.44908374146140695</v>
          </cell>
          <cell r="O474">
            <v>0.38274031326642549</v>
          </cell>
          <cell r="P474">
            <v>0.14380647260531124</v>
          </cell>
          <cell r="Q474">
            <v>0.50682938656752607</v>
          </cell>
          <cell r="R474">
            <v>0.61421029375145364</v>
          </cell>
          <cell r="S474">
            <v>0.27453474165713265</v>
          </cell>
          <cell r="T474">
            <v>0.40088349741649426</v>
          </cell>
          <cell r="U474">
            <v>0.46823935768246799</v>
          </cell>
          <cell r="W474">
            <v>0.10583919863895908</v>
          </cell>
        </row>
        <row r="475">
          <cell r="B475" t="str">
            <v>FY0</v>
          </cell>
          <cell r="C475">
            <v>0.32437098274976922</v>
          </cell>
          <cell r="D475">
            <v>0.31866099855600216</v>
          </cell>
          <cell r="E475">
            <v>0.65312992870384889</v>
          </cell>
          <cell r="F475">
            <v>0.61679852898467369</v>
          </cell>
          <cell r="G475">
            <v>0.49446934556739103</v>
          </cell>
          <cell r="H475">
            <v>0.64162547041683271</v>
          </cell>
          <cell r="I475">
            <v>0.69619172996255518</v>
          </cell>
          <cell r="J475">
            <v>0.53503528356301033</v>
          </cell>
          <cell r="K475">
            <v>0.53035963604257441</v>
          </cell>
          <cell r="M475">
            <v>0.40814676439653425</v>
          </cell>
          <cell r="N475">
            <v>0.35827227984819415</v>
          </cell>
          <cell r="O475">
            <v>0.3387947354498817</v>
          </cell>
          <cell r="P475">
            <v>0.1506674822931261</v>
          </cell>
          <cell r="Q475">
            <v>0.41098224852071003</v>
          </cell>
          <cell r="R475">
            <v>0.51139588766764599</v>
          </cell>
          <cell r="S475">
            <v>0.22361029785419212</v>
          </cell>
          <cell r="T475">
            <v>0.34312424229004063</v>
          </cell>
          <cell r="U475">
            <v>0.39089769547383957</v>
          </cell>
        </row>
        <row r="476">
          <cell r="B476" t="str">
            <v>FY1</v>
          </cell>
          <cell r="C476">
            <v>0.27761167517410235</v>
          </cell>
          <cell r="D476">
            <v>0.28675163494379724</v>
          </cell>
          <cell r="E476">
            <v>0.58794038590017261</v>
          </cell>
          <cell r="F476">
            <v>0.53853754106956986</v>
          </cell>
          <cell r="G476">
            <v>0.49605191308167351</v>
          </cell>
          <cell r="H476">
            <v>0.6363634999736747</v>
          </cell>
          <cell r="I476">
            <v>0.64872711884527645</v>
          </cell>
          <cell r="J476">
            <v>0.49599768128403809</v>
          </cell>
          <cell r="K476">
            <v>0.48136100917699715</v>
          </cell>
          <cell r="M476">
            <v>0.45338273009338498</v>
          </cell>
          <cell r="N476">
            <v>0.3113380398102033</v>
          </cell>
          <cell r="O476">
            <v>0.31348272554407308</v>
          </cell>
          <cell r="P476">
            <v>0.12284434737617074</v>
          </cell>
          <cell r="Q476">
            <v>0.42264761699012438</v>
          </cell>
          <cell r="R476">
            <v>0.55140427089044997</v>
          </cell>
          <cell r="S476">
            <v>0.1602020261661532</v>
          </cell>
          <cell r="T476">
            <v>0.33361453669579422</v>
          </cell>
          <cell r="U476">
            <v>0.39418186587584914</v>
          </cell>
        </row>
        <row r="477">
          <cell r="B477" t="str">
            <v>FY2</v>
          </cell>
          <cell r="C477">
            <v>0.24658198099063369</v>
          </cell>
          <cell r="D477">
            <v>0.27605661840184514</v>
          </cell>
          <cell r="E477">
            <v>0.50433224175968594</v>
          </cell>
          <cell r="F477">
            <v>0.5135949170173888</v>
          </cell>
          <cell r="G477">
            <v>0.48846420448934763</v>
          </cell>
          <cell r="H477">
            <v>0.6169160063040503</v>
          </cell>
          <cell r="I477">
            <v>0.59472351294919445</v>
          </cell>
          <cell r="J477">
            <v>0.46295278313030652</v>
          </cell>
          <cell r="K477">
            <v>0.43649769110271114</v>
          </cell>
          <cell r="M477">
            <v>0.51651231294961675</v>
          </cell>
          <cell r="N477">
            <v>0.31530347483637128</v>
          </cell>
          <cell r="O477">
            <v>0.28902023877853833</v>
          </cell>
          <cell r="P477">
            <v>0.10027717592566783</v>
          </cell>
          <cell r="Q477">
            <v>0.43774664231019594</v>
          </cell>
          <cell r="R477">
            <v>0.50719980535825493</v>
          </cell>
          <cell r="S477">
            <v>0.12596486252548919</v>
          </cell>
          <cell r="T477">
            <v>0.32743207324059054</v>
          </cell>
          <cell r="U477">
            <v>0.38456886671914609</v>
          </cell>
        </row>
        <row r="478">
          <cell r="B478" t="str">
            <v>FY1</v>
          </cell>
          <cell r="C478">
            <v>3.7856912119302158E-2</v>
          </cell>
          <cell r="D478">
            <v>3.4128142880679689E-2</v>
          </cell>
          <cell r="E478">
            <v>1.7111780644585135E-2</v>
          </cell>
          <cell r="F478">
            <v>4.46975854382725E-2</v>
          </cell>
          <cell r="G478">
            <v>2.5944116217902227E-2</v>
          </cell>
          <cell r="H478">
            <v>2.3149873315251059E-2</v>
          </cell>
          <cell r="I478">
            <v>2.3293819102922865E-2</v>
          </cell>
          <cell r="J478">
            <v>2.945460424555937E-2</v>
          </cell>
          <cell r="K478">
            <v>2.8240168758070814E-2</v>
          </cell>
          <cell r="M478">
            <v>6.2329427377884772E-2</v>
          </cell>
          <cell r="N478">
            <v>2.2851036467750125E-2</v>
          </cell>
          <cell r="O478">
            <v>4.3803673426332575E-2</v>
          </cell>
          <cell r="P478">
            <v>3.0749077335192904E-2</v>
          </cell>
          <cell r="Q478">
            <v>2.4603922708742794E-2</v>
          </cell>
          <cell r="R478">
            <v>2.6555011119058704E-2</v>
          </cell>
          <cell r="S478">
            <v>6.1491685262025593E-2</v>
          </cell>
          <cell r="T478">
            <v>3.8911976242426781E-2</v>
          </cell>
          <cell r="U478">
            <v>3.2167174429495293E-2</v>
          </cell>
        </row>
        <row r="479">
          <cell r="B479" t="str">
            <v>FY2</v>
          </cell>
          <cell r="C479">
            <v>4.1056912119301993E-2</v>
          </cell>
          <cell r="D479">
            <v>2.2583973489152562E-2</v>
          </cell>
          <cell r="E479">
            <v>2.6999999999999975E-2</v>
          </cell>
          <cell r="F479">
            <v>5.7000000000000009E-2</v>
          </cell>
          <cell r="G479">
            <v>1.749999999999996E-2</v>
          </cell>
          <cell r="H479">
            <v>2.7000000000000017E-2</v>
          </cell>
          <cell r="I479">
            <v>2.4293819102922845E-2</v>
          </cell>
          <cell r="J479">
            <v>3.0919243530196767E-2</v>
          </cell>
          <cell r="K479">
            <v>3.0473682053923909E-2</v>
          </cell>
          <cell r="M479">
            <v>7.4829427377884575E-2</v>
          </cell>
          <cell r="N479">
            <v>2.7949999999999978E-2</v>
          </cell>
          <cell r="O479">
            <v>4.2803673426332609E-2</v>
          </cell>
          <cell r="P479">
            <v>3.6749077335192643E-2</v>
          </cell>
          <cell r="Q479">
            <v>3.0000000000000072E-2</v>
          </cell>
          <cell r="R479">
            <v>2.9499999999999988E-2</v>
          </cell>
          <cell r="S479">
            <v>6.5794955109565761E-2</v>
          </cell>
          <cell r="T479">
            <v>4.3946733321282232E-2</v>
          </cell>
          <cell r="U479">
            <v>3.7598679443819762E-2</v>
          </cell>
        </row>
        <row r="480">
          <cell r="B480" t="str">
            <v>Unadjusted Net Debt/Cap</v>
          </cell>
        </row>
        <row r="481">
          <cell r="A481" t="str">
            <v>mstag:averageDilutedSharesOutstanding</v>
          </cell>
          <cell r="B481" t="str">
            <v>FY(2)</v>
          </cell>
          <cell r="C481">
            <v>0.17155117918135337</v>
          </cell>
          <cell r="D481">
            <v>0.13036246177433036</v>
          </cell>
          <cell r="E481">
            <v>0.46643565615462851</v>
          </cell>
          <cell r="F481">
            <v>0.59235816811785225</v>
          </cell>
          <cell r="G481">
            <v>0.26971047322857289</v>
          </cell>
          <cell r="H481">
            <v>-0.10143943375668921</v>
          </cell>
          <cell r="I481">
            <v>3.451495658087933E-2</v>
          </cell>
          <cell r="J481">
            <v>0.22335620875441822</v>
          </cell>
          <cell r="K481">
            <v>0.30990908137205347</v>
          </cell>
          <cell r="M481">
            <v>-0.32264130511775407</v>
          </cell>
          <cell r="N481">
            <v>-1.1584277864514689</v>
          </cell>
          <cell r="O481">
            <v>-0.36095859344226999</v>
          </cell>
          <cell r="P481">
            <v>-0.36363821654453149</v>
          </cell>
          <cell r="Q481">
            <v>-0.34222321828776331</v>
          </cell>
          <cell r="R481">
            <v>0.33787739453859944</v>
          </cell>
          <cell r="S481">
            <v>-0.42883724636203746</v>
          </cell>
          <cell r="T481">
            <v>-0.37697842452388947</v>
          </cell>
          <cell r="U481">
            <v>-0.13489505937003851</v>
          </cell>
        </row>
        <row r="482">
          <cell r="B482" t="str">
            <v>FY(1)</v>
          </cell>
          <cell r="C482">
            <v>0.15822915618753594</v>
          </cell>
          <cell r="D482">
            <v>0.15057089093463449</v>
          </cell>
          <cell r="E482">
            <v>0.58509062391077027</v>
          </cell>
          <cell r="F482">
            <v>0.6556757193772984</v>
          </cell>
          <cell r="G482">
            <v>0.38896458007874457</v>
          </cell>
          <cell r="H482">
            <v>-0.15017448570224767</v>
          </cell>
          <cell r="I482">
            <v>0.11189509312225583</v>
          </cell>
          <cell r="J482">
            <v>0.27146451112985603</v>
          </cell>
          <cell r="K482">
            <v>0.35221633255581436</v>
          </cell>
          <cell r="M482">
            <v>-0.21697131567535613</v>
          </cell>
          <cell r="N482">
            <v>-0.64363769503745849</v>
          </cell>
          <cell r="O482">
            <v>-0.27550098347002122</v>
          </cell>
          <cell r="P482">
            <v>-0.46612734724491706</v>
          </cell>
          <cell r="Q482">
            <v>-0.37525354969574037</v>
          </cell>
          <cell r="R482">
            <v>0.36128189984901221</v>
          </cell>
          <cell r="S482">
            <v>-0.3473065882185476</v>
          </cell>
          <cell r="T482">
            <v>-0.28050222564186122</v>
          </cell>
          <cell r="U482">
            <v>-0.13274448535899933</v>
          </cell>
        </row>
        <row r="483">
          <cell r="B483" t="str">
            <v>FY0</v>
          </cell>
          <cell r="C483">
            <v>-1.9933208662836408E-2</v>
          </cell>
          <cell r="D483">
            <v>4.7121114935010998E-2</v>
          </cell>
          <cell r="E483">
            <v>0.52329464885439214</v>
          </cell>
          <cell r="F483">
            <v>0.43447567580446406</v>
          </cell>
          <cell r="G483">
            <v>0.22179778818940543</v>
          </cell>
          <cell r="H483">
            <v>-0.47426963580467424</v>
          </cell>
          <cell r="I483">
            <v>-0.26506359909847371</v>
          </cell>
          <cell r="J483">
            <v>6.6774683459612613E-2</v>
          </cell>
          <cell r="K483">
            <v>0.18420323911802425</v>
          </cell>
          <cell r="M483">
            <v>-0.33690533113642818</v>
          </cell>
          <cell r="N483">
            <v>-0.79836155526275465</v>
          </cell>
          <cell r="O483">
            <v>-0.41568408664627049</v>
          </cell>
          <cell r="P483">
            <v>-0.44374415164262937</v>
          </cell>
          <cell r="Q483">
            <v>-0.52643631159272131</v>
          </cell>
          <cell r="R483">
            <v>0.18717424120299675</v>
          </cell>
          <cell r="S483">
            <v>-0.38675637639528909</v>
          </cell>
          <cell r="T483">
            <v>-0.38867336735329949</v>
          </cell>
          <cell r="U483">
            <v>-0.27326179546257678</v>
          </cell>
        </row>
        <row r="484">
          <cell r="B484" t="str">
            <v>FY1</v>
          </cell>
          <cell r="C484">
            <v>-7.2935073750824544E-2</v>
          </cell>
          <cell r="D484">
            <v>1.3155159541196127E-2</v>
          </cell>
          <cell r="E484">
            <v>0.41980917229782333</v>
          </cell>
          <cell r="F484">
            <v>0.36053432174461086</v>
          </cell>
          <cell r="G484">
            <v>0.20965041705312365</v>
          </cell>
          <cell r="H484">
            <v>-0.53100621148321026</v>
          </cell>
          <cell r="I484">
            <v>-0.35218119816282695</v>
          </cell>
          <cell r="J484">
            <v>6.7180838914131912E-3</v>
          </cell>
          <cell r="K484">
            <v>0.10981844106149648</v>
          </cell>
          <cell r="M484">
            <v>-0.31696737676589115</v>
          </cell>
          <cell r="N484">
            <v>-0.81056984395921061</v>
          </cell>
          <cell r="O484">
            <v>-0.45074199089855554</v>
          </cell>
          <cell r="P484">
            <v>-0.47962616706148459</v>
          </cell>
          <cell r="Q484">
            <v>-0.5259313947145341</v>
          </cell>
          <cell r="R484">
            <v>0.20478481199346313</v>
          </cell>
          <cell r="S484">
            <v>-0.4584563567467998</v>
          </cell>
          <cell r="T484">
            <v>-0.40535833116471603</v>
          </cell>
          <cell r="U484">
            <v>-0.2895501330219753</v>
          </cell>
        </row>
        <row r="485">
          <cell r="B485" t="str">
            <v>FY2</v>
          </cell>
          <cell r="C485">
            <v>-0.11691253486773395</v>
          </cell>
          <cell r="D485">
            <v>1.754998212719309E-3</v>
          </cell>
          <cell r="E485">
            <v>0.3129261572355303</v>
          </cell>
          <cell r="F485">
            <v>0.34480358906781372</v>
          </cell>
          <cell r="G485">
            <v>0.16956021690549561</v>
          </cell>
          <cell r="H485">
            <v>-0.56910526799632311</v>
          </cell>
          <cell r="I485">
            <v>-0.41624883383416506</v>
          </cell>
          <cell r="J485">
            <v>-3.9031667896666164E-2</v>
          </cell>
          <cell r="K485">
            <v>4.5605791379651359E-2</v>
          </cell>
          <cell r="M485">
            <v>-0.2634205574684077</v>
          </cell>
          <cell r="N485">
            <v>-0.82009107779971702</v>
          </cell>
          <cell r="O485">
            <v>-0.51081593690746263</v>
          </cell>
          <cell r="P485">
            <v>-0.51559661788992583</v>
          </cell>
          <cell r="Q485">
            <v>-0.5395925627073267</v>
          </cell>
          <cell r="R485">
            <v>0.12896858216293094</v>
          </cell>
          <cell r="S485">
            <v>-0.48495269741359415</v>
          </cell>
          <cell r="T485">
            <v>-0.42935726686050046</v>
          </cell>
          <cell r="U485">
            <v>-0.32037353322343692</v>
          </cell>
        </row>
        <row r="486">
          <cell r="B486" t="str">
            <v>FQ(3)</v>
          </cell>
          <cell r="C486">
            <v>0.13165244885644173</v>
          </cell>
          <cell r="D486">
            <v>0.17755785281902353</v>
          </cell>
          <cell r="E486">
            <v>0.63831195465731949</v>
          </cell>
          <cell r="F486">
            <v>0.64204997437544531</v>
          </cell>
          <cell r="G486">
            <v>0.38244531184707647</v>
          </cell>
          <cell r="H486">
            <v>-0.26173584744947953</v>
          </cell>
          <cell r="I486">
            <v>3.5756544743929017E-2</v>
          </cell>
          <cell r="J486">
            <v>0.24943403426425087</v>
          </cell>
          <cell r="K486">
            <v>0.34803839154712585</v>
          </cell>
          <cell r="M486">
            <v>-0.1943611479331738</v>
          </cell>
          <cell r="N486">
            <v>-0.6238137323775208</v>
          </cell>
          <cell r="O486">
            <v>-0.24815342698230658</v>
          </cell>
          <cell r="P486">
            <v>-0.33375451608586781</v>
          </cell>
          <cell r="Q486">
            <v>-0.37621145374449338</v>
          </cell>
          <cell r="R486">
            <v>0.41408090685248566</v>
          </cell>
          <cell r="S486">
            <v>-0.27264374428604671</v>
          </cell>
          <cell r="T486">
            <v>-0.23355101636527478</v>
          </cell>
          <cell r="U486">
            <v>-9.8884422673623046E-2</v>
          </cell>
        </row>
        <row r="487">
          <cell r="B487" t="str">
            <v>FQ(2)</v>
          </cell>
          <cell r="C487">
            <v>7.7701535780119499E-2</v>
          </cell>
          <cell r="D487">
            <v>0.13622490218961908</v>
          </cell>
          <cell r="E487">
            <v>0.6184830106230691</v>
          </cell>
          <cell r="F487">
            <v>0.53015548678398849</v>
          </cell>
          <cell r="G487">
            <v>0.37442306868519326</v>
          </cell>
          <cell r="H487">
            <v>-0.30470286332377144</v>
          </cell>
          <cell r="I487">
            <v>-5.2925525134638815E-2</v>
          </cell>
          <cell r="J487">
            <v>0.19705137365765421</v>
          </cell>
          <cell r="K487">
            <v>0.29401108161568013</v>
          </cell>
          <cell r="M487">
            <v>-0.22562571997639078</v>
          </cell>
          <cell r="N487">
            <v>-0.57138666964634899</v>
          </cell>
          <cell r="O487">
            <v>-0.29438841264919668</v>
          </cell>
          <cell r="P487">
            <v>-0.44374415164262937</v>
          </cell>
          <cell r="Q487">
            <v>-0.44910432033719705</v>
          </cell>
          <cell r="R487">
            <v>0.33171155262653013</v>
          </cell>
          <cell r="S487">
            <v>-0.25148600218600176</v>
          </cell>
          <cell r="T487">
            <v>-0.27200338911589061</v>
          </cell>
          <cell r="U487">
            <v>-0.15687992193216713</v>
          </cell>
        </row>
        <row r="488">
          <cell r="B488" t="str">
            <v>FQ(1)</v>
          </cell>
          <cell r="C488">
            <v>5.707190332305092E-2</v>
          </cell>
          <cell r="D488">
            <v>0.15826955194978698</v>
          </cell>
          <cell r="E488">
            <v>0.6226238261132987</v>
          </cell>
          <cell r="F488">
            <v>0.52691735556036645</v>
          </cell>
          <cell r="G488">
            <v>0.31966834963038077</v>
          </cell>
          <cell r="H488">
            <v>-0.33975958743009227</v>
          </cell>
          <cell r="I488">
            <v>-0.11487609725000009</v>
          </cell>
          <cell r="J488">
            <v>0.17570218598525592</v>
          </cell>
          <cell r="K488">
            <v>0.28413733640922606</v>
          </cell>
          <cell r="M488">
            <v>-0.25957070942652749</v>
          </cell>
          <cell r="N488">
            <v>-0.6367063228696217</v>
          </cell>
          <cell r="O488">
            <v>-0.29613012098734831</v>
          </cell>
          <cell r="P488">
            <v>-0.51955400366751436</v>
          </cell>
          <cell r="Q488">
            <v>-0.48142943184099579</v>
          </cell>
          <cell r="R488">
            <v>0.40295036845359711</v>
          </cell>
          <cell r="S488">
            <v>-0.34428435067392987</v>
          </cell>
          <cell r="T488">
            <v>-0.30496065300176289</v>
          </cell>
          <cell r="U488">
            <v>-0.18611066517540401</v>
          </cell>
        </row>
        <row r="489">
          <cell r="B489" t="str">
            <v>Last Reported Q</v>
          </cell>
          <cell r="C489">
            <v>-1.9933208662836408E-2</v>
          </cell>
          <cell r="D489">
            <v>4.7121114935010998E-2</v>
          </cell>
          <cell r="E489">
            <v>0.52329464885439214</v>
          </cell>
          <cell r="F489">
            <v>0.43447567580446406</v>
          </cell>
          <cell r="G489">
            <v>0.22179778818940543</v>
          </cell>
          <cell r="H489">
            <v>-0.47426963580467424</v>
          </cell>
          <cell r="I489">
            <v>-0.26506359909847371</v>
          </cell>
          <cell r="J489">
            <v>6.6774683459612613E-2</v>
          </cell>
          <cell r="K489">
            <v>0.18420323911802425</v>
          </cell>
          <cell r="M489">
            <v>-0.33690533113642818</v>
          </cell>
          <cell r="N489">
            <v>-0.79836155526275465</v>
          </cell>
          <cell r="O489">
            <v>-0.41568408664627049</v>
          </cell>
          <cell r="P489">
            <v>-0.57023011231105614</v>
          </cell>
          <cell r="Q489">
            <v>-0.52643631159272131</v>
          </cell>
          <cell r="R489">
            <v>0.18717424120299675</v>
          </cell>
          <cell r="S489">
            <v>-0.38675637639528909</v>
          </cell>
          <cell r="T489">
            <v>-0.40674279030593186</v>
          </cell>
          <cell r="U489">
            <v>-0.28900238332255856</v>
          </cell>
        </row>
        <row r="490">
          <cell r="B490" t="str">
            <v>Last Reported Q</v>
          </cell>
          <cell r="C490">
            <v>308</v>
          </cell>
          <cell r="D490">
            <v>237.6</v>
          </cell>
          <cell r="E490">
            <v>421.8</v>
          </cell>
          <cell r="F490">
            <v>220.7</v>
          </cell>
          <cell r="G490">
            <v>152.45599999999999</v>
          </cell>
          <cell r="H490">
            <v>124.648</v>
          </cell>
          <cell r="I490">
            <v>428.09199999999998</v>
          </cell>
          <cell r="M490">
            <v>88.73</v>
          </cell>
          <cell r="N490">
            <v>67.991</v>
          </cell>
          <cell r="O490">
            <v>209.393</v>
          </cell>
          <cell r="P490">
            <v>325.62</v>
          </cell>
          <cell r="Q490">
            <v>704</v>
          </cell>
          <cell r="R490">
            <v>328.25900000000001</v>
          </cell>
          <cell r="S490">
            <v>171.44390200000001</v>
          </cell>
        </row>
        <row r="491">
          <cell r="A491" t="str">
            <v>mscalc:bookValuePerShareReported</v>
          </cell>
          <cell r="B491" t="str">
            <v>Book Value per Share</v>
          </cell>
          <cell r="C491">
            <v>306.25</v>
          </cell>
          <cell r="D491">
            <v>229.17499999999998</v>
          </cell>
          <cell r="E491">
            <v>421.67500000000001</v>
          </cell>
          <cell r="F491">
            <v>218.42500000000001</v>
          </cell>
          <cell r="G491">
            <v>141.69149999999999</v>
          </cell>
          <cell r="H491">
            <v>126.26124999999999</v>
          </cell>
          <cell r="I491">
            <v>430.21950000000004</v>
          </cell>
          <cell r="M491">
            <v>88.140749999999997</v>
          </cell>
          <cell r="N491">
            <v>67.879500000000007</v>
          </cell>
          <cell r="O491">
            <v>208.06475</v>
          </cell>
          <cell r="P491">
            <v>326.54150000000004</v>
          </cell>
          <cell r="Q491">
            <v>701.75</v>
          </cell>
          <cell r="R491">
            <v>325.17600000000004</v>
          </cell>
          <cell r="S491">
            <v>170.63794924999999</v>
          </cell>
        </row>
        <row r="492">
          <cell r="B492" t="str">
            <v>FY0</v>
          </cell>
          <cell r="C492">
            <v>25.581971111559898</v>
          </cell>
          <cell r="D492">
            <v>20.228813559321999</v>
          </cell>
          <cell r="E492">
            <v>11.1522311579247</v>
          </cell>
          <cell r="F492">
            <v>7.2103264093207899</v>
          </cell>
          <cell r="G492">
            <v>6.7769218044169897</v>
          </cell>
          <cell r="H492">
            <v>9.4449871466029904</v>
          </cell>
          <cell r="I492">
            <v>7.0575837962216603</v>
          </cell>
          <cell r="M492">
            <v>20.809422060578498</v>
          </cell>
          <cell r="N492">
            <v>4.6120452582064999</v>
          </cell>
          <cell r="O492">
            <v>7.5511172122354298</v>
          </cell>
          <cell r="P492">
            <v>5.2874668910592098</v>
          </cell>
          <cell r="Q492">
            <v>7.3282179704913402</v>
          </cell>
          <cell r="R492">
            <v>6.7554028004188202</v>
          </cell>
          <cell r="S492">
            <v>7.6960105991444303</v>
          </cell>
        </row>
        <row r="493">
          <cell r="B493" t="str">
            <v>FY1</v>
          </cell>
          <cell r="C493">
            <v>28.987791150450199</v>
          </cell>
          <cell r="D493">
            <v>21.004944842021398</v>
          </cell>
          <cell r="E493">
            <v>12.80328947854</v>
          </cell>
          <cell r="F493">
            <v>9.2014588952335803</v>
          </cell>
          <cell r="G493">
            <v>6.6846983827321198</v>
          </cell>
          <cell r="H493">
            <v>10.5554386780573</v>
          </cell>
          <cell r="I493">
            <v>8.6548957537455706</v>
          </cell>
          <cell r="M493">
            <v>20.5779707680969</v>
          </cell>
          <cell r="N493">
            <v>5.9700213393204598</v>
          </cell>
          <cell r="O493">
            <v>7.7959405771838099</v>
          </cell>
          <cell r="P493">
            <v>6.2311363676978297</v>
          </cell>
          <cell r="Q493">
            <v>7.5766202395493298</v>
          </cell>
          <cell r="R493">
            <v>6.3691260799745004</v>
          </cell>
          <cell r="S493">
            <v>9.4237637110883892</v>
          </cell>
        </row>
        <row r="494">
          <cell r="B494" t="str">
            <v>FY2</v>
          </cell>
          <cell r="C494">
            <v>32.626001118711997</v>
          </cell>
          <cell r="D494">
            <v>21.959758464535799</v>
          </cell>
          <cell r="E494">
            <v>14.6807784009291</v>
          </cell>
          <cell r="F494">
            <v>10.9850032291769</v>
          </cell>
          <cell r="G494">
            <v>6.7748104299086203</v>
          </cell>
          <cell r="H494">
            <v>12.462182566505399</v>
          </cell>
          <cell r="I494">
            <v>10.707882158953799</v>
          </cell>
          <cell r="J494">
            <v>298.12399999999997</v>
          </cell>
          <cell r="K494">
            <v>1788.7439999999999</v>
          </cell>
          <cell r="M494">
            <v>20.862967341691199</v>
          </cell>
          <cell r="N494">
            <v>7.2792140908088303</v>
          </cell>
          <cell r="O494">
            <v>8.2988766572300605</v>
          </cell>
          <cell r="P494">
            <v>7.06096060554367</v>
          </cell>
          <cell r="Q494">
            <v>7.5439922520262002</v>
          </cell>
          <cell r="R494">
            <v>7.1588926320260802</v>
          </cell>
          <cell r="S494">
            <v>11.3433691405353</v>
          </cell>
          <cell r="T494">
            <v>104.35733333333333</v>
          </cell>
          <cell r="U494">
            <v>626.14400000000001</v>
          </cell>
        </row>
        <row r="495">
          <cell r="A495" t="str">
            <v>mstag:cashDividendsPaid</v>
          </cell>
          <cell r="B495" t="str">
            <v>FY(1)</v>
          </cell>
          <cell r="C495" t="str">
            <v>NA</v>
          </cell>
          <cell r="D495">
            <v>174</v>
          </cell>
          <cell r="E495">
            <v>230</v>
          </cell>
          <cell r="F495">
            <v>134</v>
          </cell>
          <cell r="G495">
            <v>7.43</v>
          </cell>
          <cell r="H495">
            <v>40.637999999999998</v>
          </cell>
          <cell r="I495">
            <v>151.49199999999999</v>
          </cell>
          <cell r="J495">
            <v>122.92666666666666</v>
          </cell>
          <cell r="K495">
            <v>737.56</v>
          </cell>
          <cell r="M495">
            <v>61.33</v>
          </cell>
          <cell r="N495">
            <v>0</v>
          </cell>
          <cell r="O495">
            <v>80.796000000000006</v>
          </cell>
          <cell r="P495">
            <v>0</v>
          </cell>
          <cell r="Q495">
            <v>252</v>
          </cell>
          <cell r="R495">
            <v>227</v>
          </cell>
          <cell r="S495" t="str">
            <v>NA</v>
          </cell>
          <cell r="T495">
            <v>103.521</v>
          </cell>
          <cell r="U495">
            <v>621.12599999999998</v>
          </cell>
        </row>
        <row r="496">
          <cell r="A496" t="str">
            <v>Free Cash Flow</v>
          </cell>
          <cell r="B496" t="str">
            <v>Free Cash Flow (EBITDA less interest, taxes at 38%, and capex)</v>
          </cell>
          <cell r="C496" t="str">
            <v>NA</v>
          </cell>
          <cell r="D496">
            <v>178</v>
          </cell>
          <cell r="E496">
            <v>221</v>
          </cell>
          <cell r="F496">
            <v>138</v>
          </cell>
          <cell r="G496">
            <v>1.1830000000000001</v>
          </cell>
          <cell r="H496">
            <v>49.838000000000001</v>
          </cell>
          <cell r="I496">
            <v>176.749</v>
          </cell>
          <cell r="J496">
            <v>127.46166666666666</v>
          </cell>
          <cell r="K496">
            <v>764.77</v>
          </cell>
          <cell r="M496">
            <v>60.768999999999998</v>
          </cell>
          <cell r="N496">
            <v>0</v>
          </cell>
          <cell r="O496">
            <v>82.394000000000005</v>
          </cell>
          <cell r="P496">
            <v>0</v>
          </cell>
          <cell r="Q496">
            <v>243</v>
          </cell>
          <cell r="R496">
            <v>201</v>
          </cell>
          <cell r="S496" t="str">
            <v>NA</v>
          </cell>
          <cell r="T496">
            <v>97.860500000000002</v>
          </cell>
          <cell r="U496">
            <v>587.16300000000001</v>
          </cell>
        </row>
        <row r="497">
          <cell r="B497" t="str">
            <v>FY(2)</v>
          </cell>
          <cell r="C497">
            <v>1360.4659999999999</v>
          </cell>
          <cell r="D497">
            <v>1336.1</v>
          </cell>
          <cell r="E497">
            <v>1743.44</v>
          </cell>
          <cell r="F497">
            <v>872.57001999999989</v>
          </cell>
          <cell r="G497">
            <v>141.49700592773291</v>
          </cell>
          <cell r="H497">
            <v>333.41181999999998</v>
          </cell>
          <cell r="I497">
            <v>1133.7966574336956</v>
          </cell>
          <cell r="J497">
            <v>988.754500480204</v>
          </cell>
          <cell r="K497">
            <v>6921.2815033614279</v>
          </cell>
          <cell r="M497">
            <v>181.81038000000001</v>
          </cell>
          <cell r="N497">
            <v>60.234480000000005</v>
          </cell>
          <cell r="O497">
            <v>165.19883999999999</v>
          </cell>
          <cell r="P497">
            <v>525.18407999999999</v>
          </cell>
          <cell r="Q497">
            <v>437.09999999999991</v>
          </cell>
          <cell r="R497">
            <v>-78.407379999999989</v>
          </cell>
          <cell r="S497">
            <v>61.648059999999987</v>
          </cell>
          <cell r="T497">
            <v>193.25263714285711</v>
          </cell>
          <cell r="U497">
            <v>1352.7684599999998</v>
          </cell>
        </row>
        <row r="498">
          <cell r="A498" t="str">
            <v>mstag:interestExpense</v>
          </cell>
          <cell r="B498" t="str">
            <v>FY(1)</v>
          </cell>
          <cell r="C498">
            <v>205.23620000000005</v>
          </cell>
          <cell r="D498">
            <v>-117.85800000000302</v>
          </cell>
          <cell r="E498">
            <v>414.92000000000007</v>
          </cell>
          <cell r="F498">
            <v>26.341619999999921</v>
          </cell>
          <cell r="G498">
            <v>-139.16627083414218</v>
          </cell>
          <cell r="H498">
            <v>167.75255881623235</v>
          </cell>
          <cell r="I498">
            <v>546.79914000000008</v>
          </cell>
          <cell r="J498">
            <v>157.71789256886959</v>
          </cell>
          <cell r="K498">
            <v>1104.0252479820872</v>
          </cell>
          <cell r="M498">
            <v>74.873244464512823</v>
          </cell>
          <cell r="N498">
            <v>98.973440000000011</v>
          </cell>
          <cell r="O498">
            <v>-3.5592199999999821</v>
          </cell>
          <cell r="P498">
            <v>618.83845999999994</v>
          </cell>
          <cell r="Q498">
            <v>858.59999999999991</v>
          </cell>
          <cell r="R498">
            <v>73.380319999999983</v>
          </cell>
          <cell r="S498">
            <v>117.67098000000001</v>
          </cell>
          <cell r="T498">
            <v>262.68246063778753</v>
          </cell>
          <cell r="U498">
            <v>1838.7772244645128</v>
          </cell>
        </row>
        <row r="499">
          <cell r="A499">
            <v>0.38</v>
          </cell>
          <cell r="B499" t="str">
            <v>FY0</v>
          </cell>
          <cell r="C499">
            <v>683.11999999999989</v>
          </cell>
          <cell r="D499">
            <v>-43.240000000000009</v>
          </cell>
          <cell r="E499">
            <v>846.96</v>
          </cell>
          <cell r="F499">
            <v>265.58000000000004</v>
          </cell>
          <cell r="G499">
            <v>-33.877099999999992</v>
          </cell>
          <cell r="H499">
            <v>395.02296000000001</v>
          </cell>
          <cell r="I499">
            <v>1050.4924400000002</v>
          </cell>
          <cell r="J499">
            <v>452.00832857142865</v>
          </cell>
          <cell r="K499">
            <v>3164.0583000000006</v>
          </cell>
          <cell r="M499">
            <v>62.684879999999993</v>
          </cell>
          <cell r="N499">
            <v>218.12030000000001</v>
          </cell>
          <cell r="O499">
            <v>120.84016000000001</v>
          </cell>
          <cell r="P499">
            <v>559.41203999999993</v>
          </cell>
          <cell r="Q499">
            <v>1143.46</v>
          </cell>
          <cell r="R499">
            <v>406.55790000000002</v>
          </cell>
          <cell r="S499">
            <v>144.51503698254709</v>
          </cell>
          <cell r="T499">
            <v>379.37004528322097</v>
          </cell>
          <cell r="U499">
            <v>2655.5903169825469</v>
          </cell>
        </row>
        <row r="500">
          <cell r="A500" t="str">
            <v>mstag:otherInterestIncomeExpense</v>
          </cell>
          <cell r="B500" t="str">
            <v>FY1</v>
          </cell>
          <cell r="C500">
            <v>680.79069688994991</v>
          </cell>
          <cell r="D500">
            <v>177.03400258655063</v>
          </cell>
          <cell r="E500">
            <v>935.13459901374267</v>
          </cell>
          <cell r="F500">
            <v>318.122968079369</v>
          </cell>
          <cell r="G500">
            <v>-13.694872436350408</v>
          </cell>
          <cell r="H500">
            <v>433.88313836270947</v>
          </cell>
          <cell r="I500">
            <v>1220.086555265349</v>
          </cell>
          <cell r="J500">
            <v>535.90815539447431</v>
          </cell>
          <cell r="K500">
            <v>3751.3570877613201</v>
          </cell>
          <cell r="M500">
            <v>64.570561609984964</v>
          </cell>
          <cell r="N500">
            <v>220.1304458997646</v>
          </cell>
          <cell r="O500">
            <v>224.03654899880598</v>
          </cell>
          <cell r="P500">
            <v>652.95258730104558</v>
          </cell>
          <cell r="Q500">
            <v>853.00671725937082</v>
          </cell>
          <cell r="R500">
            <v>465.44580975535899</v>
          </cell>
          <cell r="S500">
            <v>178.370021577594</v>
          </cell>
          <cell r="T500">
            <v>379.78752748598924</v>
          </cell>
          <cell r="U500">
            <v>2658.5126924019246</v>
          </cell>
        </row>
        <row r="501">
          <cell r="B501" t="str">
            <v>FY2</v>
          </cell>
          <cell r="C501">
            <v>722.01096722923512</v>
          </cell>
          <cell r="D501">
            <v>253.32779521420207</v>
          </cell>
          <cell r="E501">
            <v>924.7982950086739</v>
          </cell>
          <cell r="F501">
            <v>312.27250743986087</v>
          </cell>
          <cell r="G501">
            <v>79.398365058291446</v>
          </cell>
          <cell r="H501">
            <v>432.05155555638959</v>
          </cell>
          <cell r="I501">
            <v>1284.6515781260714</v>
          </cell>
          <cell r="J501">
            <v>572.64443766181773</v>
          </cell>
          <cell r="K501">
            <v>4008.5110636327245</v>
          </cell>
          <cell r="M501">
            <v>109.05470063555117</v>
          </cell>
          <cell r="N501">
            <v>216.65298271796476</v>
          </cell>
          <cell r="O501">
            <v>279.80100799880029</v>
          </cell>
          <cell r="P501">
            <v>680.55099082875904</v>
          </cell>
          <cell r="Q501">
            <v>939.98306811354939</v>
          </cell>
          <cell r="R501">
            <v>520.64507838295549</v>
          </cell>
          <cell r="S501">
            <v>215.82651155609608</v>
          </cell>
          <cell r="T501">
            <v>423.21633431909657</v>
          </cell>
          <cell r="U501">
            <v>2962.5143402336762</v>
          </cell>
        </row>
        <row r="502">
          <cell r="B502" t="str">
            <v>Last Reported Q</v>
          </cell>
          <cell r="C502" t="str">
            <v>NA</v>
          </cell>
          <cell r="D502">
            <v>47</v>
          </cell>
          <cell r="E502">
            <v>21</v>
          </cell>
          <cell r="F502">
            <v>35</v>
          </cell>
          <cell r="G502">
            <v>0</v>
          </cell>
          <cell r="H502">
            <v>13.734999999999999</v>
          </cell>
          <cell r="I502">
            <v>50.8</v>
          </cell>
          <cell r="J502">
            <v>27.922499999999999</v>
          </cell>
          <cell r="K502">
            <v>167.535</v>
          </cell>
          <cell r="M502">
            <v>16.858699999999999</v>
          </cell>
          <cell r="N502">
            <v>0</v>
          </cell>
          <cell r="O502">
            <v>20.757000000000001</v>
          </cell>
          <cell r="P502">
            <v>0</v>
          </cell>
          <cell r="Q502">
            <v>60</v>
          </cell>
          <cell r="R502">
            <v>49.238849999999999</v>
          </cell>
          <cell r="S502" t="str">
            <v>NA</v>
          </cell>
          <cell r="T502">
            <v>24.475758333333335</v>
          </cell>
          <cell r="U502">
            <v>146.85455000000002</v>
          </cell>
        </row>
        <row r="503">
          <cell r="B503" t="str">
            <v>Free Cash Flow/Sales</v>
          </cell>
          <cell r="C503">
            <v>0</v>
          </cell>
          <cell r="D503">
            <v>180</v>
          </cell>
          <cell r="E503">
            <v>118</v>
          </cell>
          <cell r="F503">
            <v>138</v>
          </cell>
          <cell r="G503">
            <v>0.53700000000000003</v>
          </cell>
          <cell r="H503">
            <v>54.201000000000001</v>
          </cell>
          <cell r="I503">
            <v>193.01299999999998</v>
          </cell>
          <cell r="J503">
            <v>97.678714285714278</v>
          </cell>
          <cell r="K503">
            <v>683.75099999999998</v>
          </cell>
          <cell r="M503">
            <v>62.804699999999997</v>
          </cell>
          <cell r="N503">
            <v>0</v>
          </cell>
          <cell r="O503">
            <v>83.063000000000002</v>
          </cell>
          <cell r="P503">
            <v>0</v>
          </cell>
          <cell r="Q503">
            <v>238</v>
          </cell>
          <cell r="R503">
            <v>193.23885000000001</v>
          </cell>
          <cell r="S503">
            <v>0</v>
          </cell>
          <cell r="T503">
            <v>82.443792857142853</v>
          </cell>
          <cell r="U503">
            <v>577.10654999999997</v>
          </cell>
        </row>
        <row r="504">
          <cell r="B504" t="str">
            <v>FY(2)</v>
          </cell>
          <cell r="C504">
            <v>8.2584118928959477E-2</v>
          </cell>
          <cell r="D504">
            <v>6.7272781284662894E-2</v>
          </cell>
          <cell r="E504">
            <v>6.6257743320792012E-2</v>
          </cell>
          <cell r="F504">
            <v>9.8843271958380621E-2</v>
          </cell>
          <cell r="G504">
            <v>4.3342392828759901E-2</v>
          </cell>
          <cell r="H504">
            <v>5.5799161602969057E-2</v>
          </cell>
          <cell r="I504">
            <v>6.1832011747009565E-2</v>
          </cell>
          <cell r="J504">
            <v>6.7990211667361938E-2</v>
          </cell>
          <cell r="K504">
            <v>6.9875221653607225E-2</v>
          </cell>
          <cell r="M504">
            <v>4.914250946574493E-2</v>
          </cell>
          <cell r="N504">
            <v>3.8046441883218811E-2</v>
          </cell>
          <cell r="O504">
            <v>5.4067491234426439E-2</v>
          </cell>
          <cell r="P504">
            <v>0.20103078482470135</v>
          </cell>
          <cell r="Q504">
            <v>2.7729493116792483E-2</v>
          </cell>
          <cell r="R504">
            <v>-7.7736567835179878E-3</v>
          </cell>
          <cell r="S504">
            <v>4.0888159901944908E-2</v>
          </cell>
          <cell r="T504">
            <v>5.7590174806187271E-2</v>
          </cell>
          <cell r="U504">
            <v>3.5313197223818864E-2</v>
          </cell>
        </row>
        <row r="505">
          <cell r="B505" t="str">
            <v>FY(1)</v>
          </cell>
          <cell r="C505">
            <v>1.2522878289574043E-2</v>
          </cell>
          <cell r="D505">
            <v>-6.3753643074999028E-3</v>
          </cell>
          <cell r="E505">
            <v>1.6668809255985861E-2</v>
          </cell>
          <cell r="F505">
            <v>3.1771342419490917E-3</v>
          </cell>
          <cell r="G505">
            <v>-4.5825289188847984E-2</v>
          </cell>
          <cell r="H505">
            <v>2.5863238332732671E-2</v>
          </cell>
          <cell r="I505">
            <v>2.8779651890930846E-2</v>
          </cell>
          <cell r="J505">
            <v>4.9730083592606613E-3</v>
          </cell>
          <cell r="K505">
            <v>1.1431092390628375E-2</v>
          </cell>
          <cell r="M505">
            <v>2.1490246705066201E-2</v>
          </cell>
          <cell r="N505">
            <v>5.2491017119315468E-2</v>
          </cell>
          <cell r="O505">
            <v>-1.1908457426466667E-3</v>
          </cell>
          <cell r="P505">
            <v>0.19455697495910562</v>
          </cell>
          <cell r="Q505">
            <v>5.9107806691449806E-2</v>
          </cell>
          <cell r="R505">
            <v>8.1148674494490071E-3</v>
          </cell>
          <cell r="S505">
            <v>6.4139226803617985E-2</v>
          </cell>
          <cell r="T505">
            <v>5.6958470569336783E-2</v>
          </cell>
          <cell r="U505">
            <v>4.9774058879925059E-2</v>
          </cell>
        </row>
        <row r="506">
          <cell r="B506" t="str">
            <v>FY0</v>
          </cell>
          <cell r="C506">
            <v>3.9769459160505317E-2</v>
          </cell>
          <cell r="D506">
            <v>-2.4627680711198658E-3</v>
          </cell>
          <cell r="E506">
            <v>3.605772914981481E-2</v>
          </cell>
          <cell r="F506">
            <v>3.2160329377573266E-2</v>
          </cell>
          <cell r="G506">
            <v>-1.2902072201423611E-2</v>
          </cell>
          <cell r="H506">
            <v>5.4984861946604312E-2</v>
          </cell>
          <cell r="I506">
            <v>5.1777871186178707E-2</v>
          </cell>
          <cell r="J506">
            <v>2.8483630078304706E-2</v>
          </cell>
          <cell r="K506">
            <v>3.2761061584019244E-2</v>
          </cell>
          <cell r="M506">
            <v>2.1404201630457975E-2</v>
          </cell>
          <cell r="N506">
            <v>9.7807188450768023E-2</v>
          </cell>
          <cell r="O506">
            <v>4.040722835002699E-2</v>
          </cell>
          <cell r="P506">
            <v>0.1731674915213523</v>
          </cell>
          <cell r="Q506">
            <v>8.0542368105937873E-2</v>
          </cell>
          <cell r="R506">
            <v>4.7095995481745138E-2</v>
          </cell>
          <cell r="S506">
            <v>7.4576281524576432E-2</v>
          </cell>
          <cell r="T506">
            <v>7.6428679294980664E-2</v>
          </cell>
          <cell r="U506">
            <v>7.3466191367664663E-2</v>
          </cell>
        </row>
        <row r="507">
          <cell r="B507" t="str">
            <v>FY1</v>
          </cell>
          <cell r="C507">
            <v>3.6803257951795759E-2</v>
          </cell>
          <cell r="D507">
            <v>9.9422774355722929E-3</v>
          </cell>
          <cell r="E507">
            <v>3.8099441311130286E-2</v>
          </cell>
          <cell r="F507">
            <v>3.5618222607814165E-2</v>
          </cell>
          <cell r="G507">
            <v>-5.0027060435742943E-3</v>
          </cell>
          <cell r="H507">
            <v>5.5598520850968301E-2</v>
          </cell>
          <cell r="I507">
            <v>5.5317283808356203E-2</v>
          </cell>
          <cell r="J507">
            <v>3.2339471131723245E-2</v>
          </cell>
          <cell r="K507">
            <v>3.6642275467751659E-2</v>
          </cell>
          <cell r="M507">
            <v>2.0415970470597081E-2</v>
          </cell>
          <cell r="N507">
            <v>9.0578807962802529E-2</v>
          </cell>
          <cell r="O507">
            <v>7.4955877918586475E-2</v>
          </cell>
          <cell r="P507">
            <v>0.18784054717553669</v>
          </cell>
          <cell r="Q507">
            <v>6.0678926608646197E-2</v>
          </cell>
          <cell r="R507">
            <v>5.1087560549650884E-2</v>
          </cell>
          <cell r="S507">
            <v>7.8872067209330793E-2</v>
          </cell>
          <cell r="T507">
            <v>8.0632822556450101E-2</v>
          </cell>
          <cell r="U507">
            <v>7.0916381862729541E-2</v>
          </cell>
        </row>
        <row r="508">
          <cell r="B508" t="str">
            <v>FY2</v>
          </cell>
          <cell r="C508">
            <v>3.6029295706379805E-2</v>
          </cell>
          <cell r="D508">
            <v>1.3920310414361453E-2</v>
          </cell>
          <cell r="E508">
            <v>3.736448357061728E-2</v>
          </cell>
          <cell r="F508">
            <v>3.3390176917072134E-2</v>
          </cell>
          <cell r="G508">
            <v>2.7077350511000488E-2</v>
          </cell>
          <cell r="H508">
            <v>5.2939374833065829E-2</v>
          </cell>
          <cell r="I508">
            <v>5.4643574172277366E-2</v>
          </cell>
          <cell r="J508">
            <v>3.6480652303539196E-2</v>
          </cell>
          <cell r="K508">
            <v>3.7482292599545136E-2</v>
          </cell>
          <cell r="M508">
            <v>3.1915815703665182E-2</v>
          </cell>
          <cell r="N508">
            <v>7.8763822416031151E-2</v>
          </cell>
          <cell r="O508">
            <v>8.4651764735319185E-2</v>
          </cell>
          <cell r="P508">
            <v>0.18307230899177407</v>
          </cell>
          <cell r="Q508">
            <v>6.9583157735798123E-2</v>
          </cell>
          <cell r="R508">
            <v>5.5070402142244991E-2</v>
          </cell>
          <cell r="S508">
            <v>8.3649771901842876E-2</v>
          </cell>
          <cell r="T508">
            <v>8.3815291946667939E-2</v>
          </cell>
          <cell r="U508">
            <v>7.6484772109785409E-2</v>
          </cell>
        </row>
        <row r="509">
          <cell r="B509" t="str">
            <v>FY1</v>
          </cell>
          <cell r="D509">
            <v>0.78550963147963926</v>
          </cell>
          <cell r="E509">
            <v>0.1993717773958395</v>
          </cell>
          <cell r="F509">
            <v>0.63496384836295683</v>
          </cell>
          <cell r="G509">
            <v>3.7211925699959076E-3</v>
          </cell>
          <cell r="H509">
            <v>0.44083291573044459</v>
          </cell>
          <cell r="I509">
            <v>0.46264560175149388</v>
          </cell>
          <cell r="M509">
            <v>0.73000681957512381</v>
          </cell>
          <cell r="N509">
            <v>0</v>
          </cell>
          <cell r="O509">
            <v>0.39783823264566592</v>
          </cell>
          <cell r="P509">
            <v>0.29736306688131298</v>
          </cell>
          <cell r="Q509">
            <v>0.33916219577575579</v>
          </cell>
          <cell r="R509">
            <v>0.59587734423778893</v>
          </cell>
          <cell r="S509" t="e">
            <v>#VALUE!</v>
          </cell>
        </row>
        <row r="510">
          <cell r="B510" t="str">
            <v>Free Cash Flow/Share</v>
          </cell>
          <cell r="D510">
            <v>0.86406059462760387</v>
          </cell>
          <cell r="E510">
            <v>0.2309150600599611</v>
          </cell>
          <cell r="F510">
            <v>0.63496384836295727</v>
          </cell>
          <cell r="G510">
            <v>0</v>
          </cell>
          <cell r="H510">
            <v>0.47713743550384785</v>
          </cell>
          <cell r="I510">
            <v>0.53528137752412319</v>
          </cell>
          <cell r="M510">
            <v>0.78806017555813523</v>
          </cell>
          <cell r="N510">
            <v>0</v>
          </cell>
          <cell r="O510">
            <v>0.41521422924591944</v>
          </cell>
          <cell r="P510">
            <v>0.3270077479111474</v>
          </cell>
          <cell r="Q510">
            <v>0.38380166486551759</v>
          </cell>
          <cell r="R510">
            <v>0.62236453288448068</v>
          </cell>
          <cell r="S510" t="e">
            <v>#VALUE!</v>
          </cell>
        </row>
        <row r="511">
          <cell r="B511" t="str">
            <v>FY(2)</v>
          </cell>
          <cell r="C511">
            <v>4.2490893744343969</v>
          </cell>
          <cell r="D511">
            <v>5.9336071944043516</v>
          </cell>
          <cell r="E511">
            <v>3.8593027116768126</v>
          </cell>
          <cell r="F511">
            <v>3.5063074111764871</v>
          </cell>
          <cell r="G511">
            <v>0.92162447683014992</v>
          </cell>
          <cell r="H511">
            <v>2.4313646589537625</v>
          </cell>
          <cell r="I511">
            <v>2.4224043308428991</v>
          </cell>
          <cell r="M511">
            <v>1.9864993498901917</v>
          </cell>
          <cell r="N511">
            <v>0.53651925286588464</v>
          </cell>
          <cell r="O511">
            <v>0.74994933720719081</v>
          </cell>
          <cell r="P511">
            <v>1.3917469975301837</v>
          </cell>
          <cell r="Q511">
            <v>0.55059964786060023</v>
          </cell>
          <cell r="R511">
            <v>-0.2062102633864612</v>
          </cell>
          <cell r="S511">
            <v>0.36341394076755845</v>
          </cell>
        </row>
        <row r="512">
          <cell r="B512" t="str">
            <v>FY(1)</v>
          </cell>
          <cell r="C512">
            <v>0.66934487847434565</v>
          </cell>
          <cell r="D512">
            <v>-0.52880762759395628</v>
          </cell>
          <cell r="E512">
            <v>0.98456427596844054</v>
          </cell>
          <cell r="F512">
            <v>0.12026764068028728</v>
          </cell>
          <cell r="G512">
            <v>-1.0056528994258165</v>
          </cell>
          <cell r="H512">
            <v>1.2780636112935091</v>
          </cell>
          <cell r="I512">
            <v>1.23638882545138</v>
          </cell>
          <cell r="M512">
            <v>0.83853069698528215</v>
          </cell>
          <cell r="N512">
            <v>0.97641608460597462</v>
          </cell>
          <cell r="O512">
            <v>-1.71460916649805E-2</v>
          </cell>
          <cell r="P512">
            <v>1.7177598894128945</v>
          </cell>
          <cell r="Q512">
            <v>1.1941585535465924</v>
          </cell>
          <cell r="R512">
            <v>0.21755144514839858</v>
          </cell>
          <cell r="S512">
            <v>0.6887105598096076</v>
          </cell>
        </row>
        <row r="513">
          <cell r="B513" t="str">
            <v>FY0</v>
          </cell>
          <cell r="C513">
            <v>2.22514657980456</v>
          </cell>
          <cell r="D513">
            <v>-0.18569894782048532</v>
          </cell>
          <cell r="E513">
            <v>2.0053510121936782</v>
          </cell>
          <cell r="F513">
            <v>1.209105394946506</v>
          </cell>
          <cell r="G513">
            <v>-0.23070050291294525</v>
          </cell>
          <cell r="H513">
            <v>3.1587622369933528</v>
          </cell>
          <cell r="I513">
            <v>2.4579735903402469</v>
          </cell>
          <cell r="M513">
            <v>0.70946813838531597</v>
          </cell>
          <cell r="N513">
            <v>2.1590778497348424</v>
          </cell>
          <cell r="O513">
            <v>0.57791712897425107</v>
          </cell>
          <cell r="P513">
            <v>1.7179904182789754</v>
          </cell>
          <cell r="Q513">
            <v>1.6370221904080173</v>
          </cell>
          <cell r="R513">
            <v>1.2441904732759017</v>
          </cell>
          <cell r="S513">
            <v>0.84400480291871405</v>
          </cell>
        </row>
        <row r="514">
          <cell r="B514" t="str">
            <v>FY1</v>
          </cell>
          <cell r="C514">
            <v>2.1951450951174922</v>
          </cell>
          <cell r="D514">
            <v>0.74603456631500475</v>
          </cell>
          <cell r="E514">
            <v>2.1955124058266442</v>
          </cell>
          <cell r="F514">
            <v>1.4328531067238148</v>
          </cell>
          <cell r="G514">
            <v>-9.0055927496579119E-2</v>
          </cell>
          <cell r="H514">
            <v>3.5734863855257211</v>
          </cell>
          <cell r="I514">
            <v>2.9684399163408011</v>
          </cell>
          <cell r="M514">
            <v>0.74223864787224936</v>
          </cell>
          <cell r="N514">
            <v>2.3366848582764055</v>
          </cell>
          <cell r="O514">
            <v>1.0447714364107594</v>
          </cell>
          <cell r="P514">
            <v>2.0554148784630577</v>
          </cell>
          <cell r="Q514">
            <v>1.2998429620665346</v>
          </cell>
          <cell r="R514">
            <v>1.4451999331855581</v>
          </cell>
          <cell r="S514">
            <v>1.0344969730953626</v>
          </cell>
        </row>
        <row r="515">
          <cell r="B515" t="str">
            <v>FY2</v>
          </cell>
          <cell r="C515">
            <v>2.3970045054472342</v>
          </cell>
          <cell r="D515">
            <v>1.067257525113209</v>
          </cell>
          <cell r="E515">
            <v>2.1712447937658159</v>
          </cell>
          <cell r="F515">
            <v>1.4389650502363978</v>
          </cell>
          <cell r="G515">
            <v>0.48361756194990174</v>
          </cell>
          <cell r="H515">
            <v>3.7535223162014</v>
          </cell>
          <cell r="I515">
            <v>3.260057704660106</v>
          </cell>
          <cell r="M515">
            <v>1.3127786118715399</v>
          </cell>
          <cell r="N515">
            <v>2.5241314071906578</v>
          </cell>
          <cell r="O515">
            <v>1.291288849083452</v>
          </cell>
          <cell r="P515">
            <v>2.2381603419179101</v>
          </cell>
          <cell r="Q515">
            <v>1.5436247730291666</v>
          </cell>
          <cell r="R515">
            <v>1.6420317539906257</v>
          </cell>
          <cell r="S515">
            <v>1.2551492139054254</v>
          </cell>
        </row>
        <row r="517">
          <cell r="A517" t="str">
            <v>mstag:fundsUsedToRepurchaseCommonStock</v>
          </cell>
          <cell r="B517" t="str">
            <v>Capex</v>
          </cell>
        </row>
        <row r="518">
          <cell r="B518" t="str">
            <v>FY(5)</v>
          </cell>
          <cell r="C518">
            <v>889.59799999999996</v>
          </cell>
          <cell r="D518">
            <v>398</v>
          </cell>
          <cell r="E518">
            <v>548</v>
          </cell>
          <cell r="F518">
            <v>246.851</v>
          </cell>
          <cell r="G518">
            <v>96.013000000000005</v>
          </cell>
          <cell r="H518">
            <v>149.541</v>
          </cell>
          <cell r="I518">
            <v>429.13299999999998</v>
          </cell>
          <cell r="J518">
            <v>393.87657142857142</v>
          </cell>
          <cell r="K518">
            <v>2757.136</v>
          </cell>
          <cell r="M518">
            <v>185.065</v>
          </cell>
          <cell r="N518">
            <v>46.677</v>
          </cell>
          <cell r="O518">
            <v>97.287999999999997</v>
          </cell>
          <cell r="P518">
            <v>67.692999999999998</v>
          </cell>
          <cell r="Q518">
            <v>419</v>
          </cell>
          <cell r="R518">
            <v>431</v>
          </cell>
          <cell r="S518">
            <v>75.141000000000005</v>
          </cell>
          <cell r="T518">
            <v>188.8377142857143</v>
          </cell>
          <cell r="U518">
            <v>1321.864</v>
          </cell>
        </row>
        <row r="519">
          <cell r="B519" t="str">
            <v>FY(4)</v>
          </cell>
          <cell r="C519">
            <v>828.09500000000003</v>
          </cell>
          <cell r="D519">
            <v>535</v>
          </cell>
          <cell r="E519">
            <v>656</v>
          </cell>
          <cell r="F519">
            <v>271.65899999999999</v>
          </cell>
          <cell r="G519">
            <v>130.124</v>
          </cell>
          <cell r="H519">
            <v>175.851</v>
          </cell>
          <cell r="I519">
            <v>495.94799999999998</v>
          </cell>
          <cell r="J519">
            <v>441.81099999999998</v>
          </cell>
          <cell r="K519">
            <v>3092.6769999999997</v>
          </cell>
          <cell r="M519">
            <v>256.42200000000003</v>
          </cell>
          <cell r="N519">
            <v>58.289000000000001</v>
          </cell>
          <cell r="O519">
            <v>81.545000000000002</v>
          </cell>
          <cell r="P519">
            <v>94.591999999999999</v>
          </cell>
          <cell r="Q519">
            <v>600</v>
          </cell>
          <cell r="R519">
            <v>480</v>
          </cell>
          <cell r="S519">
            <v>127.73</v>
          </cell>
          <cell r="T519">
            <v>242.654</v>
          </cell>
          <cell r="U519">
            <v>1698.578</v>
          </cell>
        </row>
        <row r="520">
          <cell r="B520" t="str">
            <v>FY(3)</v>
          </cell>
          <cell r="C520">
            <v>1163.0920000000001</v>
          </cell>
          <cell r="D520">
            <v>772</v>
          </cell>
          <cell r="E520">
            <v>1392</v>
          </cell>
          <cell r="F520">
            <v>264.43700000000001</v>
          </cell>
          <cell r="G520">
            <v>123.679</v>
          </cell>
          <cell r="H520">
            <v>223.95500000000001</v>
          </cell>
          <cell r="I520">
            <v>378.01100000000002</v>
          </cell>
          <cell r="J520">
            <v>616.73914285714284</v>
          </cell>
          <cell r="K520">
            <v>4317.174</v>
          </cell>
          <cell r="M520">
            <v>403.476</v>
          </cell>
          <cell r="N520">
            <v>44.948999999999998</v>
          </cell>
          <cell r="O520">
            <v>225.93899999999999</v>
          </cell>
          <cell r="P520">
            <v>133.876</v>
          </cell>
          <cell r="Q520">
            <v>572</v>
          </cell>
          <cell r="R520">
            <v>548</v>
          </cell>
          <cell r="S520">
            <v>212.029</v>
          </cell>
          <cell r="T520">
            <v>305.75271428571432</v>
          </cell>
          <cell r="U520">
            <v>2140.2690000000002</v>
          </cell>
        </row>
        <row r="521">
          <cell r="B521" t="str">
            <v>FY(2)</v>
          </cell>
          <cell r="C521">
            <v>1541.683</v>
          </cell>
          <cell r="D521">
            <v>1243</v>
          </cell>
          <cell r="E521">
            <v>1105</v>
          </cell>
          <cell r="F521">
            <v>501</v>
          </cell>
          <cell r="G521">
            <v>136.726</v>
          </cell>
          <cell r="H521">
            <v>236.12100000000001</v>
          </cell>
          <cell r="I521">
            <v>526.98699999999997</v>
          </cell>
          <cell r="J521">
            <v>755.78814285714282</v>
          </cell>
          <cell r="K521">
            <v>5290.5169999999998</v>
          </cell>
          <cell r="M521">
            <v>403.34500000000003</v>
          </cell>
          <cell r="N521">
            <v>82.305999999999997</v>
          </cell>
          <cell r="O521">
            <v>250.40700000000001</v>
          </cell>
          <cell r="P521">
            <v>140.87200000000001</v>
          </cell>
          <cell r="Q521">
            <v>682</v>
          </cell>
          <cell r="R521">
            <v>749</v>
          </cell>
          <cell r="S521">
            <v>115.37</v>
          </cell>
          <cell r="T521">
            <v>346.18571428571431</v>
          </cell>
          <cell r="U521">
            <v>2423.3000000000002</v>
          </cell>
        </row>
        <row r="522">
          <cell r="A522" t="str">
            <v>mstag:capitalExpenditures</v>
          </cell>
          <cell r="B522" t="str">
            <v>FY(1)</v>
          </cell>
          <cell r="C522">
            <v>1014</v>
          </cell>
          <cell r="D522">
            <v>969</v>
          </cell>
          <cell r="E522">
            <v>897</v>
          </cell>
          <cell r="F522">
            <v>563</v>
          </cell>
          <cell r="G522">
            <v>127.30500000000001</v>
          </cell>
          <cell r="H522">
            <v>224.41800000000001</v>
          </cell>
          <cell r="I522">
            <v>582.93200000000002</v>
          </cell>
          <cell r="J522">
            <v>625.37928571428563</v>
          </cell>
          <cell r="K522">
            <v>4377.6549999999997</v>
          </cell>
          <cell r="M522">
            <v>367.60199999999998</v>
          </cell>
          <cell r="N522">
            <v>83.034999999999997</v>
          </cell>
          <cell r="O522">
            <v>265.33499999999998</v>
          </cell>
          <cell r="P522">
            <v>174.72</v>
          </cell>
          <cell r="Q522">
            <v>431</v>
          </cell>
          <cell r="R522">
            <v>479</v>
          </cell>
          <cell r="S522">
            <v>112.553</v>
          </cell>
          <cell r="T522">
            <v>273.32071428571425</v>
          </cell>
          <cell r="U522">
            <v>1913.2449999999999</v>
          </cell>
        </row>
        <row r="523">
          <cell r="B523" t="str">
            <v>FY0</v>
          </cell>
          <cell r="C523">
            <v>666</v>
          </cell>
          <cell r="D523">
            <v>600</v>
          </cell>
          <cell r="E523">
            <v>460</v>
          </cell>
          <cell r="F523">
            <v>360</v>
          </cell>
          <cell r="G523">
            <v>74.576999999999998</v>
          </cell>
          <cell r="H523">
            <v>158.48699999999999</v>
          </cell>
          <cell r="I523">
            <v>429.3</v>
          </cell>
          <cell r="J523">
            <v>392.62342857142863</v>
          </cell>
          <cell r="K523">
            <v>2748.3640000000005</v>
          </cell>
          <cell r="M523">
            <v>175.47200000000001</v>
          </cell>
          <cell r="N523">
            <v>53.883000000000003</v>
          </cell>
          <cell r="O523">
            <v>127.419</v>
          </cell>
          <cell r="P523">
            <v>137.029</v>
          </cell>
          <cell r="Q523">
            <v>334</v>
          </cell>
          <cell r="R523">
            <v>202</v>
          </cell>
          <cell r="S523">
            <v>119.162038443713</v>
          </cell>
          <cell r="T523">
            <v>164.13786263481614</v>
          </cell>
          <cell r="U523">
            <v>1148.965038443713</v>
          </cell>
        </row>
        <row r="524">
          <cell r="B524" t="str">
            <v>FY1</v>
          </cell>
          <cell r="C524">
            <v>907.58838587964101</v>
          </cell>
          <cell r="D524">
            <v>516.37928113343298</v>
          </cell>
          <cell r="E524">
            <v>565.12585635259802</v>
          </cell>
          <cell r="F524">
            <v>455.23699236309801</v>
          </cell>
          <cell r="G524">
            <v>77.761425590910207</v>
          </cell>
          <cell r="H524">
            <v>216.66670210473899</v>
          </cell>
          <cell r="I524">
            <v>471.33063965813898</v>
          </cell>
          <cell r="J524">
            <v>458.58418329750833</v>
          </cell>
          <cell r="K524">
            <v>3210.0892830825583</v>
          </cell>
          <cell r="M524">
            <v>252.64958018246</v>
          </cell>
          <cell r="N524">
            <v>79.400220215663794</v>
          </cell>
          <cell r="O524">
            <v>104.611932148604</v>
          </cell>
          <cell r="P524">
            <v>109.483966350592</v>
          </cell>
          <cell r="Q524">
            <v>588.34474706810602</v>
          </cell>
          <cell r="R524">
            <v>273.32239281791698</v>
          </cell>
          <cell r="S524">
            <v>148.61906341465499</v>
          </cell>
          <cell r="T524">
            <v>222.34741459971397</v>
          </cell>
          <cell r="U524">
            <v>1556.4319021979977</v>
          </cell>
          <cell r="W524">
            <v>4766.521185280556</v>
          </cell>
        </row>
        <row r="525">
          <cell r="B525" t="str">
            <v>FY2</v>
          </cell>
          <cell r="C525">
            <v>1083.4152741635201</v>
          </cell>
          <cell r="D525">
            <v>545.95290120724496</v>
          </cell>
          <cell r="E525">
            <v>705.395843567165</v>
          </cell>
          <cell r="F525">
            <v>533.07692763290902</v>
          </cell>
          <cell r="G525">
            <v>36.653496169259</v>
          </cell>
          <cell r="H525">
            <v>234.750554079805</v>
          </cell>
          <cell r="I525">
            <v>525.90098383666202</v>
          </cell>
          <cell r="J525">
            <v>523.59228295093794</v>
          </cell>
          <cell r="K525">
            <v>3665.1459806565654</v>
          </cell>
          <cell r="M525">
            <v>269.53895223304102</v>
          </cell>
          <cell r="N525">
            <v>89.868208191571199</v>
          </cell>
          <cell r="O525">
            <v>109.075496451026</v>
          </cell>
          <cell r="P525">
            <v>139.387978389967</v>
          </cell>
          <cell r="Q525">
            <v>513.33336615648602</v>
          </cell>
          <cell r="R525">
            <v>320.49644583297498</v>
          </cell>
          <cell r="S525">
            <v>169.55707228555099</v>
          </cell>
          <cell r="T525">
            <v>230.17964564865957</v>
          </cell>
          <cell r="U525">
            <v>1611.2575195406171</v>
          </cell>
          <cell r="W525">
            <v>5276.4035001971824</v>
          </cell>
          <cell r="X525">
            <v>0.10697158264840789</v>
          </cell>
        </row>
        <row r="526">
          <cell r="B526" t="str">
            <v>Last Reported Q</v>
          </cell>
          <cell r="C526" t="str">
            <v>NA</v>
          </cell>
          <cell r="D526" t="str">
            <v>NA</v>
          </cell>
          <cell r="E526">
            <v>0</v>
          </cell>
          <cell r="F526">
            <v>0</v>
          </cell>
          <cell r="G526" t="str">
            <v>NA</v>
          </cell>
          <cell r="H526">
            <v>75.445999999999998</v>
          </cell>
          <cell r="I526">
            <v>293.8</v>
          </cell>
          <cell r="J526">
            <v>92.311499999999995</v>
          </cell>
          <cell r="K526">
            <v>369.24599999999998</v>
          </cell>
          <cell r="M526">
            <v>0</v>
          </cell>
          <cell r="N526">
            <v>20</v>
          </cell>
          <cell r="O526">
            <v>3.5000000000000003E-2</v>
          </cell>
          <cell r="P526" t="str">
            <v>NA</v>
          </cell>
          <cell r="Q526">
            <v>61</v>
          </cell>
          <cell r="R526" t="str">
            <v>NA</v>
          </cell>
          <cell r="S526">
            <v>0</v>
          </cell>
          <cell r="T526">
            <v>16.207000000000001</v>
          </cell>
          <cell r="U526">
            <v>81.034999999999997</v>
          </cell>
        </row>
        <row r="527">
          <cell r="B527" t="str">
            <v>Capex/Sales</v>
          </cell>
          <cell r="C527">
            <v>0</v>
          </cell>
          <cell r="D527">
            <v>0</v>
          </cell>
          <cell r="E527">
            <v>1</v>
          </cell>
          <cell r="F527">
            <v>0</v>
          </cell>
          <cell r="G527">
            <v>0</v>
          </cell>
          <cell r="H527">
            <v>298.41300000000001</v>
          </cell>
          <cell r="I527">
            <v>614.49799999999993</v>
          </cell>
          <cell r="J527">
            <v>130.55871428571427</v>
          </cell>
          <cell r="K527">
            <v>913.91099999999994</v>
          </cell>
          <cell r="M527">
            <v>0</v>
          </cell>
          <cell r="N527">
            <v>33.474000000000004</v>
          </cell>
          <cell r="O527">
            <v>0.2479999999999998</v>
          </cell>
          <cell r="P527">
            <v>0</v>
          </cell>
          <cell r="Q527">
            <v>218</v>
          </cell>
          <cell r="R527">
            <v>0</v>
          </cell>
          <cell r="S527">
            <v>0</v>
          </cell>
          <cell r="T527">
            <v>35.960285714285718</v>
          </cell>
          <cell r="U527">
            <v>251.72200000000001</v>
          </cell>
          <cell r="W527">
            <v>0.14175826821147752</v>
          </cell>
        </row>
        <row r="528">
          <cell r="B528" t="str">
            <v>FY(2)</v>
          </cell>
          <cell r="C528">
            <v>9.3584501356707955E-2</v>
          </cell>
          <cell r="D528">
            <v>6.2585186091487152E-2</v>
          </cell>
          <cell r="E528">
            <v>4.1994451411849654E-2</v>
          </cell>
          <cell r="F528">
            <v>5.6752441770975236E-2</v>
          </cell>
          <cell r="G528">
            <v>4.188097100041567E-2</v>
          </cell>
          <cell r="H528">
            <v>3.9516756894985482E-2</v>
          </cell>
          <cell r="I528">
            <v>2.8739427092928149E-2</v>
          </cell>
          <cell r="J528">
            <v>5.2150533659907031E-2</v>
          </cell>
          <cell r="K528">
            <v>5.3411503037065926E-2</v>
          </cell>
          <cell r="M528">
            <v>0.10902229828935447</v>
          </cell>
          <cell r="N528">
            <v>5.1987672934840759E-2</v>
          </cell>
          <cell r="O528">
            <v>8.1955044463623491E-2</v>
          </cell>
          <cell r="P528">
            <v>5.3923204831009597E-2</v>
          </cell>
          <cell r="Q528">
            <v>4.3265875785066292E-2</v>
          </cell>
          <cell r="R528">
            <v>7.4259195127486383E-2</v>
          </cell>
          <cell r="S528">
            <v>7.6519309900220475E-2</v>
          </cell>
          <cell r="T528">
            <v>7.0133228761657368E-2</v>
          </cell>
          <cell r="U528">
            <v>6.3258771447465792E-2</v>
          </cell>
        </row>
        <row r="529">
          <cell r="B529" t="str">
            <v>FY(1)</v>
          </cell>
          <cell r="C529">
            <v>6.1871144494139323E-2</v>
          </cell>
          <cell r="D529">
            <v>5.2416704966716285E-2</v>
          </cell>
          <cell r="E529">
            <v>3.6035674112164552E-2</v>
          </cell>
          <cell r="F529">
            <v>6.7904957182487027E-2</v>
          </cell>
          <cell r="G529">
            <v>4.1919557125583824E-2</v>
          </cell>
          <cell r="H529">
            <v>3.4599628530933429E-2</v>
          </cell>
          <cell r="I529">
            <v>3.0681430910963207E-2</v>
          </cell>
          <cell r="J529">
            <v>4.6489871046141093E-2</v>
          </cell>
          <cell r="K529">
            <v>4.5326299240674772E-2</v>
          </cell>
          <cell r="M529">
            <v>0.10550975486336762</v>
          </cell>
          <cell r="N529">
            <v>4.4037992480632775E-2</v>
          </cell>
          <cell r="O529">
            <v>8.8775927064119339E-2</v>
          </cell>
          <cell r="P529">
            <v>5.4930320046454352E-2</v>
          </cell>
          <cell r="Q529">
            <v>2.9670934875395842E-2</v>
          </cell>
          <cell r="R529">
            <v>5.2970898849801627E-2</v>
          </cell>
          <cell r="S529">
            <v>6.1349556147383272E-2</v>
          </cell>
          <cell r="T529">
            <v>6.2463626332450693E-2</v>
          </cell>
          <cell r="U529">
            <v>5.1789835122335176E-2</v>
          </cell>
        </row>
        <row r="530">
          <cell r="B530" t="str">
            <v>FY0</v>
          </cell>
          <cell r="C530">
            <v>3.8772777551376841E-2</v>
          </cell>
          <cell r="D530">
            <v>3.4173469997037909E-2</v>
          </cell>
          <cell r="E530">
            <v>1.9583634892928605E-2</v>
          </cell>
          <cell r="F530">
            <v>4.359409057883265E-2</v>
          </cell>
          <cell r="G530">
            <v>2.8402603486295135E-2</v>
          </cell>
          <cell r="H530">
            <v>2.206045394255432E-2</v>
          </cell>
          <cell r="I530">
            <v>2.115982871825952E-2</v>
          </cell>
          <cell r="J530">
            <v>2.9678122738183571E-2</v>
          </cell>
          <cell r="K530">
            <v>2.8456909994136789E-2</v>
          </cell>
          <cell r="M530">
            <v>5.9916172265141496E-2</v>
          </cell>
          <cell r="N530">
            <v>2.4161642613240185E-2</v>
          </cell>
          <cell r="O530">
            <v>4.2607098742107656E-2</v>
          </cell>
          <cell r="P530">
            <v>4.2417693040141556E-2</v>
          </cell>
          <cell r="Q530">
            <v>2.3526097062759738E-2</v>
          </cell>
          <cell r="R530">
            <v>2.3399843139962396E-2</v>
          </cell>
          <cell r="S530">
            <v>6.149299001386252E-2</v>
          </cell>
          <cell r="T530">
            <v>3.9645933839602229E-2</v>
          </cell>
          <cell r="U530">
            <v>3.1785808544811306E-2</v>
          </cell>
        </row>
        <row r="531">
          <cell r="B531" t="str">
            <v>FY1</v>
          </cell>
          <cell r="C531">
            <v>4.906384536712001E-2</v>
          </cell>
          <cell r="D531">
            <v>2.9000000000000019E-2</v>
          </cell>
          <cell r="E531">
            <v>2.3024470937356083E-2</v>
          </cell>
          <cell r="F531">
            <v>5.0970015246604841E-2</v>
          </cell>
          <cell r="G531">
            <v>2.8406073555532135E-2</v>
          </cell>
          <cell r="H531">
            <v>2.7764038492343043E-2</v>
          </cell>
          <cell r="I531">
            <v>2.1369574682242889E-2</v>
          </cell>
          <cell r="J531">
            <v>3.2799716897314146E-2</v>
          </cell>
          <cell r="K531">
            <v>3.1355313033391612E-2</v>
          </cell>
          <cell r="M531">
            <v>7.9882941077226516E-2</v>
          </cell>
          <cell r="N531">
            <v>3.2671433838796095E-2</v>
          </cell>
          <cell r="O531">
            <v>3.500000000000001E-2</v>
          </cell>
          <cell r="P531">
            <v>3.1496204389433645E-2</v>
          </cell>
          <cell r="Q531">
            <v>4.1852106209232701E-2</v>
          </cell>
          <cell r="R531">
            <v>3.0000000000000061E-2</v>
          </cell>
          <cell r="S531">
            <v>6.5716719965351583E-2</v>
          </cell>
          <cell r="T531">
            <v>4.5231343640005806E-2</v>
          </cell>
          <cell r="U531">
            <v>4.1518146381270146E-2</v>
          </cell>
        </row>
        <row r="532">
          <cell r="B532" t="str">
            <v>FY2</v>
          </cell>
          <cell r="C532">
            <v>5.4063845367119855E-2</v>
          </cell>
          <cell r="D532">
            <v>0.03</v>
          </cell>
          <cell r="E532">
            <v>2.8499999999999838E-2</v>
          </cell>
          <cell r="F532">
            <v>5.7000000000000065E-2</v>
          </cell>
          <cell r="G532">
            <v>1.2499999999999957E-2</v>
          </cell>
          <cell r="H532">
            <v>2.8764038492343064E-2</v>
          </cell>
          <cell r="I532">
            <v>2.2369574682242845E-2</v>
          </cell>
          <cell r="J532">
            <v>3.3313922648815095E-2</v>
          </cell>
          <cell r="K532">
            <v>3.4271596581928084E-2</v>
          </cell>
          <cell r="M532">
            <v>7.8882941077226418E-2</v>
          </cell>
          <cell r="N532">
            <v>3.2671433838796143E-2</v>
          </cell>
          <cell r="O532">
            <v>3.2999999999999953E-2</v>
          </cell>
          <cell r="P532">
            <v>3.7496204389433692E-2</v>
          </cell>
          <cell r="Q532">
            <v>3.800000000000011E-2</v>
          </cell>
          <cell r="R532">
            <v>3.3899999999999965E-2</v>
          </cell>
          <cell r="S532">
            <v>6.5716719965351306E-2</v>
          </cell>
          <cell r="T532">
            <v>4.5666757038686799E-2</v>
          </cell>
          <cell r="U532">
            <v>4.1598672627023166E-2</v>
          </cell>
        </row>
        <row r="533">
          <cell r="B533" t="str">
            <v>FY1</v>
          </cell>
          <cell r="C533">
            <v>0</v>
          </cell>
          <cell r="D533">
            <v>182.945193171608</v>
          </cell>
          <cell r="E533">
            <v>85.1</v>
          </cell>
          <cell r="F533">
            <v>139.1936024</v>
          </cell>
          <cell r="G533">
            <v>0.54100000000000004</v>
          </cell>
          <cell r="H533">
            <v>355.01931090619053</v>
          </cell>
          <cell r="I533">
            <v>823.37161142857099</v>
          </cell>
          <cell r="J533">
            <v>226.59581684376707</v>
          </cell>
          <cell r="K533">
            <v>1586.1707179063694</v>
          </cell>
          <cell r="M533">
            <v>64.431664990000002</v>
          </cell>
          <cell r="N533">
            <v>88.472999999999999</v>
          </cell>
          <cell r="O533">
            <v>83.486885200000003</v>
          </cell>
          <cell r="P533">
            <v>95.706649923605795</v>
          </cell>
          <cell r="Q533">
            <v>492.82129880369598</v>
          </cell>
          <cell r="R533">
            <v>194.73504270000001</v>
          </cell>
          <cell r="S533">
            <v>0</v>
          </cell>
          <cell r="T533">
            <v>145.6649345167574</v>
          </cell>
          <cell r="U533">
            <v>1019.6545416173018</v>
          </cell>
        </row>
        <row r="534">
          <cell r="A534" t="str">
            <v>mstag:averageDilutedSharesOutstanding</v>
          </cell>
          <cell r="B534" t="str">
            <v>Shares</v>
          </cell>
          <cell r="C534">
            <v>0</v>
          </cell>
          <cell r="D534">
            <v>205.90563969975801</v>
          </cell>
          <cell r="E534">
            <v>97.307606309267598</v>
          </cell>
          <cell r="F534">
            <v>286.66186174613699</v>
          </cell>
          <cell r="G534">
            <v>0</v>
          </cell>
          <cell r="H534">
            <v>307.96242645149999</v>
          </cell>
          <cell r="I534">
            <v>923.40618542842799</v>
          </cell>
          <cell r="J534">
            <v>260.17767423358436</v>
          </cell>
          <cell r="K534">
            <v>1821.2437196350907</v>
          </cell>
          <cell r="M534">
            <v>265.18449312984052</v>
          </cell>
          <cell r="N534">
            <v>175.375337620886</v>
          </cell>
          <cell r="O534">
            <v>139.4917100024507</v>
          </cell>
          <cell r="P534">
            <v>102.025034707074</v>
          </cell>
          <cell r="Q534">
            <v>1424.371796259763</v>
          </cell>
          <cell r="R534">
            <v>200</v>
          </cell>
          <cell r="S534">
            <v>0</v>
          </cell>
          <cell r="T534">
            <v>329.49262453143058</v>
          </cell>
          <cell r="U534">
            <v>2306.4483717200142</v>
          </cell>
        </row>
        <row r="535">
          <cell r="B535" t="str">
            <v>FY(2)</v>
          </cell>
          <cell r="C535">
            <v>320.17824999999999</v>
          </cell>
          <cell r="D535">
            <v>225.17500000000001</v>
          </cell>
          <cell r="E535">
            <v>451.75</v>
          </cell>
          <cell r="F535">
            <v>248.85724999999999</v>
          </cell>
          <cell r="G535">
            <v>153.53</v>
          </cell>
          <cell r="H535">
            <v>137.12950000000001</v>
          </cell>
          <cell r="I535">
            <v>468.04599999999999</v>
          </cell>
          <cell r="J535">
            <v>49.120571428571417</v>
          </cell>
          <cell r="K535">
            <v>343.84399999999994</v>
          </cell>
          <cell r="M535">
            <v>91.522999999999996</v>
          </cell>
          <cell r="N535">
            <v>112.26900000000001</v>
          </cell>
          <cell r="O535">
            <v>220.28</v>
          </cell>
          <cell r="P535">
            <v>377.35599999999999</v>
          </cell>
          <cell r="Q535">
            <v>793.86175000000003</v>
          </cell>
          <cell r="R535">
            <v>380.23025000000001</v>
          </cell>
          <cell r="S535">
            <v>169.63592499999999</v>
          </cell>
          <cell r="T535">
            <v>36.599857142857147</v>
          </cell>
          <cell r="U535">
            <v>256.19900000000001</v>
          </cell>
        </row>
        <row r="536">
          <cell r="B536" t="str">
            <v>FY(1)</v>
          </cell>
          <cell r="C536">
            <v>306.6225</v>
          </cell>
          <cell r="D536">
            <v>222.875</v>
          </cell>
          <cell r="E536">
            <v>421.42500000000001</v>
          </cell>
          <cell r="F536">
            <v>219.02500000000001</v>
          </cell>
          <cell r="G536">
            <v>138.38399999999999</v>
          </cell>
          <cell r="H536">
            <v>131.25524999999999</v>
          </cell>
          <cell r="I536">
            <v>442.255</v>
          </cell>
          <cell r="J536">
            <v>44.920142857142864</v>
          </cell>
          <cell r="K536">
            <v>314.44100000000003</v>
          </cell>
          <cell r="M536">
            <v>89.290999999999997</v>
          </cell>
          <cell r="N536">
            <v>101.364</v>
          </cell>
          <cell r="O536">
            <v>207.58199999999999</v>
          </cell>
          <cell r="P536">
            <v>360.25900000000001</v>
          </cell>
          <cell r="Q536">
            <v>719</v>
          </cell>
          <cell r="R536">
            <v>337.30099999999999</v>
          </cell>
          <cell r="S536">
            <v>170.85694175</v>
          </cell>
          <cell r="T536">
            <v>26.853857142857144</v>
          </cell>
          <cell r="U536">
            <v>187.977</v>
          </cell>
        </row>
        <row r="537">
          <cell r="B537" t="str">
            <v>FY0</v>
          </cell>
          <cell r="C537">
            <v>307</v>
          </cell>
          <cell r="D537">
            <v>232.85</v>
          </cell>
          <cell r="E537">
            <v>422.35</v>
          </cell>
          <cell r="F537">
            <v>219.65</v>
          </cell>
          <cell r="G537">
            <v>146.84450000000001</v>
          </cell>
          <cell r="H537">
            <v>125.05625000000001</v>
          </cell>
          <cell r="I537">
            <v>427.38150000000002</v>
          </cell>
          <cell r="J537">
            <v>57.513714285714286</v>
          </cell>
          <cell r="K537">
            <v>402.596</v>
          </cell>
          <cell r="M537">
            <v>88.354749999999996</v>
          </cell>
          <cell r="N537">
            <v>101.02475</v>
          </cell>
          <cell r="O537">
            <v>209.096</v>
          </cell>
          <cell r="P537">
            <v>325.62</v>
          </cell>
          <cell r="Q537">
            <v>698.5</v>
          </cell>
          <cell r="R537">
            <v>326.76499999999999</v>
          </cell>
          <cell r="S537">
            <v>171.22537274999999</v>
          </cell>
          <cell r="T537">
            <v>22.394714285714286</v>
          </cell>
          <cell r="U537">
            <v>156.76300000000001</v>
          </cell>
        </row>
        <row r="538">
          <cell r="B538" t="str">
            <v>FY1</v>
          </cell>
          <cell r="C538">
            <v>310.13471428571398</v>
          </cell>
          <cell r="D538">
            <v>237.3</v>
          </cell>
          <cell r="E538">
            <v>425.93</v>
          </cell>
          <cell r="F538">
            <v>222.02064300000001</v>
          </cell>
          <cell r="G538">
            <v>152.07075</v>
          </cell>
          <cell r="H538">
            <v>121.417319545455</v>
          </cell>
          <cell r="I538">
            <v>411.01945454545398</v>
          </cell>
          <cell r="J538">
            <v>76.682999999999993</v>
          </cell>
          <cell r="K538">
            <v>536.78099999999995</v>
          </cell>
          <cell r="M538">
            <v>86.994340425531902</v>
          </cell>
          <cell r="N538">
            <v>94.206304765520699</v>
          </cell>
          <cell r="O538">
            <v>214.43594377777799</v>
          </cell>
          <cell r="P538">
            <v>317.67435087815102</v>
          </cell>
          <cell r="Q538">
            <v>656.23828581818202</v>
          </cell>
          <cell r="R538">
            <v>322.06326548148098</v>
          </cell>
          <cell r="S538">
            <v>172.42198500000001</v>
          </cell>
          <cell r="T538">
            <v>32.55565</v>
          </cell>
          <cell r="U538">
            <v>227.88954999999999</v>
          </cell>
        </row>
        <row r="539">
          <cell r="B539" t="str">
            <v>FY2</v>
          </cell>
          <cell r="C539">
            <v>301.21385487113298</v>
          </cell>
          <cell r="D539">
            <v>237.363325395462</v>
          </cell>
          <cell r="E539">
            <v>425.93</v>
          </cell>
          <cell r="F539">
            <v>217.01187766065601</v>
          </cell>
          <cell r="G539">
            <v>164.17593426128801</v>
          </cell>
          <cell r="H539">
            <v>115.105631233766</v>
          </cell>
          <cell r="I539">
            <v>394.05792611882902</v>
          </cell>
          <cell r="J539">
            <v>228.23742857142858</v>
          </cell>
          <cell r="K539">
            <v>1597.662</v>
          </cell>
          <cell r="M539">
            <v>83.071661626235098</v>
          </cell>
          <cell r="N539">
            <v>85.832687672587596</v>
          </cell>
          <cell r="O539">
            <v>216.68351600604399</v>
          </cell>
          <cell r="P539">
            <v>304.067129634504</v>
          </cell>
          <cell r="Q539">
            <v>608.94531141072105</v>
          </cell>
          <cell r="R539">
            <v>317.07369672823501</v>
          </cell>
          <cell r="S539">
            <v>171.952871551062</v>
          </cell>
          <cell r="T539">
            <v>118.40407857142857</v>
          </cell>
          <cell r="U539">
            <v>828.82854999999995</v>
          </cell>
        </row>
        <row r="540">
          <cell r="B540" t="str">
            <v>FQ(3)</v>
          </cell>
          <cell r="C540">
            <v>306</v>
          </cell>
          <cell r="D540">
            <v>222.7</v>
          </cell>
          <cell r="E540">
            <v>421.4</v>
          </cell>
          <cell r="F540">
            <v>217.4</v>
          </cell>
          <cell r="G540">
            <v>138.297</v>
          </cell>
          <cell r="H540">
            <v>126.56399999999999</v>
          </cell>
          <cell r="I540">
            <v>431.798</v>
          </cell>
          <cell r="M540">
            <v>87.697000000000003</v>
          </cell>
          <cell r="N540">
            <v>101.685</v>
          </cell>
          <cell r="O540">
            <v>207.286</v>
          </cell>
          <cell r="P540">
            <v>321.35500000000002</v>
          </cell>
          <cell r="Q540">
            <v>697</v>
          </cell>
          <cell r="R540">
            <v>323.28500000000003</v>
          </cell>
          <cell r="S540">
            <v>170.31670800000001</v>
          </cell>
        </row>
        <row r="541">
          <cell r="B541" t="str">
            <v>FQ(2)</v>
          </cell>
          <cell r="C541">
            <v>306</v>
          </cell>
          <cell r="D541">
            <v>233.8</v>
          </cell>
          <cell r="E541">
            <v>422.1</v>
          </cell>
          <cell r="F541">
            <v>218.8</v>
          </cell>
          <cell r="G541">
            <v>138.32499999999999</v>
          </cell>
          <cell r="H541">
            <v>125.658</v>
          </cell>
          <cell r="I541">
            <v>430.45299999999997</v>
          </cell>
          <cell r="M541">
            <v>87.878</v>
          </cell>
          <cell r="N541">
            <v>102.4455</v>
          </cell>
          <cell r="O541">
            <v>209.01499999999999</v>
          </cell>
          <cell r="P541">
            <v>320.512</v>
          </cell>
          <cell r="Q541">
            <v>700</v>
          </cell>
          <cell r="R541">
            <v>325.697</v>
          </cell>
          <cell r="S541">
            <v>170.71927400000001</v>
          </cell>
        </row>
        <row r="542">
          <cell r="B542" t="str">
            <v>FQ(1)</v>
          </cell>
          <cell r="C542">
            <v>308</v>
          </cell>
          <cell r="D542">
            <v>237.6</v>
          </cell>
          <cell r="E542">
            <v>421.8</v>
          </cell>
          <cell r="F542">
            <v>220.7</v>
          </cell>
          <cell r="G542">
            <v>152.45599999999999</v>
          </cell>
          <cell r="H542">
            <v>124.648</v>
          </cell>
          <cell r="I542">
            <v>428.09199999999998</v>
          </cell>
          <cell r="J542">
            <v>5.9822026995043656</v>
          </cell>
          <cell r="K542">
            <v>1.0740709902116266</v>
          </cell>
          <cell r="M542">
            <v>88.73</v>
          </cell>
          <cell r="N542">
            <v>101.98650000000001</v>
          </cell>
          <cell r="O542">
            <v>209.393</v>
          </cell>
          <cell r="P542">
            <v>321.11500000000001</v>
          </cell>
          <cell r="Q542">
            <v>704</v>
          </cell>
          <cell r="R542">
            <v>328.25900000000001</v>
          </cell>
          <cell r="S542">
            <v>171.44390200000001</v>
          </cell>
          <cell r="T542">
            <v>0.54803252730191898</v>
          </cell>
          <cell r="U542">
            <v>0.62421656550496152</v>
          </cell>
        </row>
        <row r="543">
          <cell r="B543" t="str">
            <v>Last Reported Q</v>
          </cell>
          <cell r="C543">
            <v>307</v>
          </cell>
          <cell r="D543">
            <v>232.85</v>
          </cell>
          <cell r="E543">
            <v>422.35</v>
          </cell>
          <cell r="F543">
            <v>219.65</v>
          </cell>
          <cell r="G543">
            <v>146.84450000000001</v>
          </cell>
          <cell r="H543">
            <v>125.05625000000001</v>
          </cell>
          <cell r="I543">
            <v>427.38150000000002</v>
          </cell>
          <cell r="J543">
            <v>1.2055641241313226</v>
          </cell>
          <cell r="K543">
            <v>1.345688514126187</v>
          </cell>
          <cell r="M543">
            <v>88.354749999999996</v>
          </cell>
          <cell r="N543">
            <v>101.02475</v>
          </cell>
          <cell r="O543">
            <v>209.096</v>
          </cell>
          <cell r="P543">
            <v>321.38099999999997</v>
          </cell>
          <cell r="Q543">
            <v>698.5</v>
          </cell>
          <cell r="R543">
            <v>326.76499999999999</v>
          </cell>
          <cell r="S543">
            <v>171.22537274999999</v>
          </cell>
          <cell r="T543">
            <v>0.98358433469455953</v>
          </cell>
          <cell r="U543">
            <v>1.0261221323087046</v>
          </cell>
        </row>
        <row r="544">
          <cell r="B544" t="str">
            <v>LTM</v>
          </cell>
          <cell r="C544">
            <v>306.75</v>
          </cell>
          <cell r="D544">
            <v>231.73750000000001</v>
          </cell>
          <cell r="E544">
            <v>421.91250000000002</v>
          </cell>
          <cell r="F544">
            <v>219.13750000000002</v>
          </cell>
          <cell r="G544">
            <v>143.980625</v>
          </cell>
          <cell r="H544">
            <v>125.4815625</v>
          </cell>
          <cell r="I544">
            <v>429.43112499999995</v>
          </cell>
          <cell r="J544">
            <v>0.53601675902895107</v>
          </cell>
          <cell r="K544">
            <v>0.53144082268673543</v>
          </cell>
          <cell r="M544">
            <v>88.164937500000008</v>
          </cell>
          <cell r="N544">
            <v>101.78543749999999</v>
          </cell>
          <cell r="O544">
            <v>208.69749999999999</v>
          </cell>
          <cell r="P544">
            <v>321.09074999999996</v>
          </cell>
          <cell r="Q544">
            <v>699.875</v>
          </cell>
          <cell r="R544">
            <v>326.00149999999996</v>
          </cell>
          <cell r="S544">
            <v>170.9263141875</v>
          </cell>
          <cell r="T544">
            <v>0.33995816525749134</v>
          </cell>
          <cell r="U544">
            <v>0.48329425673440402</v>
          </cell>
        </row>
        <row r="545">
          <cell r="B545" t="str">
            <v>FY1</v>
          </cell>
          <cell r="C545">
            <v>0</v>
          </cell>
          <cell r="D545">
            <v>0.75886991644161217</v>
          </cell>
          <cell r="E545">
            <v>0.13544901852545316</v>
          </cell>
          <cell r="F545">
            <v>0.3501044562658292</v>
          </cell>
          <cell r="G545">
            <v>-7.8789507472054546E-3</v>
          </cell>
          <cell r="H545">
            <v>0.83723039615621164</v>
          </cell>
          <cell r="I545">
            <v>0.71266152001253269</v>
          </cell>
          <cell r="J545">
            <v>0.39806233666491903</v>
          </cell>
          <cell r="K545">
            <v>0.42529092369424204</v>
          </cell>
          <cell r="M545">
            <v>0.72421096097612114</v>
          </cell>
          <cell r="N545">
            <v>0.40902156005660512</v>
          </cell>
          <cell r="O545">
            <v>0.53922669551942037</v>
          </cell>
          <cell r="P545">
            <v>0.13932993511019859</v>
          </cell>
          <cell r="Q545">
            <v>0.45705508052969995</v>
          </cell>
          <cell r="R545">
            <v>0.5372637429287398</v>
          </cell>
          <cell r="S545">
            <v>0</v>
          </cell>
          <cell r="T545">
            <v>0.40087256787439784</v>
          </cell>
          <cell r="U545">
            <v>0.36417724611131913</v>
          </cell>
        </row>
        <row r="546">
          <cell r="B546" t="str">
            <v>Dividends</v>
          </cell>
          <cell r="C546">
            <v>0</v>
          </cell>
          <cell r="D546">
            <v>0.56460161768085815</v>
          </cell>
          <cell r="E546">
            <v>0.17369223170512707</v>
          </cell>
          <cell r="F546">
            <v>0.65325836349800881</v>
          </cell>
          <cell r="G546">
            <v>0</v>
          </cell>
          <cell r="H546">
            <v>0.71527012076771046</v>
          </cell>
          <cell r="I546">
            <v>0.70968320578337618</v>
          </cell>
          <cell r="J546">
            <v>0.40235793420501148</v>
          </cell>
          <cell r="K546">
            <v>0.43866553937993219</v>
          </cell>
          <cell r="M546">
            <v>1.9999999999999738</v>
          </cell>
          <cell r="N546">
            <v>0.79999999999998717</v>
          </cell>
          <cell r="O546">
            <v>0.7000000000000085</v>
          </cell>
          <cell r="P546">
            <v>0.13879332235659583</v>
          </cell>
          <cell r="Q546">
            <v>1.3200000000000276</v>
          </cell>
          <cell r="R546">
            <v>0.48792508469895424</v>
          </cell>
          <cell r="S546">
            <v>0</v>
          </cell>
          <cell r="T546">
            <v>0.77810262957936394</v>
          </cell>
          <cell r="U546">
            <v>0.75795426630354901</v>
          </cell>
        </row>
        <row r="547">
          <cell r="B547" t="str">
            <v>FY(2)</v>
          </cell>
          <cell r="C547" t="str">
            <v>NA</v>
          </cell>
          <cell r="D547">
            <v>174</v>
          </cell>
          <cell r="E547">
            <v>230</v>
          </cell>
          <cell r="F547">
            <v>134</v>
          </cell>
          <cell r="G547">
            <v>7.43</v>
          </cell>
          <cell r="H547">
            <v>40.637999999999998</v>
          </cell>
          <cell r="I547">
            <v>151.49199999999999</v>
          </cell>
          <cell r="J547">
            <v>122.92666666666666</v>
          </cell>
          <cell r="K547">
            <v>737.56</v>
          </cell>
          <cell r="M547">
            <v>61.33</v>
          </cell>
          <cell r="N547">
            <v>0</v>
          </cell>
          <cell r="O547">
            <v>80.796000000000006</v>
          </cell>
          <cell r="P547">
            <v>0</v>
          </cell>
          <cell r="Q547">
            <v>252</v>
          </cell>
          <cell r="R547">
            <v>227</v>
          </cell>
          <cell r="S547" t="str">
            <v>NA</v>
          </cell>
          <cell r="T547">
            <v>103.521</v>
          </cell>
          <cell r="U547">
            <v>621.12599999999998</v>
          </cell>
        </row>
        <row r="548">
          <cell r="A548" t="str">
            <v>mstag:cashDividendsPaid</v>
          </cell>
          <cell r="B548" t="str">
            <v>FY(1)</v>
          </cell>
          <cell r="C548" t="str">
            <v>NA</v>
          </cell>
          <cell r="D548">
            <v>178</v>
          </cell>
          <cell r="E548">
            <v>221</v>
          </cell>
          <cell r="F548">
            <v>138</v>
          </cell>
          <cell r="G548">
            <v>1.1830000000000001</v>
          </cell>
          <cell r="H548">
            <v>49.838000000000001</v>
          </cell>
          <cell r="I548">
            <v>176.749</v>
          </cell>
          <cell r="J548">
            <v>127.46166666666666</v>
          </cell>
          <cell r="K548">
            <v>764.77</v>
          </cell>
          <cell r="M548">
            <v>60.768999999999998</v>
          </cell>
          <cell r="N548">
            <v>0</v>
          </cell>
          <cell r="O548">
            <v>82.394000000000005</v>
          </cell>
          <cell r="P548">
            <v>0</v>
          </cell>
          <cell r="Q548">
            <v>243</v>
          </cell>
          <cell r="R548">
            <v>201</v>
          </cell>
          <cell r="S548" t="str">
            <v>NA</v>
          </cell>
          <cell r="T548">
            <v>97.860500000000002</v>
          </cell>
          <cell r="U548">
            <v>587.16300000000001</v>
          </cell>
        </row>
        <row r="549">
          <cell r="B549" t="str">
            <v>FY0</v>
          </cell>
          <cell r="C549" t="str">
            <v>NA</v>
          </cell>
          <cell r="D549">
            <v>183</v>
          </cell>
          <cell r="E549">
            <v>84</v>
          </cell>
          <cell r="F549">
            <v>139</v>
          </cell>
          <cell r="G549">
            <v>0.78100000000000003</v>
          </cell>
          <cell r="H549">
            <v>55.201999999999998</v>
          </cell>
          <cell r="I549">
            <v>197.7</v>
          </cell>
          <cell r="J549">
            <v>109.94716666666666</v>
          </cell>
          <cell r="K549">
            <v>659.68299999999999</v>
          </cell>
          <cell r="M549">
            <v>61.5</v>
          </cell>
          <cell r="N549">
            <v>0</v>
          </cell>
          <cell r="O549">
            <v>82.984999999999999</v>
          </cell>
          <cell r="P549">
            <v>0</v>
          </cell>
          <cell r="Q549">
            <v>234</v>
          </cell>
          <cell r="R549">
            <v>193</v>
          </cell>
          <cell r="S549" t="str">
            <v>NA</v>
          </cell>
          <cell r="T549">
            <v>95.247500000000002</v>
          </cell>
          <cell r="U549">
            <v>571.48500000000001</v>
          </cell>
        </row>
        <row r="550">
          <cell r="B550" t="str">
            <v>FY1</v>
          </cell>
          <cell r="C550" t="str">
            <v>NA</v>
          </cell>
          <cell r="D550">
            <v>188.775411841813</v>
          </cell>
          <cell r="E550">
            <v>85.186000000000007</v>
          </cell>
          <cell r="F550">
            <v>142.09321152000001</v>
          </cell>
          <cell r="G550">
            <v>0</v>
          </cell>
          <cell r="H550">
            <v>77.707084509090905</v>
          </cell>
          <cell r="I550">
            <v>197.28933818181801</v>
          </cell>
          <cell r="J550">
            <v>115.17517434212033</v>
          </cell>
          <cell r="K550">
            <v>691.05104605272197</v>
          </cell>
          <cell r="M550">
            <v>64.343897021276604</v>
          </cell>
          <cell r="N550">
            <v>0</v>
          </cell>
          <cell r="O550">
            <v>90.0630963866667</v>
          </cell>
          <cell r="P550">
            <v>94.252655263445405</v>
          </cell>
          <cell r="Q550">
            <v>262.49531432727298</v>
          </cell>
          <cell r="R550">
            <v>518.07900254814797</v>
          </cell>
          <cell r="S550" t="str">
            <v>NA</v>
          </cell>
          <cell r="T550">
            <v>171.53899425780162</v>
          </cell>
          <cell r="U550">
            <v>1029.2339655468097</v>
          </cell>
        </row>
        <row r="551">
          <cell r="B551" t="str">
            <v>FY2</v>
          </cell>
          <cell r="C551" t="str">
            <v>NA</v>
          </cell>
          <cell r="D551">
            <v>207.70836687078599</v>
          </cell>
          <cell r="E551">
            <v>96.910411835832903</v>
          </cell>
          <cell r="F551">
            <v>151.06358340229599</v>
          </cell>
          <cell r="G551">
            <v>0</v>
          </cell>
          <cell r="H551">
            <v>81.592438734545496</v>
          </cell>
          <cell r="I551">
            <v>213.29758054177</v>
          </cell>
          <cell r="J551">
            <v>125.09539689753841</v>
          </cell>
          <cell r="K551">
            <v>750.57238138523041</v>
          </cell>
          <cell r="M551">
            <v>68.188106938637006</v>
          </cell>
          <cell r="N551">
            <v>0</v>
          </cell>
          <cell r="O551">
            <v>98.400875799278495</v>
          </cell>
          <cell r="P551">
            <v>99.137817779386296</v>
          </cell>
          <cell r="Q551">
            <v>262.348142727675</v>
          </cell>
          <cell r="R551">
            <v>200</v>
          </cell>
          <cell r="S551" t="str">
            <v>NA</v>
          </cell>
          <cell r="T551">
            <v>121.3458238741628</v>
          </cell>
          <cell r="U551">
            <v>728.07494324497679</v>
          </cell>
        </row>
        <row r="552">
          <cell r="B552" t="str">
            <v>FQ(3)</v>
          </cell>
          <cell r="C552" t="str">
            <v>NA</v>
          </cell>
          <cell r="D552">
            <v>89</v>
          </cell>
          <cell r="E552">
            <v>21</v>
          </cell>
          <cell r="F552">
            <v>35</v>
          </cell>
          <cell r="G552">
            <v>0.47099999999999997</v>
          </cell>
          <cell r="H552">
            <v>13.967000000000001</v>
          </cell>
          <cell r="I552">
            <v>45.408000000000001</v>
          </cell>
          <cell r="J552">
            <v>34.140999999999998</v>
          </cell>
          <cell r="K552">
            <v>204.846</v>
          </cell>
          <cell r="M552">
            <v>15.337999999999999</v>
          </cell>
          <cell r="N552">
            <v>0</v>
          </cell>
          <cell r="O552">
            <v>20.638999999999999</v>
          </cell>
          <cell r="P552">
            <v>0</v>
          </cell>
          <cell r="Q552">
            <v>59</v>
          </cell>
          <cell r="R552">
            <v>48</v>
          </cell>
          <cell r="S552" t="str">
            <v>NA</v>
          </cell>
          <cell r="T552">
            <v>23.829499999999999</v>
          </cell>
          <cell r="U552">
            <v>142.977</v>
          </cell>
        </row>
        <row r="553">
          <cell r="A553" t="str">
            <v>Modelware DuPont (Non-lease Adjusted)ROIC</v>
          </cell>
          <cell r="B553" t="str">
            <v>FQ(2)</v>
          </cell>
          <cell r="C553" t="str">
            <v>NA</v>
          </cell>
          <cell r="D553">
            <v>0</v>
          </cell>
          <cell r="E553">
            <v>21</v>
          </cell>
          <cell r="F553">
            <v>34</v>
          </cell>
          <cell r="G553">
            <v>7.0000000000000104E-2</v>
          </cell>
          <cell r="H553">
            <v>13.858000000000001</v>
          </cell>
          <cell r="I553">
            <v>51.192</v>
          </cell>
          <cell r="J553">
            <v>20.02</v>
          </cell>
          <cell r="K553">
            <v>120.12</v>
          </cell>
          <cell r="M553">
            <v>15.374000000000001</v>
          </cell>
          <cell r="N553">
            <v>0</v>
          </cell>
          <cell r="O553">
            <v>20.721</v>
          </cell>
          <cell r="P553">
            <v>0</v>
          </cell>
          <cell r="Q553">
            <v>59</v>
          </cell>
          <cell r="R553">
            <v>48</v>
          </cell>
          <cell r="S553" t="str">
            <v>NA</v>
          </cell>
          <cell r="T553">
            <v>23.849166666666665</v>
          </cell>
          <cell r="U553">
            <v>143.095</v>
          </cell>
        </row>
        <row r="554">
          <cell r="B554" t="str">
            <v>FQ(1)</v>
          </cell>
          <cell r="C554" t="str">
            <v>NA</v>
          </cell>
          <cell r="D554">
            <v>47</v>
          </cell>
          <cell r="E554">
            <v>21</v>
          </cell>
          <cell r="F554">
            <v>35</v>
          </cell>
          <cell r="G554">
            <v>0.24</v>
          </cell>
          <cell r="H554">
            <v>13.734999999999999</v>
          </cell>
          <cell r="I554">
            <v>50.802999999999997</v>
          </cell>
          <cell r="J554">
            <v>27.962999999999997</v>
          </cell>
          <cell r="K554">
            <v>167.77799999999999</v>
          </cell>
          <cell r="M554">
            <v>15.391999999999999</v>
          </cell>
          <cell r="N554">
            <v>0</v>
          </cell>
          <cell r="O554">
            <v>20.757000000000001</v>
          </cell>
          <cell r="P554">
            <v>23.843</v>
          </cell>
          <cell r="Q554">
            <v>60</v>
          </cell>
          <cell r="R554">
            <v>49</v>
          </cell>
          <cell r="S554" t="str">
            <v>NA</v>
          </cell>
          <cell r="T554">
            <v>28.165333333333336</v>
          </cell>
          <cell r="U554">
            <v>168.99200000000002</v>
          </cell>
        </row>
        <row r="555">
          <cell r="B555" t="str">
            <v>Last Reported Q</v>
          </cell>
          <cell r="C555" t="str">
            <v>NA</v>
          </cell>
          <cell r="D555">
            <v>183</v>
          </cell>
          <cell r="E555">
            <v>84</v>
          </cell>
          <cell r="F555">
            <v>139</v>
          </cell>
          <cell r="G555">
            <v>0.78100000000000003</v>
          </cell>
          <cell r="H555">
            <v>55.201999999999998</v>
          </cell>
          <cell r="I555">
            <v>197.7</v>
          </cell>
          <cell r="J555">
            <v>109.94716666666666</v>
          </cell>
          <cell r="K555">
            <v>659.68299999999999</v>
          </cell>
          <cell r="M555">
            <v>61.5</v>
          </cell>
          <cell r="N555">
            <v>0</v>
          </cell>
          <cell r="O555">
            <v>82.984999999999999</v>
          </cell>
          <cell r="P555">
            <v>23.882999999999999</v>
          </cell>
          <cell r="Q555">
            <v>234</v>
          </cell>
          <cell r="R555">
            <v>193</v>
          </cell>
          <cell r="S555" t="str">
            <v>NA</v>
          </cell>
          <cell r="T555">
            <v>99.228000000000009</v>
          </cell>
          <cell r="U555">
            <v>595.36800000000005</v>
          </cell>
        </row>
        <row r="556">
          <cell r="B556" t="str">
            <v>LTM</v>
          </cell>
          <cell r="C556">
            <v>0</v>
          </cell>
          <cell r="D556">
            <v>319</v>
          </cell>
          <cell r="E556">
            <v>147</v>
          </cell>
          <cell r="F556">
            <v>243</v>
          </cell>
          <cell r="G556">
            <v>1.5620000000000001</v>
          </cell>
          <cell r="H556">
            <v>96.762</v>
          </cell>
          <cell r="I556">
            <v>345.10299999999995</v>
          </cell>
          <cell r="J556">
            <v>164.63242857142859</v>
          </cell>
          <cell r="K556">
            <v>1152.4270000000001</v>
          </cell>
          <cell r="M556">
            <v>107.604</v>
          </cell>
          <cell r="N556">
            <v>0</v>
          </cell>
          <cell r="O556">
            <v>145.102</v>
          </cell>
          <cell r="P556">
            <v>47.725999999999999</v>
          </cell>
          <cell r="Q556">
            <v>412</v>
          </cell>
          <cell r="R556">
            <v>338</v>
          </cell>
          <cell r="S556">
            <v>0</v>
          </cell>
          <cell r="T556">
            <v>150.06171428571429</v>
          </cell>
          <cell r="U556">
            <v>1050.432</v>
          </cell>
        </row>
        <row r="558">
          <cell r="A558" t="str">
            <v>Modelware DuPont (Non-lease Adjusted)ROE</v>
          </cell>
          <cell r="B558" t="str">
            <v>Dividends/Share</v>
          </cell>
        </row>
        <row r="559">
          <cell r="B559" t="str">
            <v>FY(2)</v>
          </cell>
          <cell r="D559">
            <v>0.77273231930720543</v>
          </cell>
          <cell r="E559">
            <v>0.50913115661317099</v>
          </cell>
          <cell r="F559">
            <v>0.53846130663261771</v>
          </cell>
          <cell r="G559">
            <v>4.8394450595974726E-2</v>
          </cell>
          <cell r="H559">
            <v>0.29634761302272666</v>
          </cell>
          <cell r="I559">
            <v>0.32366904107715905</v>
          </cell>
          <cell r="M559">
            <v>0.67010478240442295</v>
          </cell>
          <cell r="N559">
            <v>0</v>
          </cell>
          <cell r="O559">
            <v>0.3667877247140004</v>
          </cell>
          <cell r="P559">
            <v>0</v>
          </cell>
          <cell r="Q559">
            <v>0.31743562402395631</v>
          </cell>
          <cell r="R559">
            <v>0.59700668213536401</v>
          </cell>
          <cell r="S559" t="e">
            <v>#VALUE!</v>
          </cell>
        </row>
        <row r="560">
          <cell r="B560" t="str">
            <v>FY(1)</v>
          </cell>
          <cell r="D560">
            <v>0.79865395401009531</v>
          </cell>
          <cell r="E560">
            <v>0.52441122382393068</v>
          </cell>
          <cell r="F560">
            <v>0.63006506106608828</v>
          </cell>
          <cell r="G560">
            <v>8.5486761475315077E-3</v>
          </cell>
          <cell r="H560">
            <v>0.37970290712181043</v>
          </cell>
          <cell r="I560">
            <v>0.39965404574284064</v>
          </cell>
          <cell r="M560">
            <v>0.68057251010740161</v>
          </cell>
          <cell r="N560">
            <v>0</v>
          </cell>
          <cell r="O560">
            <v>0.39692266188783232</v>
          </cell>
          <cell r="P560">
            <v>0</v>
          </cell>
          <cell r="Q560">
            <v>0.33796940194714881</v>
          </cell>
          <cell r="R560">
            <v>0.59590691993204881</v>
          </cell>
          <cell r="S560" t="e">
            <v>#VALUE!</v>
          </cell>
        </row>
        <row r="561">
          <cell r="B561" t="str">
            <v>FY0</v>
          </cell>
          <cell r="D561">
            <v>0.78591367833369119</v>
          </cell>
          <cell r="E561">
            <v>0.19888717888007576</v>
          </cell>
          <cell r="F561">
            <v>0.63282494878215345</v>
          </cell>
          <cell r="G561">
            <v>5.3185512566013707E-3</v>
          </cell>
          <cell r="H561">
            <v>0.44141736218701583</v>
          </cell>
          <cell r="I561">
            <v>0.46258436549078513</v>
          </cell>
          <cell r="M561">
            <v>0.69605765394616592</v>
          </cell>
          <cell r="N561">
            <v>0</v>
          </cell>
          <cell r="O561">
            <v>0.39687511956230631</v>
          </cell>
          <cell r="P561">
            <v>0</v>
          </cell>
          <cell r="Q561">
            <v>0.33500357909806727</v>
          </cell>
          <cell r="R561">
            <v>0.59063853227854879</v>
          </cell>
          <cell r="S561" t="e">
            <v>#VALUE!</v>
          </cell>
        </row>
        <row r="562">
          <cell r="B562" t="str">
            <v>FY1</v>
          </cell>
          <cell r="D562">
            <v>0.79551374564607247</v>
          </cell>
          <cell r="E562">
            <v>0.2</v>
          </cell>
          <cell r="F562">
            <v>0.64</v>
          </cell>
          <cell r="G562">
            <v>0</v>
          </cell>
          <cell r="H562">
            <v>0.63999999999999757</v>
          </cell>
          <cell r="I562">
            <v>0.48000000000000026</v>
          </cell>
          <cell r="M562">
            <v>0.7396331382770317</v>
          </cell>
          <cell r="N562">
            <v>0</v>
          </cell>
          <cell r="O562">
            <v>0.41999999999999976</v>
          </cell>
          <cell r="P562">
            <v>0.29669583018868745</v>
          </cell>
          <cell r="Q562">
            <v>0.40000000000000024</v>
          </cell>
          <cell r="R562">
            <v>1.6086249444612246</v>
          </cell>
          <cell r="S562" t="e">
            <v>#VALUE!</v>
          </cell>
        </row>
        <row r="563">
          <cell r="A563" t="str">
            <v>Modelware DuPont (Lease Adjusted)ROIC</v>
          </cell>
          <cell r="B563" t="str">
            <v>FY2</v>
          </cell>
          <cell r="D563">
            <v>0.87506512021067695</v>
          </cell>
          <cell r="E563">
            <v>0.22752661666431784</v>
          </cell>
          <cell r="F563">
            <v>0.69610744366036903</v>
          </cell>
          <cell r="G563">
            <v>0</v>
          </cell>
          <cell r="H563">
            <v>0.70884836701725606</v>
          </cell>
          <cell r="I563">
            <v>0.54128483759377466</v>
          </cell>
          <cell r="M563">
            <v>0.82083475403966555</v>
          </cell>
          <cell r="N563">
            <v>0</v>
          </cell>
          <cell r="O563">
            <v>0.45412257292582325</v>
          </cell>
          <cell r="P563">
            <v>0.32603924632877068</v>
          </cell>
          <cell r="Q563">
            <v>0.43082381588570373</v>
          </cell>
          <cell r="R563">
            <v>0.63076818438024118</v>
          </cell>
          <cell r="S563" t="e">
            <v>#VALUE!</v>
          </cell>
        </row>
        <row r="564">
          <cell r="B564" t="str">
            <v>FQ(3)</v>
          </cell>
          <cell r="D564">
            <v>0.39964077233947015</v>
          </cell>
          <cell r="E564">
            <v>4.9833887043189369E-2</v>
          </cell>
          <cell r="F564">
            <v>0.16099356025758968</v>
          </cell>
          <cell r="G564">
            <v>3.4057137898869821E-3</v>
          </cell>
          <cell r="H564">
            <v>0.11035523529597675</v>
          </cell>
          <cell r="I564">
            <v>0.10516028328060806</v>
          </cell>
          <cell r="M564">
            <v>0.17489765898491394</v>
          </cell>
          <cell r="N564">
            <v>0</v>
          </cell>
          <cell r="O564">
            <v>9.9567746977605814E-2</v>
          </cell>
          <cell r="P564">
            <v>0</v>
          </cell>
          <cell r="Q564">
            <v>8.4648493543758974E-2</v>
          </cell>
          <cell r="R564">
            <v>0.14847580308396616</v>
          </cell>
          <cell r="S564" t="e">
            <v>#VALUE!</v>
          </cell>
        </row>
        <row r="565">
          <cell r="B565" t="str">
            <v>FQ(2)</v>
          </cell>
          <cell r="D565">
            <v>0</v>
          </cell>
          <cell r="E565">
            <v>4.9751243781094523E-2</v>
          </cell>
          <cell r="F565">
            <v>0.15539305301645337</v>
          </cell>
          <cell r="G565">
            <v>5.0605458160130209E-4</v>
          </cell>
          <cell r="H565">
            <v>0.11028346782536727</v>
          </cell>
          <cell r="I565">
            <v>0.11892587576343992</v>
          </cell>
          <cell r="M565">
            <v>0.17494708573249279</v>
          </cell>
          <cell r="N565">
            <v>0</v>
          </cell>
          <cell r="O565">
            <v>9.9136425615386464E-2</v>
          </cell>
          <cell r="P565">
            <v>0</v>
          </cell>
          <cell r="Q565">
            <v>8.4285714285714283E-2</v>
          </cell>
          <cell r="R565">
            <v>0.14737624233566782</v>
          </cell>
          <cell r="S565" t="e">
            <v>#VALUE!</v>
          </cell>
        </row>
        <row r="566">
          <cell r="B566" t="str">
            <v>FQ(1)</v>
          </cell>
          <cell r="D566">
            <v>0.19781144781144783</v>
          </cell>
          <cell r="E566">
            <v>4.9786628733997154E-2</v>
          </cell>
          <cell r="F566">
            <v>0.15858631626642503</v>
          </cell>
          <cell r="G566">
            <v>1.5742246943380386E-3</v>
          </cell>
          <cell r="H566">
            <v>0.11019029587317887</v>
          </cell>
          <cell r="I566">
            <v>0.1186730889621857</v>
          </cell>
          <cell r="M566">
            <v>0.17347007776400314</v>
          </cell>
          <cell r="N566">
            <v>0</v>
          </cell>
          <cell r="O566">
            <v>9.9129388279455388E-2</v>
          </cell>
          <cell r="P566">
            <v>7.4250657864005101E-2</v>
          </cell>
          <cell r="Q566">
            <v>8.5227272727272721E-2</v>
          </cell>
          <cell r="R566">
            <v>0.14927237333934484</v>
          </cell>
          <cell r="S566" t="e">
            <v>#VALUE!</v>
          </cell>
        </row>
        <row r="567">
          <cell r="B567" t="str">
            <v>Last Reported Q</v>
          </cell>
          <cell r="D567">
            <v>0.78591367833369119</v>
          </cell>
          <cell r="E567">
            <v>0.19888717888007576</v>
          </cell>
          <cell r="F567">
            <v>0.63282494878215345</v>
          </cell>
          <cell r="G567">
            <v>5.3185512566013707E-3</v>
          </cell>
          <cell r="H567">
            <v>0.44141736218701583</v>
          </cell>
          <cell r="I567">
            <v>0.46258436549078513</v>
          </cell>
          <cell r="M567">
            <v>0.69605765394616592</v>
          </cell>
          <cell r="N567">
            <v>0</v>
          </cell>
          <cell r="O567">
            <v>0.39687511956230631</v>
          </cell>
          <cell r="P567">
            <v>7.4313665089099853E-2</v>
          </cell>
          <cell r="Q567">
            <v>0.33500357909806727</v>
          </cell>
          <cell r="R567">
            <v>0.59063853227854879</v>
          </cell>
          <cell r="S567" t="e">
            <v>#VALUE!</v>
          </cell>
        </row>
        <row r="568">
          <cell r="A568" t="str">
            <v>Modelware DuPont (Lease Adjusted)ROE</v>
          </cell>
          <cell r="B568" t="str">
            <v>LTM</v>
          </cell>
          <cell r="C568">
            <v>0</v>
          </cell>
          <cell r="D568">
            <v>1.3765575273747235</v>
          </cell>
          <cell r="E568">
            <v>0.34841347435783482</v>
          </cell>
          <cell r="F568">
            <v>1.1088928184359135</v>
          </cell>
          <cell r="G568">
            <v>1.0848681897303892E-2</v>
          </cell>
          <cell r="H568">
            <v>0.77112524001285054</v>
          </cell>
          <cell r="I568">
            <v>0.80362828847117218</v>
          </cell>
          <cell r="M568">
            <v>1.22048518437389</v>
          </cell>
          <cell r="N568">
            <v>0</v>
          </cell>
          <cell r="O568">
            <v>0.69527426059248443</v>
          </cell>
          <cell r="P568">
            <v>0.14863710648780759</v>
          </cell>
          <cell r="Q568">
            <v>0.58867654938381853</v>
          </cell>
          <cell r="R568">
            <v>1.0368050453755582</v>
          </cell>
          <cell r="S568">
            <v>0</v>
          </cell>
        </row>
        <row r="569">
          <cell r="B569" t="str">
            <v>FY0</v>
          </cell>
        </row>
        <row r="570">
          <cell r="A570" t="str">
            <v>mstag:fundsUsedToRepurchaseCommonStock</v>
          </cell>
          <cell r="B570" t="str">
            <v>Repurchases</v>
          </cell>
        </row>
        <row r="571">
          <cell r="B571" t="str">
            <v>FY(2)</v>
          </cell>
          <cell r="C571" t="str">
            <v>NA</v>
          </cell>
          <cell r="D571" t="str">
            <v>NA</v>
          </cell>
          <cell r="E571">
            <v>3322</v>
          </cell>
          <cell r="F571">
            <v>1702</v>
          </cell>
          <cell r="G571" t="str">
            <v>NA</v>
          </cell>
          <cell r="H571">
            <v>200</v>
          </cell>
          <cell r="I571">
            <v>940.20799999999997</v>
          </cell>
          <cell r="J571">
            <v>1541.0519999999999</v>
          </cell>
          <cell r="K571">
            <v>6164.2079999999996</v>
          </cell>
          <cell r="M571">
            <v>287.916</v>
          </cell>
          <cell r="N571">
            <v>266.69200000000001</v>
          </cell>
          <cell r="O571">
            <v>450.601</v>
          </cell>
          <cell r="P571" t="str">
            <v>NA</v>
          </cell>
          <cell r="Q571">
            <v>1700</v>
          </cell>
          <cell r="R571" t="str">
            <v>NA</v>
          </cell>
          <cell r="S571">
            <v>0</v>
          </cell>
          <cell r="T571">
            <v>541.04179999999997</v>
          </cell>
          <cell r="U571">
            <v>2705.2089999999998</v>
          </cell>
        </row>
        <row r="572">
          <cell r="B572" t="str">
            <v>FY(1)</v>
          </cell>
          <cell r="C572" t="str">
            <v>NA</v>
          </cell>
          <cell r="D572" t="str">
            <v>NA</v>
          </cell>
          <cell r="E572">
            <v>1</v>
          </cell>
          <cell r="F572">
            <v>264</v>
          </cell>
          <cell r="G572" t="str">
            <v>NA</v>
          </cell>
          <cell r="H572">
            <v>300</v>
          </cell>
          <cell r="I572">
            <v>751.09699999999998</v>
          </cell>
          <cell r="J572">
            <v>329.02424999999999</v>
          </cell>
          <cell r="K572">
            <v>1316.097</v>
          </cell>
          <cell r="M572">
            <v>50</v>
          </cell>
          <cell r="N572">
            <v>6.681</v>
          </cell>
          <cell r="O572">
            <v>3.4319999999999999</v>
          </cell>
          <cell r="P572" t="str">
            <v>NA</v>
          </cell>
          <cell r="Q572">
            <v>705</v>
          </cell>
          <cell r="R572" t="str">
            <v>NA</v>
          </cell>
          <cell r="S572">
            <v>0</v>
          </cell>
          <cell r="T572">
            <v>153.02260000000001</v>
          </cell>
          <cell r="U572">
            <v>765.11300000000006</v>
          </cell>
        </row>
        <row r="573">
          <cell r="B573" t="str">
            <v>FY0</v>
          </cell>
          <cell r="C573" t="str">
            <v>NA</v>
          </cell>
          <cell r="D573" t="str">
            <v>NA</v>
          </cell>
          <cell r="E573">
            <v>1</v>
          </cell>
          <cell r="F573">
            <v>0</v>
          </cell>
          <cell r="G573" t="str">
            <v>NA</v>
          </cell>
          <cell r="H573">
            <v>300</v>
          </cell>
          <cell r="I573">
            <v>944.8</v>
          </cell>
          <cell r="J573">
            <v>311.45</v>
          </cell>
          <cell r="K573">
            <v>1245.8</v>
          </cell>
          <cell r="M573">
            <v>0</v>
          </cell>
          <cell r="N573">
            <v>174.25700000000001</v>
          </cell>
          <cell r="O573">
            <v>0.247</v>
          </cell>
          <cell r="P573" t="str">
            <v>NA</v>
          </cell>
          <cell r="Q573">
            <v>547</v>
          </cell>
          <cell r="R573" t="str">
            <v>NA</v>
          </cell>
          <cell r="S573">
            <v>0</v>
          </cell>
          <cell r="T573">
            <v>144.30080000000001</v>
          </cell>
          <cell r="U573">
            <v>721.50400000000002</v>
          </cell>
        </row>
        <row r="574">
          <cell r="B574" t="str">
            <v>FY1</v>
          </cell>
          <cell r="C574" t="str">
            <v>NA</v>
          </cell>
          <cell r="D574" t="str">
            <v>NA</v>
          </cell>
          <cell r="E574">
            <v>0</v>
          </cell>
          <cell r="F574">
            <v>0</v>
          </cell>
          <cell r="G574" t="str">
            <v>NA</v>
          </cell>
          <cell r="H574">
            <v>380</v>
          </cell>
          <cell r="I574">
            <v>700</v>
          </cell>
          <cell r="J574">
            <v>270</v>
          </cell>
          <cell r="K574">
            <v>1080</v>
          </cell>
          <cell r="M574">
            <v>200</v>
          </cell>
          <cell r="N574">
            <v>175</v>
          </cell>
          <cell r="O574">
            <v>54</v>
          </cell>
          <cell r="P574" t="str">
            <v>NA</v>
          </cell>
          <cell r="Q574">
            <v>1000</v>
          </cell>
          <cell r="R574" t="str">
            <v>NA</v>
          </cell>
          <cell r="S574">
            <v>0</v>
          </cell>
          <cell r="T574">
            <v>285.8</v>
          </cell>
          <cell r="U574">
            <v>1429</v>
          </cell>
        </row>
        <row r="575">
          <cell r="B575" t="str">
            <v>FY2</v>
          </cell>
          <cell r="C575" t="str">
            <v>NA</v>
          </cell>
          <cell r="D575" t="str">
            <v>NA</v>
          </cell>
          <cell r="E575">
            <v>0</v>
          </cell>
          <cell r="F575">
            <v>200</v>
          </cell>
          <cell r="G575" t="str">
            <v>NA</v>
          </cell>
          <cell r="H575">
            <v>380</v>
          </cell>
          <cell r="I575">
            <v>700</v>
          </cell>
          <cell r="J575">
            <v>320</v>
          </cell>
          <cell r="K575">
            <v>1280</v>
          </cell>
          <cell r="M575">
            <v>186.99280696096599</v>
          </cell>
          <cell r="N575">
            <v>204.936656106768</v>
          </cell>
          <cell r="O575">
            <v>88.082124465709697</v>
          </cell>
          <cell r="P575" t="str">
            <v>NA</v>
          </cell>
          <cell r="Q575">
            <v>1134.53939702649</v>
          </cell>
          <cell r="R575" t="str">
            <v>NA</v>
          </cell>
          <cell r="S575">
            <v>33.456420596740301</v>
          </cell>
          <cell r="T575">
            <v>329.6014810313348</v>
          </cell>
          <cell r="U575">
            <v>1648.0074051566739</v>
          </cell>
        </row>
        <row r="576">
          <cell r="B576" t="str">
            <v>FQ(3)</v>
          </cell>
          <cell r="C576" t="str">
            <v>NA</v>
          </cell>
          <cell r="D576" t="str">
            <v>NA</v>
          </cell>
          <cell r="E576">
            <v>0</v>
          </cell>
          <cell r="F576">
            <v>0</v>
          </cell>
          <cell r="G576" t="str">
            <v>NA</v>
          </cell>
          <cell r="H576">
            <v>77.171000000000006</v>
          </cell>
          <cell r="I576">
            <v>32.423999999999999</v>
          </cell>
          <cell r="J576">
            <v>27.39875</v>
          </cell>
          <cell r="K576">
            <v>109.595</v>
          </cell>
          <cell r="M576">
            <v>0</v>
          </cell>
          <cell r="N576">
            <v>0</v>
          </cell>
          <cell r="O576">
            <v>0</v>
          </cell>
          <cell r="P576" t="str">
            <v>NA</v>
          </cell>
          <cell r="Q576">
            <v>45</v>
          </cell>
          <cell r="R576" t="str">
            <v>NA</v>
          </cell>
          <cell r="S576">
            <v>0</v>
          </cell>
          <cell r="T576">
            <v>9</v>
          </cell>
          <cell r="U576">
            <v>45</v>
          </cell>
        </row>
        <row r="577">
          <cell r="B577" t="str">
            <v>FQ(2)</v>
          </cell>
          <cell r="C577" t="str">
            <v>NA</v>
          </cell>
          <cell r="D577" t="str">
            <v>NA</v>
          </cell>
          <cell r="E577">
            <v>1</v>
          </cell>
          <cell r="F577">
            <v>0</v>
          </cell>
          <cell r="G577" t="str">
            <v>NA</v>
          </cell>
          <cell r="H577">
            <v>77.2</v>
          </cell>
          <cell r="I577">
            <v>204.27600000000001</v>
          </cell>
          <cell r="J577">
            <v>70.619</v>
          </cell>
          <cell r="K577">
            <v>282.476</v>
          </cell>
          <cell r="M577">
            <v>0</v>
          </cell>
          <cell r="N577">
            <v>13.473000000000001</v>
          </cell>
          <cell r="O577">
            <v>0.19500000000000001</v>
          </cell>
          <cell r="P577" t="str">
            <v>NA</v>
          </cell>
          <cell r="Q577">
            <v>0</v>
          </cell>
          <cell r="R577" t="str">
            <v>NA</v>
          </cell>
          <cell r="S577">
            <v>0</v>
          </cell>
          <cell r="T577">
            <v>2.7336</v>
          </cell>
          <cell r="U577">
            <v>13.668000000000001</v>
          </cell>
        </row>
        <row r="578">
          <cell r="B578" t="str">
            <v>FQ(1)</v>
          </cell>
          <cell r="C578" t="str">
            <v>NA</v>
          </cell>
          <cell r="D578" t="str">
            <v>NA</v>
          </cell>
          <cell r="E578">
            <v>0</v>
          </cell>
          <cell r="F578">
            <v>0</v>
          </cell>
          <cell r="G578" t="str">
            <v>NA</v>
          </cell>
          <cell r="H578">
            <v>75.445999999999998</v>
          </cell>
          <cell r="I578">
            <v>293.80099999999999</v>
          </cell>
          <cell r="J578">
            <v>92.311749999999989</v>
          </cell>
          <cell r="K578">
            <v>369.24699999999996</v>
          </cell>
          <cell r="M578">
            <v>0</v>
          </cell>
          <cell r="N578">
            <v>49.567999999999998</v>
          </cell>
          <cell r="O578">
            <v>3.5000000000000003E-2</v>
          </cell>
          <cell r="P578" t="str">
            <v>NA</v>
          </cell>
          <cell r="Q578">
            <v>61</v>
          </cell>
          <cell r="R578" t="str">
            <v>NA</v>
          </cell>
          <cell r="S578">
            <v>0</v>
          </cell>
          <cell r="T578">
            <v>22.1206</v>
          </cell>
          <cell r="U578">
            <v>110.60299999999999</v>
          </cell>
        </row>
        <row r="579">
          <cell r="B579" t="str">
            <v>Last Reported Q</v>
          </cell>
          <cell r="C579" t="str">
            <v>NA</v>
          </cell>
          <cell r="D579" t="str">
            <v>NA</v>
          </cell>
          <cell r="E579">
            <v>1</v>
          </cell>
          <cell r="F579">
            <v>0</v>
          </cell>
          <cell r="G579" t="str">
            <v>NA</v>
          </cell>
          <cell r="H579">
            <v>300</v>
          </cell>
          <cell r="I579">
            <v>944.8</v>
          </cell>
          <cell r="J579">
            <v>311.45</v>
          </cell>
          <cell r="K579">
            <v>1245.8</v>
          </cell>
          <cell r="M579">
            <v>0</v>
          </cell>
          <cell r="N579">
            <v>174.25700000000001</v>
          </cell>
          <cell r="O579">
            <v>0.247</v>
          </cell>
          <cell r="P579" t="str">
            <v>NA</v>
          </cell>
          <cell r="Q579">
            <v>547</v>
          </cell>
          <cell r="R579" t="str">
            <v>NA</v>
          </cell>
          <cell r="S579">
            <v>0</v>
          </cell>
          <cell r="T579">
            <v>144.30080000000001</v>
          </cell>
          <cell r="U579">
            <v>721.50400000000002</v>
          </cell>
        </row>
        <row r="580">
          <cell r="B580" t="str">
            <v>LTM</v>
          </cell>
          <cell r="C580">
            <v>0</v>
          </cell>
          <cell r="D580">
            <v>0</v>
          </cell>
          <cell r="E580">
            <v>2</v>
          </cell>
          <cell r="F580">
            <v>0</v>
          </cell>
          <cell r="G580">
            <v>0</v>
          </cell>
          <cell r="H580">
            <v>529.81700000000001</v>
          </cell>
          <cell r="I580">
            <v>1475.3009999999999</v>
          </cell>
          <cell r="J580">
            <v>286.73114285714286</v>
          </cell>
          <cell r="K580">
            <v>2007.1179999999999</v>
          </cell>
          <cell r="M580">
            <v>0</v>
          </cell>
          <cell r="N580">
            <v>237.298</v>
          </cell>
          <cell r="O580">
            <v>0.47699999999999998</v>
          </cell>
          <cell r="P580">
            <v>0</v>
          </cell>
          <cell r="Q580">
            <v>653</v>
          </cell>
          <cell r="R580">
            <v>0</v>
          </cell>
          <cell r="S580">
            <v>0</v>
          </cell>
          <cell r="T580">
            <v>127.25357142857142</v>
          </cell>
          <cell r="U580">
            <v>890.77499999999998</v>
          </cell>
        </row>
        <row r="581">
          <cell r="B581" t="str">
            <v>EV/EBITDA</v>
          </cell>
        </row>
        <row r="582">
          <cell r="B582" t="str">
            <v>Repurchases &amp; Dividends</v>
          </cell>
          <cell r="C582" t="e">
            <v>#VALUE!</v>
          </cell>
          <cell r="D582" t="e">
            <v>#VALUE!</v>
          </cell>
          <cell r="E582" t="e">
            <v>#VALUE!</v>
          </cell>
          <cell r="F582" t="e">
            <v>#VALUE!</v>
          </cell>
          <cell r="G582" t="e">
            <v>#VALUE!</v>
          </cell>
          <cell r="H582" t="e">
            <v>#VALUE!</v>
          </cell>
          <cell r="I582" t="e">
            <v>#VALUE!</v>
          </cell>
          <cell r="J582" t="e">
            <v>#VALUE!</v>
          </cell>
          <cell r="M582" t="e">
            <v>#VALUE!</v>
          </cell>
          <cell r="N582" t="e">
            <v>#VALUE!</v>
          </cell>
          <cell r="O582" t="e">
            <v>#VALUE!</v>
          </cell>
          <cell r="P582" t="e">
            <v>#VALUE!</v>
          </cell>
          <cell r="Q582" t="e">
            <v>#VALUE!</v>
          </cell>
          <cell r="R582" t="e">
            <v>#VALUE!</v>
          </cell>
          <cell r="S582" t="e">
            <v>#VALUE!</v>
          </cell>
          <cell r="T582" t="e">
            <v>#VALUE!</v>
          </cell>
        </row>
        <row r="583">
          <cell r="B583" t="str">
            <v>FY(2)</v>
          </cell>
          <cell r="C583">
            <v>0</v>
          </cell>
          <cell r="D583">
            <v>174</v>
          </cell>
          <cell r="E583">
            <v>3552</v>
          </cell>
          <cell r="F583">
            <v>1836</v>
          </cell>
          <cell r="G583">
            <v>7.43</v>
          </cell>
          <cell r="H583">
            <v>240.63800000000001</v>
          </cell>
          <cell r="I583">
            <v>1091.7</v>
          </cell>
          <cell r="J583">
            <v>985.96685714285718</v>
          </cell>
          <cell r="K583">
            <v>6901.768</v>
          </cell>
          <cell r="M583">
            <v>349.24599999999998</v>
          </cell>
          <cell r="N583">
            <v>266.69200000000001</v>
          </cell>
          <cell r="O583">
            <v>531.39700000000005</v>
          </cell>
          <cell r="P583">
            <v>0</v>
          </cell>
          <cell r="Q583">
            <v>1952</v>
          </cell>
          <cell r="R583">
            <v>227</v>
          </cell>
          <cell r="S583">
            <v>0</v>
          </cell>
          <cell r="T583">
            <v>475.19071428571431</v>
          </cell>
          <cell r="U583">
            <v>3326.335</v>
          </cell>
        </row>
        <row r="584">
          <cell r="B584" t="str">
            <v>FY(1)</v>
          </cell>
          <cell r="C584">
            <v>0</v>
          </cell>
          <cell r="D584">
            <v>178</v>
          </cell>
          <cell r="E584">
            <v>222</v>
          </cell>
          <cell r="F584">
            <v>402</v>
          </cell>
          <cell r="G584">
            <v>1.1830000000000001</v>
          </cell>
          <cell r="H584">
            <v>349.83800000000002</v>
          </cell>
          <cell r="I584">
            <v>927.846</v>
          </cell>
          <cell r="J584">
            <v>297.26671428571433</v>
          </cell>
          <cell r="K584">
            <v>2080.8670000000002</v>
          </cell>
          <cell r="M584">
            <v>110.76900000000001</v>
          </cell>
          <cell r="N584">
            <v>6.681</v>
          </cell>
          <cell r="O584">
            <v>85.826000000000008</v>
          </cell>
          <cell r="P584">
            <v>0</v>
          </cell>
          <cell r="Q584">
            <v>948</v>
          </cell>
          <cell r="R584">
            <v>201</v>
          </cell>
          <cell r="S584">
            <v>0</v>
          </cell>
          <cell r="T584">
            <v>193.18228571428571</v>
          </cell>
          <cell r="U584">
            <v>1352.2760000000001</v>
          </cell>
        </row>
        <row r="585">
          <cell r="B585" t="str">
            <v>FY0</v>
          </cell>
          <cell r="C585">
            <v>0</v>
          </cell>
          <cell r="D585">
            <v>183</v>
          </cell>
          <cell r="E585">
            <v>85</v>
          </cell>
          <cell r="F585">
            <v>139</v>
          </cell>
          <cell r="G585">
            <v>0.78100000000000003</v>
          </cell>
          <cell r="H585">
            <v>355.202</v>
          </cell>
          <cell r="I585">
            <v>1142.5</v>
          </cell>
          <cell r="J585">
            <v>272.21185714285713</v>
          </cell>
          <cell r="K585">
            <v>1905.4829999999999</v>
          </cell>
          <cell r="M585">
            <v>61.5</v>
          </cell>
          <cell r="N585">
            <v>174.25700000000001</v>
          </cell>
          <cell r="O585">
            <v>83.231999999999999</v>
          </cell>
          <cell r="P585">
            <v>0</v>
          </cell>
          <cell r="Q585">
            <v>781</v>
          </cell>
          <cell r="R585">
            <v>193</v>
          </cell>
          <cell r="S585">
            <v>0</v>
          </cell>
          <cell r="T585">
            <v>184.7127142857143</v>
          </cell>
          <cell r="U585">
            <v>1292.989</v>
          </cell>
        </row>
        <row r="586">
          <cell r="B586" t="str">
            <v>FY1</v>
          </cell>
          <cell r="C586">
            <v>0</v>
          </cell>
          <cell r="D586">
            <v>188.775411841813</v>
          </cell>
          <cell r="E586">
            <v>85.186000000000007</v>
          </cell>
          <cell r="F586">
            <v>142.09321152000001</v>
          </cell>
          <cell r="G586">
            <v>0</v>
          </cell>
          <cell r="H586">
            <v>457.70708450909092</v>
          </cell>
          <cell r="I586">
            <v>897.28933818181804</v>
          </cell>
          <cell r="J586">
            <v>253.00729229324602</v>
          </cell>
          <cell r="K586">
            <v>1771.0510460527221</v>
          </cell>
          <cell r="M586">
            <v>264.34389702127658</v>
          </cell>
          <cell r="N586">
            <v>175</v>
          </cell>
          <cell r="O586">
            <v>144.0630963866667</v>
          </cell>
          <cell r="P586">
            <v>94.252655263445405</v>
          </cell>
          <cell r="Q586">
            <v>1262.495314327273</v>
          </cell>
          <cell r="R586">
            <v>518.07900254814797</v>
          </cell>
          <cell r="S586">
            <v>0</v>
          </cell>
          <cell r="T586">
            <v>351.17628079240137</v>
          </cell>
          <cell r="U586">
            <v>2458.2339655468095</v>
          </cell>
        </row>
        <row r="587">
          <cell r="B587" t="str">
            <v>FY2</v>
          </cell>
          <cell r="C587">
            <v>0</v>
          </cell>
          <cell r="D587">
            <v>207.70836687078599</v>
          </cell>
          <cell r="E587">
            <v>96.910411835832903</v>
          </cell>
          <cell r="F587">
            <v>351.06358340229599</v>
          </cell>
          <cell r="G587">
            <v>0</v>
          </cell>
          <cell r="H587">
            <v>461.59243873454551</v>
          </cell>
          <cell r="I587">
            <v>913.29758054177</v>
          </cell>
          <cell r="J587">
            <v>290.08176876931867</v>
          </cell>
          <cell r="K587">
            <v>2030.5723813852305</v>
          </cell>
          <cell r="M587">
            <v>255.18091389960301</v>
          </cell>
          <cell r="N587">
            <v>204.936656106768</v>
          </cell>
          <cell r="O587">
            <v>186.48300026498819</v>
          </cell>
          <cell r="P587">
            <v>99.137817779386296</v>
          </cell>
          <cell r="Q587">
            <v>1396.8875397541649</v>
          </cell>
          <cell r="R587">
            <v>200</v>
          </cell>
          <cell r="S587">
            <v>33.456420596740301</v>
          </cell>
          <cell r="T587">
            <v>339.44033548595007</v>
          </cell>
          <cell r="U587">
            <v>2376.0823484016505</v>
          </cell>
        </row>
        <row r="588">
          <cell r="B588" t="str">
            <v>FQ(3)</v>
          </cell>
          <cell r="C588">
            <v>0</v>
          </cell>
          <cell r="D588">
            <v>89</v>
          </cell>
          <cell r="E588">
            <v>21</v>
          </cell>
          <cell r="F588">
            <v>35</v>
          </cell>
          <cell r="G588">
            <v>0.47099999999999997</v>
          </cell>
          <cell r="H588">
            <v>91.138000000000005</v>
          </cell>
          <cell r="I588">
            <v>77.831999999999994</v>
          </cell>
          <cell r="J588">
            <v>44.920142857142864</v>
          </cell>
          <cell r="K588">
            <v>314.44100000000003</v>
          </cell>
          <cell r="M588">
            <v>15.337999999999999</v>
          </cell>
          <cell r="N588">
            <v>0</v>
          </cell>
          <cell r="O588">
            <v>20.638999999999999</v>
          </cell>
          <cell r="P588">
            <v>0</v>
          </cell>
          <cell r="Q588">
            <v>104</v>
          </cell>
          <cell r="R588">
            <v>48</v>
          </cell>
          <cell r="S588">
            <v>0</v>
          </cell>
          <cell r="T588">
            <v>26.853857142857144</v>
          </cell>
          <cell r="U588">
            <v>187.977</v>
          </cell>
        </row>
        <row r="589">
          <cell r="B589" t="str">
            <v>FQ(2)</v>
          </cell>
          <cell r="C589">
            <v>0</v>
          </cell>
          <cell r="D589">
            <v>0</v>
          </cell>
          <cell r="E589">
            <v>22</v>
          </cell>
          <cell r="F589">
            <v>34</v>
          </cell>
          <cell r="G589">
            <v>7.0000000000000104E-2</v>
          </cell>
          <cell r="H589">
            <v>91.058000000000007</v>
          </cell>
          <cell r="I589">
            <v>255.46800000000002</v>
          </cell>
          <cell r="J589">
            <v>57.513714285714286</v>
          </cell>
          <cell r="K589">
            <v>402.596</v>
          </cell>
          <cell r="M589">
            <v>15.374000000000001</v>
          </cell>
          <cell r="N589">
            <v>13.473000000000001</v>
          </cell>
          <cell r="O589">
            <v>20.916</v>
          </cell>
          <cell r="P589">
            <v>0</v>
          </cell>
          <cell r="Q589">
            <v>59</v>
          </cell>
          <cell r="R589">
            <v>48</v>
          </cell>
          <cell r="S589">
            <v>0</v>
          </cell>
          <cell r="T589">
            <v>22.394714285714286</v>
          </cell>
          <cell r="U589">
            <v>156.76300000000001</v>
          </cell>
        </row>
        <row r="590">
          <cell r="B590" t="str">
            <v>FQ(1)</v>
          </cell>
          <cell r="C590">
            <v>0</v>
          </cell>
          <cell r="D590">
            <v>47</v>
          </cell>
          <cell r="E590">
            <v>21</v>
          </cell>
          <cell r="F590">
            <v>35</v>
          </cell>
          <cell r="G590">
            <v>0.24</v>
          </cell>
          <cell r="H590">
            <v>89.180999999999997</v>
          </cell>
          <cell r="I590">
            <v>344.60399999999998</v>
          </cell>
          <cell r="J590">
            <v>76.717857142857142</v>
          </cell>
          <cell r="K590">
            <v>537.02499999999998</v>
          </cell>
          <cell r="M590">
            <v>15.391999999999999</v>
          </cell>
          <cell r="N590">
            <v>49.567999999999998</v>
          </cell>
          <cell r="O590">
            <v>20.792000000000002</v>
          </cell>
          <cell r="P590">
            <v>23.843</v>
          </cell>
          <cell r="Q590">
            <v>121</v>
          </cell>
          <cell r="R590">
            <v>49</v>
          </cell>
          <cell r="S590">
            <v>0</v>
          </cell>
          <cell r="T590">
            <v>39.942142857142862</v>
          </cell>
          <cell r="U590">
            <v>279.59500000000003</v>
          </cell>
        </row>
        <row r="591">
          <cell r="B591" t="str">
            <v>Last Reported Q</v>
          </cell>
          <cell r="C591">
            <v>0</v>
          </cell>
          <cell r="D591">
            <v>183</v>
          </cell>
          <cell r="E591">
            <v>85</v>
          </cell>
          <cell r="F591">
            <v>139</v>
          </cell>
          <cell r="G591">
            <v>0.78100000000000003</v>
          </cell>
          <cell r="H591">
            <v>355.202</v>
          </cell>
          <cell r="I591">
            <v>1142.5</v>
          </cell>
          <cell r="J591">
            <v>272.21185714285713</v>
          </cell>
          <cell r="K591">
            <v>1905.4829999999999</v>
          </cell>
          <cell r="M591">
            <v>61.5</v>
          </cell>
          <cell r="N591">
            <v>174.25700000000001</v>
          </cell>
          <cell r="O591">
            <v>83.231999999999999</v>
          </cell>
          <cell r="P591">
            <v>23.882999999999999</v>
          </cell>
          <cell r="Q591">
            <v>781</v>
          </cell>
          <cell r="R591">
            <v>193</v>
          </cell>
          <cell r="S591">
            <v>0</v>
          </cell>
          <cell r="T591">
            <v>188.12457142857144</v>
          </cell>
          <cell r="U591">
            <v>1316.8720000000001</v>
          </cell>
        </row>
        <row r="592">
          <cell r="B592" t="str">
            <v>LTM</v>
          </cell>
          <cell r="C592">
            <v>0</v>
          </cell>
          <cell r="D592">
            <v>319</v>
          </cell>
          <cell r="E592">
            <v>149</v>
          </cell>
          <cell r="F592">
            <v>243</v>
          </cell>
          <cell r="G592">
            <v>1.5620000000000001</v>
          </cell>
          <cell r="H592">
            <v>626.57899999999995</v>
          </cell>
          <cell r="I592">
            <v>1820.404</v>
          </cell>
          <cell r="J592">
            <v>451.36357142857145</v>
          </cell>
          <cell r="K592">
            <v>3159.5450000000001</v>
          </cell>
          <cell r="M592">
            <v>107.604</v>
          </cell>
          <cell r="N592">
            <v>237.298</v>
          </cell>
          <cell r="O592">
            <v>145.57900000000001</v>
          </cell>
          <cell r="P592">
            <v>47.725999999999999</v>
          </cell>
          <cell r="Q592">
            <v>1065</v>
          </cell>
          <cell r="R592">
            <v>338</v>
          </cell>
          <cell r="S592">
            <v>0</v>
          </cell>
          <cell r="T592">
            <v>277.31528571428572</v>
          </cell>
          <cell r="U592">
            <v>1941.2069999999999</v>
          </cell>
        </row>
        <row r="593">
          <cell r="B593" t="str">
            <v>FY1</v>
          </cell>
          <cell r="C593" t="str">
            <v/>
          </cell>
          <cell r="D593" t="str">
            <v/>
          </cell>
          <cell r="E593" t="str">
            <v/>
          </cell>
          <cell r="F593" t="str">
            <v/>
          </cell>
          <cell r="G593" t="str">
            <v/>
          </cell>
          <cell r="H593" t="str">
            <v/>
          </cell>
          <cell r="I593" t="str">
            <v/>
          </cell>
          <cell r="J593" t="e">
            <v>#NUM!</v>
          </cell>
          <cell r="M593" t="str">
            <v/>
          </cell>
          <cell r="N593" t="str">
            <v/>
          </cell>
          <cell r="O593" t="str">
            <v/>
          </cell>
          <cell r="P593" t="str">
            <v/>
          </cell>
          <cell r="Q593" t="str">
            <v/>
          </cell>
          <cell r="R593" t="str">
            <v/>
          </cell>
          <cell r="S593" t="str">
            <v/>
          </cell>
          <cell r="T593" t="e">
            <v>#NUM!</v>
          </cell>
        </row>
        <row r="594">
          <cell r="B594" t="str">
            <v>Total Payout Ratio</v>
          </cell>
          <cell r="C594" t="str">
            <v/>
          </cell>
          <cell r="D594" t="str">
            <v/>
          </cell>
          <cell r="E594" t="str">
            <v/>
          </cell>
          <cell r="F594" t="str">
            <v/>
          </cell>
          <cell r="G594" t="str">
            <v/>
          </cell>
          <cell r="H594" t="str">
            <v/>
          </cell>
          <cell r="I594" t="str">
            <v/>
          </cell>
          <cell r="J594" t="e">
            <v>#NUM!</v>
          </cell>
          <cell r="M594" t="str">
            <v/>
          </cell>
          <cell r="N594" t="str">
            <v/>
          </cell>
          <cell r="O594" t="str">
            <v/>
          </cell>
          <cell r="P594" t="str">
            <v/>
          </cell>
          <cell r="Q594" t="str">
            <v/>
          </cell>
          <cell r="R594" t="str">
            <v/>
          </cell>
          <cell r="S594" t="str">
            <v/>
          </cell>
          <cell r="T594" t="e">
            <v>#NUM!</v>
          </cell>
        </row>
        <row r="595">
          <cell r="B595" t="str">
            <v>FY(2)</v>
          </cell>
          <cell r="C595">
            <v>0</v>
          </cell>
          <cell r="D595">
            <v>0.16216216216216217</v>
          </cell>
          <cell r="E595">
            <v>3.6661247985587697</v>
          </cell>
          <cell r="F595">
            <v>2.6454340327307624</v>
          </cell>
          <cell r="G595">
            <v>0.11723994317024553</v>
          </cell>
          <cell r="H595">
            <v>0.92180455160102825</v>
          </cell>
          <cell r="I595">
            <v>1.2096020253757214</v>
          </cell>
          <cell r="J595">
            <v>1.2460525019426698</v>
          </cell>
          <cell r="K595">
            <v>1.3675882547173104</v>
          </cell>
          <cell r="M595">
            <v>0.69971370012041023</v>
          </cell>
          <cell r="N595">
            <v>2.1272224039052094</v>
          </cell>
          <cell r="O595">
            <v>1.328429399603519</v>
          </cell>
          <cell r="P595">
            <v>0</v>
          </cell>
          <cell r="Q595">
            <v>2.1977264654447031</v>
          </cell>
          <cell r="R595">
            <v>0.49192140793886452</v>
          </cell>
          <cell r="S595">
            <v>0</v>
          </cell>
          <cell r="T595">
            <v>0.97785905385895788</v>
          </cell>
          <cell r="U595">
            <v>1.051565317099219</v>
          </cell>
        </row>
        <row r="596">
          <cell r="B596" t="str">
            <v>FY(1)</v>
          </cell>
          <cell r="C596">
            <v>0</v>
          </cell>
          <cell r="D596">
            <v>0.31642285419859939</v>
          </cell>
          <cell r="E596">
            <v>0.40733944954128443</v>
          </cell>
          <cell r="F596">
            <v>1.0188796885573728</v>
          </cell>
          <cell r="G596">
            <v>-1.0778540196118701E-2</v>
          </cell>
          <cell r="H596">
            <v>1.1554399257639285</v>
          </cell>
          <cell r="I596">
            <v>1.0497673417532609</v>
          </cell>
          <cell r="J596">
            <v>0.56243867423118965</v>
          </cell>
          <cell r="K596">
            <v>0.60060872654977804</v>
          </cell>
          <cell r="M596">
            <v>0.34727063277060433</v>
          </cell>
          <cell r="N596">
            <v>4.4712291362717677E-2</v>
          </cell>
          <cell r="O596">
            <v>0.41889227285150915</v>
          </cell>
          <cell r="P596">
            <v>0</v>
          </cell>
          <cell r="Q596">
            <v>0.98035160289555323</v>
          </cell>
          <cell r="R596">
            <v>0.56878958181231642</v>
          </cell>
          <cell r="S596">
            <v>0</v>
          </cell>
          <cell r="T596">
            <v>0.33714519738467158</v>
          </cell>
          <cell r="U596">
            <v>0.46073696249193502</v>
          </cell>
        </row>
        <row r="597">
          <cell r="B597" t="str">
            <v>FY0</v>
          </cell>
          <cell r="C597">
            <v>0</v>
          </cell>
          <cell r="D597">
            <v>0.73322595379474487</v>
          </cell>
          <cell r="E597">
            <v>0.14756944444444445</v>
          </cell>
          <cell r="F597">
            <v>0.32491818606825618</v>
          </cell>
          <cell r="G597">
            <v>-1.6362232382747848E-2</v>
          </cell>
          <cell r="H597">
            <v>0.80225044437467952</v>
          </cell>
          <cell r="I597">
            <v>0.94143569561591744</v>
          </cell>
          <cell r="J597">
            <v>0.41900535598789918</v>
          </cell>
          <cell r="K597">
            <v>0.49466351475021214</v>
          </cell>
          <cell r="M597">
            <v>0.6411004160272602</v>
          </cell>
          <cell r="N597">
            <v>0.75328644484694962</v>
          </cell>
          <cell r="O597">
            <v>0.52325453102828579</v>
          </cell>
          <cell r="P597">
            <v>0</v>
          </cell>
          <cell r="Q597">
            <v>0.7101291143844336</v>
          </cell>
          <cell r="R597">
            <v>0.47634326332156873</v>
          </cell>
          <cell r="S597">
            <v>0</v>
          </cell>
          <cell r="T597">
            <v>0.44344482422978537</v>
          </cell>
          <cell r="U597">
            <v>0.45635204390278128</v>
          </cell>
        </row>
        <row r="598">
          <cell r="B598" t="str">
            <v>FY1</v>
          </cell>
          <cell r="C598">
            <v>0</v>
          </cell>
          <cell r="D598">
            <v>0.50753937868714571</v>
          </cell>
          <cell r="E598">
            <v>0.10909301206497163</v>
          </cell>
          <cell r="F598">
            <v>0.24746240936388547</v>
          </cell>
          <cell r="G598">
            <v>0</v>
          </cell>
          <cell r="H598">
            <v>0.87878285220050112</v>
          </cell>
          <cell r="I598">
            <v>0.63479295131495372</v>
          </cell>
          <cell r="J598">
            <v>0.33966722909020824</v>
          </cell>
          <cell r="K598">
            <v>0.36616541991203905</v>
          </cell>
          <cell r="M598">
            <v>1.7009033921522962</v>
          </cell>
          <cell r="N598">
            <v>0.67981251994719039</v>
          </cell>
          <cell r="O598">
            <v>0.57942808192479767</v>
          </cell>
          <cell r="P598">
            <v>0.13620642135194008</v>
          </cell>
          <cell r="Q598">
            <v>1.1647794572958605</v>
          </cell>
          <cell r="R598">
            <v>0.94883089374659302</v>
          </cell>
          <cell r="S598">
            <v>0</v>
          </cell>
          <cell r="T598">
            <v>0.74428010948838252</v>
          </cell>
          <cell r="U598">
            <v>0.75346194903587538</v>
          </cell>
        </row>
        <row r="599">
          <cell r="B599" t="str">
            <v>FY2</v>
          </cell>
          <cell r="C599">
            <v>0</v>
          </cell>
          <cell r="D599">
            <v>0.45040175903104468</v>
          </cell>
          <cell r="E599">
            <v>0.10909301206497171</v>
          </cell>
          <cell r="F599">
            <v>0.55559423355219895</v>
          </cell>
          <cell r="G599">
            <v>0</v>
          </cell>
          <cell r="H599">
            <v>0.82303887166694112</v>
          </cell>
          <cell r="I599">
            <v>0.59762613597557279</v>
          </cell>
          <cell r="J599">
            <v>0.36225057318438986</v>
          </cell>
          <cell r="K599">
            <v>0.37125601240434875</v>
          </cell>
          <cell r="M599">
            <v>1.2500000000000455</v>
          </cell>
          <cell r="N599">
            <v>0.80000000000000626</v>
          </cell>
          <cell r="O599">
            <v>0.60942808192479714</v>
          </cell>
          <cell r="P599">
            <v>0.13454396508448954</v>
          </cell>
          <cell r="Q599">
            <v>1.300000000000052</v>
          </cell>
          <cell r="R599">
            <v>0.31730075807378577</v>
          </cell>
          <cell r="S599">
            <v>9.9999999999998201E-2</v>
          </cell>
          <cell r="T599">
            <v>0.64446754358331049</v>
          </cell>
          <cell r="U599">
            <v>0.6707236257254281</v>
          </cell>
        </row>
        <row r="600">
          <cell r="B600" t="str">
            <v>FQ(3)</v>
          </cell>
          <cell r="C600">
            <v>0</v>
          </cell>
          <cell r="D600">
            <v>3.56</v>
          </cell>
          <cell r="E600">
            <v>-0.30882352941176472</v>
          </cell>
          <cell r="F600">
            <v>0.51470588235294112</v>
          </cell>
          <cell r="G600">
            <v>-9.8247809762202751E-2</v>
          </cell>
          <cell r="H600">
            <v>0.99727532362371019</v>
          </cell>
          <cell r="I600">
            <v>0.37202099285898649</v>
          </cell>
          <cell r="J600">
            <v>0.71956155138023858</v>
          </cell>
          <cell r="K600">
            <v>0.68684183509644903</v>
          </cell>
          <cell r="M600">
            <v>-0.66383899588833584</v>
          </cell>
          <cell r="N600">
            <v>0</v>
          </cell>
          <cell r="O600">
            <v>1.3161788151265863</v>
          </cell>
          <cell r="P600">
            <v>0</v>
          </cell>
          <cell r="Q600">
            <v>0.48372093023255813</v>
          </cell>
          <cell r="R600">
            <v>18.45444059976932</v>
          </cell>
          <cell r="S600">
            <v>0</v>
          </cell>
          <cell r="T600">
            <v>2.7986430498914467</v>
          </cell>
          <cell r="U600">
            <v>0.47313378739598599</v>
          </cell>
        </row>
        <row r="601">
          <cell r="B601" t="str">
            <v>FQ(2)</v>
          </cell>
          <cell r="C601">
            <v>0</v>
          </cell>
          <cell r="D601">
            <v>0</v>
          </cell>
          <cell r="E601">
            <v>0.26190476190476192</v>
          </cell>
          <cell r="F601">
            <v>0.32380952380952382</v>
          </cell>
          <cell r="G601">
            <v>-1.2749758665282426E-3</v>
          </cell>
          <cell r="H601">
            <v>0.88057868422834051</v>
          </cell>
          <cell r="I601">
            <v>0.97670524275408044</v>
          </cell>
          <cell r="J601">
            <v>0.34881760526145406</v>
          </cell>
          <cell r="K601">
            <v>0.55336081380309454</v>
          </cell>
          <cell r="M601">
            <v>2.2314825700803707</v>
          </cell>
          <cell r="N601">
            <v>0.34580734580734585</v>
          </cell>
          <cell r="O601">
            <v>0.7320453590928182</v>
          </cell>
          <cell r="P601">
            <v>0</v>
          </cell>
          <cell r="Q601">
            <v>0.25877192982456143</v>
          </cell>
          <cell r="R601">
            <v>0.79650863714053399</v>
          </cell>
          <cell r="S601">
            <v>0</v>
          </cell>
          <cell r="T601">
            <v>0.6235165488493758</v>
          </cell>
          <cell r="U601">
            <v>0.28607817774243055</v>
          </cell>
        </row>
        <row r="602">
          <cell r="B602" t="str">
            <v>FQ(1)</v>
          </cell>
          <cell r="C602">
            <v>0</v>
          </cell>
          <cell r="D602">
            <v>1.7407407407407407</v>
          </cell>
          <cell r="E602">
            <v>-1.75</v>
          </cell>
          <cell r="F602">
            <v>0.42168674698795183</v>
          </cell>
          <cell r="G602">
            <v>0.12727187703110288</v>
          </cell>
          <cell r="H602">
            <v>0.84869623144271034</v>
          </cell>
          <cell r="I602">
            <v>0.99081365961374246</v>
          </cell>
          <cell r="J602">
            <v>0.33988703654517832</v>
          </cell>
          <cell r="K602">
            <v>0.72009975886680333</v>
          </cell>
          <cell r="M602">
            <v>0.50262874310159023</v>
          </cell>
          <cell r="N602">
            <v>0.79145443803988569</v>
          </cell>
          <cell r="O602">
            <v>0.4672203110502593</v>
          </cell>
          <cell r="P602">
            <v>0.16930702209093426</v>
          </cell>
          <cell r="Q602">
            <v>0.39413680781758959</v>
          </cell>
          <cell r="R602">
            <v>8.0341039514674542</v>
          </cell>
          <cell r="S602">
            <v>0</v>
          </cell>
          <cell r="T602">
            <v>1.4798358962239591</v>
          </cell>
          <cell r="U602">
            <v>0.42746856310768105</v>
          </cell>
        </row>
        <row r="603">
          <cell r="B603" t="str">
            <v>Last Reported Q</v>
          </cell>
          <cell r="C603">
            <v>0</v>
          </cell>
          <cell r="D603">
            <v>0.73322595379474487</v>
          </cell>
          <cell r="E603">
            <v>0.14756944444444445</v>
          </cell>
          <cell r="F603">
            <v>0.32491818606825618</v>
          </cell>
          <cell r="G603">
            <v>-1.6362232382747848E-2</v>
          </cell>
          <cell r="H603">
            <v>0.80225044437467952</v>
          </cell>
          <cell r="I603">
            <v>0.94143569561591744</v>
          </cell>
          <cell r="J603">
            <v>0.41900535598789918</v>
          </cell>
          <cell r="K603">
            <v>0.49466351475021214</v>
          </cell>
          <cell r="M603">
            <v>0.6411004160272602</v>
          </cell>
          <cell r="N603">
            <v>0.75328644484694962</v>
          </cell>
          <cell r="O603">
            <v>0.52325453102828579</v>
          </cell>
          <cell r="P603">
            <v>9.9120149408590999E-2</v>
          </cell>
          <cell r="Q603">
            <v>0.7101291143844336</v>
          </cell>
          <cell r="R603">
            <v>0.47634326332156873</v>
          </cell>
          <cell r="S603">
            <v>0</v>
          </cell>
          <cell r="T603">
            <v>0.45760484557386988</v>
          </cell>
          <cell r="U603">
            <v>0.53703039732530433</v>
          </cell>
        </row>
        <row r="604">
          <cell r="B604" t="str">
            <v>LTM</v>
          </cell>
          <cell r="C604">
            <v>0</v>
          </cell>
          <cell r="D604">
            <v>1.0599274331813773</v>
          </cell>
          <cell r="E604">
            <v>0.25689655172413794</v>
          </cell>
          <cell r="F604">
            <v>0.35536706639368237</v>
          </cell>
          <cell r="G604">
            <v>-1.4799634611464611E-2</v>
          </cell>
          <cell r="H604">
            <v>0.84372858122001371</v>
          </cell>
          <cell r="I604">
            <v>0.89580374638436422</v>
          </cell>
          <cell r="J604">
            <v>0.48527482061315869</v>
          </cell>
          <cell r="K604">
            <v>0.54633181846653156</v>
          </cell>
          <cell r="M604">
            <v>0.97523573362915594</v>
          </cell>
          <cell r="N604">
            <v>0.64818871655913513</v>
          </cell>
          <cell r="O604">
            <v>0.58743732559956308</v>
          </cell>
          <cell r="P604">
            <v>7.4433707430581988E-2</v>
          </cell>
          <cell r="Q604">
            <v>0.57573791761271487</v>
          </cell>
          <cell r="R604">
            <v>0.71288014122619592</v>
          </cell>
          <cell r="S604">
            <v>0</v>
          </cell>
          <cell r="T604">
            <v>0.51055907743676376</v>
          </cell>
          <cell r="U604">
            <v>0.47913493836607302</v>
          </cell>
        </row>
        <row r="606">
          <cell r="A606" t="str">
            <v>Modelware DuPont (Non-lease Adjusted)ROIC</v>
          </cell>
          <cell r="B606" t="str">
            <v>Unadjusted ROIC</v>
          </cell>
        </row>
        <row r="607">
          <cell r="B607" t="str">
            <v>FY0</v>
          </cell>
        </row>
        <row r="608">
          <cell r="B608" t="str">
            <v>FY1</v>
          </cell>
          <cell r="C608">
            <v>1606.99</v>
          </cell>
          <cell r="D608">
            <v>3135</v>
          </cell>
          <cell r="E608">
            <v>3215</v>
          </cell>
          <cell r="F608">
            <v>901.32299999999998</v>
          </cell>
          <cell r="G608">
            <v>1438.452</v>
          </cell>
          <cell r="H608">
            <v>841.49099999999999</v>
          </cell>
          <cell r="I608">
            <v>1941.6980000000001</v>
          </cell>
          <cell r="M608">
            <v>170.703</v>
          </cell>
          <cell r="N608">
            <v>61.807000000000002</v>
          </cell>
          <cell r="O608">
            <v>134.40100000000001</v>
          </cell>
          <cell r="P608">
            <v>161.91300000000001</v>
          </cell>
          <cell r="Q608">
            <v>1703.855</v>
          </cell>
          <cell r="R608">
            <v>943.42600000000004</v>
          </cell>
          <cell r="S608">
            <v>63.247</v>
          </cell>
        </row>
        <row r="609">
          <cell r="B609" t="str">
            <v>FY2</v>
          </cell>
          <cell r="C609">
            <v>1946.9770000000001</v>
          </cell>
          <cell r="D609">
            <v>3142</v>
          </cell>
          <cell r="E609">
            <v>3120</v>
          </cell>
          <cell r="F609">
            <v>917.18200000000002</v>
          </cell>
          <cell r="G609">
            <v>1516.271</v>
          </cell>
          <cell r="H609">
            <v>853.11199999999997</v>
          </cell>
          <cell r="I609">
            <v>2352.0320000000002</v>
          </cell>
          <cell r="M609">
            <v>211.19800000000001</v>
          </cell>
          <cell r="N609">
            <v>81.238</v>
          </cell>
          <cell r="O609">
            <v>170.57599999999999</v>
          </cell>
          <cell r="P609">
            <v>184.41900000000001</v>
          </cell>
          <cell r="Q609">
            <v>1814</v>
          </cell>
          <cell r="R609">
            <v>1142</v>
          </cell>
          <cell r="S609">
            <v>98.995999999999995</v>
          </cell>
        </row>
        <row r="610">
          <cell r="B610" t="str">
            <v>FY(3)</v>
          </cell>
          <cell r="C610">
            <v>2237.5680000000002</v>
          </cell>
          <cell r="D610">
            <v>3210</v>
          </cell>
          <cell r="E610">
            <v>5459</v>
          </cell>
          <cell r="F610">
            <v>955.97799999999995</v>
          </cell>
          <cell r="G610">
            <v>807.21100000000001</v>
          </cell>
          <cell r="H610">
            <v>938.09100000000001</v>
          </cell>
          <cell r="I610">
            <v>2365.8609999999999</v>
          </cell>
          <cell r="M610">
            <v>362.536</v>
          </cell>
          <cell r="N610">
            <v>91.908000000000001</v>
          </cell>
          <cell r="O610">
            <v>210.739</v>
          </cell>
          <cell r="P610">
            <v>233.494</v>
          </cell>
          <cell r="Q610">
            <v>1696</v>
          </cell>
          <cell r="R610">
            <v>1159.69</v>
          </cell>
          <cell r="S610">
            <v>140.37700000000001</v>
          </cell>
        </row>
        <row r="611">
          <cell r="A611" t="str">
            <v>Modelware DuPont (Non-lease Adjusted)ROE</v>
          </cell>
          <cell r="B611" t="str">
            <v>Unadjusted ROE</v>
          </cell>
          <cell r="C611">
            <v>2578.3780000000002</v>
          </cell>
          <cell r="D611">
            <v>3400</v>
          </cell>
          <cell r="E611">
            <v>5317</v>
          </cell>
          <cell r="F611">
            <v>997.28899999999999</v>
          </cell>
          <cell r="G611">
            <v>785.30200000000002</v>
          </cell>
          <cell r="H611">
            <v>1051.729</v>
          </cell>
          <cell r="I611">
            <v>2581.9690000000001</v>
          </cell>
          <cell r="M611">
            <v>427.447</v>
          </cell>
          <cell r="N611">
            <v>101.476</v>
          </cell>
          <cell r="O611">
            <v>263.64400000000001</v>
          </cell>
          <cell r="P611">
            <v>291.19200000000001</v>
          </cell>
          <cell r="Q611">
            <v>1796</v>
          </cell>
          <cell r="R611">
            <v>1770</v>
          </cell>
          <cell r="S611">
            <v>154.387</v>
          </cell>
        </row>
        <row r="612">
          <cell r="B612" t="str">
            <v>FY0</v>
          </cell>
          <cell r="C612">
            <v>2855.7330000000002</v>
          </cell>
          <cell r="D612">
            <v>3641</v>
          </cell>
          <cell r="E612">
            <v>5060</v>
          </cell>
          <cell r="F612">
            <v>956</v>
          </cell>
          <cell r="G612">
            <v>857.173</v>
          </cell>
          <cell r="H612">
            <v>1025.2950000000001</v>
          </cell>
          <cell r="I612">
            <v>2737.3780000000002</v>
          </cell>
          <cell r="M612">
            <v>333.15300000000002</v>
          </cell>
          <cell r="N612">
            <v>136.488</v>
          </cell>
          <cell r="O612">
            <v>286.48500000000001</v>
          </cell>
          <cell r="P612">
            <v>318.49</v>
          </cell>
          <cell r="Q612">
            <v>1575</v>
          </cell>
          <cell r="R612">
            <v>1250.625</v>
          </cell>
          <cell r="S612">
            <v>171.92500000000001</v>
          </cell>
        </row>
        <row r="613">
          <cell r="B613" t="str">
            <v>FY1</v>
          </cell>
          <cell r="C613">
            <v>2799</v>
          </cell>
          <cell r="D613">
            <v>3259</v>
          </cell>
          <cell r="E613">
            <v>4769</v>
          </cell>
          <cell r="F613">
            <v>900</v>
          </cell>
          <cell r="G613">
            <v>728.84100000000001</v>
          </cell>
          <cell r="H613">
            <v>881.05799999999999</v>
          </cell>
          <cell r="I613">
            <v>2619.3359999999998</v>
          </cell>
          <cell r="M613">
            <v>372.42200000000003</v>
          </cell>
          <cell r="N613">
            <v>126.36</v>
          </cell>
          <cell r="O613">
            <v>294.928</v>
          </cell>
          <cell r="P613">
            <v>326.14800000000002</v>
          </cell>
          <cell r="Q613">
            <v>1506</v>
          </cell>
          <cell r="R613">
            <v>1181.865</v>
          </cell>
          <cell r="S613">
            <v>169.69800000000001</v>
          </cell>
        </row>
        <row r="614">
          <cell r="B614" t="str">
            <v>FY2</v>
          </cell>
          <cell r="C614">
            <v>2940.0436170483199</v>
          </cell>
          <cell r="D614">
            <v>2918.8564274536802</v>
          </cell>
          <cell r="E614">
            <v>4731.2153421261601</v>
          </cell>
          <cell r="F614">
            <v>839.35617027476405</v>
          </cell>
          <cell r="G614">
            <v>585.00673201635198</v>
          </cell>
          <cell r="H614">
            <v>864.04781667707402</v>
          </cell>
          <cell r="I614">
            <v>2616.37292347927</v>
          </cell>
          <cell r="M614">
            <v>287.47271947598</v>
          </cell>
          <cell r="N614">
            <v>124.497120668248</v>
          </cell>
          <cell r="O614">
            <v>314.06161596097701</v>
          </cell>
          <cell r="P614">
            <v>346.15462013569299</v>
          </cell>
          <cell r="Q614">
            <v>1484.11506380842</v>
          </cell>
          <cell r="R614">
            <v>1032.0259323569901</v>
          </cell>
          <cell r="S614">
            <v>173.71380577112001</v>
          </cell>
        </row>
        <row r="615">
          <cell r="B615" t="str">
            <v>FY2</v>
          </cell>
          <cell r="C615">
            <v>3047.8533847793501</v>
          </cell>
          <cell r="D615">
            <v>2899.7434629710201</v>
          </cell>
          <cell r="E615">
            <v>4616.6879030365199</v>
          </cell>
          <cell r="F615">
            <v>859.99964804245894</v>
          </cell>
          <cell r="G615">
            <v>574.46682556849896</v>
          </cell>
          <cell r="H615">
            <v>905.12218771622202</v>
          </cell>
          <cell r="I615">
            <v>2755.9473532789998</v>
          </cell>
          <cell r="M615">
            <v>306.71986794402397</v>
          </cell>
          <cell r="N615">
            <v>137.961510175505</v>
          </cell>
          <cell r="O615">
            <v>324.52754417494299</v>
          </cell>
          <cell r="P615">
            <v>370.54645784883797</v>
          </cell>
          <cell r="Q615">
            <v>1426.10530468362</v>
          </cell>
          <cell r="R615">
            <v>1008.9558266789099</v>
          </cell>
          <cell r="S615">
            <v>180.024105564092</v>
          </cell>
        </row>
        <row r="616">
          <cell r="A616" t="str">
            <v>Modelware DuPont (Lease Adjusted)ROIC</v>
          </cell>
          <cell r="B616" t="str">
            <v>Lease Adjusted ROIC</v>
          </cell>
          <cell r="C616">
            <v>2799</v>
          </cell>
          <cell r="D616">
            <v>3259</v>
          </cell>
          <cell r="E616">
            <v>4769</v>
          </cell>
          <cell r="F616">
            <v>900</v>
          </cell>
          <cell r="G616">
            <v>728.84100000000001</v>
          </cell>
          <cell r="H616">
            <v>881.05799999999999</v>
          </cell>
          <cell r="I616">
            <v>2619.3359999999998</v>
          </cell>
          <cell r="M616">
            <v>372.42200000000003</v>
          </cell>
          <cell r="N616">
            <v>126.36</v>
          </cell>
          <cell r="O616">
            <v>294.928</v>
          </cell>
          <cell r="P616">
            <v>401.79700000000003</v>
          </cell>
          <cell r="Q616">
            <v>1506</v>
          </cell>
          <cell r="R616">
            <v>1181.865</v>
          </cell>
          <cell r="S616">
            <v>169.69800000000001</v>
          </cell>
        </row>
        <row r="617">
          <cell r="B617" t="str">
            <v>FY0</v>
          </cell>
          <cell r="C617">
            <v>2804</v>
          </cell>
          <cell r="D617">
            <v>3237</v>
          </cell>
          <cell r="E617">
            <v>5026</v>
          </cell>
          <cell r="F617">
            <v>1004</v>
          </cell>
          <cell r="G617">
            <v>779.47400000000005</v>
          </cell>
          <cell r="H617">
            <v>917.66099999999994</v>
          </cell>
          <cell r="I617">
            <v>2817.7</v>
          </cell>
          <cell r="M617">
            <v>274.74200000000002</v>
          </cell>
          <cell r="N617">
            <v>128.929</v>
          </cell>
          <cell r="O617">
            <v>279.233</v>
          </cell>
          <cell r="P617">
            <v>383.08100000000002</v>
          </cell>
          <cell r="Q617">
            <v>1393</v>
          </cell>
          <cell r="R617">
            <v>1213.425</v>
          </cell>
          <cell r="S617">
            <v>189.881</v>
          </cell>
        </row>
        <row r="618">
          <cell r="B618" t="str">
            <v>FY1</v>
          </cell>
          <cell r="C618">
            <v>2724</v>
          </cell>
          <cell r="D618">
            <v>3258</v>
          </cell>
          <cell r="E618">
            <v>4634</v>
          </cell>
          <cell r="F618">
            <v>929</v>
          </cell>
          <cell r="G618">
            <v>670.26300000000003</v>
          </cell>
          <cell r="H618">
            <v>926.24400000000003</v>
          </cell>
          <cell r="I618">
            <v>3100.1750000000002</v>
          </cell>
          <cell r="M618">
            <v>325.596</v>
          </cell>
          <cell r="N618">
            <v>200.99299999999999</v>
          </cell>
          <cell r="O618">
            <v>352.81900000000002</v>
          </cell>
          <cell r="P618">
            <v>357.67</v>
          </cell>
          <cell r="Q618">
            <v>1473</v>
          </cell>
          <cell r="R618">
            <v>1091.412</v>
          </cell>
          <cell r="S618">
            <v>217.05</v>
          </cell>
        </row>
        <row r="619">
          <cell r="B619" t="str">
            <v>FY2</v>
          </cell>
          <cell r="C619">
            <v>3807</v>
          </cell>
          <cell r="D619">
            <v>4018</v>
          </cell>
          <cell r="E619">
            <v>6406</v>
          </cell>
          <cell r="F619">
            <v>1193</v>
          </cell>
          <cell r="G619">
            <v>799.11</v>
          </cell>
          <cell r="H619">
            <v>1014.638</v>
          </cell>
          <cell r="I619">
            <v>3267.7</v>
          </cell>
          <cell r="M619">
            <v>347.18</v>
          </cell>
          <cell r="N619">
            <v>221.51599999999999</v>
          </cell>
          <cell r="O619">
            <v>425.41500000000002</v>
          </cell>
          <cell r="P619">
            <v>326.14800000000002</v>
          </cell>
          <cell r="Q619">
            <v>1999</v>
          </cell>
          <cell r="R619">
            <v>1426.4559999999999</v>
          </cell>
          <cell r="S619">
            <v>234.52099999999999</v>
          </cell>
        </row>
        <row r="621">
          <cell r="A621" t="str">
            <v>Modelware DuPont (Lease Adjusted)ROE</v>
          </cell>
          <cell r="B621" t="str">
            <v>Lease Adjusted ROE</v>
          </cell>
        </row>
        <row r="622">
          <cell r="B622" t="str">
            <v>FY0</v>
          </cell>
          <cell r="C622">
            <v>3.5163894967177245</v>
          </cell>
          <cell r="D622">
            <v>3.1008902077151335E-2</v>
          </cell>
          <cell r="E622">
            <v>3.8273809523809522E-2</v>
          </cell>
          <cell r="F622">
            <v>4.7891764080765141E-2</v>
          </cell>
          <cell r="G622">
            <v>4.1769775016315805E-2</v>
          </cell>
          <cell r="H622">
            <v>6.3170257488176562E-2</v>
          </cell>
          <cell r="I622">
            <v>3.2099487518598119E-2</v>
          </cell>
          <cell r="M622">
            <v>3.4031698564593302E-2</v>
          </cell>
          <cell r="N622">
            <v>3.8349685946680118E-2</v>
          </cell>
          <cell r="O622">
            <v>3.1702109943703226E-2</v>
          </cell>
          <cell r="P622">
            <v>0.20698026111422885</v>
          </cell>
          <cell r="Q622">
            <v>4.6680958904109587E-2</v>
          </cell>
          <cell r="R622">
            <v>5.8824417009602198E-2</v>
          </cell>
          <cell r="S622">
            <v>4.3658244310008247E-2</v>
          </cell>
        </row>
        <row r="623">
          <cell r="B623" t="str">
            <v>FY1</v>
          </cell>
          <cell r="C623">
            <v>3.5922084870848709</v>
          </cell>
          <cell r="D623">
            <v>3.1016781836130308E-2</v>
          </cell>
          <cell r="E623">
            <v>3.7454981992797121E-2</v>
          </cell>
          <cell r="F623">
            <v>4.7511305654122094E-2</v>
          </cell>
          <cell r="G623">
            <v>4.4652013683553426E-2</v>
          </cell>
          <cell r="H623">
            <v>5.5930767717825999E-2</v>
          </cell>
          <cell r="I623">
            <v>3.5904500213714365E-2</v>
          </cell>
          <cell r="M623">
            <v>3.7781395348837211E-2</v>
          </cell>
          <cell r="N623">
            <v>4.1062350195056017E-2</v>
          </cell>
          <cell r="O623">
            <v>3.7571019989669815E-2</v>
          </cell>
          <cell r="P623">
            <v>0.20381483495351646</v>
          </cell>
          <cell r="Q623">
            <v>4.9562841530054642E-2</v>
          </cell>
          <cell r="R623">
            <v>7.2273906714764885E-2</v>
          </cell>
          <cell r="S623">
            <v>5.6573701081058525E-2</v>
          </cell>
        </row>
        <row r="624">
          <cell r="B624" t="str">
            <v>FY2</v>
          </cell>
          <cell r="C624">
            <v>3.5126656200941917</v>
          </cell>
          <cell r="D624">
            <v>3.1656804733727811E-2</v>
          </cell>
          <cell r="E624">
            <v>3.4441640378548896E-2</v>
          </cell>
          <cell r="F624">
            <v>4.8353759388988643E-2</v>
          </cell>
          <cell r="G624">
            <v>0.10639396335837617</v>
          </cell>
          <cell r="H624">
            <v>5.4165425255499743E-2</v>
          </cell>
          <cell r="I624">
            <v>3.3522649663478565E-2</v>
          </cell>
          <cell r="M624">
            <v>6.0171950207468877E-2</v>
          </cell>
          <cell r="N624">
            <v>3.872296948566975E-2</v>
          </cell>
          <cell r="O624">
            <v>4.4157061087856289E-2</v>
          </cell>
          <cell r="P624">
            <v>0.22479120836803163</v>
          </cell>
          <cell r="Q624">
            <v>4.4867724867724869E-2</v>
          </cell>
          <cell r="R624">
            <v>7.5638533785546566E-2</v>
          </cell>
          <cell r="S624">
            <v>6.6417827118810877E-2</v>
          </cell>
        </row>
        <row r="625">
          <cell r="B625" t="str">
            <v>FY(2)</v>
          </cell>
          <cell r="C625">
            <v>3.5223743169398909</v>
          </cell>
          <cell r="D625">
            <v>3.2977691561590687E-2</v>
          </cell>
          <cell r="E625">
            <v>3.3996163682864448E-2</v>
          </cell>
          <cell r="F625">
            <v>4.9567047713717692E-2</v>
          </cell>
          <cell r="G625">
            <v>0.10470693333333334</v>
          </cell>
          <cell r="H625">
            <v>5.6417176268640706E-2</v>
          </cell>
          <cell r="I625">
            <v>3.4897603633070678E-2</v>
          </cell>
          <cell r="M625">
            <v>6.3864784102793962E-2</v>
          </cell>
          <cell r="N625">
            <v>3.8642802741812643E-2</v>
          </cell>
          <cell r="O625">
            <v>5.0964756870443342E-2</v>
          </cell>
          <cell r="P625">
            <v>0.23790759748392731</v>
          </cell>
          <cell r="Q625">
            <v>4.6051282051282054E-2</v>
          </cell>
          <cell r="R625">
            <v>0.11363440844751772</v>
          </cell>
          <cell r="S625">
            <v>6.1813201112411009E-2</v>
          </cell>
        </row>
        <row r="626">
          <cell r="B626" t="str">
            <v>Valuation</v>
          </cell>
          <cell r="C626">
            <v>3.495389228886169</v>
          </cell>
          <cell r="D626">
            <v>3.4155722326454037E-2</v>
          </cell>
          <cell r="E626">
            <v>3.2653377301385511E-2</v>
          </cell>
          <cell r="F626">
            <v>4.7010228166797799E-2</v>
          </cell>
          <cell r="G626">
            <v>0.11369850112747049</v>
          </cell>
          <cell r="H626">
            <v>4.8592180094786733E-2</v>
          </cell>
          <cell r="I626">
            <v>3.5820177963883801E-2</v>
          </cell>
          <cell r="M626">
            <v>4.5407250919994549E-2</v>
          </cell>
          <cell r="N626">
            <v>4.6500187039173288E-2</v>
          </cell>
          <cell r="O626">
            <v>5.0173101886327197E-2</v>
          </cell>
          <cell r="P626">
            <v>0.21723459014982835</v>
          </cell>
          <cell r="Q626">
            <v>3.9772727272727272E-2</v>
          </cell>
          <cell r="R626">
            <v>0.12129036950829211</v>
          </cell>
          <cell r="S626">
            <v>5.9560927615761435E-2</v>
          </cell>
        </row>
        <row r="627">
          <cell r="B627" t="str">
            <v>FY0</v>
          </cell>
          <cell r="C627">
            <v>3.0129171151776104</v>
          </cell>
          <cell r="D627">
            <v>2.9844988318980185E-2</v>
          </cell>
          <cell r="E627">
            <v>3.0949244277731991E-2</v>
          </cell>
          <cell r="F627">
            <v>4.247486903582047E-2</v>
          </cell>
          <cell r="G627">
            <v>9.6932003937825792E-2</v>
          </cell>
          <cell r="H627">
            <v>3.9158133333333331E-2</v>
          </cell>
          <cell r="I627">
            <v>3.3125257655656222E-2</v>
          </cell>
          <cell r="M627">
            <v>4.6425081027175269E-2</v>
          </cell>
          <cell r="N627">
            <v>3.8470273828218472E-2</v>
          </cell>
          <cell r="O627">
            <v>4.6605596849767082E-2</v>
          </cell>
          <cell r="P627">
            <v>0.19290833500424975</v>
          </cell>
          <cell r="Q627">
            <v>3.8126582278481015E-2</v>
          </cell>
          <cell r="R627">
            <v>0.10844489507537872</v>
          </cell>
          <cell r="S627">
            <v>5.0495503885011242E-2</v>
          </cell>
        </row>
        <row r="628">
          <cell r="B628" t="str">
            <v>P/E</v>
          </cell>
          <cell r="C628">
            <v>2.9283302958648605</v>
          </cell>
          <cell r="D628">
            <v>2.6344405470617231E-2</v>
          </cell>
          <cell r="E628">
            <v>3.0595667073588382E-2</v>
          </cell>
          <cell r="F628">
            <v>3.7598825043664401E-2</v>
          </cell>
          <cell r="G628">
            <v>7.7172013017913738E-2</v>
          </cell>
          <cell r="H628">
            <v>3.6531643939030634E-2</v>
          </cell>
          <cell r="I628">
            <v>3.1966778372598967E-2</v>
          </cell>
          <cell r="M628">
            <v>3.6368491137515113E-2</v>
          </cell>
          <cell r="N628">
            <v>3.6506160063337061E-2</v>
          </cell>
          <cell r="O628">
            <v>4.8375056091979202E-2</v>
          </cell>
          <cell r="P628">
            <v>0.18771998345874799</v>
          </cell>
          <cell r="Q628">
            <v>3.8166062114152112E-2</v>
          </cell>
          <cell r="R628">
            <v>9.5052702931567076E-2</v>
          </cell>
          <cell r="S628">
            <v>4.6624074602340408E-2</v>
          </cell>
        </row>
        <row r="629">
          <cell r="B629" t="str">
            <v>Price/ Peak EPS</v>
          </cell>
          <cell r="C629" t="e">
            <v>#VALUE!</v>
          </cell>
          <cell r="D629" t="e">
            <v>#VALUE!</v>
          </cell>
          <cell r="E629" t="e">
            <v>#VALUE!</v>
          </cell>
          <cell r="F629" t="e">
            <v>#VALUE!</v>
          </cell>
          <cell r="G629" t="e">
            <v>#VALUE!</v>
          </cell>
          <cell r="H629" t="e">
            <v>#VALUE!</v>
          </cell>
          <cell r="I629" t="e">
            <v>#VALUE!</v>
          </cell>
          <cell r="J629" t="e">
            <v>#VALUE!</v>
          </cell>
          <cell r="M629" t="e">
            <v>#VALUE!</v>
          </cell>
          <cell r="N629" t="e">
            <v>#VALUE!</v>
          </cell>
          <cell r="O629" t="e">
            <v>#VALUE!</v>
          </cell>
          <cell r="P629" t="e">
            <v>#VALUE!</v>
          </cell>
          <cell r="Q629" t="e">
            <v>#VALUE!</v>
          </cell>
          <cell r="R629" t="e">
            <v>#VALUE!</v>
          </cell>
          <cell r="S629" t="e">
            <v>#VALUE!</v>
          </cell>
          <cell r="T629" t="e">
            <v>#VALUE!</v>
          </cell>
        </row>
        <row r="630">
          <cell r="B630" t="str">
            <v>LTM</v>
          </cell>
          <cell r="C630" t="e">
            <v>#VALUE!</v>
          </cell>
          <cell r="D630" t="e">
            <v>#VALUE!</v>
          </cell>
          <cell r="E630" t="e">
            <v>#VALUE!</v>
          </cell>
          <cell r="F630" t="e">
            <v>#VALUE!</v>
          </cell>
          <cell r="G630" t="e">
            <v>#VALUE!</v>
          </cell>
          <cell r="H630" t="e">
            <v>#VALUE!</v>
          </cell>
          <cell r="I630" t="e">
            <v>#VALUE!</v>
          </cell>
          <cell r="J630" t="e">
            <v>#VALUE!</v>
          </cell>
          <cell r="M630" t="e">
            <v>#VALUE!</v>
          </cell>
          <cell r="N630" t="e">
            <v>#VALUE!</v>
          </cell>
          <cell r="O630" t="e">
            <v>#VALUE!</v>
          </cell>
          <cell r="P630" t="e">
            <v>#VALUE!</v>
          </cell>
          <cell r="Q630" t="e">
            <v>#VALUE!</v>
          </cell>
          <cell r="R630" t="e">
            <v>#VALUE!</v>
          </cell>
          <cell r="S630" t="e">
            <v>#VALUE!</v>
          </cell>
          <cell r="T630" t="e">
            <v>#VALUE!</v>
          </cell>
        </row>
        <row r="631">
          <cell r="B631" t="str">
            <v>FY1</v>
          </cell>
          <cell r="C631" t="e">
            <v>#VALUE!</v>
          </cell>
          <cell r="D631" t="e">
            <v>#VALUE!</v>
          </cell>
          <cell r="E631" t="e">
            <v>#VALUE!</v>
          </cell>
          <cell r="F631" t="e">
            <v>#VALUE!</v>
          </cell>
          <cell r="G631" t="e">
            <v>#VALUE!</v>
          </cell>
          <cell r="H631" t="e">
            <v>#VALUE!</v>
          </cell>
          <cell r="I631" t="e">
            <v>#VALUE!</v>
          </cell>
          <cell r="J631" t="e">
            <v>#VALUE!</v>
          </cell>
          <cell r="M631" t="e">
            <v>#VALUE!</v>
          </cell>
          <cell r="N631" t="e">
            <v>#VALUE!</v>
          </cell>
          <cell r="O631" t="e">
            <v>#VALUE!</v>
          </cell>
          <cell r="P631" t="e">
            <v>#VALUE!</v>
          </cell>
          <cell r="Q631" t="e">
            <v>#VALUE!</v>
          </cell>
          <cell r="R631" t="e">
            <v>#VALUE!</v>
          </cell>
          <cell r="S631" t="e">
            <v>#VALUE!</v>
          </cell>
          <cell r="T631" t="e">
            <v>#VALUE!</v>
          </cell>
        </row>
        <row r="632">
          <cell r="B632" t="str">
            <v>FY2</v>
          </cell>
          <cell r="C632" t="e">
            <v>#VALUE!</v>
          </cell>
          <cell r="D632" t="e">
            <v>#VALUE!</v>
          </cell>
          <cell r="E632" t="e">
            <v>#VALUE!</v>
          </cell>
          <cell r="F632" t="e">
            <v>#VALUE!</v>
          </cell>
          <cell r="G632" t="e">
            <v>#VALUE!</v>
          </cell>
          <cell r="H632" t="e">
            <v>#VALUE!</v>
          </cell>
          <cell r="I632" t="e">
            <v>#VALUE!</v>
          </cell>
          <cell r="J632" t="e">
            <v>#VALUE!</v>
          </cell>
          <cell r="M632" t="e">
            <v>#VALUE!</v>
          </cell>
          <cell r="N632" t="e">
            <v>#VALUE!</v>
          </cell>
          <cell r="O632" t="e">
            <v>#VALUE!</v>
          </cell>
          <cell r="P632" t="e">
            <v>#VALUE!</v>
          </cell>
          <cell r="Q632" t="e">
            <v>#VALUE!</v>
          </cell>
          <cell r="R632" t="e">
            <v>#VALUE!</v>
          </cell>
          <cell r="S632" t="e">
            <v>#VALUE!</v>
          </cell>
          <cell r="T632" t="e">
            <v>#VALUE!</v>
          </cell>
        </row>
        <row r="633">
          <cell r="B633" t="str">
            <v>FY(4)</v>
          </cell>
          <cell r="C633">
            <v>2.1561601875422998E-2</v>
          </cell>
          <cell r="D633">
            <v>2.5411280152276561E-4</v>
          </cell>
          <cell r="E633">
            <v>-2.1393938601879214E-2</v>
          </cell>
          <cell r="F633">
            <v>-7.9441305607669266E-3</v>
          </cell>
          <cell r="G633">
            <v>6.900297322912996E-2</v>
          </cell>
          <cell r="H633">
            <v>-0.11460282193254578</v>
          </cell>
          <cell r="I633">
            <v>0.11853811351074239</v>
          </cell>
          <cell r="J633">
            <v>9.3451300459465991E-3</v>
          </cell>
          <cell r="M633">
            <v>0.11018247523340219</v>
          </cell>
          <cell r="N633">
            <v>7.0734979476689386E-2</v>
          </cell>
          <cell r="O633">
            <v>0.18512679617819217</v>
          </cell>
          <cell r="P633">
            <v>-1.5293372148977302E-2</v>
          </cell>
          <cell r="Q633">
            <v>6.1735720379371806E-2</v>
          </cell>
          <cell r="R633">
            <v>0.22863787503354716</v>
          </cell>
          <cell r="S633">
            <v>0.29583087856992751</v>
          </cell>
          <cell r="T633">
            <v>0.13385076467459328</v>
          </cell>
        </row>
        <row r="634">
          <cell r="B634" t="str">
            <v>EV/EBITDA</v>
          </cell>
          <cell r="C634">
            <v>-2.2143165486263161E-2</v>
          </cell>
          <cell r="D634">
            <v>2.0634729321014289E-2</v>
          </cell>
          <cell r="E634">
            <v>-8.0452357841947819E-2</v>
          </cell>
          <cell r="F634">
            <v>1.7731647726112465E-2</v>
          </cell>
          <cell r="G634">
            <v>1.3827360645453717</v>
          </cell>
          <cell r="H634">
            <v>-3.1562993578642007E-2</v>
          </cell>
          <cell r="I634">
            <v>-6.6338496178983353E-2</v>
          </cell>
          <cell r="J634">
            <v>0.1743722040723803</v>
          </cell>
          <cell r="M634">
            <v>0.59263440780571308</v>
          </cell>
          <cell r="N634">
            <v>-5.697142755525797E-2</v>
          </cell>
          <cell r="O634">
            <v>0.17529577583992428</v>
          </cell>
          <cell r="P634">
            <v>0.10291877634569246</v>
          </cell>
          <cell r="Q634">
            <v>-9.473057874380908E-2</v>
          </cell>
          <cell r="R634">
            <v>4.655382867374902E-2</v>
          </cell>
          <cell r="S634">
            <v>0.17400533904698468</v>
          </cell>
          <cell r="T634">
            <v>0.13424373163042808</v>
          </cell>
        </row>
        <row r="635">
          <cell r="B635" t="str">
            <v>LTM</v>
          </cell>
          <cell r="C635" t="e">
            <v>#VALUE!</v>
          </cell>
          <cell r="D635" t="e">
            <v>#VALUE!</v>
          </cell>
          <cell r="E635" t="e">
            <v>#VALUE!</v>
          </cell>
          <cell r="F635" t="e">
            <v>#VALUE!</v>
          </cell>
          <cell r="G635" t="e">
            <v>#VALUE!</v>
          </cell>
          <cell r="H635" t="e">
            <v>#VALUE!</v>
          </cell>
          <cell r="I635" t="e">
            <v>#VALUE!</v>
          </cell>
          <cell r="J635" t="e">
            <v>#VALUE!</v>
          </cell>
          <cell r="M635" t="e">
            <v>#VALUE!</v>
          </cell>
          <cell r="N635" t="e">
            <v>#VALUE!</v>
          </cell>
          <cell r="O635" t="e">
            <v>#VALUE!</v>
          </cell>
          <cell r="P635" t="e">
            <v>#VALUE!</v>
          </cell>
          <cell r="Q635" t="e">
            <v>#VALUE!</v>
          </cell>
          <cell r="R635" t="e">
            <v>#VALUE!</v>
          </cell>
          <cell r="S635" t="e">
            <v>#VALUE!</v>
          </cell>
          <cell r="T635" t="e">
            <v>#VALUE!</v>
          </cell>
        </row>
        <row r="636">
          <cell r="B636" t="str">
            <v>FY1</v>
          </cell>
          <cell r="C636" t="e">
            <v>#VALUE!</v>
          </cell>
          <cell r="D636" t="e">
            <v>#VALUE!</v>
          </cell>
          <cell r="E636" t="e">
            <v>#VALUE!</v>
          </cell>
          <cell r="F636" t="e">
            <v>#VALUE!</v>
          </cell>
          <cell r="G636" t="e">
            <v>#VALUE!</v>
          </cell>
          <cell r="H636" t="e">
            <v>#VALUE!</v>
          </cell>
          <cell r="I636" t="e">
            <v>#VALUE!</v>
          </cell>
          <cell r="J636" t="e">
            <v>#VALUE!</v>
          </cell>
          <cell r="M636" t="e">
            <v>#VALUE!</v>
          </cell>
          <cell r="N636" t="e">
            <v>#VALUE!</v>
          </cell>
          <cell r="O636" t="e">
            <v>#VALUE!</v>
          </cell>
          <cell r="P636" t="e">
            <v>#VALUE!</v>
          </cell>
          <cell r="Q636" t="e">
            <v>#VALUE!</v>
          </cell>
          <cell r="R636" t="e">
            <v>#VALUE!</v>
          </cell>
          <cell r="S636" t="e">
            <v>#VALUE!</v>
          </cell>
          <cell r="T636" t="e">
            <v>#VALUE!</v>
          </cell>
        </row>
        <row r="637">
          <cell r="B637" t="str">
            <v>FY2</v>
          </cell>
          <cell r="C637" t="e">
            <v>#VALUE!</v>
          </cell>
          <cell r="D637" t="e">
            <v>#VALUE!</v>
          </cell>
          <cell r="E637" t="e">
            <v>#VALUE!</v>
          </cell>
          <cell r="F637" t="e">
            <v>#VALUE!</v>
          </cell>
          <cell r="G637" t="e">
            <v>#VALUE!</v>
          </cell>
          <cell r="H637" t="e">
            <v>#VALUE!</v>
          </cell>
          <cell r="I637" t="e">
            <v>#VALUE!</v>
          </cell>
          <cell r="J637" t="e">
            <v>#VALUE!</v>
          </cell>
          <cell r="M637" t="e">
            <v>#VALUE!</v>
          </cell>
          <cell r="N637" t="e">
            <v>#VALUE!</v>
          </cell>
          <cell r="O637" t="e">
            <v>#VALUE!</v>
          </cell>
          <cell r="P637" t="e">
            <v>#VALUE!</v>
          </cell>
          <cell r="Q637" t="e">
            <v>#VALUE!</v>
          </cell>
          <cell r="R637" t="e">
            <v>#VALUE!</v>
          </cell>
          <cell r="S637" t="e">
            <v>#VALUE!</v>
          </cell>
          <cell r="T637" t="e">
            <v>#VALUE!</v>
          </cell>
        </row>
        <row r="638">
          <cell r="B638" t="str">
            <v>FY1</v>
          </cell>
          <cell r="C638">
            <v>-2.8074724952320329E-2</v>
          </cell>
          <cell r="D638">
            <v>-0.11729215005712457</v>
          </cell>
          <cell r="E638">
            <v>-1.1424421254705996E-2</v>
          </cell>
          <cell r="F638">
            <v>-0.11479832905532772</v>
          </cell>
          <cell r="G638">
            <v>-0.20385414638272126</v>
          </cell>
          <cell r="H638">
            <v>-6.7073917235653813E-2</v>
          </cell>
          <cell r="I638">
            <v>-3.4972687461026997E-2</v>
          </cell>
          <cell r="J638">
            <v>-8.2498625199840095E-2</v>
          </cell>
          <cell r="M638">
            <v>-0.21661975955999857</v>
          </cell>
          <cell r="N638">
            <v>-5.1055362216858136E-2</v>
          </cell>
          <cell r="O638">
            <v>3.7966668422163119E-2</v>
          </cell>
          <cell r="P638">
            <v>-2.6895424427293202E-2</v>
          </cell>
          <cell r="Q638">
            <v>1.0354936978806961E-3</v>
          </cell>
          <cell r="R638">
            <v>-0.12349306193254084</v>
          </cell>
          <cell r="S638">
            <v>-7.666879196783305E-2</v>
          </cell>
          <cell r="T638">
            <v>-6.5104319712068565E-2</v>
          </cell>
        </row>
        <row r="639">
          <cell r="B639" t="str">
            <v>FCF Yield</v>
          </cell>
          <cell r="C639">
            <v>-1.717080001305693E-2</v>
          </cell>
          <cell r="D639">
            <v>-8.3364925020563696E-3</v>
          </cell>
          <cell r="E639">
            <v>-2.6487959627819579E-2</v>
          </cell>
          <cell r="F639">
            <v>-1.6931885456709206E-2</v>
          </cell>
          <cell r="G639">
            <v>-5.6563156961221495E-2</v>
          </cell>
          <cell r="H639">
            <v>-2.0621464663999056E-3</v>
          </cell>
          <cell r="I639">
            <v>7.9871148560513028E-3</v>
          </cell>
          <cell r="J639">
            <v>-1.708076088160174E-2</v>
          </cell>
          <cell r="M639">
            <v>-2.6007948492032806E-2</v>
          </cell>
          <cell r="N639">
            <v>3.5756463590146836E-2</v>
          </cell>
          <cell r="O639">
            <v>-3.1064536814966459E-2</v>
          </cell>
          <cell r="P639">
            <v>1.2895585404308463E-2</v>
          </cell>
          <cell r="Q639">
            <v>-1.0981203497142378E-3</v>
          </cell>
          <cell r="R639">
            <v>-3.4797680849844359E-2</v>
          </cell>
          <cell r="S639">
            <v>-8.0801684127954743E-2</v>
          </cell>
          <cell r="T639">
            <v>-1.7873988805722472E-2</v>
          </cell>
        </row>
        <row r="640">
          <cell r="B640" t="str">
            <v>FY0</v>
          </cell>
          <cell r="C640" t="e">
            <v>#VALUE!</v>
          </cell>
          <cell r="D640" t="e">
            <v>#VALUE!</v>
          </cell>
          <cell r="E640" t="e">
            <v>#VALUE!</v>
          </cell>
          <cell r="F640" t="e">
            <v>#VALUE!</v>
          </cell>
          <cell r="G640" t="e">
            <v>#VALUE!</v>
          </cell>
          <cell r="H640" t="e">
            <v>#VALUE!</v>
          </cell>
          <cell r="I640" t="e">
            <v>#VALUE!</v>
          </cell>
          <cell r="J640" t="e">
            <v>#VALUE!</v>
          </cell>
          <cell r="M640" t="e">
            <v>#VALUE!</v>
          </cell>
          <cell r="N640" t="e">
            <v>#VALUE!</v>
          </cell>
          <cell r="O640" t="e">
            <v>#VALUE!</v>
          </cell>
          <cell r="P640" t="e">
            <v>#VALUE!</v>
          </cell>
          <cell r="Q640" t="e">
            <v>#VALUE!</v>
          </cell>
          <cell r="R640" t="e">
            <v>#VALUE!</v>
          </cell>
          <cell r="S640" t="e">
            <v>#VALUE!</v>
          </cell>
          <cell r="T640" t="e">
            <v>#VALUE!</v>
          </cell>
        </row>
        <row r="641">
          <cell r="B641" t="str">
            <v>FY1</v>
          </cell>
          <cell r="C641" t="e">
            <v>#VALUE!</v>
          </cell>
          <cell r="D641" t="e">
            <v>#VALUE!</v>
          </cell>
          <cell r="E641" t="e">
            <v>#VALUE!</v>
          </cell>
          <cell r="F641" t="e">
            <v>#VALUE!</v>
          </cell>
          <cell r="G641" t="e">
            <v>#VALUE!</v>
          </cell>
          <cell r="H641" t="e">
            <v>#VALUE!</v>
          </cell>
          <cell r="I641" t="e">
            <v>#VALUE!</v>
          </cell>
          <cell r="J641" t="e">
            <v>#VALUE!</v>
          </cell>
          <cell r="M641" t="e">
            <v>#VALUE!</v>
          </cell>
          <cell r="N641" t="e">
            <v>#VALUE!</v>
          </cell>
          <cell r="O641" t="e">
            <v>#VALUE!</v>
          </cell>
          <cell r="P641" t="e">
            <v>#VALUE!</v>
          </cell>
          <cell r="Q641" t="e">
            <v>#VALUE!</v>
          </cell>
          <cell r="R641" t="e">
            <v>#VALUE!</v>
          </cell>
          <cell r="S641" t="e">
            <v>#VALUE!</v>
          </cell>
          <cell r="T641" t="e">
            <v>#VALUE!</v>
          </cell>
        </row>
        <row r="642">
          <cell r="B642" t="str">
            <v>FY2</v>
          </cell>
          <cell r="C642" t="e">
            <v>#VALUE!</v>
          </cell>
          <cell r="D642" t="e">
            <v>#VALUE!</v>
          </cell>
          <cell r="E642" t="e">
            <v>#VALUE!</v>
          </cell>
          <cell r="F642" t="e">
            <v>#VALUE!</v>
          </cell>
          <cell r="G642" t="e">
            <v>#VALUE!</v>
          </cell>
          <cell r="H642" t="e">
            <v>#VALUE!</v>
          </cell>
          <cell r="I642" t="e">
            <v>#VALUE!</v>
          </cell>
          <cell r="J642" t="e">
            <v>#VALUE!</v>
          </cell>
          <cell r="M642" t="e">
            <v>#VALUE!</v>
          </cell>
          <cell r="N642" t="e">
            <v>#VALUE!</v>
          </cell>
          <cell r="O642" t="e">
            <v>#VALUE!</v>
          </cell>
          <cell r="P642" t="e">
            <v>#VALUE!</v>
          </cell>
          <cell r="Q642" t="e">
            <v>#VALUE!</v>
          </cell>
          <cell r="R642" t="e">
            <v>#VALUE!</v>
          </cell>
          <cell r="S642" t="e">
            <v>#VALUE!</v>
          </cell>
          <cell r="T642" t="e">
            <v>#VALUE!</v>
          </cell>
        </row>
        <row r="643">
          <cell r="B643" t="str">
            <v>FY(4)</v>
          </cell>
          <cell r="C643">
            <v>-1.6104116425834508E-2</v>
          </cell>
          <cell r="D643">
            <v>4.8745887198477236E-2</v>
          </cell>
          <cell r="E643">
            <v>4.739393860187921E-2</v>
          </cell>
          <cell r="F643">
            <v>0.10414967075315233</v>
          </cell>
          <cell r="G643">
            <v>-1.6002973229129962E-2</v>
          </cell>
          <cell r="H643">
            <v>0.10460282193254579</v>
          </cell>
          <cell r="I643">
            <v>-6.8538113510742391E-2</v>
          </cell>
          <cell r="J643">
            <v>2.9178159331478239E-2</v>
          </cell>
          <cell r="M643">
            <v>-9.0182475233402185E-2</v>
          </cell>
          <cell r="N643">
            <v>1.6265020523310608E-2</v>
          </cell>
          <cell r="O643">
            <v>2.887320382180783E-2</v>
          </cell>
          <cell r="P643">
            <v>0.1972933721489773</v>
          </cell>
          <cell r="Q643">
            <v>-6.1735720379371806E-2</v>
          </cell>
          <cell r="R643">
            <v>-0.18863787503354715</v>
          </cell>
          <cell r="S643">
            <v>-7.9830878569927516E-2</v>
          </cell>
          <cell r="T643">
            <v>-2.5422193246021844E-2</v>
          </cell>
        </row>
        <row r="644">
          <cell r="B644" t="str">
            <v>Dividend Yield</v>
          </cell>
          <cell r="C644">
            <v>5.9034041611078461E-2</v>
          </cell>
          <cell r="D644">
            <v>8.3652706789857124E-3</v>
          </cell>
          <cell r="E644">
            <v>9.3452357841947817E-2</v>
          </cell>
          <cell r="F644">
            <v>4.2432082369352635E-2</v>
          </cell>
          <cell r="G644">
            <v>-1.3427360645453716</v>
          </cell>
          <cell r="H644">
            <v>9.1562993578642005E-2</v>
          </cell>
          <cell r="I644">
            <v>8.6338496178983357E-2</v>
          </cell>
          <cell r="J644">
            <v>-0.1373644031837688</v>
          </cell>
          <cell r="M644">
            <v>-0.33263440780571307</v>
          </cell>
          <cell r="N644">
            <v>9.1971427555257973E-2</v>
          </cell>
          <cell r="O644">
            <v>-2.0295775839924285E-2</v>
          </cell>
          <cell r="P644">
            <v>0.10408122365430753</v>
          </cell>
          <cell r="Q644">
            <v>4.4730578743809077E-2</v>
          </cell>
          <cell r="R644">
            <v>-5.6553828673749022E-2</v>
          </cell>
          <cell r="S644">
            <v>-6.5005339046984675E-2</v>
          </cell>
          <cell r="T644">
            <v>-3.3386588773285208E-2</v>
          </cell>
        </row>
        <row r="645">
          <cell r="B645" t="str">
            <v>FY0</v>
          </cell>
          <cell r="C645" t="str">
            <v/>
          </cell>
          <cell r="D645" t="str">
            <v/>
          </cell>
          <cell r="E645" t="str">
            <v/>
          </cell>
          <cell r="F645" t="str">
            <v/>
          </cell>
          <cell r="G645" t="str">
            <v/>
          </cell>
          <cell r="H645" t="str">
            <v/>
          </cell>
          <cell r="I645" t="str">
            <v/>
          </cell>
          <cell r="J645" t="e">
            <v>#NUM!</v>
          </cell>
          <cell r="M645" t="str">
            <v/>
          </cell>
          <cell r="N645" t="str">
            <v/>
          </cell>
          <cell r="O645" t="str">
            <v/>
          </cell>
          <cell r="P645" t="str">
            <v/>
          </cell>
          <cell r="Q645" t="str">
            <v/>
          </cell>
          <cell r="R645" t="str">
            <v/>
          </cell>
          <cell r="S645" t="str">
            <v/>
          </cell>
          <cell r="T645" t="e">
            <v>#NUM!</v>
          </cell>
        </row>
        <row r="646">
          <cell r="B646" t="str">
            <v>FY1</v>
          </cell>
          <cell r="C646" t="str">
            <v/>
          </cell>
          <cell r="D646" t="str">
            <v/>
          </cell>
          <cell r="E646" t="str">
            <v/>
          </cell>
          <cell r="F646" t="str">
            <v/>
          </cell>
          <cell r="G646" t="str">
            <v/>
          </cell>
          <cell r="H646" t="str">
            <v/>
          </cell>
          <cell r="I646" t="str">
            <v/>
          </cell>
          <cell r="J646" t="e">
            <v>#NUM!</v>
          </cell>
          <cell r="M646" t="str">
            <v/>
          </cell>
          <cell r="N646" t="str">
            <v/>
          </cell>
          <cell r="O646" t="str">
            <v/>
          </cell>
          <cell r="P646" t="str">
            <v/>
          </cell>
          <cell r="Q646" t="str">
            <v/>
          </cell>
          <cell r="R646" t="str">
            <v/>
          </cell>
          <cell r="S646" t="str">
            <v/>
          </cell>
          <cell r="T646" t="e">
            <v>#NUM!</v>
          </cell>
        </row>
        <row r="647">
          <cell r="B647" t="str">
            <v>FY2</v>
          </cell>
          <cell r="C647" t="str">
            <v/>
          </cell>
          <cell r="D647" t="str">
            <v/>
          </cell>
          <cell r="E647" t="str">
            <v/>
          </cell>
          <cell r="F647" t="str">
            <v/>
          </cell>
          <cell r="G647" t="str">
            <v/>
          </cell>
          <cell r="H647" t="str">
            <v/>
          </cell>
          <cell r="I647" t="str">
            <v/>
          </cell>
          <cell r="J647" t="e">
            <v>#NUM!</v>
          </cell>
          <cell r="M647" t="str">
            <v/>
          </cell>
          <cell r="N647" t="str">
            <v/>
          </cell>
          <cell r="O647" t="str">
            <v/>
          </cell>
          <cell r="P647" t="str">
            <v/>
          </cell>
          <cell r="Q647" t="str">
            <v/>
          </cell>
          <cell r="R647" t="str">
            <v/>
          </cell>
          <cell r="S647" t="str">
            <v/>
          </cell>
          <cell r="T647" t="e">
            <v>#NUM!</v>
          </cell>
        </row>
        <row r="648">
          <cell r="B648" t="str">
            <v>FY1</v>
          </cell>
          <cell r="C648">
            <v>3.2045591556247421E-2</v>
          </cell>
          <cell r="D648">
            <v>5.1981526084222462E-2</v>
          </cell>
          <cell r="E648">
            <v>-4.4125390416967503E-2</v>
          </cell>
          <cell r="F648">
            <v>5.4178625789718916E-2</v>
          </cell>
          <cell r="G648">
            <v>5.2904749737220258E-2</v>
          </cell>
          <cell r="H648">
            <v>0.12167763905476112</v>
          </cell>
          <cell r="I648">
            <v>7.3259545141423105E-2</v>
          </cell>
          <cell r="J648">
            <v>4.8846040992375106E-2</v>
          </cell>
          <cell r="M648">
            <v>2.1177557729705754E-3</v>
          </cell>
          <cell r="N648">
            <v>0.14143994216824063</v>
          </cell>
          <cell r="O648">
            <v>-8.2462858476940015E-2</v>
          </cell>
          <cell r="P648">
            <v>6.3903958320594201E-2</v>
          </cell>
          <cell r="Q648">
            <v>-2.9552812927526595E-2</v>
          </cell>
          <cell r="R648">
            <v>8.4541000412301337E-2</v>
          </cell>
          <cell r="S648">
            <v>5.9908180705699046E-2</v>
          </cell>
          <cell r="T648">
            <v>3.4270737996477021E-2</v>
          </cell>
        </row>
        <row r="649">
          <cell r="B649" t="str">
            <v>P/Sales</v>
          </cell>
          <cell r="C649">
            <v>4.2170800013056932E-2</v>
          </cell>
          <cell r="D649">
            <v>-1.6635074979436306E-3</v>
          </cell>
          <cell r="E649">
            <v>1.6487959627819578E-2</v>
          </cell>
          <cell r="F649">
            <v>-3.0681145432907946E-3</v>
          </cell>
          <cell r="G649">
            <v>2.6563156961221496E-2</v>
          </cell>
          <cell r="H649">
            <v>2.2062146466399906E-2</v>
          </cell>
          <cell r="I649">
            <v>1.2012885143948698E-2</v>
          </cell>
          <cell r="J649">
            <v>1.6366475167316027E-2</v>
          </cell>
          <cell r="M649">
            <v>-4.4652141651022992E-2</v>
          </cell>
          <cell r="N649">
            <v>4.2435364098531644E-3</v>
          </cell>
          <cell r="O649">
            <v>4.1064536814966461E-2</v>
          </cell>
          <cell r="P649">
            <v>2.7104414595691538E-2</v>
          </cell>
          <cell r="Q649">
            <v>-9.9569220345095619E-3</v>
          </cell>
          <cell r="R649">
            <v>2.2843379017423959E-2</v>
          </cell>
          <cell r="S649">
            <v>0.13265176300151366</v>
          </cell>
          <cell r="T649">
            <v>2.4756938021988032E-2</v>
          </cell>
        </row>
        <row r="650">
          <cell r="B650" t="str">
            <v>FY0</v>
          </cell>
          <cell r="C650" t="e">
            <v>#VALUE!</v>
          </cell>
          <cell r="D650" t="e">
            <v>#VALUE!</v>
          </cell>
          <cell r="E650" t="e">
            <v>#VALUE!</v>
          </cell>
          <cell r="F650" t="e">
            <v>#VALUE!</v>
          </cell>
          <cell r="G650" t="e">
            <v>#VALUE!</v>
          </cell>
          <cell r="H650" t="e">
            <v>#VALUE!</v>
          </cell>
          <cell r="I650" t="e">
            <v>#VALUE!</v>
          </cell>
          <cell r="J650" t="e">
            <v>#VALUE!</v>
          </cell>
          <cell r="M650" t="e">
            <v>#VALUE!</v>
          </cell>
          <cell r="N650" t="e">
            <v>#VALUE!</v>
          </cell>
          <cell r="O650" t="e">
            <v>#VALUE!</v>
          </cell>
          <cell r="P650" t="e">
            <v>#VALUE!</v>
          </cell>
          <cell r="Q650" t="e">
            <v>#VALUE!</v>
          </cell>
          <cell r="R650" t="e">
            <v>#VALUE!</v>
          </cell>
          <cell r="S650" t="e">
            <v>#VALUE!</v>
          </cell>
          <cell r="T650" t="e">
            <v>#VALUE!</v>
          </cell>
        </row>
        <row r="651">
          <cell r="B651" t="str">
            <v>FY1</v>
          </cell>
          <cell r="C651" t="e">
            <v>#VALUE!</v>
          </cell>
          <cell r="D651" t="e">
            <v>#VALUE!</v>
          </cell>
          <cell r="E651" t="e">
            <v>#VALUE!</v>
          </cell>
          <cell r="F651" t="e">
            <v>#VALUE!</v>
          </cell>
          <cell r="G651" t="e">
            <v>#VALUE!</v>
          </cell>
          <cell r="H651" t="e">
            <v>#VALUE!</v>
          </cell>
          <cell r="I651" t="e">
            <v>#VALUE!</v>
          </cell>
          <cell r="J651" t="e">
            <v>#VALUE!</v>
          </cell>
          <cell r="M651" t="e">
            <v>#VALUE!</v>
          </cell>
          <cell r="N651" t="e">
            <v>#VALUE!</v>
          </cell>
          <cell r="O651" t="e">
            <v>#VALUE!</v>
          </cell>
          <cell r="P651" t="e">
            <v>#VALUE!</v>
          </cell>
          <cell r="Q651" t="e">
            <v>#VALUE!</v>
          </cell>
          <cell r="R651" t="e">
            <v>#VALUE!</v>
          </cell>
          <cell r="S651" t="e">
            <v>#VALUE!</v>
          </cell>
          <cell r="T651" t="e">
            <v>#VALUE!</v>
          </cell>
        </row>
        <row r="652">
          <cell r="B652" t="str">
            <v>FY2</v>
          </cell>
          <cell r="C652" t="e">
            <v>#VALUE!</v>
          </cell>
          <cell r="D652" t="e">
            <v>#VALUE!</v>
          </cell>
          <cell r="E652" t="e">
            <v>#VALUE!</v>
          </cell>
          <cell r="F652" t="e">
            <v>#VALUE!</v>
          </cell>
          <cell r="G652" t="e">
            <v>#VALUE!</v>
          </cell>
          <cell r="H652" t="e">
            <v>#VALUE!</v>
          </cell>
          <cell r="I652" t="e">
            <v>#VALUE!</v>
          </cell>
          <cell r="J652" t="e">
            <v>#VALUE!</v>
          </cell>
          <cell r="K652">
            <v>56.223660362650925</v>
          </cell>
          <cell r="M652" t="e">
            <v>#VALUE!</v>
          </cell>
          <cell r="N652" t="e">
            <v>#VALUE!</v>
          </cell>
          <cell r="O652" t="e">
            <v>#VALUE!</v>
          </cell>
          <cell r="P652" t="e">
            <v>#VALUE!</v>
          </cell>
          <cell r="Q652" t="e">
            <v>#VALUE!</v>
          </cell>
          <cell r="R652" t="e">
            <v>#VALUE!</v>
          </cell>
          <cell r="S652" t="e">
            <v>#VALUE!</v>
          </cell>
          <cell r="T652" t="e">
            <v>#VALUE!</v>
          </cell>
          <cell r="U652">
            <v>153.15566538025266</v>
          </cell>
        </row>
        <row r="653">
          <cell r="B653" t="str">
            <v>FY(1)</v>
          </cell>
          <cell r="C653">
            <v>52.896736253201503</v>
          </cell>
          <cell r="D653">
            <v>54.68105065666041</v>
          </cell>
          <cell r="E653">
            <v>55.200986054555663</v>
          </cell>
          <cell r="F653">
            <v>116.0395357985838</v>
          </cell>
          <cell r="G653">
            <v>107.16633806833863</v>
          </cell>
          <cell r="H653">
            <v>44.355497630331755</v>
          </cell>
          <cell r="I653">
            <v>39.693848600778857</v>
          </cell>
          <cell r="K653">
            <v>55.197959773596573</v>
          </cell>
          <cell r="M653">
            <v>242.96088319476624</v>
          </cell>
          <cell r="N653">
            <v>117.81253428199783</v>
          </cell>
          <cell r="O653">
            <v>125.25192944504418</v>
          </cell>
          <cell r="P653">
            <v>837.50417641254148</v>
          </cell>
          <cell r="Q653">
            <v>109.72222222222223</v>
          </cell>
          <cell r="R653">
            <v>252.39239646978953</v>
          </cell>
          <cell r="S653">
            <v>121.88537141352623</v>
          </cell>
          <cell r="U653">
            <v>161.87029690248212</v>
          </cell>
        </row>
        <row r="654">
          <cell r="B654" t="str">
            <v>Current Price/Book Value</v>
          </cell>
          <cell r="C654">
            <v>52.485891828461703</v>
          </cell>
          <cell r="D654">
            <v>53.160526907542184</v>
          </cell>
          <cell r="E654">
            <v>54.889643132953907</v>
          </cell>
          <cell r="F654">
            <v>112.69838123554675</v>
          </cell>
          <cell r="G654">
            <v>101.53403110118391</v>
          </cell>
          <cell r="H654">
            <v>46.163326249732442</v>
          </cell>
          <cell r="I654">
            <v>39.743768451555518</v>
          </cell>
          <cell r="K654">
            <v>54.489639577494366</v>
          </cell>
          <cell r="M654">
            <v>236.73855081325479</v>
          </cell>
          <cell r="N654">
            <v>123.57098885896485</v>
          </cell>
          <cell r="O654">
            <v>115.9958326004987</v>
          </cell>
          <cell r="P654">
            <v>782.12610361811073</v>
          </cell>
          <cell r="Q654">
            <v>98.708860759493675</v>
          </cell>
          <cell r="R654">
            <v>210.0189020305919</v>
          </cell>
          <cell r="S654">
            <v>123.20304255242671</v>
          </cell>
          <cell r="U654">
            <v>150.00822074468337</v>
          </cell>
        </row>
        <row r="655">
          <cell r="B655" t="str">
            <v>FY0</v>
          </cell>
          <cell r="C655" t="e">
            <v>#VALUE!</v>
          </cell>
          <cell r="D655" t="e">
            <v>#VALUE!</v>
          </cell>
          <cell r="E655" t="e">
            <v>#VALUE!</v>
          </cell>
          <cell r="F655" t="e">
            <v>#VALUE!</v>
          </cell>
          <cell r="G655" t="e">
            <v>#VALUE!</v>
          </cell>
          <cell r="H655" t="e">
            <v>#VALUE!</v>
          </cell>
          <cell r="I655" t="e">
            <v>#VALUE!</v>
          </cell>
          <cell r="J655" t="e">
            <v>#VALUE!</v>
          </cell>
          <cell r="K655">
            <v>54.172660862097118</v>
          </cell>
          <cell r="M655" t="e">
            <v>#VALUE!</v>
          </cell>
          <cell r="N655" t="e">
            <v>#VALUE!</v>
          </cell>
          <cell r="O655" t="e">
            <v>#VALUE!</v>
          </cell>
          <cell r="P655" t="e">
            <v>#VALUE!</v>
          </cell>
          <cell r="Q655" t="e">
            <v>#VALUE!</v>
          </cell>
          <cell r="R655" t="e">
            <v>#VALUE!</v>
          </cell>
          <cell r="S655" t="e">
            <v>#VALUE!</v>
          </cell>
          <cell r="T655" t="e">
            <v>#VALUE!</v>
          </cell>
          <cell r="U655">
            <v>149.72934531906631</v>
          </cell>
        </row>
        <row r="656">
          <cell r="B656" t="str">
            <v>FY1</v>
          </cell>
          <cell r="C656" t="e">
            <v>#VALUE!</v>
          </cell>
          <cell r="D656" t="e">
            <v>#VALUE!</v>
          </cell>
          <cell r="E656" t="e">
            <v>#VALUE!</v>
          </cell>
          <cell r="F656" t="e">
            <v>#VALUE!</v>
          </cell>
          <cell r="G656" t="e">
            <v>#VALUE!</v>
          </cell>
          <cell r="H656" t="e">
            <v>#VALUE!</v>
          </cell>
          <cell r="I656" t="e">
            <v>#VALUE!</v>
          </cell>
          <cell r="J656" t="e">
            <v>#VALUE!</v>
          </cell>
          <cell r="K656">
            <v>53.715653746568783</v>
          </cell>
          <cell r="M656" t="e">
            <v>#VALUE!</v>
          </cell>
          <cell r="N656" t="e">
            <v>#VALUE!</v>
          </cell>
          <cell r="O656" t="e">
            <v>#VALUE!</v>
          </cell>
          <cell r="P656" t="e">
            <v>#VALUE!</v>
          </cell>
          <cell r="Q656" t="e">
            <v>#VALUE!</v>
          </cell>
          <cell r="R656" t="e">
            <v>#VALUE!</v>
          </cell>
          <cell r="S656" t="e">
            <v>#VALUE!</v>
          </cell>
          <cell r="T656" t="e">
            <v>#VALUE!</v>
          </cell>
          <cell r="U656">
            <v>154.80379580954013</v>
          </cell>
        </row>
        <row r="657">
          <cell r="B657" t="str">
            <v>FY2</v>
          </cell>
          <cell r="C657" t="e">
            <v>#VALUE!</v>
          </cell>
          <cell r="D657" t="e">
            <v>#VALUE!</v>
          </cell>
          <cell r="E657" t="e">
            <v>#VALUE!</v>
          </cell>
          <cell r="F657" t="e">
            <v>#VALUE!</v>
          </cell>
          <cell r="G657" t="e">
            <v>#VALUE!</v>
          </cell>
          <cell r="H657" t="e">
            <v>#VALUE!</v>
          </cell>
          <cell r="I657" t="e">
            <v>#VALUE!</v>
          </cell>
          <cell r="J657" t="e">
            <v>#VALUE!</v>
          </cell>
          <cell r="M657" t="e">
            <v>#VALUE!</v>
          </cell>
          <cell r="N657" t="e">
            <v>#VALUE!</v>
          </cell>
          <cell r="O657" t="e">
            <v>#VALUE!</v>
          </cell>
          <cell r="P657" t="e">
            <v>#VALUE!</v>
          </cell>
          <cell r="Q657" t="e">
            <v>#VALUE!</v>
          </cell>
          <cell r="R657" t="e">
            <v>#VALUE!</v>
          </cell>
          <cell r="S657" t="e">
            <v>#VALUE!</v>
          </cell>
          <cell r="T657" t="e">
            <v>#VALUE!</v>
          </cell>
        </row>
        <row r="658">
          <cell r="B658" t="str">
            <v>FQ(2)</v>
          </cell>
          <cell r="C658">
            <v>12.814700234691701</v>
          </cell>
          <cell r="D658">
            <v>13.498469709167473</v>
          </cell>
          <cell r="E658">
            <v>12.693797820768248</v>
          </cell>
          <cell r="F658">
            <v>25.437727122563594</v>
          </cell>
          <cell r="G658">
            <v>20.671901141774427</v>
          </cell>
          <cell r="H658">
            <v>12.090222222222222</v>
          </cell>
          <cell r="I658">
            <v>9.2958492215560344</v>
          </cell>
          <cell r="M658">
            <v>53.777736225380202</v>
          </cell>
          <cell r="N658">
            <v>28.662728710283766</v>
          </cell>
          <cell r="O658">
            <v>25.077087883426593</v>
          </cell>
          <cell r="P658">
            <v>203.27393151549455</v>
          </cell>
          <cell r="Q658">
            <v>22.430379746835442</v>
          </cell>
          <cell r="R658">
            <v>44.332051787893519</v>
          </cell>
          <cell r="S658">
            <v>28.918464242741916</v>
          </cell>
        </row>
        <row r="659">
          <cell r="B659" t="str">
            <v>FQ(1)</v>
          </cell>
          <cell r="C659">
            <v>12.881374013228077</v>
          </cell>
          <cell r="D659">
            <v>13.370261720070904</v>
          </cell>
          <cell r="E659">
            <v>12.077279010454861</v>
          </cell>
          <cell r="F659">
            <v>28.694133748643164</v>
          </cell>
          <cell r="G659">
            <v>20.606334745343176</v>
          </cell>
          <cell r="H659">
            <v>12.718133333333334</v>
          </cell>
          <cell r="I659">
            <v>10.001760474286144</v>
          </cell>
          <cell r="M659">
            <v>53.785838942907006</v>
          </cell>
          <cell r="N659">
            <v>30.652612453091901</v>
          </cell>
          <cell r="O659">
            <v>26.417602443171933</v>
          </cell>
          <cell r="P659">
            <v>193.01066015097985</v>
          </cell>
          <cell r="Q659">
            <v>23.11392405063291</v>
          </cell>
          <cell r="R659">
            <v>47.655689419450738</v>
          </cell>
          <cell r="S659">
            <v>32.33000092580037</v>
          </cell>
        </row>
        <row r="660">
          <cell r="B660" t="str">
            <v>mstag:propertyPlantAndEquipmentNet</v>
          </cell>
          <cell r="C660">
            <v>13.694794111371881</v>
          </cell>
          <cell r="D660">
            <v>14.524133621940035</v>
          </cell>
          <cell r="E660">
            <v>13.193502540706465</v>
          </cell>
          <cell r="F660">
            <v>27.41988767756855</v>
          </cell>
          <cell r="G660">
            <v>21.618557551100253</v>
          </cell>
          <cell r="H660">
            <v>12.733822222222223</v>
          </cell>
          <cell r="I660">
            <v>10.927744956920218</v>
          </cell>
          <cell r="M660">
            <v>55.858015457491895</v>
          </cell>
          <cell r="N660">
            <v>35.692474062401246</v>
          </cell>
          <cell r="O660">
            <v>30.54107137185223</v>
          </cell>
          <cell r="P660">
            <v>782.12610361811073</v>
          </cell>
          <cell r="Q660">
            <v>25.924050632911392</v>
          </cell>
          <cell r="R660">
            <v>46.233173981263128</v>
          </cell>
          <cell r="S660">
            <v>34.019254632710343</v>
          </cell>
        </row>
        <row r="661">
          <cell r="B661" t="str">
            <v>Assets</v>
          </cell>
        </row>
        <row r="662">
          <cell r="B662" t="str">
            <v>FY(5)</v>
          </cell>
        </row>
        <row r="663">
          <cell r="B663" t="str">
            <v>FY(4)</v>
          </cell>
        </row>
        <row r="664">
          <cell r="B664" t="str">
            <v>FY(3)</v>
          </cell>
        </row>
        <row r="665">
          <cell r="B665" t="str">
            <v>FY(2)</v>
          </cell>
        </row>
        <row r="666">
          <cell r="B666" t="str">
            <v>FY(1)</v>
          </cell>
        </row>
        <row r="667">
          <cell r="B667" t="str">
            <v>FY0</v>
          </cell>
        </row>
        <row r="668">
          <cell r="B668" t="str">
            <v>FY1</v>
          </cell>
        </row>
        <row r="669">
          <cell r="B669" t="str">
            <v>FY2</v>
          </cell>
        </row>
        <row r="671">
          <cell r="A671" t="str">
            <v>mstag:inventories</v>
          </cell>
        </row>
        <row r="672">
          <cell r="B672" t="str">
            <v>Inventory</v>
          </cell>
        </row>
        <row r="673">
          <cell r="B673" t="str">
            <v>FY(5)</v>
          </cell>
          <cell r="C673">
            <v>1946.9770000000001</v>
          </cell>
          <cell r="D673">
            <v>3142</v>
          </cell>
          <cell r="E673">
            <v>3120</v>
          </cell>
          <cell r="F673">
            <v>917.18200000000002</v>
          </cell>
          <cell r="G673">
            <v>1516.271</v>
          </cell>
          <cell r="H673">
            <v>853.11199999999997</v>
          </cell>
          <cell r="I673">
            <v>2352.0320000000002</v>
          </cell>
          <cell r="M673">
            <v>211.19800000000001</v>
          </cell>
          <cell r="N673">
            <v>81.238</v>
          </cell>
          <cell r="O673">
            <v>170.57599999999999</v>
          </cell>
          <cell r="P673">
            <v>161.91300000000001</v>
          </cell>
          <cell r="Q673">
            <v>1814</v>
          </cell>
          <cell r="R673">
            <v>1142</v>
          </cell>
          <cell r="S673">
            <v>98.995999999999995</v>
          </cell>
        </row>
        <row r="674">
          <cell r="B674" t="str">
            <v>FY(4)</v>
          </cell>
          <cell r="C674">
            <v>2237.5680000000002</v>
          </cell>
          <cell r="D674">
            <v>3210</v>
          </cell>
          <cell r="E674">
            <v>5459</v>
          </cell>
          <cell r="F674">
            <v>955.97799999999995</v>
          </cell>
          <cell r="G674">
            <v>807.21100000000001</v>
          </cell>
          <cell r="H674">
            <v>938.09100000000001</v>
          </cell>
          <cell r="I674">
            <v>2365.8609999999999</v>
          </cell>
          <cell r="M674">
            <v>362.536</v>
          </cell>
          <cell r="N674">
            <v>91.908000000000001</v>
          </cell>
          <cell r="O674">
            <v>210.739</v>
          </cell>
          <cell r="P674">
            <v>184.41900000000001</v>
          </cell>
          <cell r="Q674">
            <v>1696</v>
          </cell>
          <cell r="R674">
            <v>1159.69</v>
          </cell>
          <cell r="S674">
            <v>140.37700000000001</v>
          </cell>
        </row>
        <row r="675">
          <cell r="B675" t="str">
            <v>FY(3)</v>
          </cell>
          <cell r="C675">
            <v>2578.3780000000002</v>
          </cell>
          <cell r="D675">
            <v>3400</v>
          </cell>
          <cell r="E675">
            <v>5317</v>
          </cell>
          <cell r="F675">
            <v>997.28899999999999</v>
          </cell>
          <cell r="G675">
            <v>785.30200000000002</v>
          </cell>
          <cell r="H675">
            <v>1051.729</v>
          </cell>
          <cell r="I675">
            <v>2581.9690000000001</v>
          </cell>
          <cell r="M675">
            <v>427.447</v>
          </cell>
          <cell r="N675">
            <v>101.476</v>
          </cell>
          <cell r="O675">
            <v>263.64400000000001</v>
          </cell>
          <cell r="P675">
            <v>233.494</v>
          </cell>
          <cell r="Q675">
            <v>1796</v>
          </cell>
          <cell r="R675">
            <v>1770</v>
          </cell>
          <cell r="S675">
            <v>154.387</v>
          </cell>
        </row>
        <row r="676">
          <cell r="B676" t="str">
            <v>FY(2)</v>
          </cell>
          <cell r="C676">
            <v>2855.7330000000002</v>
          </cell>
          <cell r="D676">
            <v>3641</v>
          </cell>
          <cell r="E676">
            <v>5060</v>
          </cell>
          <cell r="F676">
            <v>956</v>
          </cell>
          <cell r="G676">
            <v>857.173</v>
          </cell>
          <cell r="H676">
            <v>1025.2950000000001</v>
          </cell>
          <cell r="I676">
            <v>2737.3780000000002</v>
          </cell>
          <cell r="M676">
            <v>333.15300000000002</v>
          </cell>
          <cell r="N676">
            <v>136.488</v>
          </cell>
          <cell r="O676">
            <v>286.48500000000001</v>
          </cell>
          <cell r="P676">
            <v>291.19200000000001</v>
          </cell>
          <cell r="Q676">
            <v>1575</v>
          </cell>
          <cell r="R676">
            <v>1250.625</v>
          </cell>
          <cell r="S676">
            <v>171.92500000000001</v>
          </cell>
        </row>
        <row r="677">
          <cell r="B677" t="str">
            <v>FY(1)</v>
          </cell>
          <cell r="C677">
            <v>2799</v>
          </cell>
          <cell r="D677">
            <v>3259</v>
          </cell>
          <cell r="E677">
            <v>4769</v>
          </cell>
          <cell r="F677">
            <v>900</v>
          </cell>
          <cell r="G677">
            <v>728.84100000000001</v>
          </cell>
          <cell r="H677">
            <v>881.05799999999999</v>
          </cell>
          <cell r="I677">
            <v>2619.3359999999998</v>
          </cell>
          <cell r="M677">
            <v>372.42200000000003</v>
          </cell>
          <cell r="N677">
            <v>126.36</v>
          </cell>
          <cell r="O677">
            <v>294.928</v>
          </cell>
          <cell r="P677">
            <v>318.49</v>
          </cell>
          <cell r="Q677">
            <v>1506</v>
          </cell>
          <cell r="R677">
            <v>1181.865</v>
          </cell>
          <cell r="S677">
            <v>169.69800000000001</v>
          </cell>
        </row>
        <row r="678">
          <cell r="B678" t="str">
            <v>FY0</v>
          </cell>
          <cell r="C678">
            <v>2923</v>
          </cell>
          <cell r="D678">
            <v>3024</v>
          </cell>
          <cell r="E678">
            <v>4615</v>
          </cell>
          <cell r="F678">
            <v>898</v>
          </cell>
          <cell r="G678">
            <v>649.19600000000003</v>
          </cell>
          <cell r="H678">
            <v>872.49800000000005</v>
          </cell>
          <cell r="I678">
            <v>2532.3000000000002</v>
          </cell>
          <cell r="M678">
            <v>310.64499999999998</v>
          </cell>
          <cell r="N678">
            <v>132.91499999999999</v>
          </cell>
          <cell r="O678">
            <v>326.45400000000001</v>
          </cell>
          <cell r="P678">
            <v>326.14800000000002</v>
          </cell>
          <cell r="Q678">
            <v>1477</v>
          </cell>
          <cell r="R678">
            <v>1036.5530000000001</v>
          </cell>
          <cell r="S678">
            <v>186.13</v>
          </cell>
        </row>
        <row r="679">
          <cell r="B679" t="str">
            <v>FY1</v>
          </cell>
          <cell r="C679">
            <v>3123.9971107842498</v>
          </cell>
          <cell r="D679">
            <v>3252.61217088179</v>
          </cell>
          <cell r="E679">
            <v>4721.2360639694298</v>
          </cell>
          <cell r="F679">
            <v>914.11790804880604</v>
          </cell>
          <cell r="G679">
            <v>669.12691891221596</v>
          </cell>
          <cell r="H679">
            <v>834.78757252013304</v>
          </cell>
          <cell r="I679">
            <v>2625.2613280778201</v>
          </cell>
          <cell r="M679">
            <v>258.51078977779201</v>
          </cell>
          <cell r="N679">
            <v>145.12914927307301</v>
          </cell>
          <cell r="O679">
            <v>328.46417729998097</v>
          </cell>
          <cell r="P679">
            <v>343.01583673532502</v>
          </cell>
          <cell r="Q679">
            <v>1540.78859277573</v>
          </cell>
          <cell r="R679">
            <v>1056.0597821485901</v>
          </cell>
          <cell r="S679">
            <v>206.454753751087</v>
          </cell>
        </row>
        <row r="680">
          <cell r="B680" t="str">
            <v>FY2</v>
          </cell>
          <cell r="C680">
            <v>3334.1784300244799</v>
          </cell>
          <cell r="D680">
            <v>3343.2669776559701</v>
          </cell>
          <cell r="E680">
            <v>4712.7406133039703</v>
          </cell>
          <cell r="F680">
            <v>971.95523796844395</v>
          </cell>
          <cell r="G680">
            <v>697.66154527773404</v>
          </cell>
          <cell r="H680">
            <v>872.19591833105596</v>
          </cell>
          <cell r="I680">
            <v>2780.3311198893398</v>
          </cell>
          <cell r="M680">
            <v>269.88188642931402</v>
          </cell>
          <cell r="N680">
            <v>164.92922352314</v>
          </cell>
          <cell r="O680">
            <v>353.36622884730599</v>
          </cell>
          <cell r="P680">
            <v>366.82580611037599</v>
          </cell>
          <cell r="Q680">
            <v>1462.23084953795</v>
          </cell>
          <cell r="R680">
            <v>1070.8595931551099</v>
          </cell>
          <cell r="S680">
            <v>230.21031860692699</v>
          </cell>
        </row>
        <row r="681">
          <cell r="B681" t="str">
            <v>FQ(3)</v>
          </cell>
          <cell r="C681">
            <v>2804</v>
          </cell>
          <cell r="D681">
            <v>3237</v>
          </cell>
          <cell r="E681">
            <v>5026</v>
          </cell>
          <cell r="F681">
            <v>1004</v>
          </cell>
          <cell r="G681">
            <v>779.47400000000005</v>
          </cell>
          <cell r="H681">
            <v>917.66099999999994</v>
          </cell>
          <cell r="I681">
            <v>2817.7</v>
          </cell>
          <cell r="M681">
            <v>274.74200000000002</v>
          </cell>
          <cell r="N681">
            <v>128.929</v>
          </cell>
          <cell r="O681">
            <v>279.233</v>
          </cell>
          <cell r="P681">
            <v>357.67</v>
          </cell>
          <cell r="Q681">
            <v>1393</v>
          </cell>
          <cell r="R681">
            <v>1213.425</v>
          </cell>
          <cell r="S681">
            <v>189.881</v>
          </cell>
        </row>
        <row r="682">
          <cell r="B682" t="str">
            <v>FQ(2)</v>
          </cell>
          <cell r="C682">
            <v>2724</v>
          </cell>
          <cell r="D682">
            <v>3258</v>
          </cell>
          <cell r="E682">
            <v>4634</v>
          </cell>
          <cell r="F682">
            <v>929</v>
          </cell>
          <cell r="G682">
            <v>670.26300000000003</v>
          </cell>
          <cell r="H682">
            <v>926.24400000000003</v>
          </cell>
          <cell r="I682">
            <v>3100.1750000000002</v>
          </cell>
          <cell r="M682">
            <v>325.596</v>
          </cell>
          <cell r="N682">
            <v>200.99299999999999</v>
          </cell>
          <cell r="O682">
            <v>352.81900000000002</v>
          </cell>
          <cell r="P682">
            <v>326.14800000000002</v>
          </cell>
          <cell r="Q682">
            <v>1473</v>
          </cell>
          <cell r="R682">
            <v>1091</v>
          </cell>
          <cell r="S682">
            <v>217.05</v>
          </cell>
        </row>
        <row r="683">
          <cell r="B683" t="str">
            <v>FQ(1)</v>
          </cell>
          <cell r="C683">
            <v>3807</v>
          </cell>
          <cell r="D683">
            <v>4018</v>
          </cell>
          <cell r="E683">
            <v>6406</v>
          </cell>
          <cell r="F683">
            <v>1193</v>
          </cell>
          <cell r="G683">
            <v>799.11</v>
          </cell>
          <cell r="H683">
            <v>1014.638</v>
          </cell>
          <cell r="I683">
            <v>3267.6669999999999</v>
          </cell>
          <cell r="M683">
            <v>347.18</v>
          </cell>
          <cell r="N683">
            <v>221.51599999999999</v>
          </cell>
          <cell r="O683">
            <v>425.41500000000002</v>
          </cell>
          <cell r="P683">
            <v>337.54500000000002</v>
          </cell>
          <cell r="Q683">
            <v>1999</v>
          </cell>
          <cell r="R683">
            <v>1426.4559999999999</v>
          </cell>
          <cell r="S683">
            <v>234.52099999999999</v>
          </cell>
        </row>
        <row r="684">
          <cell r="B684" t="str">
            <v>Last Reported Q</v>
          </cell>
          <cell r="C684">
            <v>2923</v>
          </cell>
          <cell r="D684">
            <v>3024</v>
          </cell>
          <cell r="E684">
            <v>4615</v>
          </cell>
          <cell r="F684">
            <v>898</v>
          </cell>
          <cell r="G684">
            <v>649.19600000000003</v>
          </cell>
          <cell r="H684">
            <v>872.49800000000005</v>
          </cell>
          <cell r="I684">
            <v>2532.3000000000002</v>
          </cell>
          <cell r="M684">
            <v>310.64499999999998</v>
          </cell>
          <cell r="N684">
            <v>132.91499999999999</v>
          </cell>
          <cell r="O684">
            <v>326.45400000000001</v>
          </cell>
          <cell r="P684">
            <v>269.2</v>
          </cell>
          <cell r="Q684">
            <v>1477</v>
          </cell>
          <cell r="R684">
            <v>1036.5530000000001</v>
          </cell>
          <cell r="S684">
            <v>186.13</v>
          </cell>
        </row>
        <row r="686">
          <cell r="B686" t="str">
            <v>Inventory/Store</v>
          </cell>
        </row>
        <row r="687">
          <cell r="B687" t="str">
            <v>FY(5)</v>
          </cell>
          <cell r="C687">
            <v>3.5922084870848709</v>
          </cell>
          <cell r="D687">
            <v>3.1016781836130308E-2</v>
          </cell>
          <cell r="E687">
            <v>1.9948849104859334E-2</v>
          </cell>
          <cell r="F687">
            <v>4.7511305654122094E-2</v>
          </cell>
          <cell r="G687">
            <v>0.20216946666666666</v>
          </cell>
          <cell r="H687">
            <v>5.5930767717825999E-2</v>
          </cell>
          <cell r="I687">
            <v>3.5904500213714365E-2</v>
          </cell>
          <cell r="M687">
            <v>3.7781395348837211E-2</v>
          </cell>
          <cell r="N687">
            <v>4.1062350195056017E-2</v>
          </cell>
          <cell r="O687">
            <v>3.7571019989669815E-2</v>
          </cell>
          <cell r="P687">
            <v>0.20698026111422885</v>
          </cell>
          <cell r="Q687">
            <v>4.9562841530054642E-2</v>
          </cell>
          <cell r="R687">
            <v>0.11075550383086025</v>
          </cell>
          <cell r="S687">
            <v>5.6573701081058525E-2</v>
          </cell>
        </row>
        <row r="688">
          <cell r="B688" t="str">
            <v>FY(4)</v>
          </cell>
          <cell r="C688">
            <v>3.5126656200941917</v>
          </cell>
          <cell r="D688">
            <v>3.1656804733727811E-2</v>
          </cell>
          <cell r="E688">
            <v>3.4904092071611256E-2</v>
          </cell>
          <cell r="F688">
            <v>4.8353759388988643E-2</v>
          </cell>
          <cell r="G688">
            <v>0.10762813333333333</v>
          </cell>
          <cell r="H688">
            <v>5.4165425255499743E-2</v>
          </cell>
          <cell r="I688">
            <v>3.3522649663478565E-2</v>
          </cell>
          <cell r="M688">
            <v>6.0171950207468877E-2</v>
          </cell>
          <cell r="N688">
            <v>3.872296948566975E-2</v>
          </cell>
          <cell r="O688">
            <v>4.4157061087856289E-2</v>
          </cell>
          <cell r="P688">
            <v>0.20381483495351646</v>
          </cell>
          <cell r="Q688">
            <v>4.4867724867724869E-2</v>
          </cell>
          <cell r="R688">
            <v>0.11247114731839783</v>
          </cell>
          <cell r="S688">
            <v>6.6417827118810877E-2</v>
          </cell>
        </row>
        <row r="689">
          <cell r="B689" t="str">
            <v>FY(3)</v>
          </cell>
          <cell r="C689">
            <v>3.5223743169398909</v>
          </cell>
          <cell r="D689">
            <v>3.2977691561590687E-2</v>
          </cell>
          <cell r="E689">
            <v>3.3996163682864448E-2</v>
          </cell>
          <cell r="F689">
            <v>4.9567047713717692E-2</v>
          </cell>
          <cell r="G689">
            <v>0.10470693333333334</v>
          </cell>
          <cell r="H689">
            <v>5.6417176268640706E-2</v>
          </cell>
          <cell r="I689">
            <v>3.4897603633070678E-2</v>
          </cell>
          <cell r="M689">
            <v>6.3864784102793962E-2</v>
          </cell>
          <cell r="N689">
            <v>3.8642802741812643E-2</v>
          </cell>
          <cell r="O689">
            <v>5.0964756870443342E-2</v>
          </cell>
          <cell r="P689">
            <v>0.22479120836803163</v>
          </cell>
          <cell r="Q689">
            <v>4.6051282051282054E-2</v>
          </cell>
          <cell r="R689">
            <v>0.17166133255746291</v>
          </cell>
          <cell r="S689">
            <v>6.1813201112411009E-2</v>
          </cell>
        </row>
        <row r="690">
          <cell r="B690" t="str">
            <v>FY(2)</v>
          </cell>
          <cell r="C690">
            <v>3.495389228886169</v>
          </cell>
          <cell r="D690">
            <v>3.4155722326454037E-2</v>
          </cell>
          <cell r="E690">
            <v>3.2653377301385511E-2</v>
          </cell>
          <cell r="F690">
            <v>4.7010228166797799E-2</v>
          </cell>
          <cell r="G690">
            <v>0.11369850112747049</v>
          </cell>
          <cell r="H690">
            <v>4.8592180094786733E-2</v>
          </cell>
          <cell r="I690">
            <v>3.5820177963883801E-2</v>
          </cell>
          <cell r="M690">
            <v>4.5407250919994549E-2</v>
          </cell>
          <cell r="N690">
            <v>4.6500187039173288E-2</v>
          </cell>
          <cell r="O690">
            <v>5.0173101886327197E-2</v>
          </cell>
          <cell r="P690">
            <v>0.23790759748392731</v>
          </cell>
          <cell r="Q690">
            <v>3.9772727272727272E-2</v>
          </cell>
          <cell r="R690">
            <v>0.12129036950829211</v>
          </cell>
          <cell r="S690">
            <v>5.9560927615761435E-2</v>
          </cell>
        </row>
        <row r="691">
          <cell r="B691" t="str">
            <v>FY(1)</v>
          </cell>
          <cell r="C691">
            <v>3.0129171151776104</v>
          </cell>
          <cell r="D691">
            <v>2.9844988318980185E-2</v>
          </cell>
          <cell r="E691">
            <v>3.0949244277731991E-2</v>
          </cell>
          <cell r="F691">
            <v>4.247486903582047E-2</v>
          </cell>
          <cell r="G691">
            <v>9.6932003937825792E-2</v>
          </cell>
          <cell r="H691">
            <v>3.9158133333333331E-2</v>
          </cell>
          <cell r="I691">
            <v>3.3125257655656222E-2</v>
          </cell>
          <cell r="M691">
            <v>4.7992525773195877E-2</v>
          </cell>
          <cell r="N691">
            <v>3.8470273828218472E-2</v>
          </cell>
          <cell r="O691">
            <v>4.6605596849767082E-2</v>
          </cell>
          <cell r="P691">
            <v>0.21723459014982835</v>
          </cell>
          <cell r="Q691">
            <v>3.8126582278481015E-2</v>
          </cell>
          <cell r="R691">
            <v>0.10844489507537872</v>
          </cell>
          <cell r="S691">
            <v>5.0495503885011242E-2</v>
          </cell>
        </row>
        <row r="692">
          <cell r="B692" t="str">
            <v>FY0</v>
          </cell>
          <cell r="C692">
            <v>2.9113545816733066</v>
          </cell>
          <cell r="D692">
            <v>2.7318021416815018E-2</v>
          </cell>
          <cell r="E692">
            <v>2.9889896373056994E-2</v>
          </cell>
          <cell r="F692">
            <v>4.0224865058567941E-2</v>
          </cell>
          <cell r="G692">
            <v>8.6639688600556014E-2</v>
          </cell>
          <cell r="H692">
            <v>3.6814261603375531E-2</v>
          </cell>
          <cell r="I692">
            <v>3.0962136448200613E-2</v>
          </cell>
          <cell r="M692">
            <v>3.9587740537785139E-2</v>
          </cell>
          <cell r="N692">
            <v>3.8769084837835754E-2</v>
          </cell>
          <cell r="O692">
            <v>5.0977699540230355E-2</v>
          </cell>
          <cell r="P692">
            <v>0.19290833500424975</v>
          </cell>
          <cell r="Q692">
            <v>3.8067010309278351E-2</v>
          </cell>
          <cell r="R692">
            <v>9.4809567364858696E-2</v>
          </cell>
          <cell r="S692">
            <v>4.995653032417971E-2</v>
          </cell>
        </row>
        <row r="693">
          <cell r="B693" t="str">
            <v>FY1</v>
          </cell>
          <cell r="C693">
            <v>2.9527382899662098</v>
          </cell>
          <cell r="D693">
            <v>2.9330300917219145E-2</v>
          </cell>
          <cell r="E693">
            <v>3.0470411154580945E-2</v>
          </cell>
          <cell r="F693">
            <v>3.9293073303284999E-2</v>
          </cell>
          <cell r="G693">
            <v>8.8609781426668283E-2</v>
          </cell>
          <cell r="H693">
            <v>3.3681465125949293E-2</v>
          </cell>
          <cell r="I693">
            <v>3.0667679893737684E-2</v>
          </cell>
          <cell r="M693">
            <v>3.1708217119172578E-2</v>
          </cell>
          <cell r="N693">
            <v>4.0112064796655827E-2</v>
          </cell>
          <cell r="O693">
            <v>5.2295895435949875E-2</v>
          </cell>
          <cell r="P693">
            <v>0.18614099688799227</v>
          </cell>
          <cell r="Q693">
            <v>4.0743780641510838E-2</v>
          </cell>
          <cell r="R693">
            <v>9.7251438577294805E-2</v>
          </cell>
          <cell r="S693">
            <v>4.9148885064112975E-2</v>
          </cell>
        </row>
        <row r="694">
          <cell r="B694" t="str">
            <v>FY2</v>
          </cell>
          <cell r="C694">
            <v>3.0645022334783825</v>
          </cell>
          <cell r="D694">
            <v>3.0012585207337347E-2</v>
          </cell>
          <cell r="E694">
            <v>3.0433400395724029E-2</v>
          </cell>
          <cell r="F694">
            <v>4.0138235427392123E-2</v>
          </cell>
          <cell r="G694">
            <v>8.8748465123669365E-2</v>
          </cell>
          <cell r="H694">
            <v>3.3440798480200512E-2</v>
          </cell>
          <cell r="I694">
            <v>3.1080543928809247E-2</v>
          </cell>
          <cell r="M694">
            <v>3.0938014934536497E-2</v>
          </cell>
          <cell r="N694">
            <v>4.1486904049822193E-2</v>
          </cell>
          <cell r="O694">
            <v>5.2958724188948397E-2</v>
          </cell>
          <cell r="P694">
            <v>0.18836190825466373</v>
          </cell>
          <cell r="Q694">
            <v>4.0043346162256285E-2</v>
          </cell>
          <cell r="R694">
            <v>9.7349787106169941E-2</v>
          </cell>
          <cell r="S694">
            <v>4.9120105458739363E-2</v>
          </cell>
        </row>
        <row r="696">
          <cell r="B696" t="str">
            <v>Inventory/Store Y/Y ∆</v>
          </cell>
        </row>
        <row r="697">
          <cell r="B697" t="str">
            <v>FY(5)</v>
          </cell>
        </row>
        <row r="698">
          <cell r="B698" t="str">
            <v>FY(4)</v>
          </cell>
          <cell r="C698">
            <v>-2.2143165486263161E-2</v>
          </cell>
          <cell r="D698">
            <v>2.0634729321014289E-2</v>
          </cell>
          <cell r="E698">
            <v>0.7496794871794874</v>
          </cell>
          <cell r="F698">
            <v>1.7731647726112465E-2</v>
          </cell>
          <cell r="G698">
            <v>-0.46763408388078387</v>
          </cell>
          <cell r="H698">
            <v>-3.1562993578642007E-2</v>
          </cell>
          <cell r="I698">
            <v>-6.6338496178983353E-2</v>
          </cell>
          <cell r="J698">
            <v>2.8623875014563111E-2</v>
          </cell>
          <cell r="M698">
            <v>0.59263440780571308</v>
          </cell>
          <cell r="N698">
            <v>-5.697142755525797E-2</v>
          </cell>
          <cell r="O698">
            <v>0.17529577583992428</v>
          </cell>
          <cell r="P698">
            <v>-1.5293372148977302E-2</v>
          </cell>
          <cell r="Q698">
            <v>-9.473057874380908E-2</v>
          </cell>
          <cell r="R698">
            <v>1.5490367775831793E-2</v>
          </cell>
          <cell r="S698">
            <v>0.17400533904698468</v>
          </cell>
          <cell r="T698">
            <v>0.11291864457434421</v>
          </cell>
        </row>
        <row r="699">
          <cell r="B699" t="str">
            <v>FY(3)</v>
          </cell>
          <cell r="C699">
            <v>2.7639114836779388E-3</v>
          </cell>
          <cell r="D699">
            <v>4.1725210076416053E-2</v>
          </cell>
          <cell r="E699">
            <v>-2.6012090126396936E-2</v>
          </cell>
          <cell r="F699">
            <v>2.5091913018977063E-2</v>
          </cell>
          <cell r="G699">
            <v>-2.7141602381533403E-2</v>
          </cell>
          <cell r="H699">
            <v>4.1571740691029202E-2</v>
          </cell>
          <cell r="I699">
            <v>4.1015670998407527E-2</v>
          </cell>
          <cell r="J699">
            <v>1.4144964822939634E-2</v>
          </cell>
          <cell r="M699">
            <v>6.1371351312238254E-2</v>
          </cell>
          <cell r="N699">
            <v>-2.0702633326397102E-3</v>
          </cell>
          <cell r="O699">
            <v>0.15417003792535566</v>
          </cell>
          <cell r="P699">
            <v>0.10291877634569246</v>
          </cell>
          <cell r="Q699">
            <v>2.6378809869376019E-2</v>
          </cell>
          <cell r="R699">
            <v>0.52626995145254329</v>
          </cell>
          <cell r="S699">
            <v>-6.9328163930490017E-2</v>
          </cell>
          <cell r="T699">
            <v>0.11424435709172513</v>
          </cell>
        </row>
        <row r="700">
          <cell r="B700" t="str">
            <v>FY(2)</v>
          </cell>
          <cell r="C700">
            <v>-7.661050650961343E-3</v>
          </cell>
          <cell r="D700">
            <v>3.5722050546297401E-2</v>
          </cell>
          <cell r="E700">
            <v>-3.9498173794114355E-2</v>
          </cell>
          <cell r="F700">
            <v>-5.1583050935113395E-2</v>
          </cell>
          <cell r="G700">
            <v>8.5873661923729472E-2</v>
          </cell>
          <cell r="H700">
            <v>-0.13869882704858927</v>
          </cell>
          <cell r="I700">
            <v>2.643660981749596E-2</v>
          </cell>
          <cell r="J700">
            <v>-1.2772682877322219E-2</v>
          </cell>
          <cell r="M700">
            <v>-0.28900956046592086</v>
          </cell>
          <cell r="N700">
            <v>0.2033337061459759</v>
          </cell>
          <cell r="O700">
            <v>-1.5533380962232335E-2</v>
          </cell>
          <cell r="P700">
            <v>5.8349208632845428E-2</v>
          </cell>
          <cell r="Q700">
            <v>-0.13633832759667952</v>
          </cell>
          <cell r="R700">
            <v>-0.29343220338983056</v>
          </cell>
          <cell r="S700">
            <v>-3.6436771694668968E-2</v>
          </cell>
          <cell r="T700">
            <v>-7.2723904190072991E-2</v>
          </cell>
        </row>
        <row r="701">
          <cell r="B701" t="str">
            <v>FY(1)</v>
          </cell>
          <cell r="C701">
            <v>-0.13803101231799064</v>
          </cell>
          <cell r="D701">
            <v>-0.1262082519079134</v>
          </cell>
          <cell r="E701">
            <v>-5.2188568671615254E-2</v>
          </cell>
          <cell r="F701">
            <v>-9.6476007622965487E-2</v>
          </cell>
          <cell r="G701">
            <v>-0.14746454019518973</v>
          </cell>
          <cell r="H701">
            <v>-0.19414742748834901</v>
          </cell>
          <cell r="I701">
            <v>-7.5234699027591945E-2</v>
          </cell>
          <cell r="J701">
            <v>-0.11853578674737364</v>
          </cell>
          <cell r="M701">
            <v>5.6935286783964534E-2</v>
          </cell>
          <cell r="N701">
            <v>-0.17268561101034174</v>
          </cell>
          <cell r="O701">
            <v>-7.1103936221497688E-2</v>
          </cell>
          <cell r="P701">
            <v>-8.689511202136202E-2</v>
          </cell>
          <cell r="Q701">
            <v>-4.1388788426763079E-2</v>
          </cell>
          <cell r="R701">
            <v>-0.10590679610416398</v>
          </cell>
          <cell r="S701">
            <v>-0.15220420657705191</v>
          </cell>
          <cell r="T701">
            <v>-8.1892737653887979E-2</v>
          </cell>
        </row>
        <row r="702">
          <cell r="B702" t="str">
            <v>FY0</v>
          </cell>
          <cell r="C702">
            <v>-3.3709036665058312E-2</v>
          </cell>
          <cell r="D702">
            <v>-8.4669723276725839E-2</v>
          </cell>
          <cell r="E702">
            <v>-3.4228554828952595E-2</v>
          </cell>
          <cell r="F702">
            <v>-5.2972593637782062E-2</v>
          </cell>
          <cell r="G702">
            <v>-0.1061807753801467</v>
          </cell>
          <cell r="H702">
            <v>-5.9856574622840331E-2</v>
          </cell>
          <cell r="I702">
            <v>-6.5301264368769374E-2</v>
          </cell>
          <cell r="J702">
            <v>-6.2416931825753599E-2</v>
          </cell>
          <cell r="M702">
            <v>-0.17512696195924871</v>
          </cell>
          <cell r="N702">
            <v>7.767322139467181E-3</v>
          </cell>
          <cell r="O702">
            <v>9.3810679102699357E-2</v>
          </cell>
          <cell r="P702">
            <v>-0.1119814994877224</v>
          </cell>
          <cell r="Q702">
            <v>-1.5624786079051489E-3</v>
          </cell>
          <cell r="R702">
            <v>-0.12573508140740297</v>
          </cell>
          <cell r="S702">
            <v>-1.0673694078959683E-2</v>
          </cell>
          <cell r="T702">
            <v>-4.6214530614153197E-2</v>
          </cell>
        </row>
        <row r="703">
          <cell r="B703" t="str">
            <v>FY1</v>
          </cell>
          <cell r="C703">
            <v>1.4214588821783947E-2</v>
          </cell>
          <cell r="D703">
            <v>7.3661246167905592E-2</v>
          </cell>
          <cell r="E703">
            <v>1.9421772972328943E-2</v>
          </cell>
          <cell r="F703">
            <v>-2.3164571314937654E-2</v>
          </cell>
          <cell r="G703">
            <v>2.2738918594169766E-2</v>
          </cell>
          <cell r="H703">
            <v>-8.5097360125755972E-2</v>
          </cell>
          <cell r="I703">
            <v>-9.5102143534426808E-3</v>
          </cell>
          <cell r="J703">
            <v>1.7520543945788486E-3</v>
          </cell>
          <cell r="M703">
            <v>-0.19903948322314147</v>
          </cell>
          <cell r="N703">
            <v>3.464048647105078E-2</v>
          </cell>
          <cell r="O703">
            <v>2.5858285242535084E-2</v>
          </cell>
          <cell r="P703">
            <v>-3.5080589525115169E-2</v>
          </cell>
          <cell r="Q703">
            <v>7.0317324909018541E-2</v>
          </cell>
          <cell r="R703">
            <v>2.5755535863158041E-2</v>
          </cell>
          <cell r="S703">
            <v>-1.6166960652105655E-2</v>
          </cell>
          <cell r="T703">
            <v>-1.3387914416371407E-2</v>
          </cell>
        </row>
        <row r="704">
          <cell r="B704" t="str">
            <v>FY2</v>
          </cell>
          <cell r="C704">
            <v>3.7850948013903318E-2</v>
          </cell>
          <cell r="D704">
            <v>2.3262096493447348E-2</v>
          </cell>
          <cell r="E704">
            <v>-1.214645863134356E-3</v>
          </cell>
          <cell r="F704">
            <v>2.1509188593717532E-2</v>
          </cell>
          <cell r="G704">
            <v>1.5651059597281414E-3</v>
          </cell>
          <cell r="H704">
            <v>-7.1453734227067134E-3</v>
          </cell>
          <cell r="I704">
            <v>1.3462512863774423E-2</v>
          </cell>
          <cell r="J704">
            <v>1.2755690376961384E-2</v>
          </cell>
          <cell r="M704">
            <v>-2.4290302470849845E-2</v>
          </cell>
          <cell r="N704">
            <v>3.427495592999219E-2</v>
          </cell>
          <cell r="O704">
            <v>1.2674584639445152E-2</v>
          </cell>
          <cell r="P704">
            <v>1.1931339166555865E-2</v>
          </cell>
          <cell r="Q704">
            <v>-1.7191199938400681E-2</v>
          </cell>
          <cell r="R704">
            <v>1.0112809672935263E-3</v>
          </cell>
          <cell r="S704">
            <v>-5.8555967924944774E-4</v>
          </cell>
          <cell r="T704">
            <v>2.5464426592552514E-3</v>
          </cell>
        </row>
        <row r="706">
          <cell r="B706" t="str">
            <v>Sales Y/Y ∆ - Inventory Y/Y ∆</v>
          </cell>
        </row>
        <row r="707">
          <cell r="B707" t="str">
            <v>FY(5)</v>
          </cell>
        </row>
        <row r="708">
          <cell r="B708" t="str">
            <v>FY(4)</v>
          </cell>
          <cell r="C708">
            <v>1.4747710638552139E-2</v>
          </cell>
          <cell r="D708">
            <v>8.3652706789857124E-3</v>
          </cell>
          <cell r="E708">
            <v>-0.73667948717948739</v>
          </cell>
          <cell r="F708">
            <v>4.2432082369352635E-2</v>
          </cell>
          <cell r="G708">
            <v>0.5076340838807839</v>
          </cell>
          <cell r="H708">
            <v>9.1562993578642005E-2</v>
          </cell>
          <cell r="I708">
            <v>8.6338496178983357E-2</v>
          </cell>
          <cell r="J708">
            <v>2.0573071636874668E-3</v>
          </cell>
          <cell r="M708">
            <v>-0.33263440780571307</v>
          </cell>
          <cell r="N708">
            <v>9.1971427555257973E-2</v>
          </cell>
          <cell r="O708">
            <v>-2.0295775839924285E-2</v>
          </cell>
          <cell r="P708">
            <v>0.1972933721489773</v>
          </cell>
          <cell r="Q708">
            <v>4.4730578743809077E-2</v>
          </cell>
          <cell r="R708">
            <v>-2.5490367775831795E-2</v>
          </cell>
          <cell r="S708">
            <v>-6.5005339046984675E-2</v>
          </cell>
          <cell r="T708">
            <v>-1.5632930288629925E-2</v>
          </cell>
        </row>
        <row r="709">
          <cell r="B709" t="str">
            <v>FY(3)</v>
          </cell>
          <cell r="C709">
            <v>5.6236088516322058E-2</v>
          </cell>
          <cell r="D709">
            <v>-4.7252100764160546E-3</v>
          </cell>
          <cell r="E709">
            <v>7.0012090126396934E-2</v>
          </cell>
          <cell r="F709">
            <v>4.9908086981022934E-2</v>
          </cell>
          <cell r="G709">
            <v>7.6141602381533405E-2</v>
          </cell>
          <cell r="H709">
            <v>-1.5717406910292012E-3</v>
          </cell>
          <cell r="I709">
            <v>-1.0156709984075266E-3</v>
          </cell>
          <cell r="J709">
            <v>3.4997892319917505E-2</v>
          </cell>
          <cell r="M709">
            <v>-5.1371351312238252E-2</v>
          </cell>
          <cell r="N709">
            <v>2.2145462454071209E-2</v>
          </cell>
          <cell r="O709">
            <v>-3.4170037925355667E-2</v>
          </cell>
          <cell r="P709">
            <v>0.10408122365430753</v>
          </cell>
          <cell r="Q709">
            <v>-9.6378809869376025E-2</v>
          </cell>
          <cell r="R709">
            <v>-0.45626995145254329</v>
          </cell>
          <cell r="S709">
            <v>7.328163930490017E-3</v>
          </cell>
          <cell r="T709">
            <v>-7.209075721723493E-2</v>
          </cell>
        </row>
        <row r="710">
          <cell r="B710" t="str">
            <v>FY(2)</v>
          </cell>
          <cell r="C710">
            <v>-3.3775957382118672E-4</v>
          </cell>
          <cell r="D710">
            <v>-4.6722050546297397E-2</v>
          </cell>
          <cell r="E710">
            <v>2.6498173794114357E-2</v>
          </cell>
          <cell r="F710">
            <v>9.0583050935113402E-2</v>
          </cell>
          <cell r="G710">
            <v>3.2021143403546531E-2</v>
          </cell>
          <cell r="H710">
            <v>0.14869882704858928</v>
          </cell>
          <cell r="I710">
            <v>1.3563390182504041E-2</v>
          </cell>
          <cell r="J710">
            <v>3.7757825034821287E-2</v>
          </cell>
          <cell r="M710">
            <v>0.27900956046592085</v>
          </cell>
          <cell r="N710">
            <v>-0.1703337061459759</v>
          </cell>
          <cell r="O710">
            <v>2.5533380962232337E-2</v>
          </cell>
          <cell r="P710">
            <v>0.16465079136715458</v>
          </cell>
          <cell r="Q710">
            <v>9.6338327596679513E-2</v>
          </cell>
          <cell r="R710">
            <v>0.27343220338983054</v>
          </cell>
          <cell r="S710">
            <v>9.1436771694668961E-2</v>
          </cell>
          <cell r="T710">
            <v>0.10858104704721584</v>
          </cell>
        </row>
        <row r="711">
          <cell r="B711" t="str">
            <v>FY(1)</v>
          </cell>
          <cell r="C711">
            <v>6.9031012317990637E-2</v>
          </cell>
          <cell r="D711">
            <v>4.1208251907913399E-2</v>
          </cell>
          <cell r="E711">
            <v>7.1885686716152558E-3</v>
          </cell>
          <cell r="F711">
            <v>6.0835338562304914E-3</v>
          </cell>
          <cell r="G711">
            <v>8.6464540195189732E-2</v>
          </cell>
          <cell r="H711">
            <v>0.214147427488349</v>
          </cell>
          <cell r="I711">
            <v>6.8032782451344309E-2</v>
          </cell>
          <cell r="J711">
            <v>7.0308016698376122E-2</v>
          </cell>
          <cell r="M711">
            <v>-0.18693528678396454</v>
          </cell>
          <cell r="N711">
            <v>0.25268561101034176</v>
          </cell>
          <cell r="O711">
            <v>-2.8635683166373813E-2</v>
          </cell>
          <cell r="P711">
            <v>0.18489511202136202</v>
          </cell>
          <cell r="Q711">
            <v>-7.8611211573236917E-2</v>
          </cell>
          <cell r="R711">
            <v>2.1599926344653575E-2</v>
          </cell>
          <cell r="S711">
            <v>0.23020420657705193</v>
          </cell>
          <cell r="T711">
            <v>5.6457524918547719E-2</v>
          </cell>
        </row>
        <row r="712">
          <cell r="B712" t="str">
            <v>FY0</v>
          </cell>
          <cell r="C712">
            <v>4.0263149723217484E-2</v>
          </cell>
          <cell r="D712">
            <v>2.1590798269081543E-2</v>
          </cell>
          <cell r="E712">
            <v>-1.8771445171047403E-2</v>
          </cell>
          <cell r="F712">
            <v>1.8747962976605061E-2</v>
          </cell>
          <cell r="G712">
            <v>-4.0819224619853295E-2</v>
          </cell>
          <cell r="H712">
            <v>0.12128599911234253</v>
          </cell>
          <cell r="I712">
            <v>0.12204341768520897</v>
          </cell>
          <cell r="J712">
            <v>3.7762951139364988E-2</v>
          </cell>
          <cell r="M712">
            <v>-5.4873038040751304E-2</v>
          </cell>
          <cell r="N712">
            <v>9.4532305008133824E-2</v>
          </cell>
          <cell r="O712">
            <v>-0.13003070225556915</v>
          </cell>
          <cell r="P712">
            <v>4.3981499487722397E-2</v>
          </cell>
          <cell r="Q712">
            <v>-2.8376240839865553E-2</v>
          </cell>
          <cell r="R712">
            <v>8.7525402527508067E-2</v>
          </cell>
          <cell r="S712">
            <v>-1.2583025527034417E-2</v>
          </cell>
          <cell r="T712">
            <v>2.5171480020552993E-5</v>
          </cell>
        </row>
        <row r="713">
          <cell r="B713" t="str">
            <v>FY1</v>
          </cell>
          <cell r="C713">
            <v>3.8189580671070554E-2</v>
          </cell>
          <cell r="D713">
            <v>-5.5057896267013295E-2</v>
          </cell>
          <cell r="E713">
            <v>2.4258000180453758E-2</v>
          </cell>
          <cell r="F713">
            <v>6.2896131621855561E-2</v>
          </cell>
          <cell r="G713">
            <v>1.9853019004442134E-2</v>
          </cell>
          <cell r="H713">
            <v>0.13802114106915758</v>
          </cell>
          <cell r="I713">
            <v>4.8249392988002279E-2</v>
          </cell>
          <cell r="J713">
            <v>3.9487052752566934E-2</v>
          </cell>
          <cell r="M713">
            <v>0.15522199481682566</v>
          </cell>
          <cell r="N713">
            <v>1.6591947791695233E-3</v>
          </cell>
          <cell r="O713">
            <v>7.6484708422973127E-3</v>
          </cell>
          <cell r="P713">
            <v>5.6873403718557966E-2</v>
          </cell>
          <cell r="Q713">
            <v>-6.3855583503323071E-2</v>
          </cell>
          <cell r="R713">
            <v>4.4144378659531358E-2</v>
          </cell>
          <cell r="S713">
            <v>8.181051279234966E-2</v>
          </cell>
          <cell r="T713">
            <v>4.0500338872201204E-2</v>
          </cell>
        </row>
        <row r="714">
          <cell r="B714" t="str">
            <v>FY2</v>
          </cell>
          <cell r="C714">
            <v>2.1490519860966825E-3</v>
          </cell>
          <cell r="D714">
            <v>-3.262096493447348E-3</v>
          </cell>
          <cell r="E714">
            <v>1.1214645863134356E-2</v>
          </cell>
          <cell r="F714">
            <v>-1.5091885937175316E-3</v>
          </cell>
          <cell r="G714">
            <v>1.8434894040271859E-2</v>
          </cell>
          <cell r="H714">
            <v>2.7145373422706714E-2</v>
          </cell>
          <cell r="I714">
            <v>6.5374871362255775E-3</v>
          </cell>
          <cell r="J714">
            <v>8.6728810516100447E-3</v>
          </cell>
          <cell r="M714">
            <v>3.4740861372141343E-2</v>
          </cell>
          <cell r="N714">
            <v>-4.2749559299921913E-3</v>
          </cell>
          <cell r="O714">
            <v>2.7325415360554849E-2</v>
          </cell>
          <cell r="P714">
            <v>2.8068660833444135E-2</v>
          </cell>
          <cell r="Q714">
            <v>-1.3816588614358919E-2</v>
          </cell>
          <cell r="R714">
            <v>1.7198619622447973E-2</v>
          </cell>
          <cell r="S714">
            <v>5.1605746186286147E-2</v>
          </cell>
          <cell r="T714">
            <v>2.0121108404360481E-2</v>
          </cell>
        </row>
        <row r="716">
          <cell r="B716" t="str">
            <v>SG&amp;A per Sq Foot</v>
          </cell>
          <cell r="M716">
            <v>2008</v>
          </cell>
          <cell r="N716">
            <v>2009</v>
          </cell>
          <cell r="O716" t="str">
            <v>2010E</v>
          </cell>
          <cell r="Z716">
            <v>2008</v>
          </cell>
          <cell r="AA716">
            <v>2009</v>
          </cell>
          <cell r="AB716" t="str">
            <v>2010E</v>
          </cell>
        </row>
        <row r="717">
          <cell r="B717" t="str">
            <v>FY(2)</v>
          </cell>
          <cell r="C717">
            <v>52.896736253201503</v>
          </cell>
          <cell r="D717">
            <v>54.68105065666041</v>
          </cell>
          <cell r="E717">
            <v>55.200986054555663</v>
          </cell>
          <cell r="F717">
            <v>116.0395357985838</v>
          </cell>
          <cell r="G717">
            <v>107.16633806833863</v>
          </cell>
          <cell r="H717">
            <v>44.355497630331755</v>
          </cell>
          <cell r="I717">
            <v>39.693848600778857</v>
          </cell>
          <cell r="K717">
            <v>55.197959773596573</v>
          </cell>
          <cell r="M717">
            <v>234.55881150333923</v>
          </cell>
          <cell r="N717">
            <v>117.81253428199783</v>
          </cell>
          <cell r="O717">
            <v>125.25192944504418</v>
          </cell>
          <cell r="P717">
            <v>841.18741375408399</v>
          </cell>
          <cell r="Q717">
            <v>109.72222222222223</v>
          </cell>
          <cell r="R717">
            <v>252.39239646978953</v>
          </cell>
          <cell r="S717">
            <v>121.88537141352623</v>
          </cell>
          <cell r="U717">
            <v>158.71709387982401</v>
          </cell>
        </row>
        <row r="718">
          <cell r="B718" t="str">
            <v>FY(1)</v>
          </cell>
          <cell r="C718">
            <v>52.485891828461703</v>
          </cell>
          <cell r="D718">
            <v>53.160526907542184</v>
          </cell>
          <cell r="E718">
            <v>54.889643132953907</v>
          </cell>
          <cell r="F718">
            <v>112.69838123554675</v>
          </cell>
          <cell r="G718">
            <v>101.53403110118391</v>
          </cell>
          <cell r="H718">
            <v>46.163326249732442</v>
          </cell>
          <cell r="I718">
            <v>39.743768451555518</v>
          </cell>
          <cell r="K718">
            <v>54.489639577494366</v>
          </cell>
          <cell r="M718">
            <v>237.13353748243429</v>
          </cell>
          <cell r="N718">
            <v>123.57098885896485</v>
          </cell>
          <cell r="O718">
            <v>115.9958326004987</v>
          </cell>
          <cell r="P718">
            <v>837.50417641254148</v>
          </cell>
          <cell r="Q718">
            <v>98.708860759493675</v>
          </cell>
          <cell r="R718">
            <v>210.0189020305919</v>
          </cell>
          <cell r="S718">
            <v>123.20304255242671</v>
          </cell>
          <cell r="U718">
            <v>148.90036849942348</v>
          </cell>
        </row>
        <row r="719">
          <cell r="B719" t="str">
            <v>FY0</v>
          </cell>
          <cell r="C719">
            <v>52.859839787744271</v>
          </cell>
          <cell r="D719">
            <v>56.388587858386025</v>
          </cell>
          <cell r="E719">
            <v>52.215025906735754</v>
          </cell>
          <cell r="F719">
            <v>110.41680664740532</v>
          </cell>
          <cell r="G719">
            <v>88.533175162187149</v>
          </cell>
          <cell r="H719">
            <v>47.713628691983125</v>
          </cell>
          <cell r="I719">
            <v>40.702609626197031</v>
          </cell>
          <cell r="K719">
            <v>54.378279420653108</v>
          </cell>
          <cell r="M719">
            <v>222.50783739008537</v>
          </cell>
          <cell r="N719">
            <v>135.2132904908913</v>
          </cell>
          <cell r="O719">
            <v>118.09379313317174</v>
          </cell>
          <cell r="P719">
            <v>782.12610361811073</v>
          </cell>
          <cell r="Q719">
            <v>100.85051546391753</v>
          </cell>
          <cell r="R719">
            <v>198.15265709320406</v>
          </cell>
          <cell r="S719">
            <v>120.01618254064644</v>
          </cell>
          <cell r="U719">
            <v>148.49535433222312</v>
          </cell>
        </row>
        <row r="720">
          <cell r="B720" t="str">
            <v>FY1</v>
          </cell>
          <cell r="C720">
            <v>54.660697029543407</v>
          </cell>
          <cell r="D720">
            <v>56.330481381458142</v>
          </cell>
          <cell r="E720">
            <v>53.23223728048459</v>
          </cell>
          <cell r="F720">
            <v>111.3435621311129</v>
          </cell>
          <cell r="G720">
            <v>92.135174686125254</v>
          </cell>
          <cell r="H720">
            <v>48.868265359069312</v>
          </cell>
          <cell r="I720">
            <v>41.484965361504422</v>
          </cell>
          <cell r="K720">
            <v>55.26394523108582</v>
          </cell>
          <cell r="M720">
            <v>219.90137404078646</v>
          </cell>
          <cell r="N720">
            <v>139.38463296672333</v>
          </cell>
          <cell r="O720">
            <v>116.01069892276183</v>
          </cell>
          <cell r="P720">
            <v>771.48163062645665</v>
          </cell>
          <cell r="Q720">
            <v>105.38036877790195</v>
          </cell>
          <cell r="R720">
            <v>204.95568413596428</v>
          </cell>
          <cell r="S720">
            <v>120.49203233387102</v>
          </cell>
          <cell r="U720">
            <v>153.41770204011613</v>
          </cell>
        </row>
        <row r="721">
          <cell r="B721" t="str">
            <v>FY2</v>
          </cell>
          <cell r="C721">
            <v>56.368533000120259</v>
          </cell>
          <cell r="D721">
            <v>57.202401810027098</v>
          </cell>
          <cell r="E721">
            <v>53.550962635377644</v>
          </cell>
          <cell r="F721">
            <v>110.53303481797337</v>
          </cell>
          <cell r="G721">
            <v>93.691852969544541</v>
          </cell>
          <cell r="H721">
            <v>48.564815386543323</v>
          </cell>
          <cell r="I721">
            <v>42.183260739804915</v>
          </cell>
          <cell r="K721">
            <v>55.944695325662821</v>
          </cell>
          <cell r="M721">
            <v>218.51730193407133</v>
          </cell>
          <cell r="N721">
            <v>149.42657176224444</v>
          </cell>
          <cell r="O721">
            <v>118.29002202803564</v>
          </cell>
          <cell r="P721">
            <v>776.86874480702522</v>
          </cell>
          <cell r="Q721">
            <v>104.50149290532764</v>
          </cell>
          <cell r="R721">
            <v>208.31603147252716</v>
          </cell>
          <cell r="S721">
            <v>120.40219193875612</v>
          </cell>
          <cell r="U721">
            <v>156.06577308599788</v>
          </cell>
        </row>
        <row r="722">
          <cell r="B722" t="str">
            <v>FQ(3)</v>
          </cell>
          <cell r="C722">
            <v>12.258278483596103</v>
          </cell>
          <cell r="D722">
            <v>13.315728693249119</v>
          </cell>
          <cell r="E722">
            <v>12.66839378238342</v>
          </cell>
          <cell r="F722">
            <v>24.143877802414387</v>
          </cell>
          <cell r="G722">
            <v>20.743740500463378</v>
          </cell>
          <cell r="H722">
            <v>11.478059071729957</v>
          </cell>
          <cell r="I722">
            <v>8.9874561194191038</v>
          </cell>
          <cell r="M722">
            <v>53.097362049190771</v>
          </cell>
          <cell r="N722">
            <v>27.460815266470188</v>
          </cell>
          <cell r="O722">
            <v>24.780683022533758</v>
          </cell>
          <cell r="P722">
            <v>193.01066015097985</v>
          </cell>
          <cell r="Q722">
            <v>22.835051546391753</v>
          </cell>
          <cell r="R722">
            <v>44.191347297173692</v>
          </cell>
          <cell r="S722">
            <v>26.084056302344624</v>
          </cell>
        </row>
        <row r="723">
          <cell r="B723" t="str">
            <v>FQ(2)</v>
          </cell>
          <cell r="C723">
            <v>12.322057247818766</v>
          </cell>
          <cell r="D723">
            <v>13.189256371874976</v>
          </cell>
          <cell r="E723">
            <v>12.053108808290155</v>
          </cell>
          <cell r="F723">
            <v>27.234652511814375</v>
          </cell>
          <cell r="G723">
            <v>20.677946246524549</v>
          </cell>
          <cell r="H723">
            <v>12.074177215189874</v>
          </cell>
          <cell r="I723">
            <v>9.6699485154235703</v>
          </cell>
          <cell r="M723">
            <v>53.391359755320508</v>
          </cell>
          <cell r="N723">
            <v>29.367257266997552</v>
          </cell>
          <cell r="O723">
            <v>26.105353037910426</v>
          </cell>
          <cell r="P723">
            <v>193.78549218691313</v>
          </cell>
          <cell r="Q723">
            <v>23.530927835051546</v>
          </cell>
          <cell r="R723">
            <v>47.504436110857036</v>
          </cell>
          <cell r="S723">
            <v>29.161215385602134</v>
          </cell>
        </row>
        <row r="724">
          <cell r="B724" t="str">
            <v>FQ(1)</v>
          </cell>
          <cell r="C724">
            <v>13.100158171335272</v>
          </cell>
          <cell r="D724">
            <v>14.327507264242268</v>
          </cell>
          <cell r="E724">
            <v>13.167098445595855</v>
          </cell>
          <cell r="F724">
            <v>26.025218929875248</v>
          </cell>
          <cell r="G724">
            <v>21.69368674698794</v>
          </cell>
          <cell r="H724">
            <v>12.089071729957807</v>
          </cell>
          <cell r="I724">
            <v>10.565213133704855</v>
          </cell>
          <cell r="M724">
            <v>55.719255766534978</v>
          </cell>
          <cell r="N724">
            <v>34.195782492935429</v>
          </cell>
          <cell r="O724">
            <v>30.180083602715179</v>
          </cell>
          <cell r="P724">
            <v>193.37145980129992</v>
          </cell>
          <cell r="Q724">
            <v>26.391752577319586</v>
          </cell>
          <cell r="R724">
            <v>46.086435562059819</v>
          </cell>
          <cell r="S724">
            <v>30.684898954346391</v>
          </cell>
        </row>
        <row r="725">
          <cell r="B725" t="str">
            <v>Last Reported Q</v>
          </cell>
          <cell r="C725">
            <v>52.859839787744271</v>
          </cell>
          <cell r="D725">
            <v>56.388587858386025</v>
          </cell>
          <cell r="E725">
            <v>52.215025906735754</v>
          </cell>
          <cell r="F725">
            <v>110.41680664740532</v>
          </cell>
          <cell r="G725">
            <v>88.533175162187149</v>
          </cell>
          <cell r="H725">
            <v>47.713628691983125</v>
          </cell>
          <cell r="I725">
            <v>40.702609626197031</v>
          </cell>
          <cell r="M725">
            <v>222.50783739008537</v>
          </cell>
          <cell r="N725">
            <v>135.2132904908913</v>
          </cell>
          <cell r="O725">
            <v>118.09379313317174</v>
          </cell>
          <cell r="P725">
            <v>230.7355167035451</v>
          </cell>
          <cell r="Q725">
            <v>100.85051546391753</v>
          </cell>
          <cell r="R725">
            <v>198.15265709320406</v>
          </cell>
          <cell r="S725">
            <v>120.01618254064644</v>
          </cell>
        </row>
        <row r="727">
          <cell r="A727" t="str">
            <v>mstag:tradeAndOtherPayables</v>
          </cell>
        </row>
        <row r="728">
          <cell r="A728" t="str">
            <v>mstag:tradePayablesCurrent</v>
          </cell>
        </row>
        <row r="729">
          <cell r="B729" t="str">
            <v>Accounts Payable</v>
          </cell>
        </row>
        <row r="730">
          <cell r="B730" t="str">
            <v>FY(5)</v>
          </cell>
          <cell r="C730">
            <v>704.65499999999997</v>
          </cell>
          <cell r="D730">
            <v>2770</v>
          </cell>
          <cell r="E730">
            <v>2707</v>
          </cell>
          <cell r="F730">
            <v>482.39400000000001</v>
          </cell>
          <cell r="G730">
            <v>378.39400000000001</v>
          </cell>
          <cell r="H730">
            <v>711.56100000000004</v>
          </cell>
          <cell r="I730">
            <v>1276.0350000000001</v>
          </cell>
          <cell r="J730">
            <v>1290.0055714285716</v>
          </cell>
          <cell r="M730">
            <v>137.33699999999999</v>
          </cell>
          <cell r="N730">
            <v>44.857999999999997</v>
          </cell>
          <cell r="O730">
            <v>108.929</v>
          </cell>
          <cell r="P730">
            <v>44.771000000000001</v>
          </cell>
          <cell r="Q730">
            <v>1240</v>
          </cell>
          <cell r="R730">
            <v>496</v>
          </cell>
          <cell r="S730">
            <v>39.101999999999997</v>
          </cell>
          <cell r="T730">
            <v>301.57099999999997</v>
          </cell>
        </row>
        <row r="731">
          <cell r="B731" t="str">
            <v>FY(4)</v>
          </cell>
          <cell r="C731">
            <v>829.971</v>
          </cell>
          <cell r="D731">
            <v>2733</v>
          </cell>
          <cell r="E731">
            <v>5246</v>
          </cell>
          <cell r="F731">
            <v>540.01900000000001</v>
          </cell>
          <cell r="G731">
            <v>190.06399999999999</v>
          </cell>
          <cell r="H731">
            <v>803.39700000000005</v>
          </cell>
          <cell r="I731">
            <v>1313.472</v>
          </cell>
          <cell r="J731">
            <v>1665.1318571428571</v>
          </cell>
          <cell r="M731">
            <v>145.31299999999999</v>
          </cell>
          <cell r="N731">
            <v>57.164999999999999</v>
          </cell>
          <cell r="O731">
            <v>139.197</v>
          </cell>
          <cell r="P731">
            <v>64.984999999999999</v>
          </cell>
          <cell r="Q731">
            <v>1132</v>
          </cell>
          <cell r="R731">
            <v>534.96</v>
          </cell>
          <cell r="S731">
            <v>41.290999999999997</v>
          </cell>
          <cell r="T731">
            <v>302.13014285714286</v>
          </cell>
        </row>
        <row r="732">
          <cell r="B732" t="str">
            <v>FY(3)</v>
          </cell>
          <cell r="C732">
            <v>934.37599999999998</v>
          </cell>
          <cell r="D732">
            <v>3058</v>
          </cell>
          <cell r="E732">
            <v>4604</v>
          </cell>
          <cell r="F732">
            <v>576.79600000000005</v>
          </cell>
          <cell r="G732">
            <v>231.03800000000001</v>
          </cell>
          <cell r="H732">
            <v>1049.68</v>
          </cell>
          <cell r="I732">
            <v>1372.3520000000001</v>
          </cell>
          <cell r="J732">
            <v>1689.4631428571431</v>
          </cell>
          <cell r="M732">
            <v>128.31</v>
          </cell>
          <cell r="N732">
            <v>63.917999999999999</v>
          </cell>
          <cell r="O732">
            <v>171.15</v>
          </cell>
          <cell r="P732">
            <v>79.819000000000003</v>
          </cell>
          <cell r="Q732">
            <v>1109</v>
          </cell>
          <cell r="R732">
            <v>593</v>
          </cell>
          <cell r="S732">
            <v>58</v>
          </cell>
          <cell r="T732">
            <v>314.7424285714286</v>
          </cell>
        </row>
        <row r="733">
          <cell r="B733" t="str">
            <v>FY(2)</v>
          </cell>
          <cell r="C733">
            <v>835.98500000000001</v>
          </cell>
          <cell r="D733">
            <v>3135</v>
          </cell>
          <cell r="E733">
            <v>4127</v>
          </cell>
          <cell r="F733">
            <v>556</v>
          </cell>
          <cell r="G733">
            <v>176.84399999999999</v>
          </cell>
          <cell r="H733">
            <v>988.78700000000003</v>
          </cell>
          <cell r="I733">
            <v>1516.7539999999999</v>
          </cell>
          <cell r="J733">
            <v>1619.4814285714285</v>
          </cell>
          <cell r="M733">
            <v>151.798</v>
          </cell>
          <cell r="N733">
            <v>99.369</v>
          </cell>
          <cell r="O733">
            <v>157.928</v>
          </cell>
          <cell r="P733">
            <v>109.309</v>
          </cell>
          <cell r="Q733">
            <v>1006</v>
          </cell>
          <cell r="R733">
            <v>516.76099999999997</v>
          </cell>
          <cell r="S733">
            <v>74.02</v>
          </cell>
          <cell r="T733">
            <v>302.16928571428571</v>
          </cell>
        </row>
        <row r="734">
          <cell r="B734" t="str">
            <v>FY(1)</v>
          </cell>
          <cell r="C734">
            <v>881</v>
          </cell>
          <cell r="D734">
            <v>2794</v>
          </cell>
          <cell r="E734">
            <v>3910</v>
          </cell>
          <cell r="F734">
            <v>563</v>
          </cell>
          <cell r="G734">
            <v>90.207999999999998</v>
          </cell>
          <cell r="H734">
            <v>946.13900000000001</v>
          </cell>
          <cell r="I734">
            <v>1276.098</v>
          </cell>
          <cell r="J734">
            <v>1494.3492857142858</v>
          </cell>
          <cell r="M734">
            <v>149.75299999999999</v>
          </cell>
          <cell r="N734">
            <v>77.247</v>
          </cell>
          <cell r="O734">
            <v>152.06800000000001</v>
          </cell>
          <cell r="P734">
            <v>134.726</v>
          </cell>
          <cell r="Q734">
            <v>975</v>
          </cell>
          <cell r="R734">
            <v>493.90300000000002</v>
          </cell>
          <cell r="S734">
            <v>62.954999999999998</v>
          </cell>
          <cell r="T734">
            <v>292.23599999999999</v>
          </cell>
        </row>
        <row r="735">
          <cell r="B735" t="str">
            <v>FY0</v>
          </cell>
          <cell r="C735">
            <v>1188</v>
          </cell>
          <cell r="D735">
            <v>2856</v>
          </cell>
          <cell r="E735">
            <v>3938</v>
          </cell>
          <cell r="F735">
            <v>726</v>
          </cell>
          <cell r="G735">
            <v>101.739</v>
          </cell>
          <cell r="H735">
            <v>1136.115</v>
          </cell>
          <cell r="I735">
            <v>1507.9</v>
          </cell>
          <cell r="J735">
            <v>1636.2505714285712</v>
          </cell>
          <cell r="M735">
            <v>150.13399999999999</v>
          </cell>
          <cell r="N735">
            <v>90.85</v>
          </cell>
          <cell r="O735">
            <v>158.52600000000001</v>
          </cell>
          <cell r="P735">
            <v>103.029</v>
          </cell>
          <cell r="Q735">
            <v>1027</v>
          </cell>
          <cell r="R735">
            <v>488.45499999999998</v>
          </cell>
          <cell r="S735">
            <v>78.040999999999997</v>
          </cell>
          <cell r="T735">
            <v>299.43357142857138</v>
          </cell>
        </row>
        <row r="736">
          <cell r="B736" t="str">
            <v>FY1</v>
          </cell>
          <cell r="C736">
            <v>1269.6916071199801</v>
          </cell>
          <cell r="D736">
            <v>2892.1602847367799</v>
          </cell>
          <cell r="E736">
            <v>4118.1697470886402</v>
          </cell>
          <cell r="F736">
            <v>753.68267523087604</v>
          </cell>
          <cell r="G736">
            <v>108.63976761920701</v>
          </cell>
          <cell r="H736">
            <v>1173.2217283637401</v>
          </cell>
          <cell r="I736">
            <v>1593.30915259626</v>
          </cell>
          <cell r="J736">
            <v>1701.2678518222117</v>
          </cell>
          <cell r="M736">
            <v>141.50169895792101</v>
          </cell>
          <cell r="N736">
            <v>99.821948445322505</v>
          </cell>
          <cell r="O736">
            <v>135.073519008745</v>
          </cell>
          <cell r="P736">
            <v>104.31901523977101</v>
          </cell>
          <cell r="Q736">
            <v>1024.01699386411</v>
          </cell>
          <cell r="R736">
            <v>549.30521832310706</v>
          </cell>
          <cell r="S736">
            <v>107.28236147298099</v>
          </cell>
          <cell r="T736">
            <v>308.76010790170818</v>
          </cell>
        </row>
        <row r="737">
          <cell r="B737" t="str">
            <v>FY2</v>
          </cell>
          <cell r="C737">
            <v>1402.4585315177301</v>
          </cell>
          <cell r="D737">
            <v>2916.0701545976799</v>
          </cell>
          <cell r="E737">
            <v>4185.8680136579596</v>
          </cell>
          <cell r="F737">
            <v>796.08710155634799</v>
          </cell>
          <cell r="G737">
            <v>111.626232365036</v>
          </cell>
          <cell r="H737">
            <v>1227.77340097977</v>
          </cell>
          <cell r="I737">
            <v>1701.7828263164299</v>
          </cell>
          <cell r="J737">
            <v>1763.0951801415647</v>
          </cell>
          <cell r="M737">
            <v>146.245428790235</v>
          </cell>
          <cell r="N737">
            <v>110.33197556911</v>
          </cell>
          <cell r="O737">
            <v>142.28219595082501</v>
          </cell>
          <cell r="P737">
            <v>111.560175244902</v>
          </cell>
          <cell r="Q737">
            <v>989.89255577830295</v>
          </cell>
          <cell r="R737">
            <v>566.37945329844604</v>
          </cell>
          <cell r="S737">
            <v>125.897043188971</v>
          </cell>
          <cell r="T737">
            <v>313.22697540297031</v>
          </cell>
        </row>
        <row r="740">
          <cell r="A740" t="str">
            <v>Productivity Ratios</v>
          </cell>
        </row>
        <row r="741">
          <cell r="B741" t="str">
            <v>Sales/Ave. Sq. Ft.</v>
          </cell>
        </row>
        <row r="742">
          <cell r="B742" t="str">
            <v>FY(5)</v>
          </cell>
        </row>
        <row r="743">
          <cell r="B743" t="str">
            <v>FY(4)</v>
          </cell>
          <cell r="C743">
            <v>253.2875245433593</v>
          </cell>
          <cell r="D743">
            <v>185.30833744449927</v>
          </cell>
          <cell r="E743">
            <v>143.15856777493607</v>
          </cell>
          <cell r="F743">
            <v>395.27124760076777</v>
          </cell>
          <cell r="H743">
            <v>303.58461255065697</v>
          </cell>
          <cell r="I743">
            <v>234.50310472285295</v>
          </cell>
          <cell r="J743">
            <v>252.51889910617868</v>
          </cell>
          <cell r="M743">
            <v>476.65329315540254</v>
          </cell>
          <cell r="N743">
            <v>553.48342475357208</v>
          </cell>
          <cell r="O743">
            <v>498.67201169342724</v>
          </cell>
          <cell r="P743">
            <v>1958.0403995260501</v>
          </cell>
          <cell r="Q743">
            <v>430.72580645161293</v>
          </cell>
          <cell r="R743">
            <v>937.78488992338282</v>
          </cell>
          <cell r="S743">
            <v>565.36012422209126</v>
          </cell>
          <cell r="T743">
            <v>774.38856424650555</v>
          </cell>
          <cell r="V743">
            <v>577.11325836658148</v>
          </cell>
        </row>
        <row r="744">
          <cell r="B744" t="str">
            <v>FY(3)</v>
          </cell>
          <cell r="C744">
            <v>261.97745877527694</v>
          </cell>
          <cell r="D744">
            <v>194.6512273838631</v>
          </cell>
          <cell r="E744">
            <v>172.44245524296676</v>
          </cell>
          <cell r="F744">
            <v>429.20986199721739</v>
          </cell>
          <cell r="G744">
            <v>392.00040000000001</v>
          </cell>
          <cell r="H744">
            <v>309.79171880648482</v>
          </cell>
          <cell r="I744">
            <v>240.79131445331413</v>
          </cell>
          <cell r="J744">
            <v>285.83777666558899</v>
          </cell>
          <cell r="M744">
            <v>516.46107878597263</v>
          </cell>
          <cell r="N744">
            <v>565.34256096890169</v>
          </cell>
          <cell r="O744">
            <v>561.94145885517469</v>
          </cell>
          <cell r="P744">
            <v>2094.1925372681239</v>
          </cell>
          <cell r="Q744">
            <v>414.66145833333337</v>
          </cell>
          <cell r="R744">
            <v>1034.880418970032</v>
          </cell>
          <cell r="S744">
            <v>531.19438790314507</v>
          </cell>
          <cell r="T744">
            <v>816.95341444066901</v>
          </cell>
          <cell r="V744">
            <v>604.08022730275991</v>
          </cell>
        </row>
        <row r="745">
          <cell r="B745" t="str">
            <v>FY(2)</v>
          </cell>
          <cell r="C745">
            <v>249.13721398000695</v>
          </cell>
          <cell r="D745">
            <v>189.42231759656653</v>
          </cell>
          <cell r="E745">
            <v>169.01924133080252</v>
          </cell>
          <cell r="F745">
            <v>436.41556258651377</v>
          </cell>
          <cell r="G745">
            <v>434.15559545182526</v>
          </cell>
          <cell r="H745">
            <v>300.70011574656536</v>
          </cell>
          <cell r="I745">
            <v>243.82809310736866</v>
          </cell>
          <cell r="J745">
            <v>288.95401997137844</v>
          </cell>
          <cell r="K745">
            <v>1.0902139465754468E-2</v>
          </cell>
          <cell r="M745">
            <v>527.39215965787605</v>
          </cell>
          <cell r="N745">
            <v>569.36596937287436</v>
          </cell>
          <cell r="O745">
            <v>561.50323297893033</v>
          </cell>
          <cell r="P745">
            <v>2309.1635339591971</v>
          </cell>
          <cell r="Q745">
            <v>401.09414758269719</v>
          </cell>
          <cell r="R745">
            <v>978.20706042090967</v>
          </cell>
          <cell r="S745">
            <v>560.0572640800508</v>
          </cell>
          <cell r="T745">
            <v>843.82619543607655</v>
          </cell>
          <cell r="V745">
            <v>599.60330568222309</v>
          </cell>
          <cell r="W745">
            <v>-7.4111374916646655E-3</v>
          </cell>
        </row>
        <row r="746">
          <cell r="B746" t="str">
            <v>FY(1)</v>
          </cell>
          <cell r="C746">
            <v>226.23946549236962</v>
          </cell>
          <cell r="D746">
            <v>171.33161931310519</v>
          </cell>
          <cell r="E746">
            <v>161.08616025782069</v>
          </cell>
          <cell r="F746">
            <v>399.32570740517758</v>
          </cell>
          <cell r="G746">
            <v>403.35618655037223</v>
          </cell>
          <cell r="H746">
            <v>297.52931192660554</v>
          </cell>
          <cell r="I746">
            <v>244.3765571400719</v>
          </cell>
          <cell r="J746">
            <v>271.89214401221756</v>
          </cell>
          <cell r="K746">
            <v>-5.9047027485033432E-2</v>
          </cell>
          <cell r="M746">
            <v>461.55620321918263</v>
          </cell>
          <cell r="N746">
            <v>606.29683007311451</v>
          </cell>
          <cell r="O746">
            <v>496.5596312175204</v>
          </cell>
          <cell r="P746">
            <v>2364.8030958382346</v>
          </cell>
          <cell r="Q746">
            <v>367.28192161820476</v>
          </cell>
          <cell r="R746">
            <v>852.71093341128631</v>
          </cell>
          <cell r="S746">
            <v>587.34129849293402</v>
          </cell>
          <cell r="T746">
            <v>819.50713055292533</v>
          </cell>
          <cell r="V746">
            <v>561.95780300537376</v>
          </cell>
          <cell r="W746">
            <v>-6.2784014564457147E-2</v>
          </cell>
        </row>
        <row r="747">
          <cell r="B747" t="str">
            <v>FY0</v>
          </cell>
          <cell r="C747">
            <v>223.96797663441728</v>
          </cell>
          <cell r="D747">
            <v>159.69059484575871</v>
          </cell>
          <cell r="E747">
            <v>152.28321085542203</v>
          </cell>
          <cell r="F747">
            <v>379.56036632309514</v>
          </cell>
          <cell r="G747">
            <v>349.81129360689715</v>
          </cell>
          <cell r="H747">
            <v>311.00489177489175</v>
          </cell>
          <cell r="I747">
            <v>252.24865546942056</v>
          </cell>
          <cell r="J747">
            <v>261.22385564427179</v>
          </cell>
          <cell r="K747">
            <v>-3.923720711646006E-2</v>
          </cell>
          <cell r="M747">
            <v>375.29634138527587</v>
          </cell>
          <cell r="N747">
            <v>664.41481366723326</v>
          </cell>
          <cell r="O747">
            <v>469.76938312881236</v>
          </cell>
          <cell r="P747">
            <v>2046.6726460811669</v>
          </cell>
          <cell r="Q747">
            <v>362.6309067688378</v>
          </cell>
          <cell r="R747">
            <v>790.84035307104932</v>
          </cell>
          <cell r="S747">
            <v>546.90366330753955</v>
          </cell>
          <cell r="T747">
            <v>750.93258677284496</v>
          </cell>
          <cell r="V747">
            <v>534.97591022145798</v>
          </cell>
          <cell r="W747">
            <v>-4.801409045237115E-2</v>
          </cell>
        </row>
        <row r="748">
          <cell r="B748" t="str">
            <v>FY1</v>
          </cell>
          <cell r="C748">
            <v>232.98788437346485</v>
          </cell>
          <cell r="D748">
            <v>160.71132410829935</v>
          </cell>
          <cell r="E748">
            <v>158.68741877190834</v>
          </cell>
          <cell r="F748">
            <v>391.8289687419649</v>
          </cell>
          <cell r="G748">
            <v>363.92077385737963</v>
          </cell>
          <cell r="H748">
            <v>321.90975401001765</v>
          </cell>
          <cell r="I748">
            <v>263.52932791049108</v>
          </cell>
          <cell r="J748">
            <v>270.51077882478938</v>
          </cell>
          <cell r="K748">
            <v>3.5551589105875081E-2</v>
          </cell>
          <cell r="M748">
            <v>395.34836284270295</v>
          </cell>
          <cell r="N748">
            <v>689.78224411268457</v>
          </cell>
          <cell r="O748">
            <v>471.26119763265149</v>
          </cell>
          <cell r="P748">
            <v>1967.531611892407</v>
          </cell>
          <cell r="Q748">
            <v>366.96280945963935</v>
          </cell>
          <cell r="R748">
            <v>836.15261274183558</v>
          </cell>
          <cell r="S748">
            <v>570.6246939212491</v>
          </cell>
          <cell r="T748">
            <v>756.80907608616712</v>
          </cell>
          <cell r="V748">
            <v>555.02198678512718</v>
          </cell>
          <cell r="W748">
            <v>3.7470989217759376E-2</v>
          </cell>
        </row>
        <row r="749">
          <cell r="B749" t="str">
            <v>FY2</v>
          </cell>
          <cell r="C749">
            <v>244.17915207720719</v>
          </cell>
          <cell r="D749">
            <v>163.73484708508263</v>
          </cell>
          <cell r="E749">
            <v>159.78565538973211</v>
          </cell>
          <cell r="F749">
            <v>393.94969944487127</v>
          </cell>
          <cell r="G749">
            <v>380.50669178144102</v>
          </cell>
          <cell r="H749">
            <v>320.88863145898</v>
          </cell>
          <cell r="I749">
            <v>268.59091585605967</v>
          </cell>
          <cell r="J749">
            <v>275.94794187048194</v>
          </cell>
          <cell r="K749">
            <v>2.0099616988697555E-2</v>
          </cell>
          <cell r="M749">
            <v>404.94502377164315</v>
          </cell>
          <cell r="N749">
            <v>724.47485977030351</v>
          </cell>
          <cell r="O749">
            <v>510.34132156188548</v>
          </cell>
          <cell r="P749">
            <v>1961.5656721886198</v>
          </cell>
          <cell r="Q749">
            <v>363.46766466263972</v>
          </cell>
          <cell r="R749">
            <v>865.00671660501121</v>
          </cell>
          <cell r="S749">
            <v>580.63219499255422</v>
          </cell>
          <cell r="T749">
            <v>772.91906479323666</v>
          </cell>
          <cell r="V749">
            <v>574.8112968940062</v>
          </cell>
          <cell r="W749">
            <v>3.5655002108124334E-2</v>
          </cell>
        </row>
        <row r="751">
          <cell r="B751" t="str">
            <v>Gross Profit/Ave. Sq. Ft.</v>
          </cell>
        </row>
        <row r="752">
          <cell r="B752" t="str">
            <v>FY(5)</v>
          </cell>
        </row>
        <row r="753">
          <cell r="B753" t="str">
            <v>FY(4)</v>
          </cell>
          <cell r="C753">
            <v>89.970347356487451</v>
          </cell>
          <cell r="D753">
            <v>70.94227923038973</v>
          </cell>
          <cell r="E753">
            <v>58.29923273657289</v>
          </cell>
          <cell r="F753">
            <v>145.08452975047985</v>
          </cell>
          <cell r="G753">
            <v>136.46666666666664</v>
          </cell>
          <cell r="H753">
            <v>67.026157435834463</v>
          </cell>
          <cell r="I753">
            <v>55.088027159895049</v>
          </cell>
          <cell r="J753">
            <v>88.98246290518945</v>
          </cell>
          <cell r="M753">
            <v>319.27421437795954</v>
          </cell>
          <cell r="N753">
            <v>166.58313956654604</v>
          </cell>
          <cell r="O753">
            <v>231.0768377663681</v>
          </cell>
          <cell r="P753">
            <v>1502.6397383911672</v>
          </cell>
          <cell r="Q753">
            <v>157.7956989247312</v>
          </cell>
          <cell r="R753">
            <v>334.6084763844438</v>
          </cell>
          <cell r="S753">
            <v>232.23360338023238</v>
          </cell>
          <cell r="T753">
            <v>420.60167268449266</v>
          </cell>
        </row>
        <row r="754">
          <cell r="B754" t="str">
            <v>FY(3)</v>
          </cell>
          <cell r="C754">
            <v>95.267906069825671</v>
          </cell>
          <cell r="D754">
            <v>76.371638141809285</v>
          </cell>
          <cell r="E754">
            <v>70.019181585677757</v>
          </cell>
          <cell r="F754">
            <v>160.77757862147632</v>
          </cell>
          <cell r="G754">
            <v>151.42786666666669</v>
          </cell>
          <cell r="H754">
            <v>69.66897472261617</v>
          </cell>
          <cell r="I754">
            <v>57.98112920407852</v>
          </cell>
          <cell r="J754">
            <v>97.359182144592936</v>
          </cell>
          <cell r="M754">
            <v>346.07123761597734</v>
          </cell>
          <cell r="N754">
            <v>179.22561868996246</v>
          </cell>
          <cell r="O754">
            <v>269.55346470462376</v>
          </cell>
          <cell r="P754">
            <v>1627.5069833991522</v>
          </cell>
          <cell r="Q754">
            <v>147.31770833333331</v>
          </cell>
          <cell r="R754">
            <v>389.24565997478419</v>
          </cell>
          <cell r="S754">
            <v>196.01091433823262</v>
          </cell>
          <cell r="T754">
            <v>450.70451243658084</v>
          </cell>
        </row>
        <row r="755">
          <cell r="B755" t="str">
            <v>FY(2)</v>
          </cell>
          <cell r="C755">
            <v>90.953223537951999</v>
          </cell>
          <cell r="D755">
            <v>73.104434907010017</v>
          </cell>
          <cell r="E755">
            <v>68.319410587710081</v>
          </cell>
          <cell r="F755">
            <v>163.22107969151674</v>
          </cell>
          <cell r="G755">
            <v>169.377219230002</v>
          </cell>
          <cell r="H755">
            <v>68.290070957677031</v>
          </cell>
          <cell r="I755">
            <v>59.719483750821425</v>
          </cell>
          <cell r="J755">
            <v>98.997846094669882</v>
          </cell>
          <cell r="M755">
            <v>354.69223093371352</v>
          </cell>
          <cell r="N755">
            <v>196.18126545750619</v>
          </cell>
          <cell r="O755">
            <v>261.53420790247395</v>
          </cell>
          <cell r="P755">
            <v>1788.1279152299524</v>
          </cell>
          <cell r="Q755">
            <v>144.88549618320613</v>
          </cell>
          <cell r="R755">
            <v>335.9071864998545</v>
          </cell>
          <cell r="S755">
            <v>214.24700297798475</v>
          </cell>
          <cell r="T755">
            <v>470.79647216924167</v>
          </cell>
        </row>
        <row r="756">
          <cell r="B756" t="str">
            <v>FY(1)</v>
          </cell>
          <cell r="C756">
            <v>83.589801285192706</v>
          </cell>
          <cell r="D756">
            <v>64.097109304426311</v>
          </cell>
          <cell r="E756">
            <v>63.956874571269559</v>
          </cell>
          <cell r="F756">
            <v>137.8214087898856</v>
          </cell>
          <cell r="G756">
            <v>129.41795944979313</v>
          </cell>
          <cell r="H756">
            <v>70.163440366972495</v>
          </cell>
          <cell r="I756">
            <v>58.875923717719836</v>
          </cell>
          <cell r="J756">
            <v>86.846073926465664</v>
          </cell>
          <cell r="M756">
            <v>308.81565874014706</v>
          </cell>
          <cell r="N756">
            <v>210.35372682331408</v>
          </cell>
          <cell r="O756">
            <v>195.05588050073356</v>
          </cell>
          <cell r="P756">
            <v>1789.6131727137602</v>
          </cell>
          <cell r="Q756">
            <v>137.724399494311</v>
          </cell>
          <cell r="R756">
            <v>283.49789950634846</v>
          </cell>
          <cell r="S756">
            <v>228.41544941025407</v>
          </cell>
          <cell r="T756">
            <v>450.49659816983831</v>
          </cell>
        </row>
        <row r="757">
          <cell r="B757" t="str">
            <v>FY0</v>
          </cell>
          <cell r="C757">
            <v>84.713276136334002</v>
          </cell>
          <cell r="D757">
            <v>62.848543174558898</v>
          </cell>
          <cell r="E757">
            <v>61.69385816766129</v>
          </cell>
          <cell r="F757">
            <v>134.67084927666127</v>
          </cell>
          <cell r="G757">
            <v>127.57838539091584</v>
          </cell>
          <cell r="H757">
            <v>80.386796536796524</v>
          </cell>
          <cell r="I757">
            <v>66.144384006341227</v>
          </cell>
          <cell r="J757">
            <v>88.290870384181289</v>
          </cell>
          <cell r="M757">
            <v>241.37835586595756</v>
          </cell>
          <cell r="N757">
            <v>253.1053971479177</v>
          </cell>
          <cell r="O757">
            <v>181.91715913869484</v>
          </cell>
          <cell r="P757">
            <v>1471.4964997376783</v>
          </cell>
          <cell r="Q757">
            <v>146.20689655172413</v>
          </cell>
          <cell r="R757">
            <v>277.40821664307668</v>
          </cell>
          <cell r="S757">
            <v>221.87132434773477</v>
          </cell>
          <cell r="T757">
            <v>399.05483563325481</v>
          </cell>
        </row>
        <row r="758">
          <cell r="B758" t="str">
            <v>FY1</v>
          </cell>
          <cell r="C758">
            <v>89.441866664750805</v>
          </cell>
          <cell r="D758">
            <v>63.650239246080858</v>
          </cell>
          <cell r="E758">
            <v>64.649536084434075</v>
          </cell>
          <cell r="F758">
            <v>142.51297101066149</v>
          </cell>
          <cell r="G758">
            <v>138.56135541811679</v>
          </cell>
          <cell r="H758">
            <v>85.196708669039481</v>
          </cell>
          <cell r="I758">
            <v>70.318331251795755</v>
          </cell>
          <cell r="J758">
            <v>93.475858334982746</v>
          </cell>
          <cell r="M758">
            <v>254.11165435640649</v>
          </cell>
          <cell r="N758">
            <v>263.95313541078667</v>
          </cell>
          <cell r="O758">
            <v>199.76427781995659</v>
          </cell>
          <cell r="P758">
            <v>1423.9245515610419</v>
          </cell>
          <cell r="Q758">
            <v>150.411207625456</v>
          </cell>
          <cell r="R758">
            <v>301.09415930361337</v>
          </cell>
          <cell r="S758">
            <v>235.83035087439166</v>
          </cell>
          <cell r="T758">
            <v>404.15561956452171</v>
          </cell>
        </row>
        <row r="759">
          <cell r="B759" t="str">
            <v>FY2</v>
          </cell>
          <cell r="C759">
            <v>94.470626975915735</v>
          </cell>
          <cell r="D759">
            <v>65.17518498561455</v>
          </cell>
          <cell r="E759">
            <v>65.256745287340706</v>
          </cell>
          <cell r="F759">
            <v>143.6782563113386</v>
          </cell>
          <cell r="G759">
            <v>149.54497462907122</v>
          </cell>
          <cell r="H759">
            <v>84.926458142572343</v>
          </cell>
          <cell r="I759">
            <v>71.266043768232706</v>
          </cell>
          <cell r="J759">
            <v>96.331184300012268</v>
          </cell>
          <cell r="M759">
            <v>263.45795421699074</v>
          </cell>
          <cell r="N759">
            <v>268.96338053982186</v>
          </cell>
          <cell r="O759">
            <v>220.15043447163885</v>
          </cell>
          <cell r="P759">
            <v>1419.6069345194633</v>
          </cell>
          <cell r="Q759">
            <v>150.06901599080251</v>
          </cell>
          <cell r="R759">
            <v>315.80940397101631</v>
          </cell>
          <cell r="S759">
            <v>241.70819270352629</v>
          </cell>
          <cell r="T759">
            <v>411.39504520189433</v>
          </cell>
        </row>
        <row r="760">
          <cell r="L760">
            <v>2006</v>
          </cell>
          <cell r="M760">
            <v>2007</v>
          </cell>
          <cell r="N760">
            <v>2008</v>
          </cell>
          <cell r="O760">
            <v>2009</v>
          </cell>
          <cell r="P760" t="str">
            <v>2010E</v>
          </cell>
          <cell r="Q760" t="str">
            <v>2011E</v>
          </cell>
          <cell r="Y760">
            <v>2006</v>
          </cell>
          <cell r="Z760">
            <v>2007</v>
          </cell>
          <cell r="AA760">
            <v>2008</v>
          </cell>
          <cell r="AB760">
            <v>2009</v>
          </cell>
          <cell r="AC760" t="str">
            <v>2010E</v>
          </cell>
          <cell r="AD760" t="str">
            <v>2011E</v>
          </cell>
        </row>
        <row r="761">
          <cell r="B761" t="str">
            <v>SG&amp;A/Ave. Sq. Ft.</v>
          </cell>
        </row>
        <row r="762">
          <cell r="B762" t="str">
            <v>FY(5)</v>
          </cell>
        </row>
        <row r="763">
          <cell r="B763" t="str">
            <v>FY(4)</v>
          </cell>
          <cell r="C763">
            <v>56.00704205162176</v>
          </cell>
          <cell r="D763">
            <v>55.392205229403061</v>
          </cell>
          <cell r="E763">
            <v>44.629156010230183</v>
          </cell>
          <cell r="F763">
            <v>107.51969289827257</v>
          </cell>
          <cell r="G763">
            <v>106.87679102827374</v>
          </cell>
          <cell r="H763">
            <v>47.043104506938469</v>
          </cell>
          <cell r="I763">
            <v>39.524716547395336</v>
          </cell>
          <cell r="J763">
            <v>65.284672610305023</v>
          </cell>
          <cell r="M763">
            <v>218.41256995264743</v>
          </cell>
          <cell r="N763">
            <v>104.34292665631251</v>
          </cell>
          <cell r="O763">
            <v>116.46501475101104</v>
          </cell>
          <cell r="P763">
            <v>867.63254557082882</v>
          </cell>
          <cell r="Q763">
            <v>112.5</v>
          </cell>
          <cell r="R763">
            <v>241.87285423334305</v>
          </cell>
          <cell r="S763">
            <v>125.54061794744167</v>
          </cell>
          <cell r="T763">
            <v>255.25236130165493</v>
          </cell>
        </row>
        <row r="764">
          <cell r="B764" t="str">
            <v>FY(3)</v>
          </cell>
          <cell r="C764">
            <v>57.411944663898744</v>
          </cell>
          <cell r="D764">
            <v>58.063569682151588</v>
          </cell>
          <cell r="E764">
            <v>55.485933503836314</v>
          </cell>
          <cell r="F764">
            <v>115.15839610934933</v>
          </cell>
          <cell r="G764">
            <v>99.98234510535373</v>
          </cell>
          <cell r="H764">
            <v>47.998275910013625</v>
          </cell>
          <cell r="I764">
            <v>40.350299525463122</v>
          </cell>
          <cell r="J764">
            <v>67.778680642866632</v>
          </cell>
          <cell r="M764">
            <v>237.877181946847</v>
          </cell>
          <cell r="N764">
            <v>115.90657018986992</v>
          </cell>
          <cell r="O764">
            <v>133.85018750090495</v>
          </cell>
          <cell r="P764">
            <v>892.04303236676367</v>
          </cell>
          <cell r="Q764">
            <v>116.58854166666667</v>
          </cell>
          <cell r="R764">
            <v>275.18446319464653</v>
          </cell>
          <cell r="S764">
            <v>124.8842487674527</v>
          </cell>
          <cell r="T764">
            <v>270.90488937616448</v>
          </cell>
        </row>
        <row r="765">
          <cell r="B765" t="str">
            <v>FY(2)</v>
          </cell>
          <cell r="C765">
            <v>55.909441495394944</v>
          </cell>
          <cell r="D765">
            <v>55.593705293276109</v>
          </cell>
          <cell r="E765">
            <v>54.945866694929677</v>
          </cell>
          <cell r="F765">
            <v>116.65908641487049</v>
          </cell>
          <cell r="G765">
            <v>107.44424798154198</v>
          </cell>
          <cell r="H765">
            <v>47.098837501887168</v>
          </cell>
          <cell r="I765">
            <v>40.335940615417101</v>
          </cell>
          <cell r="J765">
            <v>68.283875142473917</v>
          </cell>
          <cell r="M765">
            <v>245.32544547398433</v>
          </cell>
          <cell r="N765">
            <v>124.36313366110349</v>
          </cell>
          <cell r="O765">
            <v>131.4307079198864</v>
          </cell>
          <cell r="P765">
            <v>910.05910674304778</v>
          </cell>
          <cell r="Q765">
            <v>110.55979643765903</v>
          </cell>
          <cell r="R765">
            <v>252.39239646978956</v>
          </cell>
          <cell r="S765">
            <v>130.68921569829229</v>
          </cell>
          <cell r="T765">
            <v>272.11711462910898</v>
          </cell>
        </row>
        <row r="766">
          <cell r="B766" t="str">
            <v>FY(1)</v>
          </cell>
          <cell r="C766">
            <v>54.334550424141192</v>
          </cell>
          <cell r="D766">
            <v>53.800422138836723</v>
          </cell>
          <cell r="E766">
            <v>54.735125480501665</v>
          </cell>
          <cell r="F766">
            <v>115.01341360626128</v>
          </cell>
          <cell r="G766">
            <v>101.39981901082912</v>
          </cell>
          <cell r="H766">
            <v>47.645634890778894</v>
          </cell>
          <cell r="I766">
            <v>40.422041776999137</v>
          </cell>
          <cell r="J766">
            <v>66.764429618335427</v>
          </cell>
          <cell r="M766">
            <v>243.77773741321985</v>
          </cell>
          <cell r="N766">
            <v>130.51261224586915</v>
          </cell>
          <cell r="O766">
            <v>121.95297613020131</v>
          </cell>
          <cell r="P766">
            <v>912.8896789346926</v>
          </cell>
          <cell r="Q766">
            <v>98.584070796460168</v>
          </cell>
          <cell r="R766">
            <v>215.83446884149876</v>
          </cell>
          <cell r="S766">
            <v>132.55323628783208</v>
          </cell>
          <cell r="T766">
            <v>265.15782580711056</v>
          </cell>
        </row>
        <row r="767">
          <cell r="B767" t="str">
            <v>FY0</v>
          </cell>
          <cell r="C767">
            <v>54.032910005997856</v>
          </cell>
          <cell r="D767">
            <v>56.772880824254223</v>
          </cell>
          <cell r="E767">
            <v>52.267327085717248</v>
          </cell>
          <cell r="F767">
            <v>113.29817183173039</v>
          </cell>
          <cell r="G767">
            <v>88.379605972524715</v>
          </cell>
          <cell r="H767">
            <v>48.952943722943722</v>
          </cell>
          <cell r="I767">
            <v>41.389159668084687</v>
          </cell>
          <cell r="J767">
            <v>65.013285587321832</v>
          </cell>
          <cell r="M767">
            <v>223.74818991478182</v>
          </cell>
          <cell r="N767">
            <v>138.10894996119467</v>
          </cell>
          <cell r="O767">
            <v>118.79586171124691</v>
          </cell>
          <cell r="P767">
            <v>837.76738647087723</v>
          </cell>
          <cell r="Q767">
            <v>99.94891443167306</v>
          </cell>
          <cell r="R767">
            <v>198.46761301434174</v>
          </cell>
          <cell r="S767">
            <v>126.20089584829444</v>
          </cell>
          <cell r="T767">
            <v>249.00540162177285</v>
          </cell>
        </row>
        <row r="768">
          <cell r="B768" t="str">
            <v>FY1</v>
          </cell>
          <cell r="C768">
            <v>55.348580166865275</v>
          </cell>
          <cell r="D768">
            <v>56.381275323190636</v>
          </cell>
          <cell r="E768">
            <v>53.326011039639944</v>
          </cell>
          <cell r="F768">
            <v>113.63839445500386</v>
          </cell>
          <cell r="G768">
            <v>92.492419639671866</v>
          </cell>
          <cell r="H768">
            <v>49.961621490643836</v>
          </cell>
          <cell r="I768">
            <v>42.430828483391224</v>
          </cell>
          <cell r="J768">
            <v>66.225590085486672</v>
          </cell>
          <cell r="M768">
            <v>224.104307425526</v>
          </cell>
          <cell r="N768">
            <v>143.13736750927575</v>
          </cell>
          <cell r="O768">
            <v>114.88595930240508</v>
          </cell>
          <cell r="P768">
            <v>804.68729077882745</v>
          </cell>
          <cell r="Q768">
            <v>104.02768504250595</v>
          </cell>
          <cell r="R768">
            <v>204.26032967175414</v>
          </cell>
          <cell r="S768">
            <v>127.70898912929687</v>
          </cell>
          <cell r="T768">
            <v>246.11598983708447</v>
          </cell>
        </row>
        <row r="769">
          <cell r="B769" t="str">
            <v>FY2</v>
          </cell>
          <cell r="C769">
            <v>57.518818378727502</v>
          </cell>
          <cell r="D769">
            <v>57.330946533195807</v>
          </cell>
          <cell r="E769">
            <v>53.535281598406499</v>
          </cell>
          <cell r="F769">
            <v>112.74721576913295</v>
          </cell>
          <cell r="G769">
            <v>95.574639597660976</v>
          </cell>
          <cell r="H769">
            <v>49.803139376464415</v>
          </cell>
          <cell r="I769">
            <v>43.111498751194262</v>
          </cell>
          <cell r="J769">
            <v>67.088791429254613</v>
          </cell>
          <cell r="M769">
            <v>225.90442975327224</v>
          </cell>
          <cell r="N769">
            <v>156.45874830429116</v>
          </cell>
          <cell r="O769">
            <v>121.86615690934654</v>
          </cell>
          <cell r="P769">
            <v>798.32419057795209</v>
          </cell>
          <cell r="Q769">
            <v>102.67340356034649</v>
          </cell>
          <cell r="R769">
            <v>209.66028850840351</v>
          </cell>
          <cell r="S769">
            <v>126.98749949091251</v>
          </cell>
          <cell r="T769">
            <v>248.83924530064638</v>
          </cell>
        </row>
        <row r="771">
          <cell r="B771" t="str">
            <v>Capex/Ave. Sq. Ft.</v>
          </cell>
        </row>
        <row r="772">
          <cell r="B772" t="str">
            <v>FY(5)</v>
          </cell>
        </row>
        <row r="773">
          <cell r="B773" t="str">
            <v>FY(4)</v>
          </cell>
          <cell r="C773">
            <v>15.650127041585197</v>
          </cell>
          <cell r="D773">
            <v>5.2787370498273312</v>
          </cell>
          <cell r="E773">
            <v>4.1943734015345262</v>
          </cell>
          <cell r="F773">
            <v>13.904491362763915</v>
          </cell>
          <cell r="G773">
            <v>17.349866666666664</v>
          </cell>
          <cell r="H773">
            <v>10.797678988087929</v>
          </cell>
          <cell r="I773">
            <v>7.2889045655959963</v>
          </cell>
          <cell r="J773">
            <v>10.637739868008794</v>
          </cell>
          <cell r="M773">
            <v>44.15359448988378</v>
          </cell>
          <cell r="N773">
            <v>26.787956747898207</v>
          </cell>
          <cell r="O773">
            <v>17.51286592697922</v>
          </cell>
          <cell r="P773">
            <v>112.13568379804623</v>
          </cell>
          <cell r="Q773">
            <v>16.129032258064516</v>
          </cell>
          <cell r="R773">
            <v>46.552225778295025</v>
          </cell>
          <cell r="S773">
            <v>66.123052655909831</v>
          </cell>
          <cell r="T773">
            <v>47.056344522153829</v>
          </cell>
        </row>
        <row r="774">
          <cell r="B774" t="str">
            <v>FY(3)</v>
          </cell>
          <cell r="C774">
            <v>19.550721957943221</v>
          </cell>
          <cell r="D774">
            <v>7.5501222493887532</v>
          </cell>
          <cell r="E774">
            <v>8.9002557544757028</v>
          </cell>
          <cell r="F774">
            <v>13.258144169664458</v>
          </cell>
          <cell r="G774">
            <v>16.490533333333335</v>
          </cell>
          <cell r="H774">
            <v>12.45543783543283</v>
          </cell>
          <cell r="I774">
            <v>5.2297422559178761</v>
          </cell>
          <cell r="J774">
            <v>11.919279650879451</v>
          </cell>
          <cell r="M774">
            <v>63.449598993552442</v>
          </cell>
          <cell r="N774">
            <v>17.981488056245905</v>
          </cell>
          <cell r="O774">
            <v>45.435185497999505</v>
          </cell>
          <cell r="P774">
            <v>137.7643293126859</v>
          </cell>
          <cell r="Q774">
            <v>14.895833333333334</v>
          </cell>
          <cell r="R774">
            <v>53.147124430220153</v>
          </cell>
          <cell r="S774">
            <v>91.962971749976475</v>
          </cell>
          <cell r="T774">
            <v>60.662361624859102</v>
          </cell>
        </row>
        <row r="775">
          <cell r="B775" t="str">
            <v>FY(2)</v>
          </cell>
          <cell r="C775">
            <v>23.315381939718403</v>
          </cell>
          <cell r="D775">
            <v>11.855030996661897</v>
          </cell>
          <cell r="E775">
            <v>7.0978703177340767</v>
          </cell>
          <cell r="F775">
            <v>24.767648803638519</v>
          </cell>
          <cell r="G775">
            <v>18.18285790278609</v>
          </cell>
          <cell r="H775">
            <v>11.882693372251019</v>
          </cell>
          <cell r="I775">
            <v>7.0074797050669178</v>
          </cell>
          <cell r="J775">
            <v>14.872709005408135</v>
          </cell>
          <cell r="M775">
            <v>57.497505345687813</v>
          </cell>
          <cell r="N775">
            <v>29.600011795985552</v>
          </cell>
          <cell r="O775">
            <v>46.018022425256582</v>
          </cell>
          <cell r="P775">
            <v>124.51749822997978</v>
          </cell>
          <cell r="Q775">
            <v>17.353689567430024</v>
          </cell>
          <cell r="R775">
            <v>72.640868974881201</v>
          </cell>
          <cell r="S775">
            <v>42.855195352011023</v>
          </cell>
          <cell r="T775">
            <v>55.783255955890283</v>
          </cell>
        </row>
        <row r="776">
          <cell r="B776" t="str">
            <v>FY(1)</v>
          </cell>
          <cell r="C776">
            <v>13.997694659755247</v>
          </cell>
          <cell r="D776">
            <v>8.980638941004786</v>
          </cell>
          <cell r="E776">
            <v>5.8048483750307396</v>
          </cell>
          <cell r="F776">
            <v>27.116195063214931</v>
          </cell>
          <cell r="G776">
            <v>16.908512704055976</v>
          </cell>
          <cell r="H776">
            <v>10.294403669724771</v>
          </cell>
          <cell r="I776">
            <v>7.4978224541521676</v>
          </cell>
          <cell r="J776">
            <v>12.942873695276946</v>
          </cell>
          <cell r="M776">
            <v>48.698681857322647</v>
          </cell>
          <cell r="N776">
            <v>26.700095243791303</v>
          </cell>
          <cell r="O776">
            <v>44.082541603952585</v>
          </cell>
          <cell r="P776">
            <v>129.89939090124025</v>
          </cell>
          <cell r="Q776">
            <v>10.897597977243993</v>
          </cell>
          <cell r="R776">
            <v>45.168864601849187</v>
          </cell>
          <cell r="S776">
            <v>36.033127969569257</v>
          </cell>
          <cell r="T776">
            <v>48.782900022138456</v>
          </cell>
        </row>
        <row r="777">
          <cell r="B777" t="str">
            <v>FY0</v>
          </cell>
          <cell r="C777">
            <v>8.6838605366782282</v>
          </cell>
          <cell r="D777">
            <v>5.4571817517706718</v>
          </cell>
          <cell r="E777">
            <v>2.9822588017154472</v>
          </cell>
          <cell r="F777">
            <v>16.54658898962391</v>
          </cell>
          <cell r="G777">
            <v>9.9355514673446681</v>
          </cell>
          <cell r="H777">
            <v>6.8609090909090904</v>
          </cell>
          <cell r="I777">
            <v>5.3375383441441961</v>
          </cell>
          <cell r="J777">
            <v>7.9719841403123155</v>
          </cell>
          <cell r="M777">
            <v>22.486320240917536</v>
          </cell>
          <cell r="N777">
            <v>16.053353274770263</v>
          </cell>
          <cell r="O777">
            <v>20.015510492988312</v>
          </cell>
          <cell r="P777">
            <v>86.815132055125204</v>
          </cell>
          <cell r="Q777">
            <v>8.5312899106002558</v>
          </cell>
          <cell r="R777">
            <v>18.505540210615035</v>
          </cell>
          <cell r="S777">
            <v>33.63074150631536</v>
          </cell>
          <cell r="T777">
            <v>29.433983955904569</v>
          </cell>
        </row>
        <row r="778">
          <cell r="B778" t="str">
            <v>FY1</v>
          </cell>
          <cell r="C778">
            <v>11.431281531312116</v>
          </cell>
          <cell r="D778">
            <v>4.6606283991406849</v>
          </cell>
          <cell r="E778">
            <v>3.6536938616378576</v>
          </cell>
          <cell r="F778">
            <v>19.971528510839402</v>
          </cell>
          <cell r="G778">
            <v>10.337560270578901</v>
          </cell>
          <cell r="H778">
            <v>8.9375148013948102</v>
          </cell>
          <cell r="I778">
            <v>5.631509653744514</v>
          </cell>
          <cell r="J778">
            <v>9.2319595755211843</v>
          </cell>
          <cell r="M778">
            <v>31.581589973941607</v>
          </cell>
          <cell r="N778">
            <v>22.536174951703867</v>
          </cell>
          <cell r="O778">
            <v>16.494141917142809</v>
          </cell>
          <cell r="P778">
            <v>61.969777790835089</v>
          </cell>
          <cell r="Q778">
            <v>15.358166476343248</v>
          </cell>
          <cell r="R778">
            <v>25.08457838225512</v>
          </cell>
          <cell r="S778">
            <v>37.499583215737189</v>
          </cell>
          <cell r="T778">
            <v>30.074858958279851</v>
          </cell>
        </row>
        <row r="779">
          <cell r="B779" t="str">
            <v>FY2</v>
          </cell>
          <cell r="C779">
            <v>13.201263919776572</v>
          </cell>
          <cell r="D779">
            <v>4.9120454125524784</v>
          </cell>
          <cell r="E779">
            <v>4.5538911786073388</v>
          </cell>
          <cell r="F779">
            <v>22.455132868357687</v>
          </cell>
          <cell r="G779">
            <v>4.7563336472679971</v>
          </cell>
          <cell r="H779">
            <v>9.2300529470413881</v>
          </cell>
          <cell r="I779">
            <v>6.0082645512141291</v>
          </cell>
          <cell r="J779">
            <v>9.3024263606882265</v>
          </cell>
          <cell r="M779">
            <v>31.943254449694578</v>
          </cell>
          <cell r="N779">
            <v>23.669632448856579</v>
          </cell>
          <cell r="O779">
            <v>16.841263611542193</v>
          </cell>
          <cell r="P779">
            <v>73.551267367681376</v>
          </cell>
          <cell r="Q779">
            <v>13.81177125718035</v>
          </cell>
          <cell r="R779">
            <v>29.323727692909848</v>
          </cell>
          <cell r="S779">
            <v>38.157243361192954</v>
          </cell>
          <cell r="T779">
            <v>32.47116574129398</v>
          </cell>
        </row>
        <row r="781">
          <cell r="B781" t="str">
            <v>Inventories/Ave. Sq. Ft.</v>
          </cell>
        </row>
        <row r="782">
          <cell r="B782" t="str">
            <v>FY(5)</v>
          </cell>
        </row>
        <row r="783">
          <cell r="B783" t="str">
            <v>FY(4)</v>
          </cell>
          <cell r="C783">
            <v>42.287688567357257</v>
          </cell>
          <cell r="D783">
            <v>31.672422298963983</v>
          </cell>
          <cell r="E783">
            <v>34.904092071611259</v>
          </cell>
          <cell r="F783">
            <v>48.93041586692258</v>
          </cell>
          <cell r="G783">
            <v>107.62813333333334</v>
          </cell>
          <cell r="H783">
            <v>57.601068402308734</v>
          </cell>
          <cell r="I783">
            <v>34.770853082310062</v>
          </cell>
          <cell r="J783">
            <v>51.113524803258166</v>
          </cell>
          <cell r="M783">
            <v>62.425484287559186</v>
          </cell>
          <cell r="N783">
            <v>42.238287306109697</v>
          </cell>
          <cell r="O783">
            <v>45.258984028274867</v>
          </cell>
          <cell r="P783">
            <v>218.62261787838176</v>
          </cell>
          <cell r="Q783">
            <v>45.591397849462368</v>
          </cell>
          <cell r="R783">
            <v>112.47114731839783</v>
          </cell>
          <cell r="S783">
            <v>72.670130452349909</v>
          </cell>
          <cell r="T783">
            <v>85.611149874362226</v>
          </cell>
        </row>
        <row r="784">
          <cell r="B784" t="str">
            <v>FY(3)</v>
          </cell>
          <cell r="C784">
            <v>43.340639760636066</v>
          </cell>
          <cell r="D784">
            <v>33.251833740831295</v>
          </cell>
          <cell r="E784">
            <v>33.996163682864449</v>
          </cell>
          <cell r="F784">
            <v>50.001328637144184</v>
          </cell>
          <cell r="G784">
            <v>104.70693333333334</v>
          </cell>
          <cell r="H784">
            <v>58.492756041266929</v>
          </cell>
          <cell r="I784">
            <v>35.721268383115891</v>
          </cell>
          <cell r="J784">
            <v>51.358703368456027</v>
          </cell>
          <cell r="M784">
            <v>67.219216857996543</v>
          </cell>
          <cell r="N784">
            <v>40.594662439556153</v>
          </cell>
          <cell r="O784">
            <v>53.017469518031781</v>
          </cell>
          <cell r="P784">
            <v>240.27566037629057</v>
          </cell>
          <cell r="Q784">
            <v>46.770833333333329</v>
          </cell>
          <cell r="R784">
            <v>171.66133255746291</v>
          </cell>
          <cell r="S784">
            <v>66.962006704571621</v>
          </cell>
          <cell r="T784">
            <v>98.071597398177559</v>
          </cell>
        </row>
        <row r="785">
          <cell r="B785" t="str">
            <v>FY(2)</v>
          </cell>
          <cell r="C785">
            <v>43.188194728006899</v>
          </cell>
          <cell r="D785">
            <v>34.725798760133522</v>
          </cell>
          <cell r="E785">
            <v>32.502464984375045</v>
          </cell>
          <cell r="F785">
            <v>47.261222068420011</v>
          </cell>
          <cell r="G785">
            <v>113.99335062171687</v>
          </cell>
          <cell r="H785">
            <v>51.597554224749636</v>
          </cell>
          <cell r="I785">
            <v>36.399609060748503</v>
          </cell>
          <cell r="J785">
            <v>51.381170635450069</v>
          </cell>
          <cell r="M785">
            <v>47.49151817533857</v>
          </cell>
          <cell r="N785">
            <v>49.085685247861349</v>
          </cell>
          <cell r="O785">
            <v>52.648181378713971</v>
          </cell>
          <cell r="P785">
            <v>257.38613311789618</v>
          </cell>
          <cell r="Q785">
            <v>40.07633587786259</v>
          </cell>
          <cell r="R785">
            <v>121.29036950829212</v>
          </cell>
          <cell r="S785">
            <v>63.863044646740875</v>
          </cell>
          <cell r="T785">
            <v>90.26303827895795</v>
          </cell>
        </row>
        <row r="786">
          <cell r="B786" t="str">
            <v>FY(1)</v>
          </cell>
          <cell r="C786">
            <v>38.638606856661674</v>
          </cell>
          <cell r="D786">
            <v>30.204233548745712</v>
          </cell>
          <cell r="E786">
            <v>30.862120290436561</v>
          </cell>
          <cell r="F786">
            <v>43.347381095725467</v>
          </cell>
          <cell r="G786">
            <v>96.803875006770056</v>
          </cell>
          <cell r="H786">
            <v>40.415504587155958</v>
          </cell>
          <cell r="I786">
            <v>33.690578447862052</v>
          </cell>
          <cell r="J786">
            <v>44.851757119051065</v>
          </cell>
          <cell r="M786">
            <v>49.337219315095716</v>
          </cell>
          <cell r="N786">
            <v>40.631348648226286</v>
          </cell>
          <cell r="O786">
            <v>48.999098611832324</v>
          </cell>
          <cell r="P786">
            <v>236.7883299458334</v>
          </cell>
          <cell r="Q786">
            <v>38.078381795195952</v>
          </cell>
          <cell r="R786">
            <v>111.44780827278598</v>
          </cell>
          <cell r="S786">
            <v>54.327736712304102</v>
          </cell>
          <cell r="T786">
            <v>82.801417614467681</v>
          </cell>
        </row>
        <row r="787">
          <cell r="B787" t="str">
            <v>FY0</v>
          </cell>
          <cell r="C787">
            <v>38.112499022087775</v>
          </cell>
          <cell r="D787">
            <v>27.504196028924184</v>
          </cell>
          <cell r="E787">
            <v>29.919835586775626</v>
          </cell>
          <cell r="F787">
            <v>41.274546979672976</v>
          </cell>
          <cell r="G787">
            <v>86.489403842931324</v>
          </cell>
          <cell r="H787">
            <v>37.770476190476195</v>
          </cell>
          <cell r="I787">
            <v>31.484389352146167</v>
          </cell>
          <cell r="J787">
            <v>41.793621000430612</v>
          </cell>
          <cell r="M787">
            <v>39.808419299032487</v>
          </cell>
          <cell r="N787">
            <v>39.599343958504335</v>
          </cell>
          <cell r="O787">
            <v>51.280762386127712</v>
          </cell>
          <cell r="P787">
            <v>206.63203912686348</v>
          </cell>
          <cell r="Q787">
            <v>37.726692209450832</v>
          </cell>
          <cell r="R787">
            <v>94.960263474919032</v>
          </cell>
          <cell r="S787">
            <v>52.530906640433855</v>
          </cell>
          <cell r="T787">
            <v>74.648346727904524</v>
          </cell>
        </row>
        <row r="788">
          <cell r="B788" t="str">
            <v>FY1</v>
          </cell>
          <cell r="C788">
            <v>39.347452029995708</v>
          </cell>
          <cell r="D788">
            <v>29.356748438334701</v>
          </cell>
          <cell r="E788">
            <v>30.52408774498835</v>
          </cell>
          <cell r="F788">
            <v>40.102918192343012</v>
          </cell>
          <cell r="G788">
            <v>88.953357019349212</v>
          </cell>
          <cell r="H788">
            <v>34.435038762035724</v>
          </cell>
          <cell r="I788">
            <v>31.366907365486593</v>
          </cell>
          <cell r="J788">
            <v>42.012358507504757</v>
          </cell>
          <cell r="M788">
            <v>32.314250277819518</v>
          </cell>
          <cell r="N788">
            <v>41.192025535021067</v>
          </cell>
          <cell r="O788">
            <v>51.788879564784338</v>
          </cell>
          <cell r="P788">
            <v>194.15276857213092</v>
          </cell>
          <cell r="Q788">
            <v>40.220785229448175</v>
          </cell>
          <cell r="R788">
            <v>96.921492997836197</v>
          </cell>
          <cell r="S788">
            <v>52.092692826174805</v>
          </cell>
          <cell r="T788">
            <v>72.668985000459287</v>
          </cell>
        </row>
        <row r="789">
          <cell r="B789" t="str">
            <v>FY2</v>
          </cell>
          <cell r="C789">
            <v>40.626498868924216</v>
          </cell>
          <cell r="D789">
            <v>30.080029219039286</v>
          </cell>
          <cell r="E789">
            <v>30.424488748700757</v>
          </cell>
          <cell r="F789">
            <v>40.942278457992401</v>
          </cell>
          <cell r="G789">
            <v>90.531911795975219</v>
          </cell>
          <cell r="H789">
            <v>34.293484579602911</v>
          </cell>
          <cell r="I789">
            <v>31.764467878342945</v>
          </cell>
          <cell r="J789">
            <v>42.666165649796817</v>
          </cell>
          <cell r="M789">
            <v>31.98389582712926</v>
          </cell>
          <cell r="N789">
            <v>43.439322753006394</v>
          </cell>
          <cell r="O789">
            <v>54.5597682803675</v>
          </cell>
          <cell r="P789">
            <v>193.56405949949226</v>
          </cell>
          <cell r="Q789">
            <v>39.34285076815766</v>
          </cell>
          <cell r="R789">
            <v>97.977982331153342</v>
          </cell>
          <cell r="S789">
            <v>51.806692772736874</v>
          </cell>
          <cell r="T789">
            <v>73.239224604577615</v>
          </cell>
        </row>
        <row r="791">
          <cell r="A791" t="str">
            <v>Turnover Ratios</v>
          </cell>
        </row>
        <row r="792">
          <cell r="B792" t="str">
            <v>Inventory Turnover</v>
          </cell>
          <cell r="C792" t="str">
            <v>COGS/ Average Inventory</v>
          </cell>
        </row>
        <row r="793">
          <cell r="B793" t="str">
            <v>FY(5)</v>
          </cell>
        </row>
        <row r="794">
          <cell r="B794" t="str">
            <v>FY(4)</v>
          </cell>
          <cell r="C794">
            <v>3.5887445581823387</v>
          </cell>
          <cell r="D794">
            <v>3.5071104387291983</v>
          </cell>
          <cell r="E794">
            <v>2.4632516703786194</v>
          </cell>
          <cell r="F794">
            <v>5.0049716705396659</v>
          </cell>
          <cell r="G794">
            <v>2.2038539088848883</v>
          </cell>
          <cell r="H794">
            <v>3.8723010121518526</v>
          </cell>
          <cell r="I794">
            <v>4.9345555526362066</v>
          </cell>
          <cell r="J794">
            <v>3.65354125878611</v>
          </cell>
          <cell r="M794">
            <v>2.3139206793057574</v>
          </cell>
          <cell r="N794">
            <v>8.706738923592436</v>
          </cell>
          <cell r="O794">
            <v>5.2531435569993015</v>
          </cell>
          <cell r="P794">
            <v>1.8384352724131579</v>
          </cell>
          <cell r="Q794">
            <v>5.8150057273768612</v>
          </cell>
          <cell r="R794">
            <v>4.2457406756346234</v>
          </cell>
          <cell r="S794">
            <v>4.366211613358483</v>
          </cell>
          <cell r="T794">
            <v>4.648456635525803</v>
          </cell>
        </row>
        <row r="795">
          <cell r="B795" t="str">
            <v>FY(3)</v>
          </cell>
          <cell r="C795">
            <v>3.6501712975682681</v>
          </cell>
          <cell r="D795">
            <v>3.4353324811816504</v>
          </cell>
          <cell r="E795">
            <v>3.0874048376216634</v>
          </cell>
          <cell r="F795">
            <v>5.4819834648124264</v>
          </cell>
          <cell r="G795">
            <v>2.1970428773649524</v>
          </cell>
          <cell r="H795">
            <v>4.1574165729428252</v>
          </cell>
          <cell r="I795">
            <v>4.9681673333211762</v>
          </cell>
          <cell r="J795">
            <v>3.8539312664018519</v>
          </cell>
          <cell r="M795">
            <v>2.8490901919537208</v>
          </cell>
          <cell r="N795">
            <v>8.1120757761678242</v>
          </cell>
          <cell r="O795">
            <v>5.2859602020616983</v>
          </cell>
          <cell r="P795">
            <v>1.7287047394205184</v>
          </cell>
          <cell r="Q795">
            <v>6.0907742509641052</v>
          </cell>
          <cell r="R795">
            <v>4.4077897786054212</v>
          </cell>
          <cell r="S795">
            <v>4.736546617960725</v>
          </cell>
          <cell r="T795">
            <v>4.7444202224477161</v>
          </cell>
        </row>
        <row r="796">
          <cell r="B796" t="str">
            <v>FY(2)</v>
          </cell>
          <cell r="C796">
            <v>3.6994142782691952</v>
          </cell>
          <cell r="D796">
            <v>3.5350521739130434</v>
          </cell>
          <cell r="E796">
            <v>3.1899481127276426</v>
          </cell>
          <cell r="F796">
            <v>5.954933189655172</v>
          </cell>
          <cell r="G796">
            <v>2.5106978879127166</v>
          </cell>
          <cell r="H796">
            <v>4.8450837803911453</v>
          </cell>
          <cell r="I796">
            <v>5.1694422378141152</v>
          </cell>
          <cell r="J796">
            <v>4.1292245229547193</v>
          </cell>
          <cell r="M796">
            <v>3.4340502427098456</v>
          </cell>
          <cell r="N796">
            <v>7.8956659362064769</v>
          </cell>
          <cell r="O796">
            <v>5.6148761723594065</v>
          </cell>
          <cell r="P796">
            <v>1.9336965828087429</v>
          </cell>
          <cell r="Q796">
            <v>6.5361895488477764</v>
          </cell>
          <cell r="R796">
            <v>5.4452466402739583</v>
          </cell>
          <cell r="S796">
            <v>5.4501716804781868</v>
          </cell>
          <cell r="T796">
            <v>5.1871281148120563</v>
          </cell>
        </row>
        <row r="797">
          <cell r="B797" t="str">
            <v>FY(1)</v>
          </cell>
          <cell r="C797">
            <v>3.6118885005242918</v>
          </cell>
          <cell r="D797">
            <v>3.6831045611032631</v>
          </cell>
          <cell r="E797">
            <v>3.198849104859335</v>
          </cell>
          <cell r="F797">
            <v>6.0394694104560624</v>
          </cell>
          <cell r="G797">
            <v>2.9933797133168416</v>
          </cell>
          <cell r="H797">
            <v>5.6531710421566235</v>
          </cell>
          <cell r="I797">
            <v>5.5990322297615744</v>
          </cell>
          <cell r="J797">
            <v>4.3969849374539987</v>
          </cell>
          <cell r="M797">
            <v>3.3758386805393905</v>
          </cell>
          <cell r="N797">
            <v>9.4984013113489549</v>
          </cell>
          <cell r="O797">
            <v>5.8410639509995459</v>
          </cell>
          <cell r="P797">
            <v>2.4002742624542766</v>
          </cell>
          <cell r="Q797">
            <v>6.0871605766007377</v>
          </cell>
          <cell r="R797">
            <v>5.4419906437830923</v>
          </cell>
          <cell r="S797">
            <v>6.3015839113279464</v>
          </cell>
          <cell r="T797">
            <v>5.5637590481505637</v>
          </cell>
        </row>
        <row r="798">
          <cell r="B798" t="str">
            <v>FY0</v>
          </cell>
          <cell r="C798">
            <v>3.5323317687561731</v>
          </cell>
          <cell r="D798">
            <v>3.392747310751735</v>
          </cell>
          <cell r="E798">
            <v>2.9932833540756003</v>
          </cell>
          <cell r="F798">
            <v>5.8804120596511433</v>
          </cell>
          <cell r="G798">
            <v>2.5306349090500406</v>
          </cell>
          <cell r="H798">
            <v>6.2406407993436952</v>
          </cell>
          <cell r="I798">
            <v>5.8044599173301963</v>
          </cell>
          <cell r="J798">
            <v>4.3392157312797979</v>
          </cell>
          <cell r="M798">
            <v>3.6722072190744006</v>
          </cell>
          <cell r="N798">
            <v>9.9304948772299113</v>
          </cell>
          <cell r="O798">
            <v>5.5960303546763486</v>
          </cell>
          <cell r="P798">
            <v>2.7134102297852838</v>
          </cell>
          <cell r="Q798">
            <v>5.615370155671922</v>
          </cell>
          <cell r="R798">
            <v>5.3564095066318336</v>
          </cell>
          <cell r="S798">
            <v>5.8671152610791442</v>
          </cell>
          <cell r="T798">
            <v>5.5358625148784055</v>
          </cell>
        </row>
        <row r="799">
          <cell r="B799" t="str">
            <v>FY1</v>
          </cell>
          <cell r="C799">
            <v>3.5294359731233071</v>
          </cell>
          <cell r="D799">
            <v>3.2608196426672098</v>
          </cell>
          <cell r="E799">
            <v>3.0835504775409524</v>
          </cell>
          <cell r="F799">
            <v>6.0262598083973495</v>
          </cell>
          <cell r="G799">
            <v>2.4805647249526515</v>
          </cell>
          <cell r="H799">
            <v>6.7235442342658001</v>
          </cell>
          <cell r="I799">
            <v>5.9830051554892743</v>
          </cell>
          <cell r="J799">
            <v>4.4410257166337912</v>
          </cell>
          <cell r="M799">
            <v>4.276666494651332</v>
          </cell>
          <cell r="N799">
            <v>9.6775044370445986</v>
          </cell>
          <cell r="O799">
            <v>5.0509147014061533</v>
          </cell>
          <cell r="P799">
            <v>2.7059775822106986</v>
          </cell>
          <cell r="Q799">
            <v>5.5249170463734361</v>
          </cell>
          <cell r="R799">
            <v>5.4821208658836831</v>
          </cell>
          <cell r="S799">
            <v>6.0772587951321562</v>
          </cell>
          <cell r="T799">
            <v>5.542194274671723</v>
          </cell>
        </row>
        <row r="800">
          <cell r="B800" t="str">
            <v>FY2</v>
          </cell>
          <cell r="C800">
            <v>4.0032845383298508</v>
          </cell>
          <cell r="D800">
            <v>3.3294959588521795</v>
          </cell>
          <cell r="E800">
            <v>3.0070600124608067</v>
          </cell>
          <cell r="F800">
            <v>6.0136541557279175</v>
          </cell>
          <cell r="G800">
            <v>2.409865145409928</v>
          </cell>
          <cell r="H800">
            <v>6.7058911884400656</v>
          </cell>
          <cell r="I800">
            <v>6.1706576678799614</v>
          </cell>
          <cell r="J800">
            <v>4.5199869524429586</v>
          </cell>
          <cell r="M800">
            <v>4.3842209929167737</v>
          </cell>
          <cell r="N800">
            <v>11.770801651037218</v>
          </cell>
          <cell r="O800">
            <v>5.9420682003315219</v>
          </cell>
          <cell r="P800">
            <v>2.8352770417443303</v>
          </cell>
          <cell r="Q800">
            <v>5.5555946367844902</v>
          </cell>
          <cell r="R800">
            <v>5.2554780722033101</v>
          </cell>
          <cell r="S800">
            <v>7.170138296630852</v>
          </cell>
          <cell r="T800">
            <v>6.1305112702355</v>
          </cell>
        </row>
        <row r="802">
          <cell r="B802" t="str">
            <v>Receivables Turnover</v>
          </cell>
        </row>
        <row r="803">
          <cell r="B803" t="str">
            <v>FY(5)</v>
          </cell>
        </row>
        <row r="804">
          <cell r="B804" t="str">
            <v>FY(4)</v>
          </cell>
        </row>
        <row r="805">
          <cell r="B805" t="str">
            <v>FY(3)</v>
          </cell>
        </row>
        <row r="806">
          <cell r="B806" t="str">
            <v>FY(2)</v>
          </cell>
        </row>
        <row r="807">
          <cell r="B807" t="str">
            <v>FY(1)</v>
          </cell>
        </row>
        <row r="808">
          <cell r="B808" t="str">
            <v>FY0</v>
          </cell>
        </row>
        <row r="809">
          <cell r="B809" t="str">
            <v>FY1</v>
          </cell>
        </row>
        <row r="810">
          <cell r="B810" t="str">
            <v>FY2</v>
          </cell>
        </row>
        <row r="812">
          <cell r="B812" t="str">
            <v>A/P Turnover</v>
          </cell>
          <cell r="C812" t="str">
            <v>COGS/ Average Accounts Payable</v>
          </cell>
        </row>
        <row r="813">
          <cell r="B813" t="str">
            <v>FY(5)</v>
          </cell>
        </row>
        <row r="814">
          <cell r="B814" t="str">
            <v>FY(4)</v>
          </cell>
          <cell r="C814">
            <v>9.7958054736398239</v>
          </cell>
          <cell r="D814">
            <v>4.0031082714557069</v>
          </cell>
          <cell r="E814">
            <v>2.6948223350253806</v>
          </cell>
          <cell r="F814">
            <v>8.753505280641825</v>
          </cell>
          <cell r="G814">
            <v>8.3344795322748411</v>
          </cell>
          <cell r="H814">
            <v>4.1580473990017675</v>
          </cell>
          <cell r="I814">
            <v>9.0904474753371769</v>
          </cell>
          <cell r="J814">
            <v>6.6900308239109316</v>
          </cell>
          <cell r="M814">
            <v>6.6805714431900833</v>
          </cell>
          <cell r="N814">
            <v>13.905701048041426</v>
          </cell>
          <cell r="O814">
            <v>8.0297280141261229</v>
          </cell>
          <cell r="P814">
            <v>5.3058340929808567</v>
          </cell>
          <cell r="Q814">
            <v>9.0611334225792053</v>
          </cell>
          <cell r="R814">
            <v>11.027610908188233</v>
          </cell>
          <cell r="S814">
            <v>12.961920012891399</v>
          </cell>
          <cell r="T814">
            <v>9.5674998488567606</v>
          </cell>
        </row>
        <row r="815">
          <cell r="B815" t="str">
            <v>FY(3)</v>
          </cell>
          <cell r="C815">
            <v>11.204175871474803</v>
          </cell>
          <cell r="D815">
            <v>3.9057284030356856</v>
          </cell>
          <cell r="E815">
            <v>3.669453670828084</v>
          </cell>
          <cell r="F815">
            <v>9.4526269513663532</v>
          </cell>
          <cell r="G815">
            <v>8.8471371622184858</v>
          </cell>
          <cell r="H815">
            <v>4.2360528769904047</v>
          </cell>
          <cell r="I815">
            <v>9.1472607789399216</v>
          </cell>
          <cell r="J815">
            <v>7.2089193878362483</v>
          </cell>
          <cell r="M815">
            <v>7.7363659731246521</v>
          </cell>
          <cell r="N815">
            <v>11.822018899238763</v>
          </cell>
          <cell r="O815">
            <v>8.8366891739952234</v>
          </cell>
          <cell r="P815">
            <v>4.7958376068461268</v>
          </cell>
          <cell r="Q815">
            <v>9.7078014184397166</v>
          </cell>
          <cell r="R815">
            <v>11.997430077286912</v>
          </cell>
          <cell r="S815">
            <v>11.707256476291473</v>
          </cell>
          <cell r="T815">
            <v>9.5147713750318381</v>
          </cell>
        </row>
        <row r="816">
          <cell r="B816" t="str">
            <v>FY(2)</v>
          </cell>
          <cell r="C816">
            <v>12.183682443352737</v>
          </cell>
          <cell r="D816">
            <v>4.1139922415247092</v>
          </cell>
          <cell r="E816">
            <v>3.9012069180042306</v>
          </cell>
          <cell r="F816">
            <v>9.8769937444146549</v>
          </cell>
          <cell r="G816">
            <v>14.910961161122177</v>
          </cell>
          <cell r="H816">
            <v>4.7735365590208625</v>
          </cell>
          <cell r="I816">
            <v>9.9150343833078871</v>
          </cell>
          <cell r="J816">
            <v>8.5250582072496091</v>
          </cell>
          <cell r="M816">
            <v>8.035058746281722</v>
          </cell>
          <cell r="N816">
            <v>11.75069076414368</v>
          </cell>
          <cell r="O816">
            <v>10.530981044916709</v>
          </cell>
          <cell r="P816">
            <v>4.8310283360993305</v>
          </cell>
          <cell r="Q816">
            <v>10.165572942958102</v>
          </cell>
          <cell r="R816">
            <v>13.105748300127441</v>
          </cell>
          <cell r="S816">
            <v>13.593020624201497</v>
          </cell>
          <cell r="T816">
            <v>10.287442965532639</v>
          </cell>
        </row>
        <row r="817">
          <cell r="B817" t="str">
            <v>FY(1)</v>
          </cell>
          <cell r="C817">
            <v>9.9889927501208309</v>
          </cell>
          <cell r="D817">
            <v>4.095742647329522</v>
          </cell>
          <cell r="E817">
            <v>3.8249235474006116</v>
          </cell>
          <cell r="F817">
            <v>8.424333591931731</v>
          </cell>
          <cell r="G817">
            <v>21.490244702964883</v>
          </cell>
          <cell r="H817">
            <v>4.7607794246042996</v>
          </cell>
          <cell r="I817">
            <v>10.360702845332504</v>
          </cell>
          <cell r="J817">
            <v>8.9922456442406258</v>
          </cell>
          <cell r="M817">
            <v>7.6893096399643879</v>
          </cell>
          <cell r="N817">
            <v>14.650457771405796</v>
          </cell>
          <cell r="O817">
            <v>11.685776286728011</v>
          </cell>
          <cell r="P817">
            <v>6.5079935227440009</v>
          </cell>
          <cell r="Q817">
            <v>9.06993006993007</v>
          </cell>
          <cell r="R817">
            <v>12.289419946699677</v>
          </cell>
          <cell r="S817">
            <v>15.90314618854436</v>
          </cell>
          <cell r="T817">
            <v>11.11371906085947</v>
          </cell>
        </row>
        <row r="818">
          <cell r="B818" t="str">
            <v>FY0</v>
          </cell>
          <cell r="C818">
            <v>8.691082289624811</v>
          </cell>
          <cell r="D818">
            <v>3.7046564480701401</v>
          </cell>
          <cell r="E818">
            <v>3.4688941367079806</v>
          </cell>
          <cell r="F818">
            <v>7.2015440731826743</v>
          </cell>
          <cell r="G818">
            <v>15.85803566469516</v>
          </cell>
          <cell r="H818">
            <v>4.6136866352743597</v>
          </cell>
          <cell r="I818">
            <v>9.6532857111354655</v>
          </cell>
          <cell r="J818">
            <v>7.598740708384371</v>
          </cell>
          <cell r="M818">
            <v>7.1666740644860711</v>
          </cell>
          <cell r="N818">
            <v>14.480976475633927</v>
          </cell>
          <cell r="O818">
            <v>12.482792929544404</v>
          </cell>
          <cell r="P818">
            <v>8.7568525693402997</v>
          </cell>
          <cell r="Q818">
            <v>8.2622426097376138</v>
          </cell>
          <cell r="R818">
            <v>10.801041321580231</v>
          </cell>
          <cell r="S818">
            <v>12.428762254756602</v>
          </cell>
          <cell r="T818">
            <v>10.625620317868449</v>
          </cell>
        </row>
        <row r="819">
          <cell r="B819" t="str">
            <v>FY1</v>
          </cell>
          <cell r="C819">
            <v>8.5301034342688062</v>
          </cell>
          <cell r="D819">
            <v>3.703016351168654</v>
          </cell>
          <cell r="E819">
            <v>3.503132346751415</v>
          </cell>
          <cell r="F819">
            <v>7.3339711264105985</v>
          </cell>
          <cell r="G819">
            <v>15.392331322057588</v>
          </cell>
          <cell r="H819">
            <v>4.7800925822942011</v>
          </cell>
          <cell r="I819">
            <v>9.8151091658853993</v>
          </cell>
          <cell r="J819">
            <v>7.5796794755480947</v>
          </cell>
          <cell r="M819">
            <v>7.8532817061926741</v>
          </cell>
          <cell r="N819">
            <v>14.27806448321237</v>
          </cell>
          <cell r="O819">
            <v>12.416788393118456</v>
          </cell>
          <cell r="P819">
            <v>8.897641167486471</v>
          </cell>
          <cell r="Q819">
            <v>8.2384202956759669</v>
          </cell>
          <cell r="R819">
            <v>10.451007694188212</v>
          </cell>
          <cell r="S819">
            <v>11.380621952277288</v>
          </cell>
          <cell r="T819">
            <v>10.502260813164492</v>
          </cell>
        </row>
        <row r="820">
          <cell r="B820" t="str">
            <v>FY2</v>
          </cell>
          <cell r="C820">
            <v>8.7606422044558485</v>
          </cell>
          <cell r="D820">
            <v>3.7565921169164573</v>
          </cell>
          <cell r="E820">
            <v>3.4980770266096792</v>
          </cell>
          <cell r="F820">
            <v>7.4631980628191394</v>
          </cell>
          <cell r="G820">
            <v>15.944717429726143</v>
          </cell>
          <cell r="H820">
            <v>4.8879482678263715</v>
          </cell>
          <cell r="I820">
            <v>10.14921913677626</v>
          </cell>
          <cell r="J820">
            <v>7.7800563207328421</v>
          </cell>
          <cell r="M820">
            <v>8.1635080695484721</v>
          </cell>
          <cell r="N820">
            <v>15.675178681317171</v>
          </cell>
          <cell r="O820">
            <v>13.209480413793205</v>
          </cell>
          <cell r="P820">
            <v>9.2064498885710986</v>
          </cell>
          <cell r="Q820">
            <v>8.0122358239186706</v>
          </cell>
          <cell r="R820">
            <v>10.598025334503671</v>
          </cell>
          <cell r="S820">
            <v>11.962603629636121</v>
          </cell>
          <cell r="T820">
            <v>10.975354548755488</v>
          </cell>
        </row>
        <row r="823">
          <cell r="A823" t="str">
            <v>DuPont Analysis: ROE</v>
          </cell>
        </row>
        <row r="825">
          <cell r="B825" t="str">
            <v>Net Profit/ Sales</v>
          </cell>
        </row>
        <row r="826">
          <cell r="B826" t="str">
            <v>FY(5)</v>
          </cell>
          <cell r="C826">
            <v>6.0125709402001584E-2</v>
          </cell>
        </row>
        <row r="827">
          <cell r="B827" t="str">
            <v>FY(4)</v>
          </cell>
        </row>
        <row r="828">
          <cell r="B828" t="str">
            <v>FY(3)</v>
          </cell>
        </row>
        <row r="829">
          <cell r="B829" t="str">
            <v>FY(2)</v>
          </cell>
        </row>
        <row r="830">
          <cell r="B830" t="str">
            <v>FY(1)</v>
          </cell>
        </row>
        <row r="831">
          <cell r="B831" t="str">
            <v>FY0</v>
          </cell>
        </row>
        <row r="832">
          <cell r="B832" t="str">
            <v>FY1</v>
          </cell>
        </row>
        <row r="833">
          <cell r="B833" t="str">
            <v>FY2</v>
          </cell>
        </row>
        <row r="835">
          <cell r="B835" t="str">
            <v>Sales/ Assets</v>
          </cell>
        </row>
        <row r="836">
          <cell r="B836" t="str">
            <v>FY(5)</v>
          </cell>
        </row>
        <row r="837">
          <cell r="B837" t="str">
            <v>FY(4)</v>
          </cell>
        </row>
        <row r="838">
          <cell r="B838" t="str">
            <v>FY(3)</v>
          </cell>
        </row>
        <row r="839">
          <cell r="B839" t="str">
            <v>FY(2)</v>
          </cell>
        </row>
        <row r="840">
          <cell r="B840" t="str">
            <v>FY(1)</v>
          </cell>
        </row>
        <row r="841">
          <cell r="B841" t="str">
            <v>FY0</v>
          </cell>
        </row>
        <row r="842">
          <cell r="B842" t="str">
            <v>FY1</v>
          </cell>
        </row>
        <row r="843">
          <cell r="B843" t="str">
            <v>FY2</v>
          </cell>
        </row>
        <row r="845">
          <cell r="B845" t="str">
            <v>Assets/ Equity</v>
          </cell>
        </row>
        <row r="846">
          <cell r="B846" t="str">
            <v>FY(5)</v>
          </cell>
        </row>
        <row r="847">
          <cell r="B847" t="str">
            <v>FY(4)</v>
          </cell>
        </row>
        <row r="848">
          <cell r="B848" t="str">
            <v>FY(3)</v>
          </cell>
        </row>
        <row r="849">
          <cell r="B849" t="str">
            <v>FY(2)</v>
          </cell>
        </row>
        <row r="850">
          <cell r="B850" t="str">
            <v>FY(1)</v>
          </cell>
        </row>
        <row r="851">
          <cell r="B851" t="str">
            <v>FY0</v>
          </cell>
        </row>
        <row r="852">
          <cell r="B852" t="str">
            <v>FY1</v>
          </cell>
        </row>
        <row r="853">
          <cell r="B853" t="str">
            <v>FY2</v>
          </cell>
        </row>
      </sheetData>
      <sheetData sheetId="5"/>
      <sheetData sheetId="6"/>
      <sheetData sheetId="7"/>
      <sheetData sheetId="8" refreshError="1"/>
      <sheetData sheetId="9" refreshError="1"/>
      <sheetData sheetId="10" refreshError="1"/>
      <sheetData sheetId="11" refreshError="1"/>
      <sheetData sheetId="12">
        <row r="1">
          <cell r="R1" t="str">
            <v>SmartCharts</v>
          </cell>
          <cell r="AO1" t="str">
            <v>SmartCharts</v>
          </cell>
          <cell r="CA1" t="str">
            <v>.</v>
          </cell>
        </row>
        <row r="2">
          <cell r="CA2" t="str">
            <v>.</v>
          </cell>
        </row>
        <row r="3">
          <cell r="CA3" t="str">
            <v>.</v>
          </cell>
        </row>
        <row r="4">
          <cell r="CA4" t="str">
            <v>.</v>
          </cell>
        </row>
        <row r="10">
          <cell r="B10" t="str">
            <v>Input your data here:</v>
          </cell>
          <cell r="C10">
            <v>40286</v>
          </cell>
          <cell r="AG10" t="str">
            <v>Base</v>
          </cell>
          <cell r="AJ10" t="str">
            <v>up</v>
          </cell>
          <cell r="AK10" t="str">
            <v>dn</v>
          </cell>
          <cell r="AO10" t="str">
            <v>PT</v>
          </cell>
          <cell r="AP10" t="str">
            <v>BEAR</v>
          </cell>
          <cell r="AQ10" t="str">
            <v>BASE</v>
          </cell>
          <cell r="AR10" t="str">
            <v>BULL</v>
          </cell>
          <cell r="CA10" t="str">
            <v>.</v>
          </cell>
        </row>
        <row r="11">
          <cell r="C11" t="str">
            <v>current
price</v>
          </cell>
          <cell r="D11" t="str">
            <v>Bear</v>
          </cell>
          <cell r="E11" t="str">
            <v>Base</v>
          </cell>
          <cell r="F11" t="str">
            <v>Bull</v>
          </cell>
          <cell r="G11" t="str">
            <v>price
target</v>
          </cell>
          <cell r="I11" t="str">
            <v>sortPT</v>
          </cell>
          <cell r="AC11" t="str">
            <v>Ticker</v>
          </cell>
          <cell r="AD11" t="str">
            <v>BearNeg</v>
          </cell>
          <cell r="AE11" t="str">
            <v>BearPos</v>
          </cell>
          <cell r="AF11" t="str">
            <v>BaseNeg</v>
          </cell>
          <cell r="AG11" t="str">
            <v>BasePos</v>
          </cell>
          <cell r="AH11" t="str">
            <v>BullPos</v>
          </cell>
          <cell r="AI11" t="str">
            <v>BullNeg</v>
          </cell>
          <cell r="AJ11" t="str">
            <v>PTPos</v>
          </cell>
          <cell r="AK11" t="str">
            <v>PTNeg</v>
          </cell>
          <cell r="AL11" t="str">
            <v>current
price</v>
          </cell>
          <cell r="AM11" t="str">
            <v>Legend+</v>
          </cell>
          <cell r="AN11" t="str">
            <v>Legend-</v>
          </cell>
          <cell r="AO11" t="str">
            <v>PT_label</v>
          </cell>
          <cell r="AP11" t="str">
            <v>Bear_label</v>
          </cell>
          <cell r="AQ11" t="str">
            <v>Base_label</v>
          </cell>
          <cell r="AR11" t="str">
            <v>Bull_label</v>
          </cell>
          <cell r="CA11" t="str">
            <v>.</v>
          </cell>
        </row>
        <row r="12">
          <cell r="B12" t="str">
            <v>PVH</v>
          </cell>
          <cell r="C12" t="str">
            <v>#Calc</v>
          </cell>
          <cell r="D12">
            <v>42</v>
          </cell>
          <cell r="E12">
            <v>65</v>
          </cell>
          <cell r="F12">
            <v>81</v>
          </cell>
          <cell r="G12">
            <v>65</v>
          </cell>
          <cell r="I12" t="e">
            <v>#VALUE!</v>
          </cell>
          <cell r="AC12" t="str">
            <v>PVH</v>
          </cell>
          <cell r="AD12" t="e">
            <v>#VALUE!</v>
          </cell>
          <cell r="AE12" t="e">
            <v>#VALUE!</v>
          </cell>
          <cell r="AF12" t="e">
            <v>#VALUE!</v>
          </cell>
          <cell r="AG12" t="e">
            <v>#VALUE!</v>
          </cell>
          <cell r="AH12" t="e">
            <v>#VALUE!</v>
          </cell>
          <cell r="AI12" t="e">
            <v>#VALUE!</v>
          </cell>
          <cell r="AJ12" t="e">
            <v>#VALUE!</v>
          </cell>
          <cell r="AK12" t="e">
            <v>#VALUE!</v>
          </cell>
          <cell r="AL12">
            <v>0</v>
          </cell>
          <cell r="AM12" t="e">
            <v>#N/A</v>
          </cell>
          <cell r="AN12" t="e">
            <v>#N/A</v>
          </cell>
          <cell r="AO12" t="e">
            <v>#N/A</v>
          </cell>
          <cell r="AP12" t="e">
            <v>#N/A</v>
          </cell>
          <cell r="AQ12" t="e">
            <v>#N/A</v>
          </cell>
          <cell r="AR12" t="e">
            <v>#N/A</v>
          </cell>
          <cell r="CA12" t="str">
            <v>.</v>
          </cell>
        </row>
        <row r="13">
          <cell r="B13" t="str">
            <v>JNY</v>
          </cell>
          <cell r="C13" t="str">
            <v>#Calc</v>
          </cell>
          <cell r="D13">
            <v>13</v>
          </cell>
          <cell r="E13">
            <v>21</v>
          </cell>
          <cell r="F13">
            <v>25</v>
          </cell>
          <cell r="G13">
            <v>21</v>
          </cell>
          <cell r="I13" t="e">
            <v>#VALUE!</v>
          </cell>
          <cell r="AC13" t="str">
            <v>JNY</v>
          </cell>
          <cell r="AD13" t="e">
            <v>#VALUE!</v>
          </cell>
          <cell r="AE13" t="e">
            <v>#VALUE!</v>
          </cell>
          <cell r="AF13" t="e">
            <v>#VALUE!</v>
          </cell>
          <cell r="AG13" t="e">
            <v>#VALUE!</v>
          </cell>
          <cell r="AH13" t="e">
            <v>#VALUE!</v>
          </cell>
          <cell r="AI13" t="e">
            <v>#VALUE!</v>
          </cell>
          <cell r="AJ13" t="e">
            <v>#VALUE!</v>
          </cell>
          <cell r="AK13" t="e">
            <v>#VALUE!</v>
          </cell>
          <cell r="AM13" t="e">
            <v>#N/A</v>
          </cell>
          <cell r="AN13" t="e">
            <v>#N/A</v>
          </cell>
          <cell r="AO13" t="e">
            <v>#N/A</v>
          </cell>
          <cell r="AP13" t="e">
            <v>#N/A</v>
          </cell>
          <cell r="AQ13" t="e">
            <v>#N/A</v>
          </cell>
          <cell r="AR13" t="e">
            <v>#N/A</v>
          </cell>
          <cell r="CA13" t="str">
            <v>.</v>
          </cell>
        </row>
        <row r="14">
          <cell r="B14" t="str">
            <v>WRC</v>
          </cell>
          <cell r="C14" t="str">
            <v>#Calc</v>
          </cell>
          <cell r="D14">
            <v>37</v>
          </cell>
          <cell r="E14">
            <v>48</v>
          </cell>
          <cell r="F14">
            <v>63</v>
          </cell>
          <cell r="G14">
            <v>48</v>
          </cell>
          <cell r="I14" t="e">
            <v>#VALUE!</v>
          </cell>
          <cell r="AC14" t="str">
            <v>WRC</v>
          </cell>
          <cell r="AD14" t="e">
            <v>#VALUE!</v>
          </cell>
          <cell r="AE14" t="e">
            <v>#VALUE!</v>
          </cell>
          <cell r="AF14" t="e">
            <v>#VALUE!</v>
          </cell>
          <cell r="AG14" t="e">
            <v>#VALUE!</v>
          </cell>
          <cell r="AH14" t="e">
            <v>#VALUE!</v>
          </cell>
          <cell r="AI14" t="e">
            <v>#VALUE!</v>
          </cell>
          <cell r="AJ14" t="e">
            <v>#VALUE!</v>
          </cell>
          <cell r="AK14" t="e">
            <v>#VALUE!</v>
          </cell>
          <cell r="AM14" t="e">
            <v>#N/A</v>
          </cell>
          <cell r="AN14" t="e">
            <v>#N/A</v>
          </cell>
          <cell r="AO14" t="e">
            <v>#N/A</v>
          </cell>
          <cell r="AP14" t="e">
            <v>#N/A</v>
          </cell>
          <cell r="AQ14" t="e">
            <v>#N/A</v>
          </cell>
          <cell r="AR14" t="e">
            <v>#N/A</v>
          </cell>
          <cell r="CA14" t="str">
            <v>.</v>
          </cell>
        </row>
        <row r="15">
          <cell r="B15" t="str">
            <v>GES</v>
          </cell>
          <cell r="C15" t="str">
            <v>#Calc</v>
          </cell>
          <cell r="D15">
            <v>39</v>
          </cell>
          <cell r="E15">
            <v>48</v>
          </cell>
          <cell r="F15">
            <v>52</v>
          </cell>
          <cell r="G15">
            <v>48</v>
          </cell>
          <cell r="I15" t="e">
            <v>#VALUE!</v>
          </cell>
          <cell r="AC15" t="str">
            <v>GES</v>
          </cell>
          <cell r="AD15" t="e">
            <v>#VALUE!</v>
          </cell>
          <cell r="AE15" t="e">
            <v>#VALUE!</v>
          </cell>
          <cell r="AF15" t="e">
            <v>#VALUE!</v>
          </cell>
          <cell r="AG15" t="e">
            <v>#VALUE!</v>
          </cell>
          <cell r="AH15" t="e">
            <v>#VALUE!</v>
          </cell>
          <cell r="AI15" t="e">
            <v>#VALUE!</v>
          </cell>
          <cell r="AJ15" t="e">
            <v>#VALUE!</v>
          </cell>
          <cell r="AK15" t="e">
            <v>#VALUE!</v>
          </cell>
          <cell r="AM15" t="e">
            <v>#N/A</v>
          </cell>
          <cell r="AN15" t="e">
            <v>#N/A</v>
          </cell>
          <cell r="AO15" t="e">
            <v>#N/A</v>
          </cell>
          <cell r="AP15" t="e">
            <v>#N/A</v>
          </cell>
          <cell r="AQ15" t="e">
            <v>#N/A</v>
          </cell>
          <cell r="AR15" t="e">
            <v>#N/A</v>
          </cell>
          <cell r="CA15" t="str">
            <v>.</v>
          </cell>
        </row>
        <row r="16">
          <cell r="B16" t="str">
            <v>RL</v>
          </cell>
          <cell r="C16" t="str">
            <v>#Calc</v>
          </cell>
          <cell r="D16">
            <v>60</v>
          </cell>
          <cell r="E16">
            <v>80</v>
          </cell>
          <cell r="F16">
            <v>107</v>
          </cell>
          <cell r="G16">
            <v>80</v>
          </cell>
          <cell r="I16" t="e">
            <v>#VALUE!</v>
          </cell>
          <cell r="AC16" t="str">
            <v>RL</v>
          </cell>
          <cell r="AD16" t="e">
            <v>#VALUE!</v>
          </cell>
          <cell r="AE16" t="e">
            <v>#VALUE!</v>
          </cell>
          <cell r="AF16" t="e">
            <v>#VALUE!</v>
          </cell>
          <cell r="AG16" t="e">
            <v>#VALUE!</v>
          </cell>
          <cell r="AH16" t="e">
            <v>#VALUE!</v>
          </cell>
          <cell r="AI16" t="e">
            <v>#VALUE!</v>
          </cell>
          <cell r="AJ16" t="e">
            <v>#VALUE!</v>
          </cell>
          <cell r="AK16" t="e">
            <v>#VALUE!</v>
          </cell>
          <cell r="AM16" t="e">
            <v>#N/A</v>
          </cell>
          <cell r="AN16" t="e">
            <v>#N/A</v>
          </cell>
          <cell r="AO16" t="e">
            <v>#N/A</v>
          </cell>
          <cell r="AP16" t="e">
            <v>#N/A</v>
          </cell>
          <cell r="AQ16" t="e">
            <v>#N/A</v>
          </cell>
          <cell r="AR16" t="e">
            <v>#N/A</v>
          </cell>
          <cell r="CA16" t="str">
            <v>.</v>
          </cell>
        </row>
        <row r="17">
          <cell r="B17" t="str">
            <v>UA</v>
          </cell>
          <cell r="C17" t="str">
            <v>#Calc</v>
          </cell>
          <cell r="D17">
            <v>21</v>
          </cell>
          <cell r="E17">
            <v>27</v>
          </cell>
          <cell r="F17">
            <v>35</v>
          </cell>
          <cell r="G17">
            <v>27</v>
          </cell>
          <cell r="I17" t="e">
            <v>#VALUE!</v>
          </cell>
          <cell r="AC17" t="str">
            <v>UA</v>
          </cell>
          <cell r="AD17" t="e">
            <v>#VALUE!</v>
          </cell>
          <cell r="AE17" t="e">
            <v>#VALUE!</v>
          </cell>
          <cell r="AF17" t="e">
            <v>#VALUE!</v>
          </cell>
          <cell r="AG17" t="e">
            <v>#VALUE!</v>
          </cell>
          <cell r="AH17" t="e">
            <v>#VALUE!</v>
          </cell>
          <cell r="AI17" t="e">
            <v>#VALUE!</v>
          </cell>
          <cell r="AJ17" t="e">
            <v>#VALUE!</v>
          </cell>
          <cell r="AK17" t="e">
            <v>#VALUE!</v>
          </cell>
          <cell r="AM17" t="e">
            <v>#N/A</v>
          </cell>
          <cell r="AN17" t="e">
            <v>#N/A</v>
          </cell>
          <cell r="AO17" t="e">
            <v>#N/A</v>
          </cell>
          <cell r="AP17" t="e">
            <v>#N/A</v>
          </cell>
          <cell r="AQ17" t="e">
            <v>#N/A</v>
          </cell>
          <cell r="AR17" t="e">
            <v>#N/A</v>
          </cell>
          <cell r="CA17" t="str">
            <v>.</v>
          </cell>
        </row>
        <row r="18">
          <cell r="B18" t="str">
            <v>LIZ</v>
          </cell>
          <cell r="C18" t="str">
            <v>#Calc</v>
          </cell>
          <cell r="D18">
            <v>2.5</v>
          </cell>
          <cell r="E18">
            <v>6</v>
          </cell>
          <cell r="F18">
            <v>12</v>
          </cell>
          <cell r="G18">
            <v>6</v>
          </cell>
          <cell r="I18" t="e">
            <v>#VALUE!</v>
          </cell>
          <cell r="AC18" t="str">
            <v>LIZ</v>
          </cell>
          <cell r="AD18" t="e">
            <v>#VALUE!</v>
          </cell>
          <cell r="AE18" t="e">
            <v>#VALUE!</v>
          </cell>
          <cell r="AF18" t="e">
            <v>#VALUE!</v>
          </cell>
          <cell r="AG18" t="e">
            <v>#VALUE!</v>
          </cell>
          <cell r="AH18" t="e">
            <v>#VALUE!</v>
          </cell>
          <cell r="AI18" t="e">
            <v>#VALUE!</v>
          </cell>
          <cell r="AJ18" t="e">
            <v>#VALUE!</v>
          </cell>
          <cell r="AK18" t="e">
            <v>#VALUE!</v>
          </cell>
          <cell r="AM18" t="e">
            <v>#N/A</v>
          </cell>
          <cell r="AN18" t="e">
            <v>#N/A</v>
          </cell>
          <cell r="AO18" t="e">
            <v>#N/A</v>
          </cell>
          <cell r="AP18" t="e">
            <v>#N/A</v>
          </cell>
          <cell r="AQ18" t="e">
            <v>#N/A</v>
          </cell>
          <cell r="AR18" t="e">
            <v>#N/A</v>
          </cell>
          <cell r="CA18" t="str">
            <v>.</v>
          </cell>
        </row>
        <row r="19">
          <cell r="I19" t="e">
            <v>#DIV/0!</v>
          </cell>
          <cell r="AC19">
            <v>0</v>
          </cell>
          <cell r="AD19" t="e">
            <v>#VALUE!</v>
          </cell>
          <cell r="AE19">
            <v>0</v>
          </cell>
          <cell r="AF19">
            <v>0</v>
          </cell>
          <cell r="AG19" t="e">
            <v>#VALUE!</v>
          </cell>
          <cell r="AH19" t="e">
            <v>#VALUE!</v>
          </cell>
          <cell r="AI19">
            <v>0</v>
          </cell>
          <cell r="AJ19" t="e">
            <v>#N/A</v>
          </cell>
          <cell r="AK19" t="e">
            <v>#N/A</v>
          </cell>
          <cell r="AM19">
            <v>1</v>
          </cell>
          <cell r="AN19">
            <v>-1</v>
          </cell>
          <cell r="AO19" t="e">
            <v>#VALUE!</v>
          </cell>
          <cell r="AP19" t="e">
            <v>#VALUE!</v>
          </cell>
          <cell r="AQ19" t="e">
            <v>#VALUE!</v>
          </cell>
          <cell r="AR19" t="e">
            <v>#VALUE!</v>
          </cell>
        </row>
        <row r="20">
          <cell r="I20" t="e">
            <v>#DIV/0!</v>
          </cell>
          <cell r="AC20" t="e">
            <v>#N/A</v>
          </cell>
          <cell r="AD20" t="e">
            <v>#VALUE!</v>
          </cell>
          <cell r="AE20">
            <v>0</v>
          </cell>
          <cell r="AF20">
            <v>0</v>
          </cell>
          <cell r="AG20" t="e">
            <v>#VALUE!</v>
          </cell>
          <cell r="AH20" t="e">
            <v>#VALUE!</v>
          </cell>
          <cell r="AI20">
            <v>0</v>
          </cell>
          <cell r="AJ20" t="e">
            <v>#N/A</v>
          </cell>
          <cell r="AK20" t="e">
            <v>#N/A</v>
          </cell>
          <cell r="AM20">
            <v>1</v>
          </cell>
          <cell r="AN20">
            <v>-1</v>
          </cell>
          <cell r="AO20" t="e">
            <v>#VALUE!</v>
          </cell>
          <cell r="AP20" t="e">
            <v>#VALUE!</v>
          </cell>
          <cell r="AQ20" t="e">
            <v>#VALUE!</v>
          </cell>
          <cell r="AR20" t="e">
            <v>#VALUE!</v>
          </cell>
          <cell r="CA20" t="str">
            <v>.</v>
          </cell>
        </row>
        <row r="21">
          <cell r="AD21" t="e">
            <v>#VALUE!</v>
          </cell>
          <cell r="AE21">
            <v>0</v>
          </cell>
          <cell r="AF21">
            <v>0</v>
          </cell>
          <cell r="AG21" t="e">
            <v>#VALUE!</v>
          </cell>
          <cell r="AH21" t="e">
            <v>#VALUE!</v>
          </cell>
          <cell r="AI21">
            <v>0</v>
          </cell>
          <cell r="AJ21" t="e">
            <v>#N/A</v>
          </cell>
          <cell r="AK21" t="e">
            <v>#N/A</v>
          </cell>
          <cell r="AM21">
            <v>2</v>
          </cell>
          <cell r="AN21">
            <v>-2</v>
          </cell>
          <cell r="AO21" t="e">
            <v>#VALUE!</v>
          </cell>
          <cell r="AP21" t="e">
            <v>#VALUE!</v>
          </cell>
          <cell r="AQ21" t="e">
            <v>#VALUE!</v>
          </cell>
          <cell r="AR21" t="e">
            <v>#VALUE!</v>
          </cell>
          <cell r="CA21" t="str">
            <v>.</v>
          </cell>
        </row>
        <row r="22">
          <cell r="B22" t="str">
            <v>GES</v>
          </cell>
          <cell r="C22" t="str">
            <v>#Calc</v>
          </cell>
          <cell r="D22">
            <v>39</v>
          </cell>
          <cell r="E22">
            <v>48</v>
          </cell>
          <cell r="F22">
            <v>52</v>
          </cell>
          <cell r="G22">
            <v>48</v>
          </cell>
          <cell r="CA22" t="str">
            <v>.</v>
          </cell>
        </row>
        <row r="23">
          <cell r="B23" t="str">
            <v>JNY</v>
          </cell>
          <cell r="C23" t="str">
            <v>#Calc</v>
          </cell>
          <cell r="D23">
            <v>13</v>
          </cell>
          <cell r="E23">
            <v>21</v>
          </cell>
          <cell r="F23">
            <v>25</v>
          </cell>
          <cell r="G23">
            <v>21</v>
          </cell>
          <cell r="AD23" t="e">
            <v>#VALUE!</v>
          </cell>
          <cell r="AE23" t="e">
            <v>#VALUE!</v>
          </cell>
          <cell r="AF23" t="e">
            <v>#VALUE!</v>
          </cell>
          <cell r="AG23" t="e">
            <v>#VALUE!</v>
          </cell>
          <cell r="CA23" t="str">
            <v>.</v>
          </cell>
        </row>
        <row r="24">
          <cell r="B24" t="str">
            <v>LIZ</v>
          </cell>
          <cell r="C24" t="str">
            <v>#Calc</v>
          </cell>
          <cell r="D24">
            <v>2.5</v>
          </cell>
          <cell r="E24">
            <v>6</v>
          </cell>
          <cell r="F24">
            <v>12</v>
          </cell>
          <cell r="G24">
            <v>6</v>
          </cell>
          <cell r="AD24" t="e">
            <v>#VALUE!</v>
          </cell>
          <cell r="AE24" t="e">
            <v>#VALUE!</v>
          </cell>
          <cell r="AF24" t="e">
            <v>#VALUE!</v>
          </cell>
          <cell r="AG24" t="e">
            <v>#VALUE!</v>
          </cell>
          <cell r="CA24" t="str">
            <v>.</v>
          </cell>
        </row>
        <row r="25">
          <cell r="B25" t="str">
            <v>PVH</v>
          </cell>
          <cell r="C25" t="str">
            <v>#Calc</v>
          </cell>
          <cell r="D25">
            <v>42</v>
          </cell>
          <cell r="E25">
            <v>65</v>
          </cell>
          <cell r="F25">
            <v>81</v>
          </cell>
          <cell r="G25">
            <v>65</v>
          </cell>
          <cell r="AD25" t="e">
            <v>#VALUE!</v>
          </cell>
          <cell r="AE25" t="e">
            <v>#VALUE!</v>
          </cell>
          <cell r="AF25" t="e">
            <v>#VALUE!</v>
          </cell>
          <cell r="AG25" t="e">
            <v>#VALUE!</v>
          </cell>
          <cell r="CA25" t="str">
            <v>.</v>
          </cell>
        </row>
        <row r="26">
          <cell r="B26" t="str">
            <v>RL</v>
          </cell>
          <cell r="C26" t="str">
            <v>#Calc</v>
          </cell>
          <cell r="D26">
            <v>60</v>
          </cell>
          <cell r="E26">
            <v>80</v>
          </cell>
          <cell r="F26">
            <v>107</v>
          </cell>
          <cell r="G26">
            <v>80</v>
          </cell>
          <cell r="AD26" t="e">
            <v>#VALUE!</v>
          </cell>
          <cell r="AE26" t="e">
            <v>#VALUE!</v>
          </cell>
          <cell r="AF26" t="e">
            <v>#VALUE!</v>
          </cell>
          <cell r="AG26" t="e">
            <v>#VALUE!</v>
          </cell>
          <cell r="CA26" t="str">
            <v>.</v>
          </cell>
        </row>
        <row r="27">
          <cell r="B27" t="str">
            <v>UA</v>
          </cell>
          <cell r="C27" t="str">
            <v>#Calc</v>
          </cell>
          <cell r="D27">
            <v>21</v>
          </cell>
          <cell r="E27">
            <v>27</v>
          </cell>
          <cell r="F27">
            <v>35</v>
          </cell>
          <cell r="G27">
            <v>27</v>
          </cell>
          <cell r="AD27" t="e">
            <v>#VALUE!</v>
          </cell>
          <cell r="AE27" t="e">
            <v>#VALUE!</v>
          </cell>
          <cell r="AF27" t="e">
            <v>#VALUE!</v>
          </cell>
          <cell r="AG27" t="e">
            <v>#VALUE!</v>
          </cell>
          <cell r="CA27" t="str">
            <v>.</v>
          </cell>
        </row>
        <row r="28">
          <cell r="B28" t="str">
            <v>WRC</v>
          </cell>
          <cell r="C28" t="str">
            <v>#Calc</v>
          </cell>
          <cell r="D28">
            <v>37</v>
          </cell>
          <cell r="E28">
            <v>48</v>
          </cell>
          <cell r="F28">
            <v>63</v>
          </cell>
          <cell r="G28">
            <v>48</v>
          </cell>
          <cell r="AD28" t="e">
            <v>#VALUE!</v>
          </cell>
          <cell r="AE28" t="e">
            <v>#VALUE!</v>
          </cell>
          <cell r="AF28" t="e">
            <v>#VALUE!</v>
          </cell>
          <cell r="AG28" t="e">
            <v>#VALUE!</v>
          </cell>
          <cell r="CA28" t="str">
            <v>.</v>
          </cell>
        </row>
        <row r="29">
          <cell r="AD29" t="e">
            <v>#VALUE!</v>
          </cell>
          <cell r="AE29" t="e">
            <v>#VALUE!</v>
          </cell>
          <cell r="AF29" t="e">
            <v>#VALUE!</v>
          </cell>
          <cell r="AG29" t="e">
            <v>#VALUE!</v>
          </cell>
          <cell r="CA29" t="str">
            <v>.</v>
          </cell>
        </row>
        <row r="30">
          <cell r="AD30" t="e">
            <v>#DIV/0!</v>
          </cell>
          <cell r="AE30" t="e">
            <v>#DIV/0!</v>
          </cell>
          <cell r="AF30" t="e">
            <v>#DIV/0!</v>
          </cell>
          <cell r="AG30" t="e">
            <v>#DIV/0!</v>
          </cell>
          <cell r="CA30" t="str">
            <v>.</v>
          </cell>
        </row>
        <row r="31">
          <cell r="B31" t="str">
            <v>GES</v>
          </cell>
          <cell r="D31" t="e">
            <v>#VALUE!</v>
          </cell>
          <cell r="E31" t="e">
            <v>#VALUE!</v>
          </cell>
          <cell r="F31" t="e">
            <v>#VALUE!</v>
          </cell>
          <cell r="G31" t="e">
            <v>#VALUE!</v>
          </cell>
          <cell r="AD31" t="e">
            <v>#DIV/0!</v>
          </cell>
          <cell r="AE31" t="e">
            <v>#DIV/0!</v>
          </cell>
          <cell r="AF31" t="e">
            <v>#DIV/0!</v>
          </cell>
          <cell r="AG31" t="e">
            <v>#DIV/0!</v>
          </cell>
          <cell r="CA31" t="str">
            <v>.</v>
          </cell>
        </row>
        <row r="32">
          <cell r="B32" t="str">
            <v>JNY</v>
          </cell>
          <cell r="D32" t="e">
            <v>#VALUE!</v>
          </cell>
          <cell r="E32" t="e">
            <v>#VALUE!</v>
          </cell>
          <cell r="F32" t="e">
            <v>#VALUE!</v>
          </cell>
          <cell r="G32" t="e">
            <v>#VALUE!</v>
          </cell>
          <cell r="CA32" t="str">
            <v>.</v>
          </cell>
        </row>
        <row r="33">
          <cell r="B33" t="str">
            <v>LIZ</v>
          </cell>
          <cell r="D33" t="e">
            <v>#VALUE!</v>
          </cell>
          <cell r="E33" t="e">
            <v>#VALUE!</v>
          </cell>
          <cell r="F33" t="e">
            <v>#VALUE!</v>
          </cell>
          <cell r="G33" t="e">
            <v>#VALUE!</v>
          </cell>
          <cell r="CA33" t="str">
            <v>.</v>
          </cell>
        </row>
        <row r="34">
          <cell r="B34" t="str">
            <v>PVH</v>
          </cell>
          <cell r="D34" t="e">
            <v>#VALUE!</v>
          </cell>
          <cell r="E34" t="e">
            <v>#VALUE!</v>
          </cell>
          <cell r="F34" t="e">
            <v>#VALUE!</v>
          </cell>
          <cell r="G34" t="e">
            <v>#VALUE!</v>
          </cell>
          <cell r="CA34" t="str">
            <v>.</v>
          </cell>
        </row>
        <row r="35">
          <cell r="B35" t="str">
            <v>RL</v>
          </cell>
          <cell r="D35" t="e">
            <v>#VALUE!</v>
          </cell>
          <cell r="E35" t="e">
            <v>#VALUE!</v>
          </cell>
          <cell r="F35" t="e">
            <v>#VALUE!</v>
          </cell>
          <cell r="G35" t="e">
            <v>#VALUE!</v>
          </cell>
        </row>
        <row r="36">
          <cell r="B36" t="str">
            <v>UA</v>
          </cell>
          <cell r="D36" t="e">
            <v>#VALUE!</v>
          </cell>
          <cell r="E36" t="e">
            <v>#VALUE!</v>
          </cell>
          <cell r="F36" t="e">
            <v>#VALUE!</v>
          </cell>
          <cell r="G36" t="e">
            <v>#VALUE!</v>
          </cell>
        </row>
        <row r="37">
          <cell r="B37" t="str">
            <v>WRC</v>
          </cell>
          <cell r="D37" t="e">
            <v>#VALUE!</v>
          </cell>
          <cell r="E37" t="e">
            <v>#VALUE!</v>
          </cell>
          <cell r="F37" t="e">
            <v>#VALUE!</v>
          </cell>
          <cell r="G37" t="e">
            <v>#VALUE!</v>
          </cell>
          <cell r="CA37" t="str">
            <v>.</v>
          </cell>
        </row>
        <row r="38">
          <cell r="D38" t="e">
            <v>#VALUE!</v>
          </cell>
          <cell r="E38" t="e">
            <v>#VALUE!</v>
          </cell>
          <cell r="F38" t="e">
            <v>#VALUE!</v>
          </cell>
          <cell r="G38" t="e">
            <v>#VALUE!</v>
          </cell>
          <cell r="I38" t="str">
            <v>click here for link to SmartChart FAQ</v>
          </cell>
          <cell r="CA38" t="str">
            <v>.</v>
          </cell>
        </row>
        <row r="39">
          <cell r="CA39" t="str">
            <v>.</v>
          </cell>
        </row>
        <row r="40">
          <cell r="I40" t="str">
            <v>Do not change the width of the exhibit or font sizes (they are optimized for export to Word).</v>
          </cell>
          <cell r="CA40" t="str">
            <v>.</v>
          </cell>
        </row>
        <row r="41">
          <cell r="CA41" t="str">
            <v>.</v>
          </cell>
        </row>
        <row r="42">
          <cell r="I42" t="str">
            <v>Do not delete any rows or columns (some gray cells are used for calculations).</v>
          </cell>
          <cell r="CA42" t="str">
            <v>.</v>
          </cell>
        </row>
        <row r="43">
          <cell r="B43" t="str">
            <v>Company Name</v>
          </cell>
          <cell r="C43" t="str">
            <v>Ticker</v>
          </cell>
          <cell r="D43" t="str">
            <v>Price</v>
          </cell>
          <cell r="E43" t="str">
            <v>Rating</v>
          </cell>
          <cell r="F43" t="str">
            <v>Price Target</v>
          </cell>
          <cell r="G43" t="str">
            <v>% to Price Target</v>
          </cell>
          <cell r="CA43" t="str">
            <v>.</v>
          </cell>
        </row>
        <row r="44">
          <cell r="B44" t="str">
            <v>Liz Claiborne</v>
          </cell>
          <cell r="C44" t="str">
            <v>PVH</v>
          </cell>
          <cell r="D44" t="str">
            <v>#Calc</v>
          </cell>
          <cell r="E44" t="str">
            <v>Underweight</v>
          </cell>
          <cell r="F44">
            <v>65</v>
          </cell>
          <cell r="G44" t="e">
            <v>#VALUE!</v>
          </cell>
          <cell r="I44" t="str">
            <v>You can move the worksheet into another workbook (please use MOVE; do not COPY)</v>
          </cell>
          <cell r="CA44" t="str">
            <v>.</v>
          </cell>
        </row>
        <row r="45">
          <cell r="B45" t="str">
            <v>Jones Apparel Group</v>
          </cell>
          <cell r="C45" t="str">
            <v>JNY</v>
          </cell>
          <cell r="D45" t="str">
            <v>#Calc</v>
          </cell>
          <cell r="E45" t="str">
            <v>Equal-Weight</v>
          </cell>
          <cell r="F45">
            <v>21</v>
          </cell>
          <cell r="G45" t="e">
            <v>#VALUE!</v>
          </cell>
          <cell r="CA45" t="str">
            <v>.</v>
          </cell>
        </row>
        <row r="46">
          <cell r="B46" t="str">
            <v>Under Armour</v>
          </cell>
          <cell r="C46" t="str">
            <v>WRC</v>
          </cell>
          <cell r="D46" t="str">
            <v>#Calc</v>
          </cell>
          <cell r="E46" t="str">
            <v>Underweight</v>
          </cell>
          <cell r="F46">
            <v>48</v>
          </cell>
          <cell r="G46" t="e">
            <v>#VALUE!</v>
          </cell>
          <cell r="I46" t="str">
            <v>Color palette may be affected after moving the worksheet to another workbook. See instructions in FAQ on the intranet</v>
          </cell>
          <cell r="CA46" t="str">
            <v>.</v>
          </cell>
        </row>
        <row r="47">
          <cell r="B47" t="str">
            <v>Polo Ralph Lauren</v>
          </cell>
          <cell r="C47" t="str">
            <v>GES</v>
          </cell>
          <cell r="D47" t="str">
            <v>#Calc</v>
          </cell>
          <cell r="E47" t="str">
            <v>Equal-Weight</v>
          </cell>
          <cell r="F47">
            <v>48</v>
          </cell>
          <cell r="G47" t="e">
            <v>#VALUE!</v>
          </cell>
          <cell r="CA47" t="str">
            <v>.</v>
          </cell>
        </row>
        <row r="48">
          <cell r="B48" t="str">
            <v>Phillips-Van Heusen</v>
          </cell>
          <cell r="C48" t="str">
            <v>RL</v>
          </cell>
          <cell r="D48" t="str">
            <v>#Calc</v>
          </cell>
          <cell r="E48" t="str">
            <v>Overweight</v>
          </cell>
          <cell r="F48">
            <v>80</v>
          </cell>
          <cell r="G48" t="e">
            <v>#VALUE!</v>
          </cell>
          <cell r="CA48" t="str">
            <v>.</v>
          </cell>
        </row>
        <row r="49">
          <cell r="B49" t="str">
            <v>Guess?</v>
          </cell>
          <cell r="C49" t="str">
            <v>UA</v>
          </cell>
          <cell r="D49" t="str">
            <v>#Calc</v>
          </cell>
          <cell r="E49" t="str">
            <v>Equal-Weight</v>
          </cell>
          <cell r="F49">
            <v>27</v>
          </cell>
          <cell r="G49" t="e">
            <v>#VALUE!</v>
          </cell>
          <cell r="CA49" t="str">
            <v>.</v>
          </cell>
        </row>
        <row r="50">
          <cell r="B50" t="str">
            <v>Warnaco</v>
          </cell>
          <cell r="C50" t="str">
            <v>LIZ</v>
          </cell>
          <cell r="D50" t="str">
            <v>#Calc</v>
          </cell>
          <cell r="E50" t="str">
            <v>Equal-Weight</v>
          </cell>
          <cell r="F50">
            <v>6</v>
          </cell>
          <cell r="G50" t="e">
            <v>#VALUE!</v>
          </cell>
          <cell r="CA50" t="str">
            <v>.</v>
          </cell>
        </row>
        <row r="51">
          <cell r="CA51" t="str">
            <v>.</v>
          </cell>
        </row>
        <row r="52">
          <cell r="CA52" t="str">
            <v>.</v>
          </cell>
        </row>
        <row r="53">
          <cell r="CA53" t="str">
            <v>.</v>
          </cell>
        </row>
        <row r="54">
          <cell r="CA54" t="str">
            <v>.</v>
          </cell>
        </row>
        <row r="55">
          <cell r="CA55" t="str">
            <v>.</v>
          </cell>
        </row>
        <row r="56">
          <cell r="CA56" t="str">
            <v>.</v>
          </cell>
        </row>
        <row r="57">
          <cell r="CA57" t="str">
            <v>.</v>
          </cell>
        </row>
        <row r="58">
          <cell r="CA58" t="str">
            <v>.</v>
          </cell>
        </row>
        <row r="59">
          <cell r="CA59" t="str">
            <v>.</v>
          </cell>
        </row>
        <row r="60">
          <cell r="CA60" t="str">
            <v>.</v>
          </cell>
        </row>
        <row r="61">
          <cell r="CA61" t="str">
            <v>.</v>
          </cell>
        </row>
        <row r="62">
          <cell r="CA62" t="str">
            <v>.</v>
          </cell>
        </row>
        <row r="63">
          <cell r="CA63" t="str">
            <v>.</v>
          </cell>
        </row>
        <row r="64">
          <cell r="CA64" t="str">
            <v>.</v>
          </cell>
        </row>
        <row r="65">
          <cell r="CA65" t="str">
            <v>.</v>
          </cell>
        </row>
        <row r="66">
          <cell r="CA66" t="str">
            <v>.</v>
          </cell>
        </row>
        <row r="67">
          <cell r="CA67" t="str">
            <v>.</v>
          </cell>
        </row>
        <row r="68">
          <cell r="CA68" t="str">
            <v>.</v>
          </cell>
        </row>
        <row r="69">
          <cell r="CA69" t="str">
            <v>.</v>
          </cell>
        </row>
        <row r="70">
          <cell r="CA70" t="str">
            <v>.</v>
          </cell>
        </row>
        <row r="71">
          <cell r="CA71" t="str">
            <v>.</v>
          </cell>
        </row>
        <row r="72">
          <cell r="CA72" t="str">
            <v>.</v>
          </cell>
        </row>
        <row r="73">
          <cell r="CA73" t="str">
            <v>.</v>
          </cell>
        </row>
        <row r="74">
          <cell r="CA74" t="str">
            <v>.</v>
          </cell>
        </row>
        <row r="75">
          <cell r="CA75" t="str">
            <v>.</v>
          </cell>
        </row>
        <row r="76">
          <cell r="CA76" t="str">
            <v>.</v>
          </cell>
        </row>
        <row r="77">
          <cell r="CA77" t="str">
            <v>.</v>
          </cell>
        </row>
        <row r="78">
          <cell r="CA78" t="str">
            <v>.</v>
          </cell>
        </row>
        <row r="79">
          <cell r="CA79" t="str">
            <v>.</v>
          </cell>
        </row>
        <row r="80">
          <cell r="CA80" t="str">
            <v>.</v>
          </cell>
        </row>
        <row r="81">
          <cell r="CA81" t="str">
            <v>.</v>
          </cell>
        </row>
        <row r="82">
          <cell r="CA82" t="str">
            <v>.</v>
          </cell>
        </row>
        <row r="83">
          <cell r="CA83" t="str">
            <v>.</v>
          </cell>
        </row>
        <row r="84">
          <cell r="CA84" t="str">
            <v>.</v>
          </cell>
        </row>
        <row r="85">
          <cell r="CA85" t="str">
            <v>.</v>
          </cell>
        </row>
        <row r="86">
          <cell r="CA86" t="str">
            <v>.</v>
          </cell>
        </row>
        <row r="87">
          <cell r="CA87" t="str">
            <v>.</v>
          </cell>
        </row>
        <row r="88">
          <cell r="CA88" t="str">
            <v>.</v>
          </cell>
        </row>
        <row r="89">
          <cell r="CA89" t="str">
            <v>.</v>
          </cell>
        </row>
        <row r="90">
          <cell r="CA90" t="str">
            <v>.</v>
          </cell>
        </row>
        <row r="91">
          <cell r="CA91" t="str">
            <v>.</v>
          </cell>
        </row>
        <row r="92">
          <cell r="CA92" t="str">
            <v>.</v>
          </cell>
        </row>
        <row r="93">
          <cell r="CA93" t="str">
            <v>.</v>
          </cell>
        </row>
        <row r="94">
          <cell r="CA94" t="str">
            <v>.</v>
          </cell>
        </row>
        <row r="95">
          <cell r="CA95" t="str">
            <v>.</v>
          </cell>
        </row>
        <row r="96">
          <cell r="CA96" t="str">
            <v>.</v>
          </cell>
        </row>
        <row r="97">
          <cell r="CA97" t="str">
            <v>.</v>
          </cell>
        </row>
        <row r="98">
          <cell r="CA98" t="str">
            <v>.</v>
          </cell>
        </row>
        <row r="99">
          <cell r="CA99" t="str">
            <v>.</v>
          </cell>
        </row>
        <row r="100">
          <cell r="CA100" t="str">
            <v>.</v>
          </cell>
        </row>
        <row r="101">
          <cell r="CA101" t="str">
            <v>.</v>
          </cell>
        </row>
        <row r="102">
          <cell r="CA102" t="str">
            <v>.</v>
          </cell>
        </row>
        <row r="103">
          <cell r="CA103" t="str">
            <v>.</v>
          </cell>
        </row>
        <row r="104">
          <cell r="CA104" t="str">
            <v>.</v>
          </cell>
        </row>
        <row r="105">
          <cell r="CA105" t="str">
            <v>.</v>
          </cell>
        </row>
        <row r="106">
          <cell r="CA106" t="str">
            <v>.</v>
          </cell>
        </row>
        <row r="107">
          <cell r="CA107" t="str">
            <v>.</v>
          </cell>
        </row>
        <row r="108">
          <cell r="CA108" t="str">
            <v>.</v>
          </cell>
        </row>
        <row r="109">
          <cell r="CA109" t="str">
            <v>.</v>
          </cell>
        </row>
        <row r="110">
          <cell r="CA110" t="str">
            <v>.</v>
          </cell>
        </row>
        <row r="111">
          <cell r="CA111" t="str">
            <v>.</v>
          </cell>
        </row>
        <row r="112">
          <cell r="CA112" t="str">
            <v>.</v>
          </cell>
        </row>
        <row r="113">
          <cell r="CA113" t="str">
            <v>.</v>
          </cell>
        </row>
        <row r="114">
          <cell r="CA114" t="str">
            <v>.</v>
          </cell>
        </row>
        <row r="115">
          <cell r="CA115" t="str">
            <v>.</v>
          </cell>
        </row>
        <row r="116">
          <cell r="CA116" t="str">
            <v>.</v>
          </cell>
        </row>
        <row r="117">
          <cell r="CA117" t="str">
            <v>.</v>
          </cell>
        </row>
        <row r="118">
          <cell r="CA118" t="str">
            <v>.</v>
          </cell>
        </row>
        <row r="119">
          <cell r="CA119" t="str">
            <v>.</v>
          </cell>
        </row>
        <row r="120">
          <cell r="CA120" t="str">
            <v>.</v>
          </cell>
        </row>
        <row r="121">
          <cell r="CA121" t="str">
            <v>.</v>
          </cell>
        </row>
        <row r="122">
          <cell r="CA122" t="str">
            <v>.</v>
          </cell>
        </row>
        <row r="123">
          <cell r="CA123" t="str">
            <v>.</v>
          </cell>
        </row>
        <row r="124">
          <cell r="CA124" t="str">
            <v>.</v>
          </cell>
        </row>
        <row r="125">
          <cell r="CA125" t="str">
            <v>.</v>
          </cell>
        </row>
        <row r="126">
          <cell r="CA126" t="str">
            <v>.</v>
          </cell>
        </row>
        <row r="127">
          <cell r="CA127" t="str">
            <v>.</v>
          </cell>
        </row>
        <row r="128">
          <cell r="CA128" t="str">
            <v>.</v>
          </cell>
        </row>
        <row r="129">
          <cell r="CA129" t="str">
            <v>.</v>
          </cell>
        </row>
        <row r="130">
          <cell r="CA130" t="str">
            <v>.</v>
          </cell>
        </row>
        <row r="131">
          <cell r="CA131" t="str">
            <v>.</v>
          </cell>
        </row>
        <row r="132">
          <cell r="CA132" t="str">
            <v>.</v>
          </cell>
        </row>
        <row r="133">
          <cell r="CA133" t="str">
            <v>.</v>
          </cell>
        </row>
        <row r="134">
          <cell r="CA134" t="str">
            <v>.</v>
          </cell>
        </row>
        <row r="135">
          <cell r="CA135" t="str">
            <v>.</v>
          </cell>
        </row>
        <row r="136">
          <cell r="CA136" t="str">
            <v>.</v>
          </cell>
        </row>
        <row r="137">
          <cell r="CA137" t="str">
            <v>.</v>
          </cell>
        </row>
        <row r="138">
          <cell r="CA138" t="str">
            <v>.</v>
          </cell>
        </row>
        <row r="139">
          <cell r="CA139" t="str">
            <v>.</v>
          </cell>
        </row>
        <row r="140">
          <cell r="CA140" t="str">
            <v>.</v>
          </cell>
        </row>
        <row r="141">
          <cell r="CA141" t="str">
            <v>.</v>
          </cell>
        </row>
        <row r="142">
          <cell r="CA142" t="str">
            <v>.</v>
          </cell>
        </row>
        <row r="143">
          <cell r="CA143" t="str">
            <v>.</v>
          </cell>
        </row>
        <row r="144">
          <cell r="CA144" t="str">
            <v>.</v>
          </cell>
        </row>
        <row r="145">
          <cell r="CA145" t="str">
            <v>.</v>
          </cell>
        </row>
        <row r="146">
          <cell r="CA146" t="str">
            <v>.</v>
          </cell>
        </row>
        <row r="147">
          <cell r="CA147" t="str">
            <v>.</v>
          </cell>
        </row>
        <row r="148">
          <cell r="CA148" t="str">
            <v>.</v>
          </cell>
        </row>
        <row r="149">
          <cell r="CA149" t="str">
            <v>.</v>
          </cell>
        </row>
        <row r="150">
          <cell r="CA150" t="str">
            <v>.</v>
          </cell>
        </row>
        <row r="151">
          <cell r="CA151" t="str">
            <v>.</v>
          </cell>
        </row>
        <row r="152">
          <cell r="CA152" t="str">
            <v>.</v>
          </cell>
        </row>
        <row r="153">
          <cell r="CA153" t="str">
            <v>.</v>
          </cell>
        </row>
        <row r="154">
          <cell r="CA154" t="str">
            <v>.</v>
          </cell>
        </row>
        <row r="155">
          <cell r="CA155" t="str">
            <v>.</v>
          </cell>
        </row>
        <row r="156">
          <cell r="CA156" t="str">
            <v>.</v>
          </cell>
        </row>
        <row r="157">
          <cell r="CA157" t="str">
            <v>.</v>
          </cell>
        </row>
        <row r="158">
          <cell r="CA158" t="str">
            <v>.</v>
          </cell>
        </row>
        <row r="159">
          <cell r="CA159" t="str">
            <v>.</v>
          </cell>
        </row>
        <row r="160">
          <cell r="CA160" t="str">
            <v>.</v>
          </cell>
        </row>
        <row r="161">
          <cell r="CA161" t="str">
            <v>.</v>
          </cell>
        </row>
        <row r="162">
          <cell r="CA162" t="str">
            <v>.</v>
          </cell>
        </row>
        <row r="163">
          <cell r="CA163" t="str">
            <v>.</v>
          </cell>
        </row>
        <row r="164">
          <cell r="CA164" t="str">
            <v>.</v>
          </cell>
        </row>
        <row r="165">
          <cell r="CA165" t="str">
            <v>.</v>
          </cell>
        </row>
        <row r="166">
          <cell r="CA166" t="str">
            <v>.</v>
          </cell>
        </row>
        <row r="167">
          <cell r="CA167" t="str">
            <v>.</v>
          </cell>
        </row>
        <row r="168">
          <cell r="CA168" t="str">
            <v>.</v>
          </cell>
        </row>
        <row r="169">
          <cell r="CA169" t="str">
            <v>.</v>
          </cell>
        </row>
        <row r="170">
          <cell r="CA170" t="str">
            <v>.</v>
          </cell>
        </row>
        <row r="171">
          <cell r="CA171" t="str">
            <v>.</v>
          </cell>
        </row>
        <row r="172">
          <cell r="CA172" t="str">
            <v>.</v>
          </cell>
        </row>
        <row r="173">
          <cell r="CA173" t="str">
            <v>.</v>
          </cell>
        </row>
        <row r="174">
          <cell r="CA174" t="str">
            <v>.</v>
          </cell>
        </row>
        <row r="175">
          <cell r="CA175" t="str">
            <v>.</v>
          </cell>
        </row>
        <row r="176">
          <cell r="CA176" t="str">
            <v>.</v>
          </cell>
        </row>
        <row r="177">
          <cell r="CA177" t="str">
            <v>.</v>
          </cell>
        </row>
        <row r="178">
          <cell r="CA178" t="str">
            <v>.</v>
          </cell>
        </row>
        <row r="179">
          <cell r="CA179" t="str">
            <v>.</v>
          </cell>
        </row>
        <row r="180">
          <cell r="CA180" t="str">
            <v>.</v>
          </cell>
        </row>
        <row r="181">
          <cell r="CA181" t="str">
            <v>.</v>
          </cell>
        </row>
        <row r="182">
          <cell r="CA182" t="str">
            <v>.</v>
          </cell>
        </row>
        <row r="183">
          <cell r="CA183" t="str">
            <v>.</v>
          </cell>
        </row>
        <row r="184">
          <cell r="CA184" t="str">
            <v>.</v>
          </cell>
        </row>
        <row r="185">
          <cell r="CA185" t="str">
            <v>.</v>
          </cell>
        </row>
        <row r="186">
          <cell r="CA186" t="str">
            <v>.</v>
          </cell>
        </row>
        <row r="187">
          <cell r="CA187" t="str">
            <v>.</v>
          </cell>
        </row>
        <row r="188">
          <cell r="CA188" t="str">
            <v>.</v>
          </cell>
        </row>
        <row r="189">
          <cell r="CA189" t="str">
            <v>.</v>
          </cell>
        </row>
        <row r="190">
          <cell r="CA190" t="str">
            <v>.</v>
          </cell>
        </row>
        <row r="191">
          <cell r="CA191" t="str">
            <v>.</v>
          </cell>
        </row>
        <row r="192">
          <cell r="CA192" t="str">
            <v>.</v>
          </cell>
        </row>
        <row r="193">
          <cell r="CA193" t="str">
            <v>.</v>
          </cell>
        </row>
        <row r="194">
          <cell r="CA194" t="str">
            <v>.</v>
          </cell>
        </row>
        <row r="195">
          <cell r="CA195" t="str">
            <v>.</v>
          </cell>
        </row>
        <row r="196">
          <cell r="CA196" t="str">
            <v>.</v>
          </cell>
        </row>
        <row r="197">
          <cell r="CA197" t="str">
            <v>.</v>
          </cell>
        </row>
        <row r="198">
          <cell r="CA198" t="str">
            <v>.</v>
          </cell>
        </row>
        <row r="199">
          <cell r="CA199" t="str">
            <v>.</v>
          </cell>
        </row>
        <row r="200">
          <cell r="CA200" t="str">
            <v>.</v>
          </cell>
        </row>
        <row r="201">
          <cell r="CA201" t="str">
            <v>.</v>
          </cell>
        </row>
        <row r="202">
          <cell r="CA202" t="str">
            <v>.</v>
          </cell>
        </row>
        <row r="203">
          <cell r="CA203" t="str">
            <v>.</v>
          </cell>
        </row>
        <row r="204">
          <cell r="CA204" t="str">
            <v>.</v>
          </cell>
        </row>
        <row r="205">
          <cell r="CA205" t="str">
            <v>.</v>
          </cell>
        </row>
        <row r="206">
          <cell r="CA206" t="str">
            <v>.</v>
          </cell>
        </row>
        <row r="207">
          <cell r="CA207" t="str">
            <v>.</v>
          </cell>
        </row>
        <row r="208">
          <cell r="CA208" t="str">
            <v>.</v>
          </cell>
        </row>
        <row r="209">
          <cell r="CA209" t="str">
            <v>.</v>
          </cell>
        </row>
        <row r="210">
          <cell r="CA210" t="str">
            <v>.</v>
          </cell>
        </row>
        <row r="211">
          <cell r="CA211" t="str">
            <v>.</v>
          </cell>
        </row>
        <row r="212">
          <cell r="CA212" t="str">
            <v>.</v>
          </cell>
        </row>
        <row r="213">
          <cell r="CA213" t="str">
            <v>.</v>
          </cell>
        </row>
        <row r="214">
          <cell r="CA214" t="str">
            <v>.</v>
          </cell>
        </row>
        <row r="215">
          <cell r="CA215" t="str">
            <v>.</v>
          </cell>
        </row>
        <row r="216">
          <cell r="CA216" t="str">
            <v>.</v>
          </cell>
        </row>
        <row r="217">
          <cell r="CA217" t="str">
            <v>.</v>
          </cell>
        </row>
        <row r="218">
          <cell r="CA218" t="str">
            <v>.</v>
          </cell>
        </row>
        <row r="219">
          <cell r="CA219" t="str">
            <v>.</v>
          </cell>
        </row>
        <row r="220">
          <cell r="CA220" t="str">
            <v>.</v>
          </cell>
        </row>
        <row r="221">
          <cell r="CA221" t="str">
            <v>.</v>
          </cell>
        </row>
        <row r="222">
          <cell r="CA222" t="str">
            <v>.</v>
          </cell>
        </row>
        <row r="223">
          <cell r="CA223" t="str">
            <v>.</v>
          </cell>
        </row>
        <row r="224">
          <cell r="CA224" t="str">
            <v>.</v>
          </cell>
        </row>
        <row r="225">
          <cell r="CA225" t="str">
            <v>.</v>
          </cell>
        </row>
        <row r="226">
          <cell r="CA226" t="str">
            <v>.</v>
          </cell>
        </row>
        <row r="227">
          <cell r="CA227" t="str">
            <v>.</v>
          </cell>
        </row>
        <row r="228">
          <cell r="CA228" t="str">
            <v>.</v>
          </cell>
        </row>
        <row r="229">
          <cell r="CA229" t="str">
            <v>.</v>
          </cell>
        </row>
        <row r="230">
          <cell r="CA230" t="str">
            <v>.</v>
          </cell>
        </row>
        <row r="231">
          <cell r="CA231" t="str">
            <v>.</v>
          </cell>
        </row>
        <row r="232">
          <cell r="CA232" t="str">
            <v>.</v>
          </cell>
        </row>
        <row r="233">
          <cell r="CA233" t="str">
            <v>.</v>
          </cell>
        </row>
        <row r="234">
          <cell r="CA234" t="str">
            <v>.</v>
          </cell>
        </row>
        <row r="235">
          <cell r="CA235" t="str">
            <v>.</v>
          </cell>
        </row>
        <row r="236">
          <cell r="CA236" t="str">
            <v>.</v>
          </cell>
        </row>
        <row r="237">
          <cell r="CA237" t="str">
            <v>.</v>
          </cell>
        </row>
        <row r="238">
          <cell r="CA238" t="str">
            <v>.</v>
          </cell>
        </row>
        <row r="239">
          <cell r="CA239" t="str">
            <v>.</v>
          </cell>
        </row>
        <row r="240">
          <cell r="CA240" t="str">
            <v>.</v>
          </cell>
        </row>
        <row r="241">
          <cell r="CA241" t="str">
            <v>.</v>
          </cell>
        </row>
        <row r="242">
          <cell r="CA242" t="str">
            <v>.</v>
          </cell>
        </row>
        <row r="243">
          <cell r="CA243" t="str">
            <v>.</v>
          </cell>
        </row>
        <row r="244">
          <cell r="CA244" t="str">
            <v>.</v>
          </cell>
        </row>
        <row r="245">
          <cell r="CA245" t="str">
            <v>.</v>
          </cell>
        </row>
        <row r="246">
          <cell r="CA246" t="str">
            <v>.</v>
          </cell>
        </row>
        <row r="247">
          <cell r="CA247" t="str">
            <v>.</v>
          </cell>
        </row>
        <row r="248">
          <cell r="CA248" t="str">
            <v>.</v>
          </cell>
        </row>
        <row r="249">
          <cell r="CA249" t="str">
            <v>.</v>
          </cell>
        </row>
        <row r="250">
          <cell r="CA250" t="str">
            <v>.</v>
          </cell>
        </row>
        <row r="251">
          <cell r="CA251" t="str">
            <v>.</v>
          </cell>
        </row>
        <row r="252">
          <cell r="CA252" t="str">
            <v>.</v>
          </cell>
        </row>
        <row r="253">
          <cell r="CA253" t="str">
            <v>.</v>
          </cell>
        </row>
        <row r="254">
          <cell r="CA254" t="str">
            <v>.</v>
          </cell>
        </row>
        <row r="255">
          <cell r="CA255" t="str">
            <v>.</v>
          </cell>
        </row>
        <row r="256">
          <cell r="CA256" t="str">
            <v>.</v>
          </cell>
        </row>
        <row r="257">
          <cell r="CA257" t="str">
            <v>.</v>
          </cell>
        </row>
        <row r="258">
          <cell r="CA258" t="str">
            <v>.</v>
          </cell>
        </row>
        <row r="259">
          <cell r="CA259" t="str">
            <v>.</v>
          </cell>
        </row>
        <row r="260">
          <cell r="CA260" t="str">
            <v>.</v>
          </cell>
        </row>
        <row r="261">
          <cell r="CA261" t="str">
            <v>.</v>
          </cell>
        </row>
        <row r="262">
          <cell r="CA262" t="str">
            <v>.</v>
          </cell>
        </row>
        <row r="263">
          <cell r="CA263" t="str">
            <v>.</v>
          </cell>
        </row>
        <row r="264">
          <cell r="CA264" t="str">
            <v>.</v>
          </cell>
        </row>
        <row r="265">
          <cell r="CA265" t="str">
            <v>.</v>
          </cell>
        </row>
        <row r="266">
          <cell r="CA266" t="str">
            <v>.</v>
          </cell>
        </row>
        <row r="267">
          <cell r="CA267" t="str">
            <v>.</v>
          </cell>
        </row>
        <row r="268">
          <cell r="CA268" t="str">
            <v>.</v>
          </cell>
        </row>
        <row r="269">
          <cell r="CA269" t="str">
            <v>.</v>
          </cell>
        </row>
        <row r="270">
          <cell r="CA270" t="str">
            <v>.</v>
          </cell>
        </row>
        <row r="271">
          <cell r="CA271" t="str">
            <v>.</v>
          </cell>
        </row>
        <row r="272">
          <cell r="CA272" t="str">
            <v>.</v>
          </cell>
        </row>
        <row r="273">
          <cell r="CA273" t="str">
            <v>.</v>
          </cell>
        </row>
        <row r="274">
          <cell r="CA274" t="str">
            <v>.</v>
          </cell>
        </row>
        <row r="275">
          <cell r="CA275" t="str">
            <v>.</v>
          </cell>
        </row>
        <row r="276">
          <cell r="CA276" t="str">
            <v>.</v>
          </cell>
        </row>
        <row r="277">
          <cell r="CA277" t="str">
            <v>.</v>
          </cell>
        </row>
        <row r="278">
          <cell r="CA278" t="str">
            <v>.</v>
          </cell>
        </row>
        <row r="279">
          <cell r="CA279" t="str">
            <v>.</v>
          </cell>
        </row>
        <row r="280">
          <cell r="CA280" t="str">
            <v>.</v>
          </cell>
        </row>
        <row r="281">
          <cell r="CA281" t="str">
            <v>.</v>
          </cell>
        </row>
        <row r="282">
          <cell r="CA282" t="str">
            <v>.</v>
          </cell>
        </row>
        <row r="283">
          <cell r="CA283" t="str">
            <v>.</v>
          </cell>
        </row>
        <row r="284">
          <cell r="CA284" t="str">
            <v>.</v>
          </cell>
        </row>
        <row r="285">
          <cell r="CA285" t="str">
            <v>.</v>
          </cell>
        </row>
        <row r="286">
          <cell r="CA286" t="str">
            <v>.</v>
          </cell>
        </row>
        <row r="287">
          <cell r="CA287" t="str">
            <v>.</v>
          </cell>
        </row>
        <row r="288">
          <cell r="CA288" t="str">
            <v>.</v>
          </cell>
        </row>
        <row r="289">
          <cell r="CA289" t="str">
            <v>.</v>
          </cell>
        </row>
        <row r="290">
          <cell r="CA290" t="str">
            <v>.</v>
          </cell>
        </row>
        <row r="291">
          <cell r="CA291" t="str">
            <v>.</v>
          </cell>
        </row>
        <row r="292">
          <cell r="CA292" t="str">
            <v>.</v>
          </cell>
        </row>
        <row r="293">
          <cell r="CA293" t="str">
            <v>.</v>
          </cell>
        </row>
        <row r="294">
          <cell r="CA294" t="str">
            <v>.</v>
          </cell>
        </row>
        <row r="295">
          <cell r="CA295" t="str">
            <v>.</v>
          </cell>
        </row>
        <row r="296">
          <cell r="CA296" t="str">
            <v>.</v>
          </cell>
        </row>
        <row r="297">
          <cell r="CA297" t="str">
            <v>.</v>
          </cell>
        </row>
        <row r="298">
          <cell r="CA298" t="str">
            <v>.</v>
          </cell>
        </row>
        <row r="299">
          <cell r="CA299" t="str">
            <v>.</v>
          </cell>
        </row>
        <row r="300">
          <cell r="CA300" t="str">
            <v>.</v>
          </cell>
        </row>
        <row r="301">
          <cell r="CA301" t="str">
            <v>.</v>
          </cell>
        </row>
        <row r="302">
          <cell r="CA302" t="str">
            <v>.</v>
          </cell>
        </row>
        <row r="303">
          <cell r="CA303" t="str">
            <v>.</v>
          </cell>
        </row>
        <row r="304">
          <cell r="CA304" t="str">
            <v>.</v>
          </cell>
        </row>
        <row r="305">
          <cell r="CA305" t="str">
            <v>.</v>
          </cell>
        </row>
        <row r="306">
          <cell r="CA306" t="str">
            <v>.</v>
          </cell>
        </row>
        <row r="307">
          <cell r="CA307" t="str">
            <v>.</v>
          </cell>
        </row>
        <row r="308">
          <cell r="CA308" t="str">
            <v>.</v>
          </cell>
        </row>
        <row r="309">
          <cell r="CA309" t="str">
            <v>.</v>
          </cell>
        </row>
        <row r="310">
          <cell r="CA310" t="str">
            <v>.</v>
          </cell>
        </row>
        <row r="311">
          <cell r="CA311" t="str">
            <v>.</v>
          </cell>
        </row>
        <row r="312">
          <cell r="CA312" t="str">
            <v>.</v>
          </cell>
        </row>
        <row r="313">
          <cell r="CA313" t="str">
            <v>.</v>
          </cell>
        </row>
        <row r="314">
          <cell r="CA314" t="str">
            <v>.</v>
          </cell>
        </row>
        <row r="315">
          <cell r="CA315" t="str">
            <v>.</v>
          </cell>
        </row>
        <row r="316">
          <cell r="CA316" t="str">
            <v>.</v>
          </cell>
        </row>
        <row r="317">
          <cell r="CA317" t="str">
            <v>.</v>
          </cell>
        </row>
        <row r="318">
          <cell r="CA318" t="str">
            <v>.</v>
          </cell>
        </row>
        <row r="319">
          <cell r="CA319" t="str">
            <v>.</v>
          </cell>
        </row>
        <row r="320">
          <cell r="CA320" t="str">
            <v>.</v>
          </cell>
        </row>
        <row r="321">
          <cell r="CA321" t="str">
            <v>.</v>
          </cell>
        </row>
        <row r="322">
          <cell r="CA322" t="str">
            <v>.</v>
          </cell>
        </row>
        <row r="323">
          <cell r="CA323" t="str">
            <v>.</v>
          </cell>
        </row>
        <row r="324">
          <cell r="CA324" t="str">
            <v>.</v>
          </cell>
        </row>
        <row r="325">
          <cell r="CA325" t="str">
            <v>.</v>
          </cell>
        </row>
        <row r="326">
          <cell r="CA326" t="str">
            <v>.</v>
          </cell>
        </row>
        <row r="327">
          <cell r="CA327" t="str">
            <v>.</v>
          </cell>
        </row>
        <row r="328">
          <cell r="CA328" t="str">
            <v>.</v>
          </cell>
        </row>
        <row r="329">
          <cell r="CA329" t="str">
            <v>.</v>
          </cell>
        </row>
        <row r="330">
          <cell r="CA330" t="str">
            <v>.</v>
          </cell>
        </row>
        <row r="331">
          <cell r="CA331" t="str">
            <v>.</v>
          </cell>
        </row>
        <row r="332">
          <cell r="CA332" t="str">
            <v>.</v>
          </cell>
        </row>
        <row r="333">
          <cell r="CA333" t="str">
            <v>.</v>
          </cell>
        </row>
        <row r="334">
          <cell r="CA334" t="str">
            <v>.</v>
          </cell>
        </row>
        <row r="335">
          <cell r="CA335" t="str">
            <v>.</v>
          </cell>
        </row>
        <row r="336">
          <cell r="CA336" t="str">
            <v>.</v>
          </cell>
        </row>
        <row r="337">
          <cell r="CA337" t="str">
            <v>.</v>
          </cell>
        </row>
        <row r="338">
          <cell r="CA338" t="str">
            <v>.</v>
          </cell>
        </row>
        <row r="339">
          <cell r="CA339" t="str">
            <v>.</v>
          </cell>
        </row>
        <row r="340">
          <cell r="CA340" t="str">
            <v>.</v>
          </cell>
        </row>
        <row r="341">
          <cell r="CA341" t="str">
            <v>.</v>
          </cell>
        </row>
        <row r="342">
          <cell r="CA342" t="str">
            <v>.</v>
          </cell>
        </row>
        <row r="343">
          <cell r="CA343" t="str">
            <v>.</v>
          </cell>
        </row>
        <row r="344">
          <cell r="CA344" t="str">
            <v>.</v>
          </cell>
        </row>
        <row r="345">
          <cell r="CA345" t="str">
            <v>.</v>
          </cell>
        </row>
        <row r="346">
          <cell r="CA346" t="str">
            <v>.</v>
          </cell>
        </row>
        <row r="347">
          <cell r="CA347" t="str">
            <v>.</v>
          </cell>
        </row>
        <row r="348">
          <cell r="CA348" t="str">
            <v>.</v>
          </cell>
        </row>
        <row r="349">
          <cell r="CA349" t="str">
            <v>.</v>
          </cell>
        </row>
        <row r="350">
          <cell r="CA350" t="str">
            <v>.</v>
          </cell>
        </row>
        <row r="351">
          <cell r="CA351" t="str">
            <v>.</v>
          </cell>
        </row>
        <row r="352">
          <cell r="CA352" t="str">
            <v>.</v>
          </cell>
        </row>
        <row r="353">
          <cell r="CA353" t="str">
            <v>.</v>
          </cell>
        </row>
        <row r="354">
          <cell r="CA354" t="str">
            <v>.</v>
          </cell>
        </row>
        <row r="355">
          <cell r="CA355" t="str">
            <v>.</v>
          </cell>
        </row>
        <row r="356">
          <cell r="CA356" t="str">
            <v>.</v>
          </cell>
        </row>
        <row r="357">
          <cell r="CA357" t="str">
            <v>.</v>
          </cell>
        </row>
        <row r="358">
          <cell r="CA358" t="str">
            <v>.</v>
          </cell>
        </row>
        <row r="359">
          <cell r="CA359" t="str">
            <v>.</v>
          </cell>
        </row>
        <row r="360">
          <cell r="CA360" t="str">
            <v>.</v>
          </cell>
        </row>
        <row r="361">
          <cell r="CA361" t="str">
            <v>.</v>
          </cell>
        </row>
        <row r="362">
          <cell r="CA362" t="str">
            <v>.</v>
          </cell>
        </row>
        <row r="363">
          <cell r="CA363" t="str">
            <v>.</v>
          </cell>
        </row>
        <row r="364">
          <cell r="CA364" t="str">
            <v>.</v>
          </cell>
        </row>
        <row r="365">
          <cell r="CA365" t="str">
            <v>.</v>
          </cell>
        </row>
        <row r="366">
          <cell r="CA366" t="str">
            <v>.</v>
          </cell>
        </row>
        <row r="367">
          <cell r="CA367" t="str">
            <v>.</v>
          </cell>
        </row>
        <row r="368">
          <cell r="CA368" t="str">
            <v>.</v>
          </cell>
        </row>
        <row r="369">
          <cell r="CA369" t="str">
            <v>.</v>
          </cell>
        </row>
        <row r="370">
          <cell r="CA370" t="str">
            <v>.</v>
          </cell>
        </row>
        <row r="371">
          <cell r="CA371" t="str">
            <v>.</v>
          </cell>
        </row>
        <row r="372">
          <cell r="CA372" t="str">
            <v>.</v>
          </cell>
        </row>
        <row r="373">
          <cell r="CA373" t="str">
            <v>.</v>
          </cell>
        </row>
        <row r="374">
          <cell r="CA374" t="str">
            <v>.</v>
          </cell>
        </row>
        <row r="375">
          <cell r="CA375" t="str">
            <v>.</v>
          </cell>
        </row>
        <row r="376">
          <cell r="CA376" t="str">
            <v>.</v>
          </cell>
        </row>
        <row r="377">
          <cell r="CA377" t="str">
            <v>.</v>
          </cell>
        </row>
        <row r="378">
          <cell r="CA378" t="str">
            <v>.</v>
          </cell>
        </row>
        <row r="379">
          <cell r="CA379" t="str">
            <v>.</v>
          </cell>
        </row>
        <row r="380">
          <cell r="CA380" t="str">
            <v>.</v>
          </cell>
        </row>
        <row r="381">
          <cell r="CA381" t="str">
            <v>.</v>
          </cell>
        </row>
        <row r="382">
          <cell r="CA382" t="str">
            <v>.</v>
          </cell>
        </row>
        <row r="383">
          <cell r="CA383" t="str">
            <v>.</v>
          </cell>
        </row>
        <row r="384">
          <cell r="CA384" t="str">
            <v>.</v>
          </cell>
        </row>
        <row r="385">
          <cell r="CA385" t="str">
            <v>.</v>
          </cell>
        </row>
        <row r="386">
          <cell r="CA386" t="str">
            <v>.</v>
          </cell>
        </row>
        <row r="387">
          <cell r="CA387" t="str">
            <v>.</v>
          </cell>
        </row>
        <row r="388">
          <cell r="CA388" t="str">
            <v>.</v>
          </cell>
        </row>
        <row r="389">
          <cell r="CA389" t="str">
            <v>.</v>
          </cell>
        </row>
        <row r="390">
          <cell r="CA390" t="str">
            <v>.</v>
          </cell>
        </row>
        <row r="391">
          <cell r="CA391" t="str">
            <v>.</v>
          </cell>
        </row>
        <row r="392">
          <cell r="CA392" t="str">
            <v>.</v>
          </cell>
        </row>
        <row r="393">
          <cell r="CA393" t="str">
            <v>.</v>
          </cell>
        </row>
        <row r="394">
          <cell r="CA394" t="str">
            <v>.</v>
          </cell>
        </row>
        <row r="395">
          <cell r="CA395" t="str">
            <v>.</v>
          </cell>
        </row>
        <row r="396">
          <cell r="CA396" t="str">
            <v>.</v>
          </cell>
        </row>
        <row r="397">
          <cell r="CA397" t="str">
            <v>.</v>
          </cell>
        </row>
        <row r="398">
          <cell r="CA398" t="str">
            <v>.</v>
          </cell>
        </row>
        <row r="399">
          <cell r="CA399" t="str">
            <v>.</v>
          </cell>
        </row>
        <row r="400">
          <cell r="CA400" t="str">
            <v>.</v>
          </cell>
        </row>
        <row r="401">
          <cell r="CA401" t="str">
            <v>.</v>
          </cell>
        </row>
        <row r="402">
          <cell r="CA402" t="str">
            <v>.</v>
          </cell>
        </row>
        <row r="403">
          <cell r="CA403" t="str">
            <v>.</v>
          </cell>
        </row>
        <row r="404">
          <cell r="CA404" t="str">
            <v>.</v>
          </cell>
        </row>
        <row r="405">
          <cell r="CA405" t="str">
            <v>.</v>
          </cell>
        </row>
        <row r="406">
          <cell r="CA406" t="str">
            <v>.</v>
          </cell>
        </row>
        <row r="407">
          <cell r="CA407" t="str">
            <v>.</v>
          </cell>
        </row>
        <row r="408">
          <cell r="CA408" t="str">
            <v>.</v>
          </cell>
        </row>
        <row r="409">
          <cell r="CA409" t="str">
            <v>.</v>
          </cell>
        </row>
        <row r="410">
          <cell r="CA410" t="str">
            <v>.</v>
          </cell>
        </row>
        <row r="411">
          <cell r="CA411" t="str">
            <v>.</v>
          </cell>
        </row>
        <row r="412">
          <cell r="CA412" t="str">
            <v>.</v>
          </cell>
        </row>
        <row r="413">
          <cell r="CA413" t="str">
            <v>.</v>
          </cell>
        </row>
        <row r="414">
          <cell r="CA414" t="str">
            <v>.</v>
          </cell>
        </row>
        <row r="415">
          <cell r="CA415" t="str">
            <v>.</v>
          </cell>
        </row>
        <row r="416">
          <cell r="CA416" t="str">
            <v>.</v>
          </cell>
        </row>
        <row r="417">
          <cell r="CA417" t="str">
            <v>.</v>
          </cell>
        </row>
        <row r="418">
          <cell r="CA418" t="str">
            <v>.</v>
          </cell>
        </row>
        <row r="419">
          <cell r="CA419" t="str">
            <v>.</v>
          </cell>
        </row>
        <row r="420">
          <cell r="CA420" t="str">
            <v>.</v>
          </cell>
        </row>
        <row r="421">
          <cell r="CA421" t="str">
            <v>.</v>
          </cell>
        </row>
        <row r="422">
          <cell r="CA422" t="str">
            <v>.</v>
          </cell>
        </row>
        <row r="423">
          <cell r="CA423" t="str">
            <v>.</v>
          </cell>
        </row>
        <row r="424">
          <cell r="CA424" t="str">
            <v>.</v>
          </cell>
        </row>
        <row r="425">
          <cell r="CA425" t="str">
            <v>.</v>
          </cell>
        </row>
        <row r="426">
          <cell r="CA426" t="str">
            <v>.</v>
          </cell>
        </row>
        <row r="427">
          <cell r="CA427" t="str">
            <v>.</v>
          </cell>
        </row>
        <row r="428">
          <cell r="CA428" t="str">
            <v>.</v>
          </cell>
        </row>
        <row r="429">
          <cell r="CA429" t="str">
            <v>.</v>
          </cell>
        </row>
        <row r="430">
          <cell r="CA430" t="str">
            <v>.</v>
          </cell>
        </row>
        <row r="431">
          <cell r="CA431" t="str">
            <v>.</v>
          </cell>
        </row>
        <row r="432">
          <cell r="CA432" t="str">
            <v>.</v>
          </cell>
        </row>
        <row r="433">
          <cell r="CA433" t="str">
            <v>.</v>
          </cell>
        </row>
        <row r="434">
          <cell r="CA434" t="str">
            <v>.</v>
          </cell>
        </row>
        <row r="435">
          <cell r="CA435" t="str">
            <v>.</v>
          </cell>
        </row>
        <row r="436">
          <cell r="CA436" t="str">
            <v>.</v>
          </cell>
        </row>
        <row r="437">
          <cell r="CA437" t="str">
            <v>.</v>
          </cell>
        </row>
        <row r="438">
          <cell r="CA438" t="str">
            <v>.</v>
          </cell>
        </row>
        <row r="439">
          <cell r="CA439" t="str">
            <v>.</v>
          </cell>
        </row>
        <row r="440">
          <cell r="CA440" t="str">
            <v>.</v>
          </cell>
        </row>
        <row r="441">
          <cell r="CA441" t="str">
            <v>.</v>
          </cell>
        </row>
        <row r="442">
          <cell r="CA442" t="str">
            <v>.</v>
          </cell>
        </row>
        <row r="443">
          <cell r="CA443" t="str">
            <v>.</v>
          </cell>
        </row>
        <row r="444">
          <cell r="CA444" t="str">
            <v>.</v>
          </cell>
        </row>
        <row r="445">
          <cell r="CA445" t="str">
            <v>.</v>
          </cell>
        </row>
        <row r="446">
          <cell r="CA446" t="str">
            <v>.</v>
          </cell>
        </row>
        <row r="447">
          <cell r="CA447" t="str">
            <v>.</v>
          </cell>
        </row>
        <row r="448">
          <cell r="CA448" t="str">
            <v>.</v>
          </cell>
        </row>
        <row r="449">
          <cell r="CA449" t="str">
            <v>.</v>
          </cell>
        </row>
        <row r="450">
          <cell r="CA450" t="str">
            <v>.</v>
          </cell>
        </row>
        <row r="451">
          <cell r="CA451" t="str">
            <v>.</v>
          </cell>
        </row>
        <row r="452">
          <cell r="CA452" t="str">
            <v>.</v>
          </cell>
        </row>
        <row r="453">
          <cell r="CA453" t="str">
            <v>.</v>
          </cell>
        </row>
        <row r="454">
          <cell r="CA454" t="str">
            <v>.</v>
          </cell>
        </row>
        <row r="455">
          <cell r="CA455" t="str">
            <v>.</v>
          </cell>
        </row>
        <row r="456">
          <cell r="CA456" t="str">
            <v>.</v>
          </cell>
        </row>
        <row r="457">
          <cell r="CA457" t="str">
            <v>.</v>
          </cell>
        </row>
        <row r="458">
          <cell r="CA458" t="str">
            <v>.</v>
          </cell>
        </row>
        <row r="459">
          <cell r="CA459" t="str">
            <v>.</v>
          </cell>
        </row>
        <row r="460">
          <cell r="CA460" t="str">
            <v>.</v>
          </cell>
        </row>
        <row r="461">
          <cell r="CA461" t="str">
            <v>.</v>
          </cell>
        </row>
        <row r="462">
          <cell r="CA462" t="str">
            <v>.</v>
          </cell>
        </row>
        <row r="463">
          <cell r="CA463" t="str">
            <v>.</v>
          </cell>
        </row>
        <row r="464">
          <cell r="CA464" t="str">
            <v>.</v>
          </cell>
        </row>
        <row r="465">
          <cell r="CA465" t="str">
            <v>.</v>
          </cell>
        </row>
        <row r="466">
          <cell r="CA466" t="str">
            <v>.</v>
          </cell>
        </row>
        <row r="467">
          <cell r="CA467" t="str">
            <v>.</v>
          </cell>
        </row>
        <row r="468">
          <cell r="CA468" t="str">
            <v>.</v>
          </cell>
        </row>
        <row r="469">
          <cell r="CA469" t="str">
            <v>.</v>
          </cell>
        </row>
        <row r="470">
          <cell r="CA470" t="str">
            <v>.</v>
          </cell>
        </row>
        <row r="471">
          <cell r="CA471" t="str">
            <v>.</v>
          </cell>
        </row>
        <row r="472">
          <cell r="CA472" t="str">
            <v>.</v>
          </cell>
        </row>
        <row r="473">
          <cell r="CA473" t="str">
            <v>.</v>
          </cell>
        </row>
        <row r="474">
          <cell r="CA474" t="str">
            <v>.</v>
          </cell>
        </row>
        <row r="475">
          <cell r="CA475" t="str">
            <v>.</v>
          </cell>
        </row>
        <row r="476">
          <cell r="CA476" t="str">
            <v>.</v>
          </cell>
        </row>
        <row r="477">
          <cell r="CA477" t="str">
            <v>.</v>
          </cell>
        </row>
        <row r="478">
          <cell r="CA478" t="str">
            <v>.</v>
          </cell>
        </row>
        <row r="479">
          <cell r="CA479" t="str">
            <v>.</v>
          </cell>
        </row>
        <row r="480">
          <cell r="CA480" t="str">
            <v>.</v>
          </cell>
        </row>
        <row r="481">
          <cell r="CA481" t="str">
            <v>.</v>
          </cell>
        </row>
        <row r="482">
          <cell r="CA482" t="str">
            <v>.</v>
          </cell>
        </row>
        <row r="483">
          <cell r="CA483" t="str">
            <v>.</v>
          </cell>
        </row>
        <row r="484">
          <cell r="CA484" t="str">
            <v>.</v>
          </cell>
        </row>
        <row r="485">
          <cell r="CA485" t="str">
            <v>.</v>
          </cell>
        </row>
        <row r="486">
          <cell r="CA486" t="str">
            <v>.</v>
          </cell>
        </row>
        <row r="487">
          <cell r="CA487" t="str">
            <v>.</v>
          </cell>
        </row>
        <row r="488">
          <cell r="CA488" t="str">
            <v>.</v>
          </cell>
        </row>
        <row r="489">
          <cell r="CA489" t="str">
            <v>.</v>
          </cell>
        </row>
        <row r="490">
          <cell r="CA490" t="str">
            <v>.</v>
          </cell>
        </row>
        <row r="491">
          <cell r="CA491" t="str">
            <v>.</v>
          </cell>
        </row>
        <row r="492">
          <cell r="CA492" t="str">
            <v>.</v>
          </cell>
        </row>
        <row r="493">
          <cell r="CA493" t="str">
            <v>.</v>
          </cell>
        </row>
        <row r="494">
          <cell r="CA494" t="str">
            <v>.</v>
          </cell>
        </row>
        <row r="495">
          <cell r="CA495" t="str">
            <v>.</v>
          </cell>
        </row>
        <row r="496">
          <cell r="CA496" t="str">
            <v>.</v>
          </cell>
        </row>
        <row r="497">
          <cell r="CA497" t="str">
            <v>.</v>
          </cell>
        </row>
        <row r="498">
          <cell r="CA498" t="str">
            <v>.</v>
          </cell>
        </row>
        <row r="499">
          <cell r="CA499" t="str">
            <v>.</v>
          </cell>
        </row>
        <row r="500">
          <cell r="CA500" t="str">
            <v>.</v>
          </cell>
        </row>
        <row r="501">
          <cell r="CA501" t="str">
            <v>.</v>
          </cell>
        </row>
        <row r="502">
          <cell r="CA502" t="str">
            <v>.</v>
          </cell>
        </row>
        <row r="503">
          <cell r="CA503" t="str">
            <v>.</v>
          </cell>
        </row>
        <row r="504">
          <cell r="CA504" t="str">
            <v>.</v>
          </cell>
        </row>
        <row r="505">
          <cell r="CA505" t="str">
            <v>.</v>
          </cell>
        </row>
        <row r="506">
          <cell r="CA506" t="str">
            <v>.</v>
          </cell>
        </row>
        <row r="507">
          <cell r="CA507" t="str">
            <v>.</v>
          </cell>
        </row>
        <row r="508">
          <cell r="CA508" t="str">
            <v>.</v>
          </cell>
        </row>
        <row r="509">
          <cell r="CA509" t="str">
            <v>.</v>
          </cell>
        </row>
        <row r="510">
          <cell r="CA510" t="str">
            <v>.</v>
          </cell>
        </row>
        <row r="511">
          <cell r="CA511" t="str">
            <v>.</v>
          </cell>
        </row>
        <row r="512">
          <cell r="CA512" t="str">
            <v>.</v>
          </cell>
        </row>
        <row r="513">
          <cell r="CA513" t="str">
            <v>.</v>
          </cell>
        </row>
        <row r="514">
          <cell r="CA514" t="str">
            <v>.</v>
          </cell>
        </row>
        <row r="515">
          <cell r="CA515" t="str">
            <v>.</v>
          </cell>
        </row>
        <row r="516">
          <cell r="CA516" t="str">
            <v>.</v>
          </cell>
        </row>
        <row r="517">
          <cell r="CA517" t="str">
            <v>.</v>
          </cell>
        </row>
        <row r="518">
          <cell r="CA518" t="str">
            <v>.</v>
          </cell>
        </row>
        <row r="519">
          <cell r="CA519" t="str">
            <v>.</v>
          </cell>
        </row>
        <row r="520">
          <cell r="CA520" t="str">
            <v>.</v>
          </cell>
        </row>
        <row r="521">
          <cell r="CA521" t="str">
            <v>.</v>
          </cell>
        </row>
        <row r="522">
          <cell r="CA522" t="str">
            <v>.</v>
          </cell>
        </row>
        <row r="523">
          <cell r="CA523" t="str">
            <v>.</v>
          </cell>
        </row>
        <row r="524">
          <cell r="CA524" t="str">
            <v>.</v>
          </cell>
        </row>
        <row r="525">
          <cell r="CA525" t="str">
            <v>.</v>
          </cell>
        </row>
        <row r="526">
          <cell r="CA526" t="str">
            <v>.</v>
          </cell>
        </row>
        <row r="527">
          <cell r="CA527" t="str">
            <v>.</v>
          </cell>
        </row>
        <row r="528">
          <cell r="CA528" t="str">
            <v>.</v>
          </cell>
        </row>
        <row r="529">
          <cell r="CA529" t="str">
            <v>.</v>
          </cell>
        </row>
        <row r="530">
          <cell r="CA530" t="str">
            <v>.</v>
          </cell>
        </row>
        <row r="531">
          <cell r="CA531" t="str">
            <v>.</v>
          </cell>
        </row>
        <row r="532">
          <cell r="CA532" t="str">
            <v>.</v>
          </cell>
        </row>
        <row r="533">
          <cell r="CA533" t="str">
            <v>.</v>
          </cell>
        </row>
        <row r="534">
          <cell r="CA534" t="str">
            <v>.</v>
          </cell>
        </row>
        <row r="535">
          <cell r="CA535" t="str">
            <v>.</v>
          </cell>
        </row>
        <row r="536">
          <cell r="CA536" t="str">
            <v>.</v>
          </cell>
        </row>
        <row r="537">
          <cell r="CA537" t="str">
            <v>.</v>
          </cell>
        </row>
        <row r="538">
          <cell r="CA538" t="str">
            <v>.</v>
          </cell>
        </row>
        <row r="539">
          <cell r="CA539" t="str">
            <v>.</v>
          </cell>
        </row>
        <row r="540">
          <cell r="CA540" t="str">
            <v>.</v>
          </cell>
        </row>
        <row r="541">
          <cell r="CA541" t="str">
            <v>.</v>
          </cell>
        </row>
        <row r="542">
          <cell r="CA542" t="str">
            <v>.</v>
          </cell>
        </row>
        <row r="543">
          <cell r="CA543" t="str">
            <v>.</v>
          </cell>
        </row>
        <row r="544">
          <cell r="CA544" t="str">
            <v>.</v>
          </cell>
        </row>
        <row r="545">
          <cell r="CA545" t="str">
            <v>.</v>
          </cell>
        </row>
        <row r="546">
          <cell r="CA546" t="str">
            <v>.</v>
          </cell>
        </row>
        <row r="547">
          <cell r="CA547" t="str">
            <v>.</v>
          </cell>
        </row>
        <row r="548">
          <cell r="CA548" t="str">
            <v>.</v>
          </cell>
        </row>
        <row r="549">
          <cell r="CA549" t="str">
            <v>.</v>
          </cell>
        </row>
        <row r="550">
          <cell r="CA550" t="str">
            <v>.</v>
          </cell>
        </row>
        <row r="551">
          <cell r="CA551" t="str">
            <v>.</v>
          </cell>
        </row>
        <row r="552">
          <cell r="CA552" t="str">
            <v>.</v>
          </cell>
        </row>
        <row r="553">
          <cell r="CA553" t="str">
            <v>.</v>
          </cell>
        </row>
        <row r="554">
          <cell r="CA554" t="str">
            <v>.</v>
          </cell>
        </row>
        <row r="555">
          <cell r="CA555" t="str">
            <v>.</v>
          </cell>
        </row>
        <row r="556">
          <cell r="CA556" t="str">
            <v>.</v>
          </cell>
        </row>
        <row r="557">
          <cell r="CA557" t="str">
            <v>.</v>
          </cell>
        </row>
        <row r="558">
          <cell r="CA558" t="str">
            <v>.</v>
          </cell>
        </row>
        <row r="559">
          <cell r="CA559" t="str">
            <v>.</v>
          </cell>
        </row>
        <row r="560">
          <cell r="CA560" t="str">
            <v>.</v>
          </cell>
        </row>
        <row r="561">
          <cell r="CA561" t="str">
            <v>.</v>
          </cell>
        </row>
        <row r="562">
          <cell r="CA562" t="str">
            <v>.</v>
          </cell>
        </row>
        <row r="563">
          <cell r="CA563" t="str">
            <v>.</v>
          </cell>
        </row>
        <row r="564">
          <cell r="CA564" t="str">
            <v>.</v>
          </cell>
        </row>
        <row r="565">
          <cell r="CA565" t="str">
            <v>.</v>
          </cell>
        </row>
        <row r="566">
          <cell r="CA566" t="str">
            <v>.</v>
          </cell>
        </row>
        <row r="567">
          <cell r="CA567" t="str">
            <v>.</v>
          </cell>
        </row>
        <row r="568">
          <cell r="CA568" t="str">
            <v>.</v>
          </cell>
        </row>
        <row r="569">
          <cell r="CA569" t="str">
            <v>.</v>
          </cell>
        </row>
        <row r="570">
          <cell r="CA570" t="str">
            <v>.</v>
          </cell>
        </row>
        <row r="571">
          <cell r="CA571" t="str">
            <v>.</v>
          </cell>
        </row>
        <row r="572">
          <cell r="CA572" t="str">
            <v>.</v>
          </cell>
        </row>
        <row r="573">
          <cell r="CA573" t="str">
            <v>.</v>
          </cell>
        </row>
        <row r="574">
          <cell r="CA574" t="str">
            <v>.</v>
          </cell>
        </row>
        <row r="575">
          <cell r="CA575" t="str">
            <v>.</v>
          </cell>
        </row>
        <row r="576">
          <cell r="CA576" t="str">
            <v>.</v>
          </cell>
        </row>
        <row r="577">
          <cell r="CA577" t="str">
            <v>.</v>
          </cell>
        </row>
        <row r="578">
          <cell r="CA578" t="str">
            <v>.</v>
          </cell>
        </row>
        <row r="579">
          <cell r="CA579" t="str">
            <v>.</v>
          </cell>
        </row>
        <row r="580">
          <cell r="CA580" t="str">
            <v>.</v>
          </cell>
        </row>
        <row r="581">
          <cell r="CA581" t="str">
            <v>.</v>
          </cell>
        </row>
        <row r="582">
          <cell r="CA582" t="str">
            <v>.</v>
          </cell>
        </row>
        <row r="583">
          <cell r="CA583" t="str">
            <v>.</v>
          </cell>
        </row>
        <row r="584">
          <cell r="CA584" t="str">
            <v>.</v>
          </cell>
        </row>
        <row r="585">
          <cell r="CA585" t="str">
            <v>.</v>
          </cell>
        </row>
        <row r="586">
          <cell r="CA586" t="str">
            <v>.</v>
          </cell>
        </row>
        <row r="587">
          <cell r="CA587" t="str">
            <v>.</v>
          </cell>
        </row>
        <row r="588">
          <cell r="CA588" t="str">
            <v>.</v>
          </cell>
        </row>
        <row r="589">
          <cell r="CA589" t="str">
            <v>.</v>
          </cell>
        </row>
        <row r="590">
          <cell r="CA590" t="str">
            <v>.</v>
          </cell>
        </row>
        <row r="591">
          <cell r="CA591" t="str">
            <v>.</v>
          </cell>
        </row>
        <row r="592">
          <cell r="CA592" t="str">
            <v>.</v>
          </cell>
        </row>
        <row r="593">
          <cell r="CA593" t="str">
            <v>.</v>
          </cell>
        </row>
        <row r="594">
          <cell r="CA594" t="str">
            <v>.</v>
          </cell>
        </row>
        <row r="595">
          <cell r="CA595" t="str">
            <v>.</v>
          </cell>
        </row>
        <row r="596">
          <cell r="CA596" t="str">
            <v>.</v>
          </cell>
        </row>
        <row r="597">
          <cell r="CA597" t="str">
            <v>.</v>
          </cell>
        </row>
        <row r="598">
          <cell r="CA598" t="str">
            <v>.</v>
          </cell>
        </row>
        <row r="599">
          <cell r="CA599" t="str">
            <v>.</v>
          </cell>
        </row>
        <row r="600">
          <cell r="CA600" t="str">
            <v>.</v>
          </cell>
        </row>
        <row r="601">
          <cell r="CA601" t="str">
            <v>.</v>
          </cell>
        </row>
        <row r="602">
          <cell r="CA602" t="str">
            <v>.</v>
          </cell>
        </row>
        <row r="603">
          <cell r="CA603" t="str">
            <v>.</v>
          </cell>
        </row>
        <row r="604">
          <cell r="CA604" t="str">
            <v>.</v>
          </cell>
        </row>
        <row r="605">
          <cell r="CA605" t="str">
            <v>.</v>
          </cell>
        </row>
        <row r="606">
          <cell r="CA606" t="str">
            <v>.</v>
          </cell>
        </row>
        <row r="607">
          <cell r="CA607" t="str">
            <v>.</v>
          </cell>
        </row>
        <row r="608">
          <cell r="CA608" t="str">
            <v>.</v>
          </cell>
        </row>
        <row r="609">
          <cell r="CA609" t="str">
            <v>.</v>
          </cell>
        </row>
        <row r="610">
          <cell r="CA610" t="str">
            <v>.</v>
          </cell>
        </row>
        <row r="611">
          <cell r="CA611" t="str">
            <v>.</v>
          </cell>
        </row>
        <row r="612">
          <cell r="CA612" t="str">
            <v>.</v>
          </cell>
        </row>
        <row r="613">
          <cell r="CA613" t="str">
            <v>.</v>
          </cell>
        </row>
        <row r="614">
          <cell r="CA614" t="str">
            <v>.</v>
          </cell>
        </row>
        <row r="615">
          <cell r="CA615" t="str">
            <v>.</v>
          </cell>
        </row>
        <row r="616">
          <cell r="CA616" t="str">
            <v>.</v>
          </cell>
        </row>
        <row r="617">
          <cell r="CA617" t="str">
            <v>.</v>
          </cell>
        </row>
        <row r="618">
          <cell r="CA618" t="str">
            <v>.</v>
          </cell>
        </row>
        <row r="619">
          <cell r="CA619" t="str">
            <v>.</v>
          </cell>
        </row>
        <row r="620">
          <cell r="CA620" t="str">
            <v>.</v>
          </cell>
        </row>
        <row r="621">
          <cell r="CA621" t="str">
            <v>.</v>
          </cell>
        </row>
        <row r="622">
          <cell r="CA622" t="str">
            <v>.</v>
          </cell>
        </row>
        <row r="623">
          <cell r="CA623" t="str">
            <v>.</v>
          </cell>
        </row>
        <row r="624">
          <cell r="CA624" t="str">
            <v>.</v>
          </cell>
        </row>
        <row r="625">
          <cell r="CA625" t="str">
            <v>.</v>
          </cell>
        </row>
        <row r="626">
          <cell r="CA626" t="str">
            <v>.</v>
          </cell>
        </row>
        <row r="627">
          <cell r="CA627" t="str">
            <v>.</v>
          </cell>
        </row>
        <row r="628">
          <cell r="CA628" t="str">
            <v>.</v>
          </cell>
        </row>
        <row r="629">
          <cell r="CA629" t="str">
            <v>.</v>
          </cell>
        </row>
        <row r="630">
          <cell r="CA630" t="str">
            <v>.</v>
          </cell>
        </row>
        <row r="631">
          <cell r="CA631" t="str">
            <v>.</v>
          </cell>
        </row>
        <row r="632">
          <cell r="CA632" t="str">
            <v>.</v>
          </cell>
        </row>
        <row r="633">
          <cell r="CA633" t="str">
            <v>.</v>
          </cell>
        </row>
        <row r="634">
          <cell r="CA634" t="str">
            <v>.</v>
          </cell>
        </row>
        <row r="635">
          <cell r="CA635" t="str">
            <v>.</v>
          </cell>
        </row>
        <row r="636">
          <cell r="CA636" t="str">
            <v>.</v>
          </cell>
        </row>
        <row r="637">
          <cell r="CA637" t="str">
            <v>.</v>
          </cell>
        </row>
        <row r="638">
          <cell r="CA638" t="str">
            <v>.</v>
          </cell>
        </row>
        <row r="639">
          <cell r="CA639" t="str">
            <v>.</v>
          </cell>
        </row>
        <row r="640">
          <cell r="CA640" t="str">
            <v>.</v>
          </cell>
        </row>
        <row r="641">
          <cell r="CA641" t="str">
            <v>.</v>
          </cell>
        </row>
        <row r="642">
          <cell r="CA642" t="str">
            <v>.</v>
          </cell>
        </row>
        <row r="643">
          <cell r="CA643" t="str">
            <v>.</v>
          </cell>
        </row>
        <row r="644">
          <cell r="CA644" t="str">
            <v>.</v>
          </cell>
        </row>
        <row r="645">
          <cell r="CA645" t="str">
            <v>.</v>
          </cell>
        </row>
        <row r="646">
          <cell r="CA646" t="str">
            <v>.</v>
          </cell>
        </row>
        <row r="647">
          <cell r="CA647" t="str">
            <v>.</v>
          </cell>
        </row>
        <row r="648">
          <cell r="CA648" t="str">
            <v>.</v>
          </cell>
        </row>
        <row r="649">
          <cell r="CA649" t="str">
            <v>.</v>
          </cell>
        </row>
        <row r="650">
          <cell r="CA650" t="str">
            <v>.</v>
          </cell>
        </row>
        <row r="651">
          <cell r="CA651" t="str">
            <v>.</v>
          </cell>
        </row>
        <row r="652">
          <cell r="CA652" t="str">
            <v>.</v>
          </cell>
        </row>
        <row r="653">
          <cell r="CA653" t="str">
            <v>.</v>
          </cell>
        </row>
        <row r="654">
          <cell r="CA654" t="str">
            <v>.</v>
          </cell>
        </row>
        <row r="655">
          <cell r="CA655" t="str">
            <v>.</v>
          </cell>
        </row>
        <row r="656">
          <cell r="CA656" t="str">
            <v>.</v>
          </cell>
        </row>
        <row r="657">
          <cell r="CA657" t="str">
            <v>.</v>
          </cell>
        </row>
        <row r="658">
          <cell r="CA658" t="str">
            <v>.</v>
          </cell>
        </row>
        <row r="659">
          <cell r="CA659" t="str">
            <v>.</v>
          </cell>
        </row>
        <row r="660">
          <cell r="CA660" t="str">
            <v>.</v>
          </cell>
        </row>
        <row r="661">
          <cell r="CA661" t="str">
            <v>.</v>
          </cell>
        </row>
        <row r="662">
          <cell r="CA662" t="str">
            <v>.</v>
          </cell>
        </row>
        <row r="663">
          <cell r="CA663" t="str">
            <v>.</v>
          </cell>
        </row>
        <row r="664">
          <cell r="CA664" t="str">
            <v>.</v>
          </cell>
        </row>
        <row r="665">
          <cell r="CA665" t="str">
            <v>.</v>
          </cell>
        </row>
        <row r="666">
          <cell r="CA666" t="str">
            <v>.</v>
          </cell>
        </row>
        <row r="667">
          <cell r="CA667" t="str">
            <v>.</v>
          </cell>
        </row>
        <row r="668">
          <cell r="CA668" t="str">
            <v>.</v>
          </cell>
        </row>
        <row r="669">
          <cell r="CA669" t="str">
            <v>.</v>
          </cell>
        </row>
        <row r="670">
          <cell r="CA670" t="str">
            <v>.</v>
          </cell>
        </row>
        <row r="671">
          <cell r="CA671" t="str">
            <v>.</v>
          </cell>
        </row>
        <row r="672">
          <cell r="CA672" t="str">
            <v>.</v>
          </cell>
        </row>
        <row r="673">
          <cell r="CA673" t="str">
            <v>.</v>
          </cell>
        </row>
        <row r="674">
          <cell r="CA674" t="str">
            <v>.</v>
          </cell>
        </row>
        <row r="675">
          <cell r="CA675" t="str">
            <v>.</v>
          </cell>
        </row>
        <row r="676">
          <cell r="CA676" t="str">
            <v>.</v>
          </cell>
        </row>
        <row r="677">
          <cell r="CA677" t="str">
            <v>.</v>
          </cell>
        </row>
        <row r="678">
          <cell r="CA678" t="str">
            <v>.</v>
          </cell>
        </row>
        <row r="679">
          <cell r="CA679" t="str">
            <v>.</v>
          </cell>
        </row>
        <row r="680">
          <cell r="CA680" t="str">
            <v>.</v>
          </cell>
        </row>
        <row r="681">
          <cell r="CA681" t="str">
            <v>.</v>
          </cell>
        </row>
        <row r="682">
          <cell r="CA682" t="str">
            <v>.</v>
          </cell>
        </row>
        <row r="683">
          <cell r="CA683" t="str">
            <v>.</v>
          </cell>
        </row>
        <row r="684">
          <cell r="CA684" t="str">
            <v>.</v>
          </cell>
        </row>
        <row r="685">
          <cell r="CA685" t="str">
            <v>.</v>
          </cell>
        </row>
        <row r="686">
          <cell r="CA686" t="str">
            <v>.</v>
          </cell>
        </row>
        <row r="687">
          <cell r="CA687" t="str">
            <v>.</v>
          </cell>
        </row>
        <row r="688">
          <cell r="CA688" t="str">
            <v>.</v>
          </cell>
        </row>
        <row r="689">
          <cell r="CA689" t="str">
            <v>.</v>
          </cell>
        </row>
        <row r="690">
          <cell r="CA690" t="str">
            <v>.</v>
          </cell>
        </row>
        <row r="691">
          <cell r="CA691" t="str">
            <v>.</v>
          </cell>
        </row>
        <row r="692">
          <cell r="CA692" t="str">
            <v>.</v>
          </cell>
        </row>
        <row r="693">
          <cell r="CA693" t="str">
            <v>.</v>
          </cell>
        </row>
        <row r="694">
          <cell r="CA694" t="str">
            <v>.</v>
          </cell>
        </row>
        <row r="695">
          <cell r="CA695" t="str">
            <v>.</v>
          </cell>
        </row>
        <row r="696">
          <cell r="CA696" t="str">
            <v>.</v>
          </cell>
        </row>
        <row r="697">
          <cell r="CA697" t="str">
            <v>.</v>
          </cell>
        </row>
        <row r="698">
          <cell r="CA698" t="str">
            <v>.</v>
          </cell>
        </row>
        <row r="699">
          <cell r="CA699" t="str">
            <v>.</v>
          </cell>
        </row>
        <row r="700">
          <cell r="CA700" t="str">
            <v>.</v>
          </cell>
        </row>
        <row r="701">
          <cell r="CA701" t="str">
            <v>.</v>
          </cell>
        </row>
        <row r="702">
          <cell r="CA702" t="str">
            <v>.</v>
          </cell>
        </row>
        <row r="703">
          <cell r="CA703" t="str">
            <v>.</v>
          </cell>
        </row>
        <row r="704">
          <cell r="CA704" t="str">
            <v>.</v>
          </cell>
        </row>
        <row r="705">
          <cell r="CA705" t="str">
            <v>.</v>
          </cell>
        </row>
        <row r="706">
          <cell r="CA706" t="str">
            <v>.</v>
          </cell>
        </row>
        <row r="707">
          <cell r="CA707" t="str">
            <v>.</v>
          </cell>
        </row>
        <row r="708">
          <cell r="CA708" t="str">
            <v>.</v>
          </cell>
        </row>
        <row r="709">
          <cell r="CA709" t="str">
            <v>.</v>
          </cell>
        </row>
        <row r="710">
          <cell r="CA710" t="str">
            <v>.</v>
          </cell>
        </row>
        <row r="711">
          <cell r="CA711" t="str">
            <v>.</v>
          </cell>
        </row>
        <row r="712">
          <cell r="CA712" t="str">
            <v>.</v>
          </cell>
        </row>
        <row r="713">
          <cell r="CA713" t="str">
            <v>.</v>
          </cell>
        </row>
        <row r="714">
          <cell r="CA714" t="str">
            <v>.</v>
          </cell>
        </row>
        <row r="715">
          <cell r="CA715" t="str">
            <v>.</v>
          </cell>
        </row>
        <row r="716">
          <cell r="CA716" t="str">
            <v>.</v>
          </cell>
        </row>
        <row r="717">
          <cell r="CA717" t="str">
            <v>.</v>
          </cell>
        </row>
        <row r="718">
          <cell r="CA718" t="str">
            <v>.</v>
          </cell>
        </row>
        <row r="719">
          <cell r="CA719" t="str">
            <v>.</v>
          </cell>
        </row>
        <row r="720">
          <cell r="CA720" t="str">
            <v>.</v>
          </cell>
        </row>
        <row r="721">
          <cell r="CA721" t="str">
            <v>.</v>
          </cell>
        </row>
        <row r="722">
          <cell r="CA722" t="str">
            <v>.</v>
          </cell>
        </row>
        <row r="723">
          <cell r="CA723" t="str">
            <v>.</v>
          </cell>
        </row>
        <row r="724">
          <cell r="CA724" t="str">
            <v>.</v>
          </cell>
        </row>
        <row r="725">
          <cell r="CA725" t="str">
            <v>.</v>
          </cell>
        </row>
        <row r="726">
          <cell r="CA726" t="str">
            <v>.</v>
          </cell>
        </row>
        <row r="727">
          <cell r="CA727" t="str">
            <v>.</v>
          </cell>
        </row>
        <row r="728">
          <cell r="CA728" t="str">
            <v>.</v>
          </cell>
        </row>
        <row r="729">
          <cell r="CA729" t="str">
            <v>.</v>
          </cell>
        </row>
        <row r="730">
          <cell r="CA730" t="str">
            <v>.</v>
          </cell>
        </row>
        <row r="731">
          <cell r="CA731" t="str">
            <v>.</v>
          </cell>
        </row>
        <row r="732">
          <cell r="CA732" t="str">
            <v>.</v>
          </cell>
        </row>
        <row r="733">
          <cell r="CA733" t="str">
            <v>.</v>
          </cell>
        </row>
        <row r="734">
          <cell r="CA734" t="str">
            <v>.</v>
          </cell>
        </row>
        <row r="735">
          <cell r="CA735" t="str">
            <v>.</v>
          </cell>
        </row>
        <row r="736">
          <cell r="CA736" t="str">
            <v>.</v>
          </cell>
        </row>
        <row r="737">
          <cell r="CA737" t="str">
            <v>.</v>
          </cell>
        </row>
        <row r="738">
          <cell r="CA738" t="str">
            <v>.</v>
          </cell>
        </row>
        <row r="739">
          <cell r="CA739" t="str">
            <v>.</v>
          </cell>
        </row>
        <row r="740">
          <cell r="CA740" t="str">
            <v>.</v>
          </cell>
        </row>
        <row r="741">
          <cell r="CA741" t="str">
            <v>.</v>
          </cell>
        </row>
        <row r="742">
          <cell r="CA742" t="str">
            <v>.</v>
          </cell>
        </row>
        <row r="743">
          <cell r="CA743" t="str">
            <v>.</v>
          </cell>
        </row>
        <row r="744">
          <cell r="CA744" t="str">
            <v>.</v>
          </cell>
        </row>
        <row r="745">
          <cell r="CA745" t="str">
            <v>.</v>
          </cell>
        </row>
        <row r="746">
          <cell r="CA746" t="str">
            <v>.</v>
          </cell>
        </row>
        <row r="747">
          <cell r="CA747" t="str">
            <v>.</v>
          </cell>
        </row>
        <row r="748">
          <cell r="CA748" t="str">
            <v>.</v>
          </cell>
        </row>
        <row r="749">
          <cell r="CA749" t="str">
            <v>.</v>
          </cell>
        </row>
        <row r="750">
          <cell r="CA750" t="str">
            <v>.</v>
          </cell>
        </row>
        <row r="751">
          <cell r="CA751" t="str">
            <v>.</v>
          </cell>
        </row>
        <row r="752">
          <cell r="CA752" t="str">
            <v>.</v>
          </cell>
        </row>
        <row r="753">
          <cell r="CA753" t="str">
            <v>.</v>
          </cell>
        </row>
        <row r="754">
          <cell r="CA754" t="str">
            <v>.</v>
          </cell>
        </row>
        <row r="755">
          <cell r="CA755" t="str">
            <v>.</v>
          </cell>
        </row>
        <row r="756">
          <cell r="CA756" t="str">
            <v>.</v>
          </cell>
        </row>
        <row r="757">
          <cell r="CA757" t="str">
            <v>.</v>
          </cell>
        </row>
        <row r="758">
          <cell r="CA758" t="str">
            <v>.</v>
          </cell>
        </row>
        <row r="759">
          <cell r="CA759" t="str">
            <v>.</v>
          </cell>
        </row>
        <row r="760">
          <cell r="CA760" t="str">
            <v>.</v>
          </cell>
        </row>
        <row r="761">
          <cell r="CA761" t="str">
            <v>.</v>
          </cell>
        </row>
        <row r="762">
          <cell r="CA762" t="str">
            <v>.</v>
          </cell>
        </row>
        <row r="763">
          <cell r="CA763" t="str">
            <v>.</v>
          </cell>
        </row>
        <row r="764">
          <cell r="CA764" t="str">
            <v>.</v>
          </cell>
        </row>
        <row r="765">
          <cell r="CA765" t="str">
            <v>.</v>
          </cell>
        </row>
        <row r="766">
          <cell r="CA766" t="str">
            <v>.</v>
          </cell>
        </row>
        <row r="767">
          <cell r="CA767" t="str">
            <v>.</v>
          </cell>
        </row>
        <row r="768">
          <cell r="CA768" t="str">
            <v>.</v>
          </cell>
        </row>
        <row r="769">
          <cell r="CA769" t="str">
            <v>.</v>
          </cell>
        </row>
        <row r="770">
          <cell r="CA770" t="str">
            <v>.</v>
          </cell>
        </row>
        <row r="771">
          <cell r="CA771" t="str">
            <v>.</v>
          </cell>
        </row>
        <row r="772">
          <cell r="CA772" t="str">
            <v>.</v>
          </cell>
        </row>
        <row r="773">
          <cell r="CA773" t="str">
            <v>.</v>
          </cell>
        </row>
        <row r="774">
          <cell r="CA774" t="str">
            <v>.</v>
          </cell>
        </row>
        <row r="775">
          <cell r="CA775" t="str">
            <v>.</v>
          </cell>
        </row>
        <row r="776">
          <cell r="CA776" t="str">
            <v>.</v>
          </cell>
        </row>
        <row r="777">
          <cell r="CA777" t="str">
            <v>.</v>
          </cell>
        </row>
        <row r="778">
          <cell r="CA778" t="str">
            <v>.</v>
          </cell>
        </row>
        <row r="779">
          <cell r="CA779" t="str">
            <v>.</v>
          </cell>
        </row>
        <row r="780">
          <cell r="CA780" t="str">
            <v>.</v>
          </cell>
        </row>
        <row r="781">
          <cell r="CA781" t="str">
            <v>.</v>
          </cell>
        </row>
        <row r="782">
          <cell r="CA782" t="str">
            <v>.</v>
          </cell>
        </row>
        <row r="783">
          <cell r="CA783" t="str">
            <v>.</v>
          </cell>
        </row>
        <row r="784">
          <cell r="CA784" t="str">
            <v>.</v>
          </cell>
        </row>
        <row r="785">
          <cell r="CA785" t="str">
            <v>.</v>
          </cell>
        </row>
        <row r="786">
          <cell r="CA786" t="str">
            <v>.</v>
          </cell>
        </row>
        <row r="787">
          <cell r="CA787" t="str">
            <v>.</v>
          </cell>
        </row>
        <row r="788">
          <cell r="CA788" t="str">
            <v>.</v>
          </cell>
        </row>
        <row r="789">
          <cell r="CA789" t="str">
            <v>.</v>
          </cell>
        </row>
        <row r="790">
          <cell r="CA790" t="str">
            <v>.</v>
          </cell>
        </row>
        <row r="791">
          <cell r="CA791" t="str">
            <v>.</v>
          </cell>
        </row>
        <row r="792">
          <cell r="CA792" t="str">
            <v>.</v>
          </cell>
        </row>
        <row r="793">
          <cell r="CA793" t="str">
            <v>.</v>
          </cell>
        </row>
        <row r="794">
          <cell r="CA794" t="str">
            <v>.</v>
          </cell>
        </row>
        <row r="795">
          <cell r="CA795" t="str">
            <v>.</v>
          </cell>
        </row>
        <row r="796">
          <cell r="CA796" t="str">
            <v>.</v>
          </cell>
        </row>
        <row r="797">
          <cell r="CA797" t="str">
            <v>.</v>
          </cell>
        </row>
        <row r="798">
          <cell r="CA798" t="str">
            <v>.</v>
          </cell>
        </row>
        <row r="799">
          <cell r="CA799" t="str">
            <v>.</v>
          </cell>
        </row>
        <row r="800">
          <cell r="CA800" t="str">
            <v>.</v>
          </cell>
        </row>
        <row r="801">
          <cell r="CA801" t="str">
            <v>.</v>
          </cell>
        </row>
        <row r="802">
          <cell r="CA802" t="str">
            <v>.</v>
          </cell>
        </row>
        <row r="803">
          <cell r="CA803" t="str">
            <v>.</v>
          </cell>
        </row>
        <row r="804">
          <cell r="CA804" t="str">
            <v>.</v>
          </cell>
        </row>
        <row r="805">
          <cell r="CA805" t="str">
            <v>.</v>
          </cell>
        </row>
        <row r="806">
          <cell r="CA806" t="str">
            <v>.</v>
          </cell>
        </row>
        <row r="807">
          <cell r="CA807" t="str">
            <v>.</v>
          </cell>
        </row>
        <row r="808">
          <cell r="CA808" t="str">
            <v>.</v>
          </cell>
        </row>
        <row r="809">
          <cell r="CA809" t="str">
            <v>.</v>
          </cell>
        </row>
        <row r="810">
          <cell r="CA810" t="str">
            <v>.</v>
          </cell>
        </row>
        <row r="811">
          <cell r="CA811" t="str">
            <v>.</v>
          </cell>
        </row>
        <row r="812">
          <cell r="CA812" t="str">
            <v>.</v>
          </cell>
        </row>
        <row r="813">
          <cell r="CA813" t="str">
            <v>.</v>
          </cell>
        </row>
        <row r="814">
          <cell r="CA814" t="str">
            <v>.</v>
          </cell>
        </row>
        <row r="815">
          <cell r="CA815" t="str">
            <v>.</v>
          </cell>
        </row>
        <row r="816">
          <cell r="CA816" t="str">
            <v>.</v>
          </cell>
        </row>
        <row r="817">
          <cell r="CA817" t="str">
            <v>.</v>
          </cell>
        </row>
        <row r="818">
          <cell r="CA818" t="str">
            <v>.</v>
          </cell>
        </row>
        <row r="819">
          <cell r="CA819" t="str">
            <v>.</v>
          </cell>
        </row>
        <row r="820">
          <cell r="CA820" t="str">
            <v>.</v>
          </cell>
        </row>
        <row r="821">
          <cell r="CA821" t="str">
            <v>.</v>
          </cell>
        </row>
        <row r="822">
          <cell r="CA822" t="str">
            <v>.</v>
          </cell>
        </row>
        <row r="823">
          <cell r="CA823" t="str">
            <v>.</v>
          </cell>
        </row>
        <row r="824">
          <cell r="CA824" t="str">
            <v>.</v>
          </cell>
        </row>
        <row r="825">
          <cell r="CA825" t="str">
            <v>.</v>
          </cell>
        </row>
        <row r="826">
          <cell r="CA826" t="str">
            <v>.</v>
          </cell>
        </row>
        <row r="827">
          <cell r="CA827" t="str">
            <v>.</v>
          </cell>
        </row>
        <row r="828">
          <cell r="CA828" t="str">
            <v>.</v>
          </cell>
        </row>
        <row r="829">
          <cell r="CA829" t="str">
            <v>.</v>
          </cell>
        </row>
        <row r="830">
          <cell r="CA830" t="str">
            <v>.</v>
          </cell>
        </row>
        <row r="831">
          <cell r="CA831" t="str">
            <v>.</v>
          </cell>
        </row>
        <row r="832">
          <cell r="CA832" t="str">
            <v>.</v>
          </cell>
        </row>
        <row r="833">
          <cell r="CA833" t="str">
            <v>.</v>
          </cell>
        </row>
        <row r="834">
          <cell r="CA834" t="str">
            <v>.</v>
          </cell>
        </row>
        <row r="835">
          <cell r="CA835" t="str">
            <v>.</v>
          </cell>
        </row>
        <row r="836">
          <cell r="CA836" t="str">
            <v>.</v>
          </cell>
        </row>
        <row r="837">
          <cell r="CA837" t="str">
            <v>.</v>
          </cell>
        </row>
        <row r="838">
          <cell r="CA838" t="str">
            <v>.</v>
          </cell>
        </row>
        <row r="839">
          <cell r="CA839" t="str">
            <v>.</v>
          </cell>
        </row>
        <row r="840">
          <cell r="CA840" t="str">
            <v>.</v>
          </cell>
        </row>
        <row r="841">
          <cell r="CA841" t="str">
            <v>.</v>
          </cell>
        </row>
        <row r="842">
          <cell r="CA842" t="str">
            <v>.</v>
          </cell>
        </row>
        <row r="843">
          <cell r="CA843" t="str">
            <v>.</v>
          </cell>
        </row>
        <row r="844">
          <cell r="CA844" t="str">
            <v>.</v>
          </cell>
        </row>
        <row r="845">
          <cell r="CA845" t="str">
            <v>.</v>
          </cell>
        </row>
        <row r="846">
          <cell r="CA846" t="str">
            <v>.</v>
          </cell>
        </row>
        <row r="847">
          <cell r="CA847" t="str">
            <v>.</v>
          </cell>
        </row>
        <row r="848">
          <cell r="CA848" t="str">
            <v>.</v>
          </cell>
        </row>
        <row r="849">
          <cell r="CA849" t="str">
            <v>.</v>
          </cell>
        </row>
        <row r="850">
          <cell r="CA850" t="str">
            <v>.</v>
          </cell>
        </row>
        <row r="851">
          <cell r="CA851" t="str">
            <v>.</v>
          </cell>
        </row>
        <row r="852">
          <cell r="CA852" t="str">
            <v>.</v>
          </cell>
        </row>
        <row r="853">
          <cell r="CA853" t="str">
            <v>.</v>
          </cell>
        </row>
        <row r="854">
          <cell r="CA854" t="str">
            <v>.</v>
          </cell>
        </row>
        <row r="855">
          <cell r="CA855" t="str">
            <v>.</v>
          </cell>
        </row>
        <row r="856">
          <cell r="CA856" t="str">
            <v>.</v>
          </cell>
        </row>
        <row r="857">
          <cell r="CA857" t="str">
            <v>.</v>
          </cell>
        </row>
        <row r="858">
          <cell r="CA858" t="str">
            <v>.</v>
          </cell>
        </row>
        <row r="859">
          <cell r="CA859" t="str">
            <v>.</v>
          </cell>
        </row>
        <row r="860">
          <cell r="CA860" t="str">
            <v>.</v>
          </cell>
        </row>
        <row r="861">
          <cell r="CA861" t="str">
            <v>.</v>
          </cell>
        </row>
        <row r="862">
          <cell r="CA862" t="str">
            <v>.</v>
          </cell>
        </row>
        <row r="863">
          <cell r="CA863" t="str">
            <v>.</v>
          </cell>
        </row>
        <row r="864">
          <cell r="CA864" t="str">
            <v>.</v>
          </cell>
        </row>
        <row r="865">
          <cell r="CA865" t="str">
            <v>.</v>
          </cell>
        </row>
        <row r="866">
          <cell r="CA866" t="str">
            <v>.</v>
          </cell>
        </row>
        <row r="867">
          <cell r="CA867" t="str">
            <v>.</v>
          </cell>
        </row>
        <row r="868">
          <cell r="CA868" t="str">
            <v>.</v>
          </cell>
        </row>
        <row r="869">
          <cell r="CA869" t="str">
            <v>.</v>
          </cell>
        </row>
        <row r="870">
          <cell r="CA870" t="str">
            <v>.</v>
          </cell>
        </row>
        <row r="871">
          <cell r="CA871" t="str">
            <v>.</v>
          </cell>
        </row>
        <row r="872">
          <cell r="CA872" t="str">
            <v>.</v>
          </cell>
        </row>
        <row r="873">
          <cell r="CA873" t="str">
            <v>.</v>
          </cell>
        </row>
        <row r="874">
          <cell r="CA874" t="str">
            <v>.</v>
          </cell>
        </row>
        <row r="875">
          <cell r="CA875" t="str">
            <v>.</v>
          </cell>
        </row>
        <row r="876">
          <cell r="CA876" t="str">
            <v>.</v>
          </cell>
        </row>
        <row r="877">
          <cell r="CA877" t="str">
            <v>.</v>
          </cell>
        </row>
        <row r="878">
          <cell r="CA878" t="str">
            <v>.</v>
          </cell>
        </row>
        <row r="879">
          <cell r="CA879" t="str">
            <v>.</v>
          </cell>
        </row>
        <row r="880">
          <cell r="CA880" t="str">
            <v>.</v>
          </cell>
        </row>
        <row r="881">
          <cell r="CA881" t="str">
            <v>.</v>
          </cell>
        </row>
        <row r="882">
          <cell r="CA882" t="str">
            <v>.</v>
          </cell>
        </row>
        <row r="883">
          <cell r="CA883" t="str">
            <v>.</v>
          </cell>
        </row>
        <row r="884">
          <cell r="CA884" t="str">
            <v>.</v>
          </cell>
        </row>
        <row r="885">
          <cell r="CA885" t="str">
            <v>.</v>
          </cell>
        </row>
        <row r="886">
          <cell r="CA886" t="str">
            <v>.</v>
          </cell>
        </row>
        <row r="887">
          <cell r="CA887" t="str">
            <v>.</v>
          </cell>
        </row>
        <row r="888">
          <cell r="CA888" t="str">
            <v>.</v>
          </cell>
        </row>
        <row r="889">
          <cell r="CA889" t="str">
            <v>.</v>
          </cell>
        </row>
        <row r="890">
          <cell r="CA890" t="str">
            <v>.</v>
          </cell>
        </row>
        <row r="891">
          <cell r="CA891" t="str">
            <v>.</v>
          </cell>
        </row>
        <row r="892">
          <cell r="CA892" t="str">
            <v>.</v>
          </cell>
        </row>
        <row r="893">
          <cell r="CA893" t="str">
            <v>.</v>
          </cell>
        </row>
        <row r="894">
          <cell r="CA894" t="str">
            <v>.</v>
          </cell>
        </row>
        <row r="895">
          <cell r="CA895" t="str">
            <v>.</v>
          </cell>
        </row>
        <row r="896">
          <cell r="CA896" t="str">
            <v>.</v>
          </cell>
        </row>
        <row r="897">
          <cell r="CA897" t="str">
            <v>.</v>
          </cell>
        </row>
        <row r="898">
          <cell r="CA898" t="str">
            <v>.</v>
          </cell>
        </row>
        <row r="899">
          <cell r="CA899" t="str">
            <v>.</v>
          </cell>
        </row>
        <row r="900">
          <cell r="CA900" t="str">
            <v>.</v>
          </cell>
        </row>
        <row r="901">
          <cell r="CA901" t="str">
            <v>.</v>
          </cell>
        </row>
        <row r="902">
          <cell r="CA902" t="str">
            <v>.</v>
          </cell>
        </row>
        <row r="903">
          <cell r="CA903" t="str">
            <v>.</v>
          </cell>
        </row>
        <row r="904">
          <cell r="CA904" t="str">
            <v>.</v>
          </cell>
        </row>
        <row r="905">
          <cell r="CA905" t="str">
            <v>.</v>
          </cell>
        </row>
        <row r="906">
          <cell r="CA906" t="str">
            <v>.</v>
          </cell>
        </row>
        <row r="907">
          <cell r="CA907" t="str">
            <v>.</v>
          </cell>
        </row>
        <row r="908">
          <cell r="CA908" t="str">
            <v>.</v>
          </cell>
        </row>
        <row r="909">
          <cell r="CA909" t="str">
            <v>.</v>
          </cell>
        </row>
        <row r="910">
          <cell r="CA910" t="str">
            <v>.</v>
          </cell>
        </row>
        <row r="911">
          <cell r="CA911" t="str">
            <v>.</v>
          </cell>
        </row>
        <row r="912">
          <cell r="CA912" t="str">
            <v>.</v>
          </cell>
        </row>
        <row r="913">
          <cell r="CA913" t="str">
            <v>.</v>
          </cell>
        </row>
        <row r="914">
          <cell r="CA914" t="str">
            <v>.</v>
          </cell>
        </row>
        <row r="915">
          <cell r="CA915" t="str">
            <v>.</v>
          </cell>
        </row>
        <row r="916">
          <cell r="CA916" t="str">
            <v>.</v>
          </cell>
        </row>
        <row r="917">
          <cell r="CA917" t="str">
            <v>.</v>
          </cell>
        </row>
        <row r="918">
          <cell r="CA918" t="str">
            <v>.</v>
          </cell>
        </row>
        <row r="919">
          <cell r="CA919" t="str">
            <v>.</v>
          </cell>
        </row>
        <row r="920">
          <cell r="CA920" t="str">
            <v>.</v>
          </cell>
        </row>
        <row r="921">
          <cell r="CA921" t="str">
            <v>.</v>
          </cell>
        </row>
        <row r="922">
          <cell r="CA922" t="str">
            <v>.</v>
          </cell>
        </row>
        <row r="923">
          <cell r="CA923" t="str">
            <v>.</v>
          </cell>
        </row>
        <row r="924">
          <cell r="CA924" t="str">
            <v>.</v>
          </cell>
        </row>
        <row r="925">
          <cell r="CA925" t="str">
            <v>.</v>
          </cell>
        </row>
        <row r="926">
          <cell r="CA926" t="str">
            <v>.</v>
          </cell>
        </row>
        <row r="927">
          <cell r="CA927" t="str">
            <v>.</v>
          </cell>
        </row>
        <row r="928">
          <cell r="CA928" t="str">
            <v>.</v>
          </cell>
        </row>
        <row r="929">
          <cell r="CA929" t="str">
            <v>.</v>
          </cell>
        </row>
        <row r="930">
          <cell r="CA930" t="str">
            <v>.</v>
          </cell>
        </row>
        <row r="931">
          <cell r="CA931" t="str">
            <v>.</v>
          </cell>
        </row>
        <row r="932">
          <cell r="CA932" t="str">
            <v>.</v>
          </cell>
        </row>
        <row r="933">
          <cell r="CA933" t="str">
            <v>.</v>
          </cell>
        </row>
        <row r="934">
          <cell r="CA934" t="str">
            <v>.</v>
          </cell>
        </row>
        <row r="935">
          <cell r="CA935" t="str">
            <v>.</v>
          </cell>
        </row>
        <row r="936">
          <cell r="CA936" t="str">
            <v>.</v>
          </cell>
        </row>
        <row r="937">
          <cell r="CA937" t="str">
            <v>.</v>
          </cell>
        </row>
        <row r="938">
          <cell r="CA938" t="str">
            <v>.</v>
          </cell>
        </row>
        <row r="939">
          <cell r="CA939" t="str">
            <v>.</v>
          </cell>
        </row>
        <row r="940">
          <cell r="CA940" t="str">
            <v>.</v>
          </cell>
        </row>
        <row r="941">
          <cell r="CA941" t="str">
            <v>.</v>
          </cell>
        </row>
        <row r="942">
          <cell r="CA942" t="str">
            <v>.</v>
          </cell>
        </row>
        <row r="943">
          <cell r="CA943" t="str">
            <v>.</v>
          </cell>
        </row>
        <row r="944">
          <cell r="CA944" t="str">
            <v>.</v>
          </cell>
        </row>
        <row r="945">
          <cell r="CA945" t="str">
            <v>.</v>
          </cell>
        </row>
        <row r="946">
          <cell r="CA946" t="str">
            <v>.</v>
          </cell>
        </row>
        <row r="947">
          <cell r="CA947" t="str">
            <v>.</v>
          </cell>
        </row>
        <row r="948">
          <cell r="CA948" t="str">
            <v>.</v>
          </cell>
        </row>
        <row r="949">
          <cell r="CA949" t="str">
            <v>.</v>
          </cell>
        </row>
        <row r="950">
          <cell r="CA950" t="str">
            <v>.</v>
          </cell>
        </row>
        <row r="951">
          <cell r="CA951" t="str">
            <v>.</v>
          </cell>
        </row>
        <row r="952">
          <cell r="CA952" t="str">
            <v>.</v>
          </cell>
        </row>
        <row r="953">
          <cell r="CA953" t="str">
            <v>.</v>
          </cell>
        </row>
        <row r="954">
          <cell r="CA954" t="str">
            <v>.</v>
          </cell>
        </row>
        <row r="955">
          <cell r="CA955" t="str">
            <v>.</v>
          </cell>
        </row>
        <row r="956">
          <cell r="CA956" t="str">
            <v>.</v>
          </cell>
        </row>
        <row r="957">
          <cell r="CA957" t="str">
            <v>.</v>
          </cell>
        </row>
        <row r="958">
          <cell r="CA958" t="str">
            <v>.</v>
          </cell>
        </row>
        <row r="959">
          <cell r="CA959" t="str">
            <v>.</v>
          </cell>
        </row>
        <row r="960">
          <cell r="CA960" t="str">
            <v>.</v>
          </cell>
        </row>
        <row r="961">
          <cell r="CA961" t="str">
            <v>.</v>
          </cell>
        </row>
        <row r="962">
          <cell r="CA962" t="str">
            <v>.</v>
          </cell>
        </row>
        <row r="963">
          <cell r="CA963" t="str">
            <v>.</v>
          </cell>
        </row>
        <row r="964">
          <cell r="CA964" t="str">
            <v>.</v>
          </cell>
        </row>
        <row r="965">
          <cell r="CA965" t="str">
            <v>.</v>
          </cell>
        </row>
        <row r="966">
          <cell r="CA966" t="str">
            <v>.</v>
          </cell>
        </row>
        <row r="967">
          <cell r="CA967" t="str">
            <v>.</v>
          </cell>
        </row>
        <row r="968">
          <cell r="CA968" t="str">
            <v>.</v>
          </cell>
        </row>
        <row r="969">
          <cell r="CA969" t="str">
            <v>.</v>
          </cell>
        </row>
        <row r="970">
          <cell r="CA970" t="str">
            <v>.</v>
          </cell>
        </row>
        <row r="971">
          <cell r="CA971" t="str">
            <v>.</v>
          </cell>
        </row>
        <row r="972">
          <cell r="CA972" t="str">
            <v>.</v>
          </cell>
        </row>
        <row r="973">
          <cell r="CA973" t="str">
            <v>.</v>
          </cell>
        </row>
        <row r="974">
          <cell r="CA974" t="str">
            <v>.</v>
          </cell>
        </row>
        <row r="975">
          <cell r="CA975" t="str">
            <v>.</v>
          </cell>
        </row>
        <row r="976">
          <cell r="CA976" t="str">
            <v>.</v>
          </cell>
        </row>
        <row r="977">
          <cell r="CA977" t="str">
            <v>.</v>
          </cell>
        </row>
        <row r="978">
          <cell r="CA978" t="str">
            <v>.</v>
          </cell>
        </row>
        <row r="979">
          <cell r="CA979" t="str">
            <v>.</v>
          </cell>
        </row>
        <row r="980">
          <cell r="CA980" t="str">
            <v>.</v>
          </cell>
        </row>
        <row r="981">
          <cell r="CA981" t="str">
            <v>.</v>
          </cell>
        </row>
        <row r="982">
          <cell r="CA982" t="str">
            <v>.</v>
          </cell>
        </row>
        <row r="983">
          <cell r="CA983" t="str">
            <v>.</v>
          </cell>
        </row>
        <row r="984">
          <cell r="CA984" t="str">
            <v>.</v>
          </cell>
        </row>
        <row r="985">
          <cell r="CA985" t="str">
            <v>.</v>
          </cell>
        </row>
        <row r="986">
          <cell r="CA986" t="str">
            <v>.</v>
          </cell>
        </row>
        <row r="987">
          <cell r="CA987" t="str">
            <v>.</v>
          </cell>
        </row>
        <row r="988">
          <cell r="CA988" t="str">
            <v>.</v>
          </cell>
        </row>
        <row r="989">
          <cell r="CA989" t="str">
            <v>.</v>
          </cell>
        </row>
        <row r="990">
          <cell r="CA990" t="str">
            <v>.</v>
          </cell>
        </row>
        <row r="991">
          <cell r="CA991" t="str">
            <v>.</v>
          </cell>
        </row>
        <row r="992">
          <cell r="CA992" t="str">
            <v>.</v>
          </cell>
        </row>
        <row r="993">
          <cell r="CA993" t="str">
            <v>.</v>
          </cell>
        </row>
        <row r="994">
          <cell r="CA994" t="str">
            <v>.</v>
          </cell>
        </row>
        <row r="995">
          <cell r="CA995" t="str">
            <v>.</v>
          </cell>
        </row>
        <row r="996">
          <cell r="CA996" t="str">
            <v>.</v>
          </cell>
        </row>
        <row r="997">
          <cell r="CA997" t="str">
            <v>.</v>
          </cell>
        </row>
        <row r="998">
          <cell r="CA998" t="str">
            <v>.</v>
          </cell>
        </row>
        <row r="999">
          <cell r="A999" t="str">
            <v>.</v>
          </cell>
          <cell r="B999" t="str">
            <v>.</v>
          </cell>
          <cell r="G999" t="str">
            <v>.</v>
          </cell>
          <cell r="I999" t="str">
            <v>.</v>
          </cell>
          <cell r="W999" t="str">
            <v>.</v>
          </cell>
          <cell r="AS999" t="str">
            <v>.</v>
          </cell>
          <cell r="AT999" t="str">
            <v>.</v>
          </cell>
          <cell r="AU999" t="str">
            <v>.</v>
          </cell>
          <cell r="AV999" t="str">
            <v>.</v>
          </cell>
          <cell r="AW999" t="str">
            <v>.</v>
          </cell>
          <cell r="AX999" t="str">
            <v>.</v>
          </cell>
          <cell r="AY999" t="str">
            <v>.</v>
          </cell>
          <cell r="AZ999" t="str">
            <v>.</v>
          </cell>
          <cell r="BA999" t="str">
            <v>.</v>
          </cell>
          <cell r="BB999" t="str">
            <v>.</v>
          </cell>
          <cell r="BC999" t="str">
            <v>.</v>
          </cell>
          <cell r="BD999" t="str">
            <v>.</v>
          </cell>
          <cell r="BE999" t="str">
            <v>.</v>
          </cell>
          <cell r="BF999" t="str">
            <v>.</v>
          </cell>
          <cell r="BG999" t="str">
            <v>.</v>
          </cell>
          <cell r="BH999" t="str">
            <v>.</v>
          </cell>
          <cell r="BI999" t="str">
            <v>.</v>
          </cell>
          <cell r="BJ999" t="str">
            <v>.</v>
          </cell>
          <cell r="BK999" t="str">
            <v>.</v>
          </cell>
          <cell r="BL999" t="str">
            <v>.</v>
          </cell>
          <cell r="BM999" t="str">
            <v>.</v>
          </cell>
          <cell r="BN999" t="str">
            <v>.</v>
          </cell>
          <cell r="BO999" t="str">
            <v>.</v>
          </cell>
          <cell r="BP999" t="str">
            <v>.</v>
          </cell>
          <cell r="BQ999" t="str">
            <v>.</v>
          </cell>
          <cell r="BR999" t="str">
            <v>.</v>
          </cell>
          <cell r="BS999" t="str">
            <v>.</v>
          </cell>
          <cell r="BT999" t="str">
            <v>.</v>
          </cell>
          <cell r="BU999" t="str">
            <v>.</v>
          </cell>
          <cell r="BV999" t="str">
            <v>.</v>
          </cell>
          <cell r="BW999" t="str">
            <v>.</v>
          </cell>
          <cell r="BX999" t="str">
            <v>.</v>
          </cell>
          <cell r="BY999" t="str">
            <v>.</v>
          </cell>
          <cell r="BZ999" t="str">
            <v>.</v>
          </cell>
          <cell r="CA999" t="str">
            <v>.</v>
          </cell>
        </row>
      </sheetData>
      <sheetData sheetId="13">
        <row r="1">
          <cell r="C1" t="str">
            <v>mstag:revenueNet</v>
          </cell>
          <cell r="G1" t="str">
            <v>Total Sales % Change</v>
          </cell>
          <cell r="K1" t="str">
            <v>Operating Margin</v>
          </cell>
          <cell r="O1" t="str">
            <v>mstag:adjEpsForConsensus</v>
          </cell>
        </row>
        <row r="2">
          <cell r="C2" t="str">
            <v>Sales</v>
          </cell>
          <cell r="G2" t="str">
            <v>Sales Growth</v>
          </cell>
          <cell r="K2" t="str">
            <v>Operating Margin</v>
          </cell>
          <cell r="O2" t="str">
            <v>EPS</v>
          </cell>
        </row>
        <row r="3">
          <cell r="A3" t="str">
            <v>Name</v>
          </cell>
          <cell r="B3" t="str">
            <v>Ticker</v>
          </cell>
          <cell r="C3" t="str">
            <v>MS</v>
          </cell>
          <cell r="D3" t="str">
            <v>Cons.</v>
          </cell>
          <cell r="E3" t="str">
            <v>MS vs C</v>
          </cell>
          <cell r="G3" t="str">
            <v>MS</v>
          </cell>
          <cell r="H3" t="str">
            <v>Cons.</v>
          </cell>
          <cell r="I3" t="str">
            <v>MS vs C</v>
          </cell>
          <cell r="K3" t="str">
            <v>MS</v>
          </cell>
          <cell r="L3" t="str">
            <v>Cons.</v>
          </cell>
          <cell r="M3" t="str">
            <v>MS vs C</v>
          </cell>
          <cell r="O3" t="str">
            <v>MS</v>
          </cell>
          <cell r="P3" t="str">
            <v>Cons.</v>
          </cell>
          <cell r="Q3" t="str">
            <v>MS vs C</v>
          </cell>
          <cell r="S3" t="str">
            <v>Name</v>
          </cell>
          <cell r="T3" t="str">
            <v>Ticker</v>
          </cell>
          <cell r="U3" t="str">
            <v>Release Date</v>
          </cell>
          <cell r="V3" t="str">
            <v>Release Time</v>
          </cell>
          <cell r="W3" t="str">
            <v>Conf Call Date</v>
          </cell>
          <cell r="X3" t="str">
            <v>Conf Call Time</v>
          </cell>
          <cell r="Y3" t="str">
            <v>Confirmed/Projected</v>
          </cell>
          <cell r="AB3" t="str">
            <v>UA</v>
          </cell>
          <cell r="AC3" t="str">
            <v>JNY</v>
          </cell>
          <cell r="AD3" t="str">
            <v>RL</v>
          </cell>
          <cell r="AE3" t="str">
            <v>WRC</v>
          </cell>
          <cell r="AF3" t="str">
            <v>LIZ</v>
          </cell>
          <cell r="AG3" t="str">
            <v>PVH</v>
          </cell>
          <cell r="AH3" t="str">
            <v>GES</v>
          </cell>
          <cell r="AI3" t="str">
            <v>Group Average</v>
          </cell>
        </row>
        <row r="4">
          <cell r="A4" t="str">
            <v>3Q09</v>
          </cell>
          <cell r="S4" t="str">
            <v>Under Armour</v>
          </cell>
          <cell r="T4" t="str">
            <v>UA</v>
          </cell>
          <cell r="U4" t="str">
            <v>7:00am</v>
          </cell>
          <cell r="V4">
            <v>0</v>
          </cell>
          <cell r="W4" t="str">
            <v>7:00am</v>
          </cell>
          <cell r="X4">
            <v>0</v>
          </cell>
          <cell r="Y4" t="str">
            <v>Confirmed</v>
          </cell>
          <cell r="AA4" t="str">
            <v>Sales</v>
          </cell>
          <cell r="AB4">
            <v>214.78640832525764</v>
          </cell>
          <cell r="AC4">
            <v>866.81399336316736</v>
          </cell>
          <cell r="AD4">
            <v>1269.2502193813905</v>
          </cell>
          <cell r="AE4">
            <v>597.08067638411103</v>
          </cell>
          <cell r="AF4">
            <v>628.96346254952391</v>
          </cell>
          <cell r="AG4">
            <v>599.47275927416752</v>
          </cell>
          <cell r="AH4">
            <v>512.7152527089213</v>
          </cell>
        </row>
        <row r="5">
          <cell r="A5" t="str">
            <v>Under Armour</v>
          </cell>
          <cell r="B5" t="str">
            <v>UA</v>
          </cell>
          <cell r="C5" t="e">
            <v>#N/A</v>
          </cell>
          <cell r="D5">
            <v>214.86</v>
          </cell>
          <cell r="E5" t="e">
            <v>#N/A</v>
          </cell>
          <cell r="G5" t="e">
            <v>#N/A</v>
          </cell>
          <cell r="H5">
            <v>7.4300000000000033E-2</v>
          </cell>
          <cell r="I5" t="e">
            <v>#N/A</v>
          </cell>
          <cell r="K5" t="e">
            <v>#N/A</v>
          </cell>
          <cell r="L5">
            <v>4.3015768407335002E-2</v>
          </cell>
          <cell r="M5" t="e">
            <v>#N/A</v>
          </cell>
          <cell r="O5" t="e">
            <v>#N/A</v>
          </cell>
          <cell r="P5">
            <v>0.10034075000000001</v>
          </cell>
          <cell r="Q5" t="e">
            <v>#N/A</v>
          </cell>
          <cell r="S5" t="str">
            <v>Jones Apparel Group</v>
          </cell>
          <cell r="T5" t="str">
            <v>JNY</v>
          </cell>
          <cell r="U5" t="str">
            <v>7:00am</v>
          </cell>
          <cell r="V5">
            <v>0</v>
          </cell>
          <cell r="W5" t="str">
            <v>7:00am</v>
          </cell>
          <cell r="X5">
            <v>0</v>
          </cell>
          <cell r="Y5" t="str">
            <v>Confirmed</v>
          </cell>
          <cell r="AA5" t="str">
            <v>Sales Growth</v>
          </cell>
          <cell r="AB5">
            <v>7.3932041626288303E-2</v>
          </cell>
          <cell r="AC5">
            <v>-2.8997430981105077E-2</v>
          </cell>
          <cell r="AD5">
            <v>3.663036538826403E-2</v>
          </cell>
          <cell r="AE5">
            <v>0.11013728215637064</v>
          </cell>
          <cell r="AF5">
            <v>-0.19329011492176262</v>
          </cell>
          <cell r="AG5">
            <v>7.5432137550643708E-2</v>
          </cell>
          <cell r="AH5">
            <v>0.16208996060507874</v>
          </cell>
          <cell r="AI5">
            <v>3.3704891631968249E-2</v>
          </cell>
        </row>
        <row r="6">
          <cell r="A6" t="str">
            <v>Jones Apparel</v>
          </cell>
          <cell r="B6" t="str">
            <v>JNY</v>
          </cell>
          <cell r="C6" t="e">
            <v>#N/A</v>
          </cell>
          <cell r="D6">
            <v>864.08680000000004</v>
          </cell>
          <cell r="E6" t="e">
            <v>#N/A</v>
          </cell>
          <cell r="G6" t="e">
            <v>#N/A</v>
          </cell>
          <cell r="H6">
            <v>-3.2052425226839709E-2</v>
          </cell>
          <cell r="I6" t="e">
            <v>#N/A</v>
          </cell>
          <cell r="K6" t="e">
            <v>#N/A</v>
          </cell>
          <cell r="L6">
            <v>6.2044600148966518E-2</v>
          </cell>
          <cell r="M6" t="e">
            <v>#N/A</v>
          </cell>
          <cell r="O6" t="e">
            <v>#N/A</v>
          </cell>
          <cell r="P6">
            <v>0.3370881</v>
          </cell>
          <cell r="Q6" t="e">
            <v>#N/A</v>
          </cell>
          <cell r="S6" t="str">
            <v>Polo Ralph Lauren</v>
          </cell>
          <cell r="T6" t="str">
            <v>RL</v>
          </cell>
          <cell r="U6" t="str">
            <v>8:00am</v>
          </cell>
          <cell r="V6">
            <v>0</v>
          </cell>
          <cell r="W6" t="str">
            <v>8:00am</v>
          </cell>
          <cell r="X6">
            <v>0</v>
          </cell>
          <cell r="Y6" t="str">
            <v>Confirmed</v>
          </cell>
        </row>
        <row r="7">
          <cell r="A7" t="str">
            <v>Ralph Lauren</v>
          </cell>
          <cell r="B7" t="str">
            <v>RL</v>
          </cell>
          <cell r="C7" t="e">
            <v>#N/A</v>
          </cell>
          <cell r="D7">
            <v>1236.9849999999999</v>
          </cell>
          <cell r="E7" t="e">
            <v>#N/A</v>
          </cell>
          <cell r="G7" t="e">
            <v>#N/A</v>
          </cell>
          <cell r="H7">
            <v>1.0278503756941948E-2</v>
          </cell>
          <cell r="I7" t="e">
            <v>#N/A</v>
          </cell>
          <cell r="K7" t="e">
            <v>#N/A</v>
          </cell>
          <cell r="L7">
            <v>7.646775021524109E-2</v>
          </cell>
          <cell r="M7" t="e">
            <v>#N/A</v>
          </cell>
          <cell r="O7" t="e">
            <v>#N/A</v>
          </cell>
          <cell r="P7">
            <v>0.61383189999999999</v>
          </cell>
          <cell r="Q7" t="e">
            <v>#N/A</v>
          </cell>
          <cell r="S7" t="str">
            <v>Warnaco</v>
          </cell>
          <cell r="T7" t="str">
            <v>WRC</v>
          </cell>
          <cell r="U7" t="str">
            <v>7:30am</v>
          </cell>
          <cell r="V7">
            <v>0</v>
          </cell>
          <cell r="W7" t="str">
            <v>7:30am</v>
          </cell>
          <cell r="X7">
            <v>0</v>
          </cell>
          <cell r="Y7" t="str">
            <v>Projected</v>
          </cell>
          <cell r="AA7" t="str">
            <v>Gross Profit</v>
          </cell>
          <cell r="AB7">
            <v>101.32656205948193</v>
          </cell>
          <cell r="AC7">
            <v>307.8665876663847</v>
          </cell>
          <cell r="AD7">
            <v>723.63931521014706</v>
          </cell>
          <cell r="AE7">
            <v>263.80059562174603</v>
          </cell>
          <cell r="AF7">
            <v>318.17316651223837</v>
          </cell>
          <cell r="AG7">
            <v>296.78759848752674</v>
          </cell>
          <cell r="AH7">
            <v>221.18263057082578</v>
          </cell>
        </row>
        <row r="8">
          <cell r="A8" t="str">
            <v>Warnaco</v>
          </cell>
          <cell r="B8" t="str">
            <v>WRC</v>
          </cell>
          <cell r="C8" t="e">
            <v>#N/A</v>
          </cell>
          <cell r="D8">
            <v>576.10699999999997</v>
          </cell>
          <cell r="E8" t="e">
            <v>#N/A</v>
          </cell>
          <cell r="G8" t="e">
            <v>#N/A</v>
          </cell>
          <cell r="H8">
            <v>7.1141446218605964E-2</v>
          </cell>
          <cell r="I8" t="e">
            <v>#N/A</v>
          </cell>
          <cell r="K8" t="e">
            <v>#N/A</v>
          </cell>
          <cell r="L8">
            <v>0.13685265063607979</v>
          </cell>
          <cell r="M8" t="e">
            <v>#N/A</v>
          </cell>
          <cell r="O8" t="e">
            <v>#N/A</v>
          </cell>
          <cell r="P8">
            <v>1.0554539999999999</v>
          </cell>
          <cell r="Q8" t="e">
            <v>#N/A</v>
          </cell>
          <cell r="S8" t="str">
            <v>Liz Claiborne</v>
          </cell>
          <cell r="T8" t="str">
            <v>LIZ</v>
          </cell>
          <cell r="U8" t="str">
            <v>7:00am</v>
          </cell>
          <cell r="V8">
            <v>0</v>
          </cell>
          <cell r="W8" t="str">
            <v>7:00am</v>
          </cell>
          <cell r="X8">
            <v>0</v>
          </cell>
          <cell r="Y8" t="str">
            <v>Projected</v>
          </cell>
          <cell r="AA8" t="str">
            <v>Gross Margin</v>
          </cell>
          <cell r="AB8">
            <v>0.47175500000000004</v>
          </cell>
          <cell r="AC8">
            <v>0.35517030184513698</v>
          </cell>
          <cell r="AD8">
            <v>0.57013132963083968</v>
          </cell>
          <cell r="AE8">
            <v>0.44181733902243908</v>
          </cell>
          <cell r="AF8">
            <v>0.5058690773904625</v>
          </cell>
          <cell r="AG8">
            <v>0.49508104229268507</v>
          </cell>
          <cell r="AH8">
            <v>0.43139467648409435</v>
          </cell>
          <cell r="AI8">
            <v>0.46731696666652262</v>
          </cell>
        </row>
        <row r="9">
          <cell r="A9" t="str">
            <v>Liz Claiborne</v>
          </cell>
          <cell r="B9" t="str">
            <v>LIZ</v>
          </cell>
          <cell r="C9" t="e">
            <v>#N/A</v>
          </cell>
          <cell r="D9">
            <v>833.25</v>
          </cell>
          <cell r="E9" t="e">
            <v>#N/A</v>
          </cell>
          <cell r="G9" t="e">
            <v>#N/A</v>
          </cell>
          <cell r="H9">
            <v>6.8728235844882191E-2</v>
          </cell>
          <cell r="I9" t="e">
            <v>#N/A</v>
          </cell>
          <cell r="K9" t="e">
            <v>#N/A</v>
          </cell>
          <cell r="L9" t="str">
            <v>NA</v>
          </cell>
          <cell r="M9" t="e">
            <v>#N/A</v>
          </cell>
          <cell r="O9" t="e">
            <v>#N/A</v>
          </cell>
          <cell r="P9">
            <v>-0.19700000000000001</v>
          </cell>
          <cell r="Q9" t="e">
            <v>#N/A</v>
          </cell>
          <cell r="S9" t="str">
            <v>Phillips-Van Heusen</v>
          </cell>
          <cell r="T9" t="str">
            <v>PVH</v>
          </cell>
          <cell r="U9" t="str">
            <v>4:00pm</v>
          </cell>
          <cell r="V9">
            <v>0</v>
          </cell>
          <cell r="W9" t="e">
            <v>#VALUE!</v>
          </cell>
          <cell r="X9">
            <v>0</v>
          </cell>
          <cell r="Y9" t="str">
            <v>Confirmed</v>
          </cell>
          <cell r="AA9" t="str">
            <v>Gross Margin ∆</v>
          </cell>
          <cell r="AB9">
            <v>190.00000000000017</v>
          </cell>
          <cell r="AC9">
            <v>260.26546935474846</v>
          </cell>
          <cell r="AD9">
            <v>520.00000000000045</v>
          </cell>
          <cell r="AE9">
            <v>201.9322496706244</v>
          </cell>
          <cell r="AF9">
            <v>580.13908824475823</v>
          </cell>
          <cell r="AG9">
            <v>59.999999999999496</v>
          </cell>
          <cell r="AH9">
            <v>290.76912018465293</v>
          </cell>
          <cell r="AI9">
            <v>300.44370392211198</v>
          </cell>
        </row>
        <row r="10">
          <cell r="A10" t="str">
            <v>Phillips Van Heusen</v>
          </cell>
          <cell r="B10" t="str">
            <v>PVH</v>
          </cell>
          <cell r="C10" t="e">
            <v>#N/A</v>
          </cell>
          <cell r="D10">
            <v>582.41770000000008</v>
          </cell>
          <cell r="E10" t="e">
            <v>#N/A</v>
          </cell>
          <cell r="G10" t="e">
            <v>#N/A</v>
          </cell>
          <cell r="H10">
            <v>4.4835986904067981E-2</v>
          </cell>
          <cell r="I10" t="e">
            <v>#N/A</v>
          </cell>
          <cell r="K10" t="e">
            <v>#N/A</v>
          </cell>
          <cell r="L10">
            <v>0.12305821062787069</v>
          </cell>
          <cell r="M10" t="e">
            <v>#N/A</v>
          </cell>
          <cell r="O10" t="e">
            <v>#N/A</v>
          </cell>
          <cell r="P10">
            <v>0.73555549999999992</v>
          </cell>
          <cell r="Q10" t="e">
            <v>#N/A</v>
          </cell>
          <cell r="S10" t="str">
            <v>Guess</v>
          </cell>
          <cell r="T10" t="str">
            <v>GES</v>
          </cell>
          <cell r="U10" t="str">
            <v>4:00pm</v>
          </cell>
          <cell r="V10">
            <v>0</v>
          </cell>
          <cell r="W10" t="str">
            <v>4:00pm</v>
          </cell>
          <cell r="X10">
            <v>0</v>
          </cell>
          <cell r="Y10" t="str">
            <v>Projected</v>
          </cell>
        </row>
        <row r="11">
          <cell r="A11" t="str">
            <v>Guess</v>
          </cell>
          <cell r="B11" t="str">
            <v>GES</v>
          </cell>
          <cell r="C11" t="e">
            <v>#N/A</v>
          </cell>
          <cell r="D11">
            <v>505.16060000000004</v>
          </cell>
          <cell r="E11" t="e">
            <v>#N/A</v>
          </cell>
          <cell r="G11" t="e">
            <v>#N/A</v>
          </cell>
          <cell r="H11">
            <v>0.14496703316628956</v>
          </cell>
          <cell r="I11" t="e">
            <v>#N/A</v>
          </cell>
          <cell r="K11" t="e">
            <v>#N/A</v>
          </cell>
          <cell r="L11">
            <v>0.13145639228395881</v>
          </cell>
          <cell r="M11" t="e">
            <v>#N/A</v>
          </cell>
          <cell r="O11" t="e">
            <v>#N/A</v>
          </cell>
          <cell r="P11">
            <v>0.48545459999999996</v>
          </cell>
          <cell r="Q11" t="e">
            <v>#N/A</v>
          </cell>
          <cell r="AA11" t="str">
            <v>SG&amp;A</v>
          </cell>
          <cell r="AB11">
            <v>91.201999999999998</v>
          </cell>
          <cell r="AC11">
            <v>242.72567459367625</v>
          </cell>
          <cell r="AD11">
            <v>617.58926113190068</v>
          </cell>
          <cell r="AE11">
            <v>179.21286391771531</v>
          </cell>
          <cell r="AF11">
            <v>349.54764148875796</v>
          </cell>
          <cell r="AG11">
            <v>225.35576</v>
          </cell>
          <cell r="AH11">
            <v>152.75932179216377</v>
          </cell>
        </row>
        <row r="12">
          <cell r="AA12" t="str">
            <v>SG&amp;A Growth</v>
          </cell>
          <cell r="AB12">
            <v>0.10340572258181591</v>
          </cell>
          <cell r="AC12">
            <v>-7.6710589627362324E-3</v>
          </cell>
          <cell r="AD12">
            <v>0.18607501657749315</v>
          </cell>
          <cell r="AE12">
            <v>0.18480010523413548</v>
          </cell>
          <cell r="AF12">
            <v>-0.11021486466988772</v>
          </cell>
          <cell r="AG12">
            <v>3.0000000000000027E-2</v>
          </cell>
          <cell r="AH12">
            <v>0.17989110746328296</v>
          </cell>
          <cell r="AI12">
            <v>8.0898004032014789E-2</v>
          </cell>
        </row>
        <row r="13">
          <cell r="A13" t="str">
            <v>4Q09</v>
          </cell>
          <cell r="AA13" t="str">
            <v>Expense Ratio</v>
          </cell>
          <cell r="AB13">
            <v>0.42461718463064951</v>
          </cell>
          <cell r="AC13">
            <v>0.28002048473158642</v>
          </cell>
          <cell r="AD13">
            <v>0.4865780219702483</v>
          </cell>
          <cell r="AE13">
            <v>0.30014849082542566</v>
          </cell>
          <cell r="AF13">
            <v>0.55575190341240999</v>
          </cell>
          <cell r="AG13">
            <v>0.37592327009630483</v>
          </cell>
          <cell r="AH13">
            <v>0.29794183220620568</v>
          </cell>
          <cell r="AI13">
            <v>0.3887115982675472</v>
          </cell>
        </row>
        <row r="14">
          <cell r="A14" t="str">
            <v>Under Armour</v>
          </cell>
          <cell r="B14" t="str">
            <v>UA</v>
          </cell>
          <cell r="C14" t="e">
            <v>#N/A</v>
          </cell>
          <cell r="D14">
            <v>187.67500000000001</v>
          </cell>
          <cell r="E14" t="e">
            <v>#N/A</v>
          </cell>
          <cell r="G14" t="e">
            <v>#N/A</v>
          </cell>
          <cell r="H14">
            <v>4.6832032753417963E-2</v>
          </cell>
          <cell r="I14" t="e">
            <v>#N/A</v>
          </cell>
          <cell r="K14" t="e">
            <v>#N/A</v>
          </cell>
          <cell r="L14">
            <v>2.0807481017716796E-2</v>
          </cell>
          <cell r="M14" t="e">
            <v>#N/A</v>
          </cell>
          <cell r="O14" t="e">
            <v>#N/A</v>
          </cell>
          <cell r="P14">
            <v>3.6795920000000003E-2</v>
          </cell>
          <cell r="Q14" t="e">
            <v>#N/A</v>
          </cell>
          <cell r="AA14" t="str">
            <v>Expense Ratio ∆</v>
          </cell>
          <cell r="AB14">
            <v>113.4218463064951</v>
          </cell>
          <cell r="AC14">
            <v>60.179853506112103</v>
          </cell>
          <cell r="AD14">
            <v>613.08502205465516</v>
          </cell>
          <cell r="AE14">
            <v>189.14527073854603</v>
          </cell>
          <cell r="AF14">
            <v>518.8806445593508</v>
          </cell>
          <cell r="AG14">
            <v>-165.81551180100129</v>
          </cell>
          <cell r="AH14">
            <v>44.950811788961317</v>
          </cell>
          <cell r="AI14">
            <v>196.2639910218742</v>
          </cell>
        </row>
        <row r="15">
          <cell r="A15" t="str">
            <v>Jones Apparel</v>
          </cell>
          <cell r="B15" t="str">
            <v>JNY</v>
          </cell>
          <cell r="C15" t="e">
            <v>#N/A</v>
          </cell>
          <cell r="D15">
            <v>798.6</v>
          </cell>
          <cell r="E15" t="e">
            <v>#N/A</v>
          </cell>
          <cell r="G15" t="e">
            <v>#N/A</v>
          </cell>
          <cell r="H15">
            <v>-5.8032554847841422E-2</v>
          </cell>
          <cell r="I15" t="e">
            <v>#N/A</v>
          </cell>
          <cell r="K15" t="e">
            <v>#N/A</v>
          </cell>
          <cell r="L15">
            <v>2.8737791134485349E-2</v>
          </cell>
          <cell r="M15" t="e">
            <v>#N/A</v>
          </cell>
          <cell r="O15" t="e">
            <v>#N/A</v>
          </cell>
          <cell r="P15">
            <v>8.1000000000000003E-2</v>
          </cell>
          <cell r="Q15" t="e">
            <v>#N/A</v>
          </cell>
        </row>
        <row r="16">
          <cell r="A16" t="str">
            <v>Ralph Lauren</v>
          </cell>
          <cell r="B16" t="str">
            <v>RL</v>
          </cell>
          <cell r="C16" t="e">
            <v>#N/A</v>
          </cell>
          <cell r="D16">
            <v>1108.462</v>
          </cell>
          <cell r="E16" t="e">
            <v>#N/A</v>
          </cell>
          <cell r="G16" t="e">
            <v>#N/A</v>
          </cell>
          <cell r="H16">
            <v>-0.10888174290537811</v>
          </cell>
          <cell r="I16" t="e">
            <v>#N/A</v>
          </cell>
          <cell r="K16" t="e">
            <v>#N/A</v>
          </cell>
          <cell r="L16">
            <v>0.112385900463886</v>
          </cell>
          <cell r="M16" t="e">
            <v>#N/A</v>
          </cell>
          <cell r="O16" t="e">
            <v>#N/A</v>
          </cell>
          <cell r="P16">
            <v>0.82237299999999991</v>
          </cell>
          <cell r="Q16" t="e">
            <v>#N/A</v>
          </cell>
          <cell r="AA16" t="str">
            <v>Operating Income</v>
          </cell>
          <cell r="AB16">
            <v>10.124562059481931</v>
          </cell>
          <cell r="AC16">
            <v>65.140913072708457</v>
          </cell>
          <cell r="AD16">
            <v>100.75005407824642</v>
          </cell>
          <cell r="AE16">
            <v>81.937834011523449</v>
          </cell>
          <cell r="AF16">
            <v>-31.374474976519593</v>
          </cell>
          <cell r="AG16">
            <v>71.431838487526733</v>
          </cell>
          <cell r="AH16">
            <v>68.423308778662005</v>
          </cell>
        </row>
        <row r="17">
          <cell r="A17" t="str">
            <v>Warnaco</v>
          </cell>
          <cell r="B17" t="str">
            <v>WRC</v>
          </cell>
          <cell r="C17" t="e">
            <v>#N/A</v>
          </cell>
          <cell r="D17">
            <v>0.10290132050622826</v>
          </cell>
          <cell r="E17" t="e">
            <v>#N/A</v>
          </cell>
          <cell r="G17" t="e">
            <v>#N/A</v>
          </cell>
          <cell r="H17">
            <v>-0.99976890544669572</v>
          </cell>
          <cell r="I17" t="e">
            <v>#N/A</v>
          </cell>
          <cell r="K17" t="e">
            <v>#N/A</v>
          </cell>
          <cell r="L17">
            <v>15</v>
          </cell>
          <cell r="M17" t="e">
            <v>#N/A</v>
          </cell>
          <cell r="O17" t="e">
            <v>#N/A</v>
          </cell>
          <cell r="P17">
            <v>6.2026000000000039</v>
          </cell>
          <cell r="Q17" t="e">
            <v>#N/A</v>
          </cell>
          <cell r="AA17" t="str">
            <v>Operating Margin</v>
          </cell>
          <cell r="AB17">
            <v>4.7137815369350543E-2</v>
          </cell>
          <cell r="AC17">
            <v>7.5149817113550565E-2</v>
          </cell>
          <cell r="AD17">
            <v>7.9377614074670144E-2</v>
          </cell>
          <cell r="AE17">
            <v>0.13723075834196249</v>
          </cell>
          <cell r="AF17">
            <v>-4.9882826021947498E-2</v>
          </cell>
          <cell r="AG17">
            <v>0.11915777219638023</v>
          </cell>
          <cell r="AH17">
            <v>0.13345284427788864</v>
          </cell>
          <cell r="AI17">
            <v>7.7374827907407878E-2</v>
          </cell>
        </row>
        <row r="18">
          <cell r="A18" t="str">
            <v>Liz Claiborne</v>
          </cell>
          <cell r="B18" t="str">
            <v>LIZ</v>
          </cell>
          <cell r="C18">
            <v>829.95670917128177</v>
          </cell>
          <cell r="D18">
            <v>586.43330000000003</v>
          </cell>
          <cell r="E18">
            <v>0.41526190475759428</v>
          </cell>
          <cell r="G18">
            <v>-9.9423699661363663E-2</v>
          </cell>
          <cell r="H18">
            <v>-0.35639741300499461</v>
          </cell>
          <cell r="I18">
            <v>2569.7371334363097</v>
          </cell>
          <cell r="K18">
            <v>-2.3757520567743219E-3</v>
          </cell>
          <cell r="L18">
            <v>-2.6772013117263294E-2</v>
          </cell>
          <cell r="M18">
            <v>243.9626106048897</v>
          </cell>
          <cell r="O18">
            <v>-9.6899689599035332E-2</v>
          </cell>
          <cell r="P18">
            <v>-0.28250000000000003</v>
          </cell>
          <cell r="Q18">
            <v>0.1856003104009647</v>
          </cell>
          <cell r="AA18" t="str">
            <v>Operating Margin ∆</v>
          </cell>
          <cell r="AB18">
            <v>76.578153693505413</v>
          </cell>
          <cell r="AC18">
            <v>200.08561584863631</v>
          </cell>
          <cell r="AD18">
            <v>-92.372176796585023</v>
          </cell>
          <cell r="AE18">
            <v>12.786978932077808</v>
          </cell>
          <cell r="AF18">
            <v>61.258443685408075</v>
          </cell>
          <cell r="AG18">
            <v>225.81551180100053</v>
          </cell>
          <cell r="AH18">
            <v>245.81830839569164</v>
          </cell>
          <cell r="AI18">
            <v>104.28154793710496</v>
          </cell>
        </row>
        <row r="19">
          <cell r="A19" t="str">
            <v>Phillips Van Heusen</v>
          </cell>
          <cell r="B19" t="str">
            <v>PVH</v>
          </cell>
          <cell r="C19" t="e">
            <v>#N/A</v>
          </cell>
          <cell r="D19">
            <v>576.50450000000001</v>
          </cell>
          <cell r="E19" t="e">
            <v>#N/A</v>
          </cell>
          <cell r="G19" t="e">
            <v>#N/A</v>
          </cell>
          <cell r="H19">
            <v>2.7115458278771154E-2</v>
          </cell>
          <cell r="I19" t="e">
            <v>#N/A</v>
          </cell>
          <cell r="K19" t="e">
            <v>#N/A</v>
          </cell>
          <cell r="L19">
            <v>0.12509456561050261</v>
          </cell>
          <cell r="M19" t="e">
            <v>#N/A</v>
          </cell>
          <cell r="O19" t="e">
            <v>#N/A</v>
          </cell>
          <cell r="P19">
            <v>0.68888879999999997</v>
          </cell>
          <cell r="Q19" t="e">
            <v>#N/A</v>
          </cell>
        </row>
        <row r="20">
          <cell r="A20" t="str">
            <v>Guess</v>
          </cell>
          <cell r="B20" t="str">
            <v>GES</v>
          </cell>
          <cell r="C20">
            <v>617.47692860256416</v>
          </cell>
          <cell r="D20">
            <v>590.62139999999999</v>
          </cell>
          <cell r="E20">
            <v>4.5469955207454671E-2</v>
          </cell>
          <cell r="G20">
            <v>0.10053456538856853</v>
          </cell>
          <cell r="H20">
            <v>5.2669720355748684E-2</v>
          </cell>
          <cell r="I20">
            <v>478.64845032819846</v>
          </cell>
          <cell r="K20">
            <v>0.1883119414517091</v>
          </cell>
          <cell r="L20">
            <v>0.18074387416371979</v>
          </cell>
          <cell r="M20">
            <v>75.680672879893109</v>
          </cell>
          <cell r="O20">
            <v>0.84066480668887278</v>
          </cell>
          <cell r="P20">
            <v>0.77545449999999994</v>
          </cell>
          <cell r="Q20">
            <v>6.5210306688872843E-2</v>
          </cell>
          <cell r="AA20" t="str">
            <v>EPS</v>
          </cell>
          <cell r="AB20">
            <v>0.10824466868765577</v>
          </cell>
          <cell r="AC20">
            <v>0.38370956721072103</v>
          </cell>
          <cell r="AD20">
            <v>0.63294858177896596</v>
          </cell>
          <cell r="AE20">
            <v>1.0792630922177753</v>
          </cell>
          <cell r="AF20">
            <v>-0.40562658531416712</v>
          </cell>
          <cell r="AG20">
            <v>0.55991220629973937</v>
          </cell>
          <cell r="AH20">
            <v>0.5042002207324322</v>
          </cell>
        </row>
        <row r="21">
          <cell r="AA21" t="str">
            <v>EPS Growth</v>
          </cell>
          <cell r="AB21">
            <v>0</v>
          </cell>
          <cell r="AC21">
            <v>0.36798361325009821</v>
          </cell>
          <cell r="AD21">
            <v>0.18607501657749315</v>
          </cell>
          <cell r="AE21">
            <v>0.11505908224347494</v>
          </cell>
          <cell r="AF21">
            <v>8.8453585105013444E-2</v>
          </cell>
          <cell r="AG21">
            <v>5.1789170036681265E-2</v>
          </cell>
          <cell r="AH21">
            <v>0.43586015999772165</v>
          </cell>
          <cell r="AI21">
            <v>0.17788866103006895</v>
          </cell>
        </row>
        <row r="22">
          <cell r="A22">
            <v>2009</v>
          </cell>
        </row>
        <row r="23">
          <cell r="A23" t="str">
            <v>Under Armour</v>
          </cell>
          <cell r="B23" t="str">
            <v>UA</v>
          </cell>
          <cell r="C23">
            <v>955.61670873865933</v>
          </cell>
          <cell r="D23">
            <v>953.822</v>
          </cell>
          <cell r="E23">
            <v>1.8815971309733559E-3</v>
          </cell>
          <cell r="G23">
            <v>0.11583890064310176</v>
          </cell>
          <cell r="H23">
            <v>0.31470985527222606</v>
          </cell>
          <cell r="I23">
            <v>-1988.709546291243</v>
          </cell>
          <cell r="K23">
            <v>9.9650993469039648E-2</v>
          </cell>
          <cell r="L23">
            <v>9.9845065431495614E-2</v>
          </cell>
          <cell r="M23">
            <v>-1.9407196245596614</v>
          </cell>
          <cell r="O23">
            <v>1.0485101164267066</v>
          </cell>
          <cell r="P23">
            <v>1.0471139999999999</v>
          </cell>
          <cell r="Q23">
            <v>1.3961164267066728E-3</v>
          </cell>
        </row>
        <row r="24">
          <cell r="A24" t="str">
            <v>Jones Apparel</v>
          </cell>
          <cell r="B24" t="str">
            <v>JNY</v>
          </cell>
          <cell r="C24">
            <v>3407.1067162675386</v>
          </cell>
          <cell r="D24">
            <v>3381.18</v>
          </cell>
          <cell r="E24">
            <v>7.6679491383300213E-3</v>
          </cell>
          <cell r="G24">
            <v>2.3032283289556199E-2</v>
          </cell>
          <cell r="H24">
            <v>1.5247417727600077E-2</v>
          </cell>
          <cell r="I24">
            <v>77.848655619561228</v>
          </cell>
          <cell r="K24">
            <v>7.1075925880296348E-2</v>
          </cell>
          <cell r="L24">
            <v>6.9552345630815277E-2</v>
          </cell>
          <cell r="M24">
            <v>15.235802494810713</v>
          </cell>
          <cell r="O24">
            <v>1.3645274997482593</v>
          </cell>
          <cell r="P24">
            <v>1.3541859999999999</v>
          </cell>
          <cell r="Q24">
            <v>1.0341499748259375E-2</v>
          </cell>
        </row>
        <row r="25">
          <cell r="A25" t="str">
            <v>Ralph Lauren</v>
          </cell>
          <cell r="B25" t="str">
            <v>RL</v>
          </cell>
          <cell r="C25">
            <v>4911.05021938139</v>
          </cell>
          <cell r="D25">
            <v>4875.2759999999998</v>
          </cell>
          <cell r="E25">
            <v>7.3378859743304936E-3</v>
          </cell>
          <cell r="G25">
            <v>-2.1488728729125883E-2</v>
          </cell>
          <cell r="H25">
            <v>-2.8616629141843819E-2</v>
          </cell>
          <cell r="I25">
            <v>71.279004127179363</v>
          </cell>
          <cell r="K25">
            <v>0.13230368761329642</v>
          </cell>
          <cell r="L25">
            <v>0.13159769826364703</v>
          </cell>
          <cell r="M25">
            <v>7.0598934964938298</v>
          </cell>
          <cell r="O25">
            <v>4.3340293193425694</v>
          </cell>
          <cell r="P25">
            <v>4.2647000000000004</v>
          </cell>
          <cell r="Q25">
            <v>6.9329319342569029E-2</v>
          </cell>
        </row>
        <row r="26">
          <cell r="A26" t="str">
            <v>Warnaco</v>
          </cell>
          <cell r="B26" t="str">
            <v>WRC</v>
          </cell>
          <cell r="C26">
            <v>2019.626</v>
          </cell>
          <cell r="D26">
            <v>2178.1950000000002</v>
          </cell>
          <cell r="E26">
            <v>-7.2798349091793946E-2</v>
          </cell>
          <cell r="G26">
            <v>-2.0953060548784763E-2</v>
          </cell>
          <cell r="H26">
            <v>5.591587169007517E-2</v>
          </cell>
          <cell r="I26">
            <v>-768.68932238859929</v>
          </cell>
          <cell r="K26">
            <v>0.11270849157220193</v>
          </cell>
          <cell r="L26">
            <v>0.11457160630705698</v>
          </cell>
          <cell r="M26">
            <v>-18.63114734855051</v>
          </cell>
          <cell r="O26">
            <v>2.8241511390163154</v>
          </cell>
          <cell r="P26">
            <v>3.2527269999999997</v>
          </cell>
          <cell r="Q26">
            <v>-0.42857586098368428</v>
          </cell>
        </row>
        <row r="27">
          <cell r="A27" t="str">
            <v>Liz Claiborne</v>
          </cell>
          <cell r="B27" t="str">
            <v>LIZ</v>
          </cell>
          <cell r="C27">
            <v>3011.8590000000004</v>
          </cell>
          <cell r="D27">
            <v>2703.2330000000002</v>
          </cell>
          <cell r="E27">
            <v>0.11416921885756803</v>
          </cell>
          <cell r="G27">
            <v>-0.24419076193253286</v>
          </cell>
          <cell r="H27">
            <v>-0.32163873738816018</v>
          </cell>
          <cell r="I27">
            <v>774.47975455627318</v>
          </cell>
          <cell r="K27">
            <v>-4.5223896603393245E-2</v>
          </cell>
          <cell r="L27">
            <v>4.7474017223080658E-3</v>
          </cell>
          <cell r="M27">
            <v>-499.71298325701309</v>
          </cell>
          <cell r="O27">
            <v>-1.4655063139449973</v>
          </cell>
          <cell r="P27">
            <v>-0.43044179999999999</v>
          </cell>
          <cell r="Q27">
            <v>-1.0350645139449974</v>
          </cell>
        </row>
        <row r="28">
          <cell r="A28" t="str">
            <v>Phillips Van Heusen</v>
          </cell>
          <cell r="B28" t="str">
            <v>PVH</v>
          </cell>
          <cell r="C28">
            <v>3749.1064498860405</v>
          </cell>
          <cell r="D28">
            <v>3066.89</v>
          </cell>
          <cell r="E28">
            <v>0.22244568598353398</v>
          </cell>
          <cell r="G28">
            <v>0.56295409943259211</v>
          </cell>
          <cell r="H28">
            <v>0.27854686498819592</v>
          </cell>
          <cell r="I28">
            <v>2844.0723444439618</v>
          </cell>
          <cell r="K28">
            <v>0.12811321863881991</v>
          </cell>
          <cell r="L28">
            <v>0.12899083436314965</v>
          </cell>
          <cell r="M28">
            <v>-8.7761572432973338</v>
          </cell>
          <cell r="O28">
            <v>3.6497830573148669</v>
          </cell>
          <cell r="P28">
            <v>3.4630000000000001</v>
          </cell>
          <cell r="Q28">
            <v>0.18678305731486677</v>
          </cell>
        </row>
        <row r="29">
          <cell r="A29" t="str">
            <v>Guess</v>
          </cell>
          <cell r="B29" t="str">
            <v>GES</v>
          </cell>
          <cell r="C29">
            <v>2339.5358472059361</v>
          </cell>
          <cell r="D29">
            <v>2363.75</v>
          </cell>
          <cell r="E29">
            <v>-1.0243956761105788E-2</v>
          </cell>
          <cell r="G29">
            <v>9.9165242576548573E-2</v>
          </cell>
          <cell r="H29">
            <v>0.11054158252938984</v>
          </cell>
          <cell r="I29">
            <v>-113.76339952841263</v>
          </cell>
          <cell r="K29">
            <v>0.1733295159390906</v>
          </cell>
          <cell r="L29">
            <v>0.17557652035959809</v>
          </cell>
          <cell r="M29">
            <v>-22.470044205074867</v>
          </cell>
          <cell r="O29">
            <v>2.9820721986947794</v>
          </cell>
          <cell r="P29">
            <v>3.0154540000000001</v>
          </cell>
          <cell r="Q29">
            <v>-3.3381801305220726E-2</v>
          </cell>
        </row>
        <row r="30">
          <cell r="A30" t="str">
            <v>Q2E2009E</v>
          </cell>
        </row>
        <row r="31">
          <cell r="A31" t="str">
            <v>Q3E2009E</v>
          </cell>
        </row>
        <row r="32">
          <cell r="A32" t="str">
            <v>Q4E2009E</v>
          </cell>
        </row>
      </sheetData>
      <sheetData sheetId="14"/>
      <sheetData sheetId="15">
        <row r="2">
          <cell r="A2" t="str">
            <v>Comps - 1H vs 2H</v>
          </cell>
        </row>
        <row r="4">
          <cell r="A4" t="str">
            <v>All</v>
          </cell>
        </row>
        <row r="5">
          <cell r="B5">
            <v>2005</v>
          </cell>
          <cell r="C5">
            <v>2006</v>
          </cell>
          <cell r="D5">
            <v>2007</v>
          </cell>
          <cell r="E5">
            <v>2008</v>
          </cell>
          <cell r="F5">
            <v>2009</v>
          </cell>
        </row>
        <row r="6">
          <cell r="A6" t="str">
            <v>1H Average</v>
          </cell>
          <cell r="B6">
            <v>7.343394807078546E-2</v>
          </cell>
          <cell r="C6">
            <v>3.6103699295473378E-2</v>
          </cell>
          <cell r="D6">
            <v>3.5750000000000004E-2</v>
          </cell>
          <cell r="E6">
            <v>-6.4642857142857158E-3</v>
          </cell>
          <cell r="F6">
            <v>-7.9104931190213501E-2</v>
          </cell>
          <cell r="I6" t="str">
            <v>adjust for COH, TJX</v>
          </cell>
        </row>
        <row r="7">
          <cell r="A7" t="str">
            <v>2H Average</v>
          </cell>
          <cell r="B7">
            <v>6.6390123171896021E-2</v>
          </cell>
          <cell r="C7">
            <v>5.727112891066783E-2</v>
          </cell>
          <cell r="D7">
            <v>1.8832722098564406E-2</v>
          </cell>
          <cell r="E7">
            <v>-7.3265786902211694E-2</v>
          </cell>
          <cell r="F7">
            <v>-3.1323701477169409E-3</v>
          </cell>
        </row>
        <row r="10">
          <cell r="A10" t="str">
            <v>Inventory performance - Gross Margin perf</v>
          </cell>
        </row>
        <row r="11">
          <cell r="B11">
            <v>2005</v>
          </cell>
          <cell r="C11">
            <v>2006</v>
          </cell>
          <cell r="D11">
            <v>2007</v>
          </cell>
          <cell r="E11">
            <v>2008</v>
          </cell>
          <cell r="F11">
            <v>2009</v>
          </cell>
        </row>
        <row r="12">
          <cell r="A12" t="str">
            <v>Avg. y/y inventory change</v>
          </cell>
          <cell r="B12">
            <v>5.7284524754549301E-2</v>
          </cell>
          <cell r="C12">
            <v>0.16859864286702</v>
          </cell>
          <cell r="D12">
            <v>-3.0164244389156207E-2</v>
          </cell>
          <cell r="E12">
            <v>-8.3614642141829371E-2</v>
          </cell>
          <cell r="F12">
            <v>-8.9823836642227775E-2</v>
          </cell>
          <cell r="G12" t="str">
            <v>inv</v>
          </cell>
        </row>
        <row r="13">
          <cell r="A13" t="str">
            <v>Avg. GM change, bps</v>
          </cell>
          <cell r="B13">
            <v>-46.259275288913322</v>
          </cell>
          <cell r="C13">
            <v>43.577692302823763</v>
          </cell>
          <cell r="D13">
            <v>2.0201815697073249</v>
          </cell>
          <cell r="E13">
            <v>-136.05015774008214</v>
          </cell>
          <cell r="F13">
            <v>115.57467902423799</v>
          </cell>
          <cell r="G13" t="str">
            <v>gm chg</v>
          </cell>
        </row>
        <row r="14">
          <cell r="B14">
            <v>2005</v>
          </cell>
          <cell r="C14">
            <v>2006</v>
          </cell>
          <cell r="D14">
            <v>2007</v>
          </cell>
          <cell r="E14">
            <v>2008</v>
          </cell>
          <cell r="F14">
            <v>2009</v>
          </cell>
        </row>
        <row r="15">
          <cell r="A15" t="str">
            <v>Avg. y/y inventory change - dept store</v>
          </cell>
          <cell r="B15">
            <v>6.4354638711914907E-4</v>
          </cell>
          <cell r="C15">
            <v>0.22375429462687266</v>
          </cell>
          <cell r="D15">
            <v>-7.9138376331201309E-3</v>
          </cell>
          <cell r="E15">
            <v>-0.11582389939374201</v>
          </cell>
          <cell r="F15">
            <v>-7.9383150790566556E-2</v>
          </cell>
          <cell r="G15" t="str">
            <v>inv</v>
          </cell>
        </row>
        <row r="16">
          <cell r="A16" t="str">
            <v>Avg. GM change, bps</v>
          </cell>
          <cell r="B16">
            <v>-20.136216979536993</v>
          </cell>
          <cell r="C16">
            <v>74.57171959282671</v>
          </cell>
          <cell r="D16">
            <v>3.9521848350601987</v>
          </cell>
          <cell r="E16">
            <v>-154.32368383100911</v>
          </cell>
          <cell r="F16">
            <v>191.11845927863604</v>
          </cell>
          <cell r="G16" t="str">
            <v>gm chg</v>
          </cell>
        </row>
        <row r="17">
          <cell r="B17">
            <v>2005</v>
          </cell>
          <cell r="C17">
            <v>2006</v>
          </cell>
          <cell r="D17">
            <v>2007</v>
          </cell>
          <cell r="E17">
            <v>2008</v>
          </cell>
          <cell r="F17">
            <v>2009</v>
          </cell>
        </row>
        <row r="18">
          <cell r="A18" t="str">
            <v>Avg. y/y inventory change - spec</v>
          </cell>
          <cell r="B18">
            <v>0.11392550312197945</v>
          </cell>
          <cell r="C18">
            <v>0.11344299110716731</v>
          </cell>
          <cell r="D18">
            <v>-5.2414651145192281E-2</v>
          </cell>
          <cell r="E18">
            <v>-5.140538488991675E-2</v>
          </cell>
          <cell r="F18">
            <v>-0.10026452249388899</v>
          </cell>
          <cell r="G18" t="str">
            <v>inv</v>
          </cell>
        </row>
        <row r="19">
          <cell r="A19" t="str">
            <v>Avg. GM change, bps</v>
          </cell>
          <cell r="B19">
            <v>-72.382333598289662</v>
          </cell>
          <cell r="C19">
            <v>12.583665012820811</v>
          </cell>
          <cell r="D19">
            <v>8.8178304354443071E-2</v>
          </cell>
          <cell r="E19">
            <v>-117.77663164915512</v>
          </cell>
          <cell r="F19">
            <v>40.030898769839915</v>
          </cell>
          <cell r="G19" t="str">
            <v>gm chg</v>
          </cell>
        </row>
        <row r="24">
          <cell r="A24" t="str">
            <v>Gross margins over past five years: peak (shaded), trough (outlined)</v>
          </cell>
        </row>
        <row r="25">
          <cell r="B25" t="str">
            <v>High</v>
          </cell>
          <cell r="C25" t="str">
            <v>Low</v>
          </cell>
        </row>
        <row r="27">
          <cell r="B27">
            <v>2005</v>
          </cell>
          <cell r="C27">
            <v>2006</v>
          </cell>
          <cell r="D27">
            <v>2007</v>
          </cell>
          <cell r="E27">
            <v>2008</v>
          </cell>
          <cell r="F27">
            <v>2009</v>
          </cell>
          <cell r="G27">
            <v>2010</v>
          </cell>
          <cell r="I27" t="str">
            <v>max</v>
          </cell>
          <cell r="J27" t="str">
            <v>min</v>
          </cell>
          <cell r="K27" t="str">
            <v>2010 vs peak</v>
          </cell>
        </row>
        <row r="28">
          <cell r="A28" t="str">
            <v>JCP</v>
          </cell>
          <cell r="B28">
            <v>0.3828337149246579</v>
          </cell>
          <cell r="C28">
            <v>0.39235117686260546</v>
          </cell>
          <cell r="D28">
            <v>0.38593358921258969</v>
          </cell>
          <cell r="E28">
            <v>0.37411138446832803</v>
          </cell>
          <cell r="F28">
            <v>0.39356446279921997</v>
          </cell>
          <cell r="G28">
            <v>0.39605323146481297</v>
          </cell>
          <cell r="I28">
            <v>0.39605323146481297</v>
          </cell>
          <cell r="J28">
            <v>0.37411138446832803</v>
          </cell>
          <cell r="K28">
            <v>0</v>
          </cell>
        </row>
        <row r="29">
          <cell r="A29" t="str">
            <v>JWN</v>
          </cell>
          <cell r="B29">
            <v>0.36705055232607831</v>
          </cell>
          <cell r="C29">
            <v>0.37458966546886718</v>
          </cell>
          <cell r="D29">
            <v>0.37400380207376371</v>
          </cell>
          <cell r="E29">
            <v>0.34513532746351461</v>
          </cell>
          <cell r="F29">
            <v>0.35480745943327685</v>
          </cell>
          <cell r="G29">
            <v>0.36371218664159566</v>
          </cell>
          <cell r="I29">
            <v>0.37458966546886718</v>
          </cell>
          <cell r="J29">
            <v>0.34513532746351461</v>
          </cell>
          <cell r="K29">
            <v>-108.77478827271526</v>
          </cell>
        </row>
        <row r="30">
          <cell r="A30" t="str">
            <v>KSS</v>
          </cell>
          <cell r="B30">
            <v>0.35521033860112516</v>
          </cell>
          <cell r="C30">
            <v>0.3636492487376406</v>
          </cell>
          <cell r="D30">
            <v>0.36507281302925265</v>
          </cell>
          <cell r="E30">
            <v>0.36947488849160115</v>
          </cell>
          <cell r="F30">
            <v>0.37823834196891193</v>
          </cell>
          <cell r="G30">
            <v>0.38389063407855639</v>
          </cell>
          <cell r="I30">
            <v>0.38389063407855639</v>
          </cell>
          <cell r="J30">
            <v>0.35521033860112516</v>
          </cell>
          <cell r="K30">
            <v>0</v>
          </cell>
        </row>
        <row r="31">
          <cell r="A31" t="str">
            <v>M</v>
          </cell>
          <cell r="B31">
            <v>0.40723537293434564</v>
          </cell>
          <cell r="C31">
            <v>0.40604375231738965</v>
          </cell>
          <cell r="D31">
            <v>0.40421084634971305</v>
          </cell>
          <cell r="E31">
            <v>0.39703519202956772</v>
          </cell>
          <cell r="F31">
            <v>0.4051258035676274</v>
          </cell>
          <cell r="G31">
            <v>0.40740177504153008</v>
          </cell>
          <cell r="I31">
            <v>0.40740177504153008</v>
          </cell>
          <cell r="J31">
            <v>0.39703519202956772</v>
          </cell>
          <cell r="K31">
            <v>0</v>
          </cell>
        </row>
        <row r="32">
          <cell r="A32" t="str">
            <v>SKS</v>
          </cell>
          <cell r="B32">
            <v>0.36838636693297744</v>
          </cell>
          <cell r="C32">
            <v>0.38629518405253327</v>
          </cell>
          <cell r="D32">
            <v>0.39013022290713839</v>
          </cell>
          <cell r="E32">
            <v>0.32085279404442968</v>
          </cell>
          <cell r="F32">
            <v>0.36470630800811976</v>
          </cell>
          <cell r="G32">
            <v>0.38074593530189327</v>
          </cell>
          <cell r="I32">
            <v>0.39013022290713839</v>
          </cell>
          <cell r="J32">
            <v>0.32085279404442968</v>
          </cell>
          <cell r="K32">
            <v>-93.842876052451231</v>
          </cell>
        </row>
        <row r="33">
          <cell r="A33" t="str">
            <v>Dept. store avg</v>
          </cell>
          <cell r="B33">
            <v>0.37614326914383689</v>
          </cell>
          <cell r="C33">
            <v>0.38458580548780724</v>
          </cell>
          <cell r="D33">
            <v>0.38387025471449154</v>
          </cell>
          <cell r="E33">
            <v>0.36132191729948826</v>
          </cell>
          <cell r="F33">
            <v>0.37928847515543118</v>
          </cell>
          <cell r="G33">
            <v>0.3863607525056777</v>
          </cell>
          <cell r="I33">
            <v>0.26466022730826666</v>
          </cell>
          <cell r="J33">
            <v>0.22078245953473774</v>
          </cell>
          <cell r="K33">
            <v>0</v>
          </cell>
        </row>
        <row r="34">
          <cell r="I34">
            <v>0.26683303831625027</v>
          </cell>
          <cell r="J34">
            <v>0.23491384996800246</v>
          </cell>
          <cell r="K34">
            <v>0</v>
          </cell>
        </row>
        <row r="35">
          <cell r="A35" t="str">
            <v>ROST</v>
          </cell>
          <cell r="B35">
            <v>0.22078245953473774</v>
          </cell>
          <cell r="C35">
            <v>0.22488972588107092</v>
          </cell>
          <cell r="D35">
            <v>0.22710357389829849</v>
          </cell>
          <cell r="E35">
            <v>0.2358202622546326</v>
          </cell>
          <cell r="F35">
            <v>0.25847437986596433</v>
          </cell>
          <cell r="G35">
            <v>0.26466022730826666</v>
          </cell>
          <cell r="I35">
            <v>0.67253982532430046</v>
          </cell>
          <cell r="J35">
            <v>0.64275377929795496</v>
          </cell>
          <cell r="K35">
            <v>-297.86046026345491</v>
          </cell>
        </row>
        <row r="36">
          <cell r="A36" t="str">
            <v>TJX</v>
          </cell>
          <cell r="B36">
            <v>0.23491384996800246</v>
          </cell>
          <cell r="C36">
            <v>0.24079410561679626</v>
          </cell>
          <cell r="D36">
            <v>0.24492454085068949</v>
          </cell>
          <cell r="E36">
            <v>0.24092296088766529</v>
          </cell>
          <cell r="F36">
            <v>0.26221897549166406</v>
          </cell>
          <cell r="G36">
            <v>0.26683303831625027</v>
          </cell>
          <cell r="I36">
            <v>0.38266153944036096</v>
          </cell>
          <cell r="J36">
            <v>0.30097222810369439</v>
          </cell>
          <cell r="K36">
            <v>0</v>
          </cell>
        </row>
        <row r="37">
          <cell r="A37" t="str">
            <v>Off-price avg</v>
          </cell>
          <cell r="B37">
            <v>0.2278481547513701</v>
          </cell>
          <cell r="C37">
            <v>0.23284191574893359</v>
          </cell>
          <cell r="D37">
            <v>0.23601405737449399</v>
          </cell>
          <cell r="E37">
            <v>0.23837161157114894</v>
          </cell>
          <cell r="F37">
            <v>0.2603466776788142</v>
          </cell>
          <cell r="G37">
            <v>0.26574663281225847</v>
          </cell>
          <cell r="I37">
            <v>0.47968246595255026</v>
          </cell>
          <cell r="J37">
            <v>0.38724779790259878</v>
          </cell>
          <cell r="K37">
            <v>-557.89561500711568</v>
          </cell>
        </row>
        <row r="38">
          <cell r="I38">
            <v>0.38266153944036096</v>
          </cell>
          <cell r="J38">
            <v>0.30097222810369439</v>
          </cell>
          <cell r="K38">
            <v>0</v>
          </cell>
        </row>
        <row r="39">
          <cell r="A39" t="str">
            <v>ANF</v>
          </cell>
          <cell r="B39">
            <v>0.66982483696775197</v>
          </cell>
          <cell r="C39">
            <v>0.67008193227159563</v>
          </cell>
          <cell r="D39">
            <v>0.67253982532430046</v>
          </cell>
          <cell r="E39">
            <v>0.66907487449258141</v>
          </cell>
          <cell r="F39">
            <v>0.6431673566946946</v>
          </cell>
          <cell r="G39">
            <v>0.64275377929795496</v>
          </cell>
          <cell r="I39">
            <v>0.77715250839458938</v>
          </cell>
          <cell r="J39">
            <v>0.7189701306436096</v>
          </cell>
          <cell r="K39">
            <v>-534.41365481116327</v>
          </cell>
        </row>
        <row r="40">
          <cell r="A40" t="str">
            <v>ARO</v>
          </cell>
          <cell r="B40">
            <v>0.30097222810369439</v>
          </cell>
          <cell r="C40">
            <v>0.31702127358463861</v>
          </cell>
          <cell r="D40">
            <v>0.34456092567946972</v>
          </cell>
          <cell r="E40">
            <v>0.34694841930469456</v>
          </cell>
          <cell r="F40">
            <v>0.38094484340423429</v>
          </cell>
          <cell r="G40">
            <v>0.38266153944036096</v>
          </cell>
          <cell r="I40">
            <v>0.40988133878454813</v>
          </cell>
          <cell r="J40">
            <v>0.35527224769201782</v>
          </cell>
          <cell r="K40">
            <v>0</v>
          </cell>
        </row>
        <row r="41">
          <cell r="A41" t="str">
            <v>AEO</v>
          </cell>
          <cell r="B41">
            <v>0.46338441369841543</v>
          </cell>
          <cell r="C41">
            <v>0.47968246595255026</v>
          </cell>
          <cell r="D41">
            <v>0.46577507045678512</v>
          </cell>
          <cell r="E41">
            <v>0.39281461528089534</v>
          </cell>
          <cell r="F41">
            <v>0.38724779790259878</v>
          </cell>
          <cell r="G41">
            <v>0.42389290445183869</v>
          </cell>
          <cell r="I41">
            <v>0.37612621984111183</v>
          </cell>
          <cell r="J41">
            <v>0.33246659377546584</v>
          </cell>
          <cell r="K41">
            <v>-160.31477906032765</v>
          </cell>
        </row>
        <row r="42">
          <cell r="A42" t="str">
            <v>COH</v>
          </cell>
          <cell r="B42">
            <v>0.76742019151131191</v>
          </cell>
          <cell r="C42">
            <v>0.77715250839458938</v>
          </cell>
          <cell r="D42">
            <v>0.77436175001607688</v>
          </cell>
          <cell r="E42">
            <v>0.75677047948019927</v>
          </cell>
          <cell r="F42">
            <v>0.7189701306436096</v>
          </cell>
          <cell r="G42">
            <v>0.72371114291347305</v>
          </cell>
          <cell r="I42">
            <v>0.41328451675268396</v>
          </cell>
          <cell r="J42">
            <v>0.36900034865197429</v>
          </cell>
          <cell r="K42">
            <v>0</v>
          </cell>
        </row>
        <row r="43">
          <cell r="A43" t="str">
            <v>GPS</v>
          </cell>
          <cell r="B43">
            <v>0.36634837421207012</v>
          </cell>
          <cell r="C43">
            <v>0.35527224769201782</v>
          </cell>
          <cell r="D43">
            <v>0.36122565501490833</v>
          </cell>
          <cell r="E43">
            <v>0.37498278948093078</v>
          </cell>
          <cell r="F43">
            <v>0.40318377121927162</v>
          </cell>
          <cell r="G43">
            <v>0.40988133878454813</v>
          </cell>
        </row>
        <row r="44">
          <cell r="A44" t="str">
            <v>LTD</v>
          </cell>
          <cell r="B44">
            <v>0.35680728062464451</v>
          </cell>
          <cell r="C44">
            <v>0.37612621984111183</v>
          </cell>
          <cell r="D44">
            <v>0.34339067881529917</v>
          </cell>
          <cell r="E44">
            <v>0.33246659377546584</v>
          </cell>
          <cell r="F44">
            <v>0.35077650699768259</v>
          </cell>
          <cell r="G44">
            <v>0.36009474193507907</v>
          </cell>
        </row>
        <row r="45">
          <cell r="A45" t="str">
            <v>URBN</v>
          </cell>
          <cell r="B45">
            <v>0.41077110576161491</v>
          </cell>
          <cell r="C45">
            <v>0.36900034865197429</v>
          </cell>
          <cell r="D45">
            <v>0.38254481589468625</v>
          </cell>
          <cell r="E45">
            <v>0.38889730723235016</v>
          </cell>
          <cell r="F45">
            <v>0.40568630132391381</v>
          </cell>
          <cell r="G45">
            <v>0.41328451675268396</v>
          </cell>
        </row>
        <row r="46">
          <cell r="A46" t="str">
            <v>Specialty avg</v>
          </cell>
          <cell r="B46">
            <v>0.47650406155421482</v>
          </cell>
          <cell r="C46">
            <v>0.47776242805549679</v>
          </cell>
          <cell r="D46">
            <v>0.47777124588593228</v>
          </cell>
          <cell r="E46">
            <v>0.46599358272101682</v>
          </cell>
          <cell r="F46">
            <v>0.46999667259800076</v>
          </cell>
          <cell r="G46">
            <v>0.47946856622513412</v>
          </cell>
        </row>
        <row r="57">
          <cell r="A57" t="str">
            <v>SG&amp;A Growth vs Sales Growth - Comps Growth</v>
          </cell>
        </row>
        <row r="58">
          <cell r="A58" t="str">
            <v>SG&amp;A growth</v>
          </cell>
          <cell r="B58">
            <v>2005</v>
          </cell>
          <cell r="C58">
            <v>2006</v>
          </cell>
          <cell r="D58">
            <v>2007</v>
          </cell>
          <cell r="E58">
            <v>2008</v>
          </cell>
          <cell r="F58">
            <v>2009</v>
          </cell>
          <cell r="G58">
            <v>2010</v>
          </cell>
        </row>
        <row r="59">
          <cell r="A59" t="str">
            <v>JCP</v>
          </cell>
          <cell r="B59">
            <v>1.9800181653042648E-2</v>
          </cell>
          <cell r="C59">
            <v>5.753473459209113E-2</v>
          </cell>
          <cell r="D59">
            <v>-1.8191005558362838E-2</v>
          </cell>
          <cell r="E59">
            <v>-4.1173443129182141E-3</v>
          </cell>
          <cell r="F59">
            <v>7.5279931093884533E-2</v>
          </cell>
          <cell r="G59">
            <v>7.7272891567914392E-4</v>
          </cell>
        </row>
        <row r="60">
          <cell r="A60" t="str">
            <v>JWN</v>
          </cell>
          <cell r="B60">
            <v>3.9813724456535526E-2</v>
          </cell>
          <cell r="C60">
            <v>9.3397522500006991E-2</v>
          </cell>
          <cell r="D60">
            <v>2.7392578486396646E-2</v>
          </cell>
          <cell r="E60">
            <v>1.1944333793828088E-2</v>
          </cell>
          <cell r="F60">
            <v>3.2259253272450383E-2</v>
          </cell>
          <cell r="G60">
            <v>5.0834702266653098E-2</v>
          </cell>
        </row>
        <row r="61">
          <cell r="A61" t="str">
            <v>KSS</v>
          </cell>
          <cell r="B61">
            <v>0.14732221151534408</v>
          </cell>
          <cell r="C61">
            <v>0.15252033069006243</v>
          </cell>
          <cell r="D61">
            <v>8.2391009909547508E-2</v>
          </cell>
          <cell r="E61">
            <v>6.4681760393843435E-2</v>
          </cell>
          <cell r="F61">
            <v>5.2839643680853365E-2</v>
          </cell>
          <cell r="G61">
            <v>6.0426926393679858E-2</v>
          </cell>
        </row>
        <row r="62">
          <cell r="A62" t="str">
            <v>M</v>
          </cell>
          <cell r="B62">
            <v>0.41553437436625429</v>
          </cell>
          <cell r="C62">
            <v>0.24326647564469916</v>
          </cell>
          <cell r="D62">
            <v>-1.4289006683567695E-2</v>
          </cell>
          <cell r="E62">
            <v>-1.1222819733458067E-2</v>
          </cell>
          <cell r="F62">
            <v>-4.6819579096713193E-2</v>
          </cell>
          <cell r="G62">
            <v>2.3079369153637952E-2</v>
          </cell>
        </row>
        <row r="63">
          <cell r="A63" t="str">
            <v>SKS</v>
          </cell>
          <cell r="B63">
            <v>6.2793070223896574E-3</v>
          </cell>
          <cell r="C63">
            <v>-6.4508354494813736E-2</v>
          </cell>
          <cell r="D63">
            <v>7.7426248732044733E-2</v>
          </cell>
          <cell r="E63">
            <v>-5.5058117202405166E-2</v>
          </cell>
          <cell r="F63">
            <v>-0.13106406133853599</v>
          </cell>
          <cell r="G63">
            <v>4.8787028931422949E-2</v>
          </cell>
        </row>
        <row r="64">
          <cell r="A64" t="str">
            <v>ROST</v>
          </cell>
          <cell r="B64">
            <v>0.16494036504740994</v>
          </cell>
          <cell r="C64">
            <v>0.12646317141425123</v>
          </cell>
          <cell r="D64">
            <v>8.4432460867660764E-2</v>
          </cell>
          <cell r="E64">
            <v>0.10981272658003349</v>
          </cell>
          <cell r="F64">
            <v>8.8707414272316543E-2</v>
          </cell>
          <cell r="G64">
            <v>7.1078079459742538E-2</v>
          </cell>
        </row>
        <row r="65">
          <cell r="A65" t="str">
            <v>TJX</v>
          </cell>
          <cell r="B65">
            <v>6.6846265118965631E-2</v>
          </cell>
          <cell r="C65">
            <v>8.4496792669717324E-2</v>
          </cell>
          <cell r="D65">
            <v>4.0062234300518362E-2</v>
          </cell>
          <cell r="E65">
            <v>3.6026224389584804E-2</v>
          </cell>
          <cell r="F65">
            <v>5.9267136455885217E-2</v>
          </cell>
          <cell r="G65">
            <v>6.6782449189689119E-2</v>
          </cell>
        </row>
        <row r="66">
          <cell r="A66" t="str">
            <v>ANF</v>
          </cell>
          <cell r="B66">
            <v>0.32517499320921894</v>
          </cell>
          <cell r="C66">
            <v>0.19254496302912805</v>
          </cell>
          <cell r="D66">
            <v>0.13770236688854931</v>
          </cell>
          <cell r="E66">
            <v>6.9262730911323844E-2</v>
          </cell>
          <cell r="F66">
            <v>-5.1157205166412423E-2</v>
          </cell>
          <cell r="G66">
            <v>2.6799926349323933E-2</v>
          </cell>
        </row>
        <row r="67">
          <cell r="A67" t="str">
            <v>ARO</v>
          </cell>
          <cell r="B67">
            <v>0.23408904373916317</v>
          </cell>
          <cell r="C67">
            <v>0.27612268987509014</v>
          </cell>
          <cell r="D67">
            <v>0.19351754700831103</v>
          </cell>
          <cell r="E67">
            <v>0.17373375168086058</v>
          </cell>
          <cell r="F67">
            <v>0.14210745461130436</v>
          </cell>
          <cell r="G67">
            <v>8.7894294822347341E-2</v>
          </cell>
        </row>
        <row r="68">
          <cell r="A68" t="str">
            <v>AEO</v>
          </cell>
          <cell r="B68">
            <v>0.21365220252042727</v>
          </cell>
          <cell r="C68">
            <v>0.22738915166099627</v>
          </cell>
          <cell r="D68">
            <v>7.4477882594383704E-2</v>
          </cell>
          <cell r="E68">
            <v>2.6372381778014153E-2</v>
          </cell>
          <cell r="F68">
            <v>3.0263977080299265E-2</v>
          </cell>
          <cell r="G68">
            <v>-3.6504660730932281E-2</v>
          </cell>
        </row>
        <row r="69">
          <cell r="A69" t="str">
            <v>COH</v>
          </cell>
          <cell r="B69">
            <v>0.26445354341591498</v>
          </cell>
          <cell r="C69">
            <v>0.18441894189124874</v>
          </cell>
          <cell r="D69">
            <v>0.18771473109049008</v>
          </cell>
          <cell r="E69">
            <v>0.19258655638317834</v>
          </cell>
          <cell r="F69">
            <v>7.6928088712685527E-2</v>
          </cell>
          <cell r="G69">
            <v>7.5120685716945523E-2</v>
          </cell>
        </row>
        <row r="70">
          <cell r="A70" t="str">
            <v>GPS</v>
          </cell>
          <cell r="B70">
            <v>-2.583798882681565E-2</v>
          </cell>
          <cell r="C70">
            <v>6.9772998805256892E-2</v>
          </cell>
          <cell r="D70">
            <v>-2.9484029484029506E-2</v>
          </cell>
          <cell r="E70">
            <v>-0.10264672036823941</v>
          </cell>
          <cell r="F70">
            <v>3.5906642728904536E-3</v>
          </cell>
          <cell r="G70">
            <v>1.8430965572890257E-2</v>
          </cell>
        </row>
        <row r="71">
          <cell r="A71" t="str">
            <v>LTD</v>
          </cell>
          <cell r="B71">
            <v>5.3515321049683484E-2</v>
          </cell>
          <cell r="C71">
            <v>0.13772363610993166</v>
          </cell>
          <cell r="D71">
            <v>-8.2824685886191962E-2</v>
          </cell>
          <cell r="E71">
            <v>-0.12049140453224649</v>
          </cell>
          <cell r="F71">
            <v>-5.3496757540580586E-2</v>
          </cell>
          <cell r="G71">
            <v>2.7337611856118382E-2</v>
          </cell>
        </row>
        <row r="72">
          <cell r="A72" t="str">
            <v>URBN</v>
          </cell>
          <cell r="B72">
            <v>0.27377825867719996</v>
          </cell>
          <cell r="C72">
            <v>0.18731418062159033</v>
          </cell>
          <cell r="D72">
            <v>0.2219100343136573</v>
          </cell>
          <cell r="E72">
            <v>0.17683691132289447</v>
          </cell>
          <cell r="F72">
            <v>7.9986861268032561E-2</v>
          </cell>
          <cell r="G72">
            <v>0.13189366124946944</v>
          </cell>
        </row>
        <row r="73">
          <cell r="A73" t="str">
            <v>Average</v>
          </cell>
          <cell r="B73">
            <v>0.15709727164033813</v>
          </cell>
          <cell r="C73">
            <v>0.14060408821494691</v>
          </cell>
          <cell r="D73">
            <v>7.0159883327100533E-2</v>
          </cell>
          <cell r="E73">
            <v>4.0551497934592416E-2</v>
          </cell>
          <cell r="F73">
            <v>2.5620915827025716E-2</v>
          </cell>
          <cell r="G73">
            <v>4.6623840653333373E-2</v>
          </cell>
        </row>
        <row r="75">
          <cell r="A75" t="str">
            <v>Total Sales</v>
          </cell>
          <cell r="B75">
            <v>2005</v>
          </cell>
          <cell r="C75">
            <v>2006</v>
          </cell>
          <cell r="D75">
            <v>2007</v>
          </cell>
          <cell r="E75">
            <v>2008</v>
          </cell>
          <cell r="F75">
            <v>2009</v>
          </cell>
          <cell r="G75">
            <v>2010</v>
          </cell>
        </row>
        <row r="76">
          <cell r="A76" t="str">
            <v>JCP</v>
          </cell>
          <cell r="B76">
            <v>3.7853669319186656E-2</v>
          </cell>
          <cell r="C76">
            <v>5.9745913423140395E-2</v>
          </cell>
          <cell r="D76">
            <v>-2.1181637743851178E-3</v>
          </cell>
          <cell r="E76">
            <v>-6.9204061506389691E-2</v>
          </cell>
          <cell r="F76">
            <v>-5.0252606220807183E-2</v>
          </cell>
          <cell r="G76">
            <v>1.4165050052032502E-2</v>
          </cell>
        </row>
        <row r="77">
          <cell r="A77" t="str">
            <v>JWN</v>
          </cell>
          <cell r="B77">
            <v>8.2900681814389365E-2</v>
          </cell>
          <cell r="C77">
            <v>0.10852364459071628</v>
          </cell>
          <cell r="D77">
            <v>3.1202595863094373E-2</v>
          </cell>
          <cell r="E77">
            <v>-6.0809391770148324E-2</v>
          </cell>
          <cell r="F77">
            <v>-3.9802195151369402E-3</v>
          </cell>
          <cell r="G77">
            <v>8.1553241749334093E-2</v>
          </cell>
        </row>
        <row r="78">
          <cell r="A78" t="str">
            <v>KSS</v>
          </cell>
          <cell r="B78">
            <v>0.14541865016622935</v>
          </cell>
          <cell r="C78">
            <v>0.16289124173643121</v>
          </cell>
          <cell r="D78">
            <v>5.7002363958193802E-2</v>
          </cell>
          <cell r="E78">
            <v>-5.147598900064887E-3</v>
          </cell>
          <cell r="F78">
            <v>4.8087425025474362E-2</v>
          </cell>
          <cell r="G78">
            <v>7.6911540806537948E-2</v>
          </cell>
        </row>
        <row r="79">
          <cell r="A79" t="str">
            <v>M</v>
          </cell>
          <cell r="B79">
            <v>0.41924442190669375</v>
          </cell>
          <cell r="C79">
            <v>0.20455560518088434</v>
          </cell>
          <cell r="D79">
            <v>-2.4360400444938812E-2</v>
          </cell>
          <cell r="E79">
            <v>-5.4003724394785846E-2</v>
          </cell>
          <cell r="F79">
            <v>-5.6363490278000916E-2</v>
          </cell>
          <cell r="G79">
            <v>4.4939125238239175E-2</v>
          </cell>
        </row>
        <row r="80">
          <cell r="A80" t="str">
            <v>SKS</v>
          </cell>
          <cell r="B80">
            <v>4.1041179597807176E-3</v>
          </cell>
          <cell r="C80">
            <v>5.8189569068934466E-2</v>
          </cell>
          <cell r="D80">
            <v>0.11041825467525013</v>
          </cell>
          <cell r="E80">
            <v>-6.9761287103328296E-2</v>
          </cell>
          <cell r="F80">
            <v>-0.13539452228728877</v>
          </cell>
          <cell r="G80">
            <v>4.2572459349391245E-2</v>
          </cell>
        </row>
        <row r="81">
          <cell r="A81" t="str">
            <v>ROST</v>
          </cell>
          <cell r="B81">
            <v>0.16608270302524297</v>
          </cell>
          <cell r="C81">
            <v>0.12661980887018864</v>
          </cell>
          <cell r="D81">
            <v>7.270856933580605E-2</v>
          </cell>
          <cell r="E81">
            <v>8.5507761063540411E-2</v>
          </cell>
          <cell r="F81">
            <v>0.10762550725477826</v>
          </cell>
          <cell r="G81">
            <v>8.6251364890475912E-2</v>
          </cell>
        </row>
        <row r="82">
          <cell r="A82" t="str">
            <v>TJX</v>
          </cell>
          <cell r="B82">
            <v>6.990050546877602E-2</v>
          </cell>
          <cell r="C82">
            <v>9.07933802470966E-2</v>
          </cell>
          <cell r="D82">
            <v>5.3554061483729987E-2</v>
          </cell>
          <cell r="E82">
            <v>3.6144893041429649E-2</v>
          </cell>
          <cell r="F82">
            <v>6.7840662164619481E-2</v>
          </cell>
          <cell r="G82">
            <v>8.7128931474232285E-2</v>
          </cell>
        </row>
        <row r="83">
          <cell r="A83" t="str">
            <v>ANF</v>
          </cell>
          <cell r="B83">
            <v>0.36952802567119236</v>
          </cell>
          <cell r="C83">
            <v>0.18640947573915412</v>
          </cell>
          <cell r="D83">
            <v>0.12650966330671687</v>
          </cell>
          <cell r="E83">
            <v>-5.8275418038866378E-2</v>
          </cell>
          <cell r="F83">
            <v>-0.1594210427670959</v>
          </cell>
          <cell r="G83">
            <v>7.9942840110693636E-2</v>
          </cell>
        </row>
        <row r="84">
          <cell r="A84" t="str">
            <v>ARO</v>
          </cell>
          <cell r="B84">
            <v>0.24904792721932512</v>
          </cell>
          <cell r="C84">
            <v>0.17342260992886604</v>
          </cell>
          <cell r="D84">
            <v>0.12027599617324558</v>
          </cell>
          <cell r="E84">
            <v>0.1909747641302364</v>
          </cell>
          <cell r="F84">
            <v>0.1827463987598188</v>
          </cell>
          <cell r="G84">
            <v>8.975332030843397E-2</v>
          </cell>
        </row>
        <row r="85">
          <cell r="A85" t="str">
            <v>AEO</v>
          </cell>
          <cell r="B85">
            <v>0.23427141977024735</v>
          </cell>
          <cell r="C85">
            <v>0.20346887675164371</v>
          </cell>
          <cell r="D85">
            <v>9.3404365645830545E-2</v>
          </cell>
          <cell r="E85">
            <v>-2.1797992353912776E-2</v>
          </cell>
          <cell r="F85">
            <v>5.8250471674914372E-4</v>
          </cell>
          <cell r="G85">
            <v>-5.5028288935698999E-4</v>
          </cell>
        </row>
        <row r="86">
          <cell r="A86" t="str">
            <v>COH</v>
          </cell>
          <cell r="B86">
            <v>0.29820325394954028</v>
          </cell>
          <cell r="C86">
            <v>0.23211241239350389</v>
          </cell>
          <cell r="D86">
            <v>0.283708542886415</v>
          </cell>
          <cell r="E86">
            <v>0.21753514700343279</v>
          </cell>
          <cell r="F86">
            <v>1.5628669527411265E-2</v>
          </cell>
          <cell r="G86">
            <v>7.6036142797213824E-2</v>
          </cell>
        </row>
        <row r="87">
          <cell r="A87" t="str">
            <v>GPS</v>
          </cell>
          <cell r="B87">
            <v>-1.4999692629249384E-2</v>
          </cell>
          <cell r="C87">
            <v>-6.2410285215003247E-3</v>
          </cell>
          <cell r="D87">
            <v>-1.0048357721534895E-2</v>
          </cell>
          <cell r="E87">
            <v>-7.8474909598426734E-2</v>
          </cell>
          <cell r="F87">
            <v>-2.2649043095139709E-2</v>
          </cell>
          <cell r="G87">
            <v>-9.811269648707488E-3</v>
          </cell>
          <cell r="M87">
            <v>2005</v>
          </cell>
          <cell r="N87">
            <v>2006</v>
          </cell>
          <cell r="O87">
            <v>2007</v>
          </cell>
          <cell r="P87">
            <v>2008</v>
          </cell>
          <cell r="Q87">
            <v>2009</v>
          </cell>
          <cell r="R87">
            <v>2010</v>
          </cell>
        </row>
        <row r="88">
          <cell r="A88" t="str">
            <v>LTD</v>
          </cell>
          <cell r="B88">
            <v>2.7761409272991866E-2</v>
          </cell>
          <cell r="C88">
            <v>0.10353710119447745</v>
          </cell>
          <cell r="D88">
            <v>-5.476319535113694E-2</v>
          </cell>
          <cell r="E88">
            <v>-0.10346635775899038</v>
          </cell>
          <cell r="F88">
            <v>-4.5358626808516544E-2</v>
          </cell>
          <cell r="G88">
            <v>5.5396224187859611E-2</v>
          </cell>
          <cell r="L88" t="str">
            <v>Avg - Dept Stores SG&amp;A growth</v>
          </cell>
          <cell r="M88">
            <v>0.12293377559713455</v>
          </cell>
          <cell r="N88">
            <v>9.9024381859430646E-2</v>
          </cell>
          <cell r="O88">
            <v>3.9889217150605352E-2</v>
          </cell>
          <cell r="P88">
            <v>2.1723823415501196E-2</v>
          </cell>
          <cell r="Q88">
            <v>1.8638534048591553E-2</v>
          </cell>
          <cell r="R88">
            <v>4.5965897758643522E-2</v>
          </cell>
        </row>
        <row r="89">
          <cell r="A89" t="str">
            <v>URBN</v>
          </cell>
          <cell r="B89">
            <v>0.31936816671700385</v>
          </cell>
          <cell r="C89">
            <v>0.12142583098542548</v>
          </cell>
          <cell r="D89">
            <v>0.23107950653089637</v>
          </cell>
          <cell r="E89">
            <v>0.21681289148411786</v>
          </cell>
          <cell r="F89">
            <v>5.6249856918443086E-2</v>
          </cell>
          <cell r="G89">
            <v>0.16704157529874619</v>
          </cell>
          <cell r="L89" t="str">
            <v>Avg - Dept Stores comps</v>
          </cell>
          <cell r="M89">
            <v>3.700780088861149E-2</v>
          </cell>
          <cell r="N89">
            <v>4.9142857142857134E-2</v>
          </cell>
          <cell r="O89">
            <v>2.4985142157499068E-2</v>
          </cell>
          <cell r="P89">
            <v>-4.8227770048997518E-2</v>
          </cell>
          <cell r="Q89">
            <v>-2.4653980686388615E-2</v>
          </cell>
          <cell r="R89">
            <v>4.1239107147145793E-2</v>
          </cell>
        </row>
        <row r="90">
          <cell r="A90" t="str">
            <v>Average</v>
          </cell>
          <cell r="B90">
            <v>0.17204894711652502</v>
          </cell>
          <cell r="C90">
            <v>0.13038960297064014</v>
          </cell>
          <cell r="D90">
            <v>7.7755271611941637E-2</v>
          </cell>
          <cell r="E90">
            <v>1.6145336806988844E-2</v>
          </cell>
          <cell r="F90">
            <v>3.815338139506027E-4</v>
          </cell>
          <cell r="G90">
            <v>6.3666447408937565E-2</v>
          </cell>
          <cell r="M90">
            <v>2005</v>
          </cell>
          <cell r="N90">
            <v>2006</v>
          </cell>
          <cell r="O90">
            <v>2007</v>
          </cell>
          <cell r="P90">
            <v>2008</v>
          </cell>
          <cell r="Q90">
            <v>2009</v>
          </cell>
          <cell r="R90">
            <v>2010</v>
          </cell>
        </row>
        <row r="91">
          <cell r="L91" t="str">
            <v>Avg - Specialty SG&amp;A growth</v>
          </cell>
          <cell r="M91">
            <v>0.19126076768354175</v>
          </cell>
          <cell r="N91">
            <v>0.18218379457046316</v>
          </cell>
          <cell r="O91">
            <v>0.10043054950359571</v>
          </cell>
          <cell r="P91">
            <v>5.937917245368364E-2</v>
          </cell>
          <cell r="Q91">
            <v>3.260329760545988E-2</v>
          </cell>
          <cell r="R91">
            <v>4.7281783548023225E-2</v>
          </cell>
        </row>
        <row r="92">
          <cell r="L92" t="str">
            <v>Avg - Specialty comps</v>
          </cell>
          <cell r="M92">
            <v>9.7285714285714295E-2</v>
          </cell>
          <cell r="N92">
            <v>4.2153599874490209E-2</v>
          </cell>
          <cell r="O92">
            <v>3.5857142857142858E-2</v>
          </cell>
          <cell r="P92">
            <v>-2.5435212735340273E-2</v>
          </cell>
          <cell r="Q92">
            <v>-4.6189359134132642E-2</v>
          </cell>
          <cell r="R92">
            <v>2.7112424455829794E-2</v>
          </cell>
        </row>
        <row r="93">
          <cell r="A93" t="str">
            <v>SG&amp;A growth less sales growth</v>
          </cell>
        </row>
        <row r="94">
          <cell r="B94">
            <v>2005</v>
          </cell>
          <cell r="C94">
            <v>2006</v>
          </cell>
          <cell r="D94">
            <v>2007</v>
          </cell>
          <cell r="E94">
            <v>2008</v>
          </cell>
          <cell r="F94">
            <v>2009</v>
          </cell>
          <cell r="G94">
            <v>2010</v>
          </cell>
        </row>
        <row r="95">
          <cell r="A95" t="str">
            <v>JCP</v>
          </cell>
          <cell r="B95">
            <v>-180.53487666144008</v>
          </cell>
          <cell r="C95">
            <v>-22.111788310492653</v>
          </cell>
          <cell r="D95">
            <v>-160.72841783977719</v>
          </cell>
          <cell r="E95">
            <v>650.86717193471475</v>
          </cell>
          <cell r="F95">
            <v>1255.3253731469172</v>
          </cell>
          <cell r="G95">
            <v>-133.92321136353357</v>
          </cell>
        </row>
        <row r="96">
          <cell r="A96" t="str">
            <v>JWN</v>
          </cell>
          <cell r="B96">
            <v>-430.86957357853839</v>
          </cell>
          <cell r="C96">
            <v>-151.26122090709293</v>
          </cell>
          <cell r="D96">
            <v>-38.100173766977278</v>
          </cell>
          <cell r="E96">
            <v>727.53725563976411</v>
          </cell>
          <cell r="F96">
            <v>362.39472787587323</v>
          </cell>
          <cell r="G96">
            <v>-307.18539482680995</v>
          </cell>
        </row>
        <row r="97">
          <cell r="A97" t="str">
            <v>KSS</v>
          </cell>
          <cell r="B97">
            <v>19.035613491147352</v>
          </cell>
          <cell r="C97">
            <v>-103.70911046368781</v>
          </cell>
          <cell r="D97">
            <v>253.88645951353706</v>
          </cell>
          <cell r="E97">
            <v>698.29359293908317</v>
          </cell>
          <cell r="F97">
            <v>47.522186553790036</v>
          </cell>
          <cell r="G97">
            <v>-164.8461441285809</v>
          </cell>
        </row>
        <row r="98">
          <cell r="A98" t="str">
            <v>M</v>
          </cell>
          <cell r="B98">
            <v>-37.100475404394651</v>
          </cell>
          <cell r="C98">
            <v>387.10870463814831</v>
          </cell>
          <cell r="D98">
            <v>100.71393761371117</v>
          </cell>
          <cell r="E98">
            <v>427.80904661327781</v>
          </cell>
          <cell r="F98">
            <v>95.439111812877229</v>
          </cell>
          <cell r="G98">
            <v>-218.59756084601224</v>
          </cell>
        </row>
        <row r="99">
          <cell r="A99" t="str">
            <v>SKS</v>
          </cell>
          <cell r="B99">
            <v>21.751890626089398</v>
          </cell>
          <cell r="C99">
            <v>-1226.9792356374819</v>
          </cell>
          <cell r="D99">
            <v>-329.92005943205396</v>
          </cell>
          <cell r="E99">
            <v>147.03169900923129</v>
          </cell>
          <cell r="F99">
            <v>43.304609487527792</v>
          </cell>
          <cell r="G99">
            <v>62.145695820317037</v>
          </cell>
        </row>
        <row r="100">
          <cell r="A100" t="str">
            <v>ROST</v>
          </cell>
          <cell r="B100">
            <v>-11.4233797783303</v>
          </cell>
          <cell r="C100">
            <v>-1.5663745593741396</v>
          </cell>
          <cell r="D100">
            <v>117.23891531854713</v>
          </cell>
          <cell r="E100">
            <v>243.04965516493081</v>
          </cell>
          <cell r="F100">
            <v>-189.18092982461721</v>
          </cell>
          <cell r="G100">
            <v>-151.73285430733375</v>
          </cell>
        </row>
        <row r="101">
          <cell r="A101" t="str">
            <v>TJX</v>
          </cell>
          <cell r="B101">
            <v>-30.542403498103887</v>
          </cell>
          <cell r="C101">
            <v>-62.96587577379276</v>
          </cell>
          <cell r="D101">
            <v>-134.91827183211623</v>
          </cell>
          <cell r="E101">
            <v>-1.1866865184484432</v>
          </cell>
          <cell r="F101">
            <v>-85.735257087342646</v>
          </cell>
          <cell r="G101">
            <v>-203.46482284543166</v>
          </cell>
        </row>
        <row r="102">
          <cell r="A102" t="str">
            <v>ANF</v>
          </cell>
          <cell r="B102">
            <v>-443.53032461973419</v>
          </cell>
          <cell r="C102">
            <v>61.354872899739291</v>
          </cell>
          <cell r="D102">
            <v>111.92703581832441</v>
          </cell>
          <cell r="E102">
            <v>1275.3814895019023</v>
          </cell>
          <cell r="F102">
            <v>1082.6383760068347</v>
          </cell>
          <cell r="G102">
            <v>-531.42913761369698</v>
          </cell>
        </row>
        <row r="103">
          <cell r="A103" t="str">
            <v>ARO</v>
          </cell>
          <cell r="B103">
            <v>-149.58883480161944</v>
          </cell>
          <cell r="C103">
            <v>1027.000799462241</v>
          </cell>
          <cell r="D103">
            <v>732.41550835065448</v>
          </cell>
          <cell r="E103">
            <v>-172.41012449375813</v>
          </cell>
          <cell r="F103">
            <v>-406.38944148514435</v>
          </cell>
          <cell r="G103">
            <v>-18.590254860866295</v>
          </cell>
        </row>
        <row r="104">
          <cell r="A104" t="str">
            <v>AEO</v>
          </cell>
          <cell r="B104">
            <v>-206.19217249820076</v>
          </cell>
          <cell r="C104">
            <v>239.20274909352557</v>
          </cell>
          <cell r="D104">
            <v>-189.2648305144684</v>
          </cell>
          <cell r="E104">
            <v>481.70374131926928</v>
          </cell>
          <cell r="F104">
            <v>296.8147236355012</v>
          </cell>
          <cell r="G104">
            <v>-359.54377841575291</v>
          </cell>
        </row>
        <row r="105">
          <cell r="A105" t="str">
            <v>COH</v>
          </cell>
          <cell r="B105">
            <v>-337.49710533625301</v>
          </cell>
          <cell r="C105">
            <v>-476.93470502255144</v>
          </cell>
          <cell r="D105">
            <v>-959.93811795924921</v>
          </cell>
          <cell r="E105">
            <v>-249.48590620254453</v>
          </cell>
          <cell r="F105">
            <v>612.99419185274257</v>
          </cell>
          <cell r="G105">
            <v>-9.1545708026830042</v>
          </cell>
        </row>
        <row r="106">
          <cell r="A106" t="str">
            <v>GPS</v>
          </cell>
          <cell r="B106">
            <v>-108.38296197566267</v>
          </cell>
          <cell r="C106">
            <v>760.14027326757218</v>
          </cell>
          <cell r="D106">
            <v>-194.3567176249461</v>
          </cell>
          <cell r="E106">
            <v>-241.71810769812674</v>
          </cell>
          <cell r="F106">
            <v>262.39707368030162</v>
          </cell>
          <cell r="G106">
            <v>282.42235221597747</v>
          </cell>
        </row>
        <row r="107">
          <cell r="A107" t="str">
            <v>LTD</v>
          </cell>
          <cell r="B107">
            <v>257.53911776691621</v>
          </cell>
          <cell r="C107">
            <v>341.86534915454206</v>
          </cell>
          <cell r="D107">
            <v>-280.6149053505502</v>
          </cell>
          <cell r="E107">
            <v>-170.25046773256113</v>
          </cell>
          <cell r="F107">
            <v>-81.381307320640417</v>
          </cell>
          <cell r="G107">
            <v>-280.58612331741227</v>
          </cell>
        </row>
        <row r="108">
          <cell r="A108" t="str">
            <v>URBN</v>
          </cell>
          <cell r="B108">
            <v>-455.89908039803896</v>
          </cell>
          <cell r="C108">
            <v>658.88349636164855</v>
          </cell>
          <cell r="D108">
            <v>-91.694722172390726</v>
          </cell>
          <cell r="E108">
            <v>-399.7598016122339</v>
          </cell>
          <cell r="F108">
            <v>237.37004349589475</v>
          </cell>
          <cell r="G108">
            <v>-351.4791404927675</v>
          </cell>
        </row>
        <row r="109">
          <cell r="A109" t="str">
            <v>Average</v>
          </cell>
          <cell r="B109">
            <v>-149.51675476186884</v>
          </cell>
          <cell r="C109">
            <v>102.14485244306739</v>
          </cell>
          <cell r="D109">
            <v>-75.953882848411084</v>
          </cell>
          <cell r="E109">
            <v>244.06161127603579</v>
          </cell>
          <cell r="F109">
            <v>252.39382013075115</v>
          </cell>
          <cell r="G109">
            <v>-170.42606755604191</v>
          </cell>
        </row>
        <row r="111">
          <cell r="A111" t="str">
            <v>Avg - Dept Stores</v>
          </cell>
          <cell r="B111">
            <v>-92.811886400510062</v>
          </cell>
          <cell r="C111">
            <v>-168.78355728768199</v>
          </cell>
          <cell r="D111">
            <v>-27.403944346447041</v>
          </cell>
          <cell r="E111">
            <v>413.34310496893619</v>
          </cell>
          <cell r="F111">
            <v>218.43854599500369</v>
          </cell>
          <cell r="G111">
            <v>-159.65775607105499</v>
          </cell>
        </row>
        <row r="113">
          <cell r="A113" t="str">
            <v>Avg - Spec</v>
          </cell>
          <cell r="B113">
            <v>-206.22162312322754</v>
          </cell>
          <cell r="C113">
            <v>373.07326217381677</v>
          </cell>
          <cell r="D113">
            <v>-124.50382135037511</v>
          </cell>
          <cell r="E113">
            <v>74.780117583135308</v>
          </cell>
          <cell r="F113">
            <v>286.34909426649858</v>
          </cell>
          <cell r="G113">
            <v>-181.19437904102878</v>
          </cell>
        </row>
        <row r="116">
          <cell r="A116" t="str">
            <v>2009 - in Order</v>
          </cell>
          <cell r="B116" t="str">
            <v>(hardcoded)</v>
          </cell>
        </row>
        <row r="117">
          <cell r="A117" t="str">
            <v>TJX</v>
          </cell>
          <cell r="B117">
            <v>-214.23431782687351</v>
          </cell>
        </row>
        <row r="118">
          <cell r="A118" t="str">
            <v>ARO</v>
          </cell>
          <cell r="B118">
            <v>-160.93243556556169</v>
          </cell>
        </row>
        <row r="119">
          <cell r="A119" t="str">
            <v>ROST</v>
          </cell>
          <cell r="B119">
            <v>-139.48426974530469</v>
          </cell>
        </row>
        <row r="120">
          <cell r="A120" t="str">
            <v>LTD</v>
          </cell>
          <cell r="B120">
            <v>-26.472566827170361</v>
          </cell>
        </row>
        <row r="121">
          <cell r="A121" t="str">
            <v>KSS</v>
          </cell>
          <cell r="B121">
            <v>19.20113782717614</v>
          </cell>
        </row>
        <row r="122">
          <cell r="A122" t="str">
            <v>SKS</v>
          </cell>
          <cell r="B122">
            <v>187.91141726734796</v>
          </cell>
        </row>
        <row r="123">
          <cell r="A123" t="str">
            <v>URBN</v>
          </cell>
          <cell r="B123">
            <v>210.07871886226326</v>
          </cell>
        </row>
        <row r="124">
          <cell r="A124" t="str">
            <v>AEO</v>
          </cell>
          <cell r="B124">
            <v>211.26231705635544</v>
          </cell>
        </row>
        <row r="125">
          <cell r="A125" t="str">
            <v>M</v>
          </cell>
          <cell r="B125">
            <v>256.49965099774573</v>
          </cell>
        </row>
        <row r="126">
          <cell r="A126" t="str">
            <v>GPS</v>
          </cell>
          <cell r="B126">
            <v>265.45830679659764</v>
          </cell>
        </row>
        <row r="127">
          <cell r="A127" t="str">
            <v>JWN</v>
          </cell>
          <cell r="B127">
            <v>341.94187585199984</v>
          </cell>
        </row>
        <row r="128">
          <cell r="A128" t="str">
            <v>COH</v>
          </cell>
          <cell r="B128">
            <v>612.99419185274257</v>
          </cell>
        </row>
        <row r="129">
          <cell r="A129" t="str">
            <v>ANF</v>
          </cell>
          <cell r="B129">
            <v>1018.4323376746818</v>
          </cell>
        </row>
        <row r="130">
          <cell r="A130" t="str">
            <v>JCP</v>
          </cell>
          <cell r="B130">
            <v>1358.9998352094078</v>
          </cell>
        </row>
        <row r="132">
          <cell r="A132" t="str">
            <v>2008 - in Order</v>
          </cell>
          <cell r="B132" t="str">
            <v>(hardcoded)</v>
          </cell>
        </row>
        <row r="133">
          <cell r="A133" t="str">
            <v>URBN</v>
          </cell>
          <cell r="B133">
            <v>-399.7598016122339</v>
          </cell>
        </row>
        <row r="134">
          <cell r="A134" t="str">
            <v>COH</v>
          </cell>
          <cell r="B134">
            <v>-249.48590620254453</v>
          </cell>
        </row>
        <row r="135">
          <cell r="A135" t="str">
            <v>GPS</v>
          </cell>
          <cell r="B135">
            <v>-241.71810769812674</v>
          </cell>
        </row>
        <row r="136">
          <cell r="A136" t="str">
            <v>ARO</v>
          </cell>
          <cell r="B136">
            <v>-172.41012449375813</v>
          </cell>
        </row>
        <row r="137">
          <cell r="A137" t="str">
            <v>LTD</v>
          </cell>
          <cell r="B137">
            <v>-170.25046773256113</v>
          </cell>
        </row>
        <row r="138">
          <cell r="A138" t="str">
            <v>TJX</v>
          </cell>
          <cell r="B138">
            <v>-1.1866865184484432</v>
          </cell>
        </row>
        <row r="139">
          <cell r="A139" t="str">
            <v>SKS</v>
          </cell>
          <cell r="B139">
            <v>159.52008591213817</v>
          </cell>
        </row>
        <row r="140">
          <cell r="A140" t="str">
            <v>ROST</v>
          </cell>
          <cell r="B140">
            <v>243.04965516493081</v>
          </cell>
        </row>
        <row r="141">
          <cell r="A141" t="str">
            <v>M</v>
          </cell>
          <cell r="B141">
            <v>427.80904661327781</v>
          </cell>
        </row>
        <row r="142">
          <cell r="A142" t="str">
            <v>AEO</v>
          </cell>
          <cell r="B142">
            <v>481.70374131926928</v>
          </cell>
        </row>
        <row r="143">
          <cell r="A143" t="str">
            <v>JCP</v>
          </cell>
          <cell r="B143">
            <v>650.86717193471475</v>
          </cell>
        </row>
        <row r="144">
          <cell r="A144" t="str">
            <v>KSS</v>
          </cell>
          <cell r="B144">
            <v>698.29359293908317</v>
          </cell>
        </row>
        <row r="145">
          <cell r="A145" t="str">
            <v>JWN</v>
          </cell>
          <cell r="B145">
            <v>727.53725563976411</v>
          </cell>
        </row>
        <row r="146">
          <cell r="A146" t="str">
            <v>ANF</v>
          </cell>
          <cell r="B146">
            <v>1212.4880986772769</v>
          </cell>
        </row>
        <row r="148">
          <cell r="A148" t="str">
            <v>2007 - in Order</v>
          </cell>
          <cell r="B148" t="str">
            <v>(hardcoded)</v>
          </cell>
        </row>
        <row r="149">
          <cell r="A149" t="str">
            <v>COH</v>
          </cell>
          <cell r="B149">
            <v>-959.93811795924921</v>
          </cell>
        </row>
        <row r="150">
          <cell r="A150" t="str">
            <v>SKS</v>
          </cell>
          <cell r="B150">
            <v>-329.92005943205396</v>
          </cell>
        </row>
        <row r="151">
          <cell r="A151" t="str">
            <v>LTD</v>
          </cell>
          <cell r="B151">
            <v>-280.6149053505502</v>
          </cell>
        </row>
        <row r="152">
          <cell r="A152" t="str">
            <v>GPS</v>
          </cell>
          <cell r="B152">
            <v>-194.3567176249461</v>
          </cell>
        </row>
        <row r="153">
          <cell r="A153" t="str">
            <v>AEO</v>
          </cell>
          <cell r="B153">
            <v>-189.2648305144684</v>
          </cell>
        </row>
        <row r="154">
          <cell r="A154" t="str">
            <v>JCP</v>
          </cell>
          <cell r="B154">
            <v>-160.72841783977719</v>
          </cell>
        </row>
        <row r="155">
          <cell r="A155" t="str">
            <v>TJX</v>
          </cell>
          <cell r="B155">
            <v>-134.91827183211623</v>
          </cell>
        </row>
        <row r="156">
          <cell r="A156" t="str">
            <v>URBN</v>
          </cell>
          <cell r="B156">
            <v>-91.694722172390726</v>
          </cell>
        </row>
        <row r="157">
          <cell r="A157" t="str">
            <v>JWN</v>
          </cell>
          <cell r="B157">
            <v>-38.100173766977278</v>
          </cell>
        </row>
        <row r="158">
          <cell r="A158" t="str">
            <v>M</v>
          </cell>
          <cell r="B158">
            <v>100.71393761371117</v>
          </cell>
        </row>
        <row r="159">
          <cell r="A159" t="str">
            <v>ROST</v>
          </cell>
          <cell r="B159">
            <v>117.23891531854713</v>
          </cell>
        </row>
        <row r="160">
          <cell r="A160" t="str">
            <v>ANF</v>
          </cell>
          <cell r="B160">
            <v>119.36625141564683</v>
          </cell>
        </row>
        <row r="161">
          <cell r="A161" t="str">
            <v>KSS</v>
          </cell>
          <cell r="B161">
            <v>253.88645951353706</v>
          </cell>
        </row>
        <row r="162">
          <cell r="A162" t="str">
            <v>ARO</v>
          </cell>
          <cell r="B162">
            <v>732.41550835065448</v>
          </cell>
        </row>
        <row r="165">
          <cell r="A165" t="str">
            <v>Operating margin per quarter - dept store and softines averages</v>
          </cell>
        </row>
        <row r="166">
          <cell r="B166" t="str">
            <v>1Q05</v>
          </cell>
          <cell r="C166" t="str">
            <v>2Q05</v>
          </cell>
          <cell r="D166" t="str">
            <v>3Q05</v>
          </cell>
          <cell r="E166" t="str">
            <v>4Q05</v>
          </cell>
          <cell r="F166" t="str">
            <v>1Q06</v>
          </cell>
          <cell r="G166" t="str">
            <v>2Q06</v>
          </cell>
          <cell r="H166" t="str">
            <v>3Q06</v>
          </cell>
          <cell r="I166" t="str">
            <v>4Q06</v>
          </cell>
          <cell r="J166" t="str">
            <v>1Q07</v>
          </cell>
          <cell r="K166" t="str">
            <v>2Q07</v>
          </cell>
          <cell r="L166" t="str">
            <v>3Q07</v>
          </cell>
          <cell r="M166" t="str">
            <v>4Q07</v>
          </cell>
          <cell r="N166" t="str">
            <v>1Q08</v>
          </cell>
          <cell r="O166" t="str">
            <v>2Q08</v>
          </cell>
          <cell r="P166" t="str">
            <v>3Q08</v>
          </cell>
          <cell r="Q166" t="str">
            <v>4Q08</v>
          </cell>
          <cell r="R166" t="str">
            <v>1Q09</v>
          </cell>
          <cell r="S166" t="str">
            <v>2Q09</v>
          </cell>
          <cell r="T166" t="str">
            <v>3Q09</v>
          </cell>
          <cell r="U166" t="str">
            <v>4Q09</v>
          </cell>
        </row>
        <row r="167">
          <cell r="A167" t="str">
            <v>Department Stores Average</v>
          </cell>
          <cell r="B167">
            <v>6.8895458045228869E-2</v>
          </cell>
          <cell r="C167">
            <v>5.0381614729388138E-2</v>
          </cell>
          <cell r="D167">
            <v>5.8850908929155663E-2</v>
          </cell>
          <cell r="E167">
            <v>9.61852868874606E-2</v>
          </cell>
          <cell r="F167">
            <v>7.2635663425478267E-2</v>
          </cell>
          <cell r="G167">
            <v>5.944892792875256E-2</v>
          </cell>
          <cell r="H167">
            <v>8.0497421892793006E-2</v>
          </cell>
          <cell r="I167">
            <v>0.1127214661643382</v>
          </cell>
          <cell r="J167">
            <v>8.4050034085017683E-2</v>
          </cell>
          <cell r="K167">
            <v>6.804467912976582E-2</v>
          </cell>
          <cell r="L167">
            <v>7.7674969272626404E-2</v>
          </cell>
          <cell r="M167">
            <v>0.11086515574020774</v>
          </cell>
          <cell r="N167">
            <v>6.8356473350861688E-2</v>
          </cell>
          <cell r="O167">
            <v>6.0966790403798217E-2</v>
          </cell>
          <cell r="P167">
            <v>4.9309735773725973E-2</v>
          </cell>
          <cell r="Q167">
            <v>5.6946938565969989E-2</v>
          </cell>
          <cell r="R167">
            <v>5.1272690672644061E-2</v>
          </cell>
          <cell r="S167">
            <v>4.8279382532345698E-2</v>
          </cell>
          <cell r="T167">
            <v>6.4633547072114189E-2</v>
          </cell>
          <cell r="U167">
            <v>0.1020897665719154</v>
          </cell>
        </row>
        <row r="168">
          <cell r="B168" t="str">
            <v>1Q05</v>
          </cell>
          <cell r="C168" t="str">
            <v>2Q05</v>
          </cell>
          <cell r="D168" t="str">
            <v>3Q05</v>
          </cell>
          <cell r="E168" t="str">
            <v>4Q05</v>
          </cell>
          <cell r="F168" t="str">
            <v>1Q06</v>
          </cell>
          <cell r="G168" t="str">
            <v>2Q06</v>
          </cell>
          <cell r="H168" t="str">
            <v>3Q06</v>
          </cell>
          <cell r="I168" t="str">
            <v>4Q06</v>
          </cell>
          <cell r="J168" t="str">
            <v>1Q07</v>
          </cell>
          <cell r="K168" t="str">
            <v>2Q07</v>
          </cell>
          <cell r="L168" t="str">
            <v>3Q07</v>
          </cell>
          <cell r="M168" t="str">
            <v>4Q07</v>
          </cell>
          <cell r="N168" t="str">
            <v>1Q08</v>
          </cell>
          <cell r="O168" t="str">
            <v>2Q08</v>
          </cell>
          <cell r="P168" t="str">
            <v>3Q08</v>
          </cell>
          <cell r="Q168" t="str">
            <v>4Q08</v>
          </cell>
          <cell r="R168" t="str">
            <v>1Q09</v>
          </cell>
          <cell r="S168" t="str">
            <v>2Q09</v>
          </cell>
          <cell r="T168" t="str">
            <v>3Q09</v>
          </cell>
          <cell r="U168" t="str">
            <v>4Q09</v>
          </cell>
        </row>
        <row r="169">
          <cell r="A169" t="str">
            <v>Specialty Stores</v>
          </cell>
          <cell r="B169">
            <v>0.15422920734198622</v>
          </cell>
          <cell r="C169">
            <v>0.14889808899378965</v>
          </cell>
          <cell r="D169">
            <v>0.1604035975191784</v>
          </cell>
          <cell r="E169">
            <v>0.21862254168681086</v>
          </cell>
          <cell r="F169">
            <v>0.14336442322773496</v>
          </cell>
          <cell r="G169">
            <v>0.13910215874741497</v>
          </cell>
          <cell r="H169">
            <v>0.16214181785163623</v>
          </cell>
          <cell r="I169">
            <v>0.21167570055926174</v>
          </cell>
          <cell r="J169">
            <v>0.14278819378862215</v>
          </cell>
          <cell r="K169">
            <v>0.14759061099706394</v>
          </cell>
          <cell r="L169">
            <v>0.16636766252483629</v>
          </cell>
          <cell r="M169">
            <v>0.21528973973658486</v>
          </cell>
          <cell r="N169">
            <v>0.13864206934579909</v>
          </cell>
          <cell r="O169">
            <v>0.15729483083185869</v>
          </cell>
          <cell r="P169">
            <v>0.14512414393148346</v>
          </cell>
          <cell r="Q169">
            <v>0.1573688038954609</v>
          </cell>
          <cell r="R169">
            <v>9.5018026082193244E-2</v>
          </cell>
          <cell r="S169">
            <v>0.12412464617273845</v>
          </cell>
          <cell r="T169">
            <v>0.14216244672037553</v>
          </cell>
          <cell r="U169">
            <v>0.19155284062283701</v>
          </cell>
        </row>
        <row r="171">
          <cell r="A171" t="str">
            <v>Group by quarter</v>
          </cell>
        </row>
        <row r="172">
          <cell r="B172" t="str">
            <v>1Q05</v>
          </cell>
          <cell r="C172" t="str">
            <v>1Q06</v>
          </cell>
          <cell r="D172" t="str">
            <v>1Q07</v>
          </cell>
          <cell r="E172" t="str">
            <v>1Q08</v>
          </cell>
          <cell r="F172" t="str">
            <v>1Q09</v>
          </cell>
          <cell r="G172" t="str">
            <v>2Q05</v>
          </cell>
          <cell r="H172" t="str">
            <v>2Q06</v>
          </cell>
          <cell r="I172" t="str">
            <v>2Q07</v>
          </cell>
          <cell r="J172" t="str">
            <v>2Q08</v>
          </cell>
          <cell r="K172" t="str">
            <v>2Q09</v>
          </cell>
          <cell r="L172" t="str">
            <v>3Q05</v>
          </cell>
          <cell r="M172" t="str">
            <v>3Q06</v>
          </cell>
          <cell r="N172" t="str">
            <v>3Q07</v>
          </cell>
          <cell r="O172" t="str">
            <v>3Q08</v>
          </cell>
          <cell r="P172" t="str">
            <v>3Q09</v>
          </cell>
          <cell r="Q172" t="str">
            <v>4Q05</v>
          </cell>
          <cell r="R172" t="str">
            <v>4Q06</v>
          </cell>
          <cell r="S172" t="str">
            <v>4Q07</v>
          </cell>
          <cell r="T172" t="str">
            <v>4Q08</v>
          </cell>
          <cell r="U172" t="str">
            <v>4Q09</v>
          </cell>
        </row>
        <row r="173">
          <cell r="A173" t="str">
            <v>Department Stores Average</v>
          </cell>
          <cell r="B173">
            <v>6.8895458045228869E-2</v>
          </cell>
          <cell r="C173">
            <v>7.2635663425478267E-2</v>
          </cell>
          <cell r="D173">
            <v>8.4050034085017683E-2</v>
          </cell>
          <cell r="E173">
            <v>6.8356473350861688E-2</v>
          </cell>
          <cell r="F173">
            <v>5.1272690672644061E-2</v>
          </cell>
          <cell r="G173">
            <v>5.0381614729388138E-2</v>
          </cell>
          <cell r="H173">
            <v>5.944892792875256E-2</v>
          </cell>
          <cell r="I173">
            <v>6.804467912976582E-2</v>
          </cell>
          <cell r="J173">
            <v>6.0966790403798217E-2</v>
          </cell>
          <cell r="K173">
            <v>4.8279382532345698E-2</v>
          </cell>
          <cell r="L173">
            <v>5.8850908929155663E-2</v>
          </cell>
          <cell r="M173">
            <v>8.0497421892793006E-2</v>
          </cell>
          <cell r="N173">
            <v>7.7674969272626404E-2</v>
          </cell>
          <cell r="O173">
            <v>4.9309735773725973E-2</v>
          </cell>
          <cell r="P173">
            <v>6.4633547072114189E-2</v>
          </cell>
          <cell r="Q173">
            <v>9.61852868874606E-2</v>
          </cell>
          <cell r="R173">
            <v>0.1127214661643382</v>
          </cell>
          <cell r="S173">
            <v>0.11086515574020774</v>
          </cell>
          <cell r="T173">
            <v>5.6946938565969989E-2</v>
          </cell>
          <cell r="U173">
            <v>0.1020897665719154</v>
          </cell>
        </row>
        <row r="174">
          <cell r="B174" t="str">
            <v>1Q05</v>
          </cell>
          <cell r="C174" t="str">
            <v>1Q06</v>
          </cell>
          <cell r="D174" t="str">
            <v>1Q07</v>
          </cell>
          <cell r="E174" t="str">
            <v>1Q08</v>
          </cell>
          <cell r="F174" t="str">
            <v>1Q09</v>
          </cell>
          <cell r="G174" t="str">
            <v>2Q05</v>
          </cell>
          <cell r="H174" t="str">
            <v>2Q06</v>
          </cell>
          <cell r="I174" t="str">
            <v>2Q07</v>
          </cell>
          <cell r="J174" t="str">
            <v>2Q08</v>
          </cell>
          <cell r="K174" t="str">
            <v>2Q09</v>
          </cell>
          <cell r="L174" t="str">
            <v>3Q05</v>
          </cell>
          <cell r="M174" t="str">
            <v>3Q06</v>
          </cell>
          <cell r="N174" t="str">
            <v>3Q07</v>
          </cell>
          <cell r="O174" t="str">
            <v>3Q08</v>
          </cell>
          <cell r="P174" t="str">
            <v>3Q09</v>
          </cell>
          <cell r="Q174" t="str">
            <v>4Q05</v>
          </cell>
          <cell r="R174" t="str">
            <v>4Q06</v>
          </cell>
          <cell r="S174" t="str">
            <v>4Q07</v>
          </cell>
          <cell r="T174" t="str">
            <v>4Q08</v>
          </cell>
          <cell r="U174" t="str">
            <v>4Q09</v>
          </cell>
        </row>
        <row r="175">
          <cell r="A175" t="str">
            <v>Specialty Stores</v>
          </cell>
          <cell r="B175">
            <v>0.15422920734198622</v>
          </cell>
          <cell r="C175">
            <v>0.14336442322773496</v>
          </cell>
          <cell r="D175">
            <v>0.14278819378862215</v>
          </cell>
          <cell r="E175">
            <v>0.13864206934579909</v>
          </cell>
          <cell r="F175">
            <v>9.5018026082193244E-2</v>
          </cell>
          <cell r="G175">
            <v>0.14889808899378965</v>
          </cell>
          <cell r="H175">
            <v>0.13910215874741497</v>
          </cell>
          <cell r="I175">
            <v>0.14759061099706394</v>
          </cell>
          <cell r="J175">
            <v>0.15729483083185869</v>
          </cell>
          <cell r="K175">
            <v>0.12412464617273845</v>
          </cell>
          <cell r="L175">
            <v>0.1604035975191784</v>
          </cell>
          <cell r="M175">
            <v>0.16214181785163623</v>
          </cell>
          <cell r="N175">
            <v>0.16636766252483629</v>
          </cell>
          <cell r="O175">
            <v>0.14512414393148346</v>
          </cell>
          <cell r="P175">
            <v>0.14216244672037553</v>
          </cell>
          <cell r="Q175">
            <v>0.21862254168681086</v>
          </cell>
          <cell r="R175">
            <v>0.21167570055926174</v>
          </cell>
          <cell r="S175">
            <v>0.21528973973658486</v>
          </cell>
          <cell r="T175">
            <v>0.1573688038954609</v>
          </cell>
          <cell r="U175">
            <v>0.19155284062283701</v>
          </cell>
        </row>
        <row r="177">
          <cell r="A177" t="str">
            <v>Teen retail comps - monthly</v>
          </cell>
        </row>
        <row r="178">
          <cell r="B178">
            <v>38353</v>
          </cell>
          <cell r="C178">
            <v>38384</v>
          </cell>
          <cell r="D178">
            <v>38415</v>
          </cell>
          <cell r="E178">
            <v>38446</v>
          </cell>
          <cell r="F178">
            <v>38477</v>
          </cell>
          <cell r="G178">
            <v>38508</v>
          </cell>
          <cell r="H178">
            <v>38539</v>
          </cell>
          <cell r="I178">
            <v>38570</v>
          </cell>
          <cell r="J178">
            <v>38601</v>
          </cell>
          <cell r="K178">
            <v>38632</v>
          </cell>
          <cell r="L178">
            <v>38663</v>
          </cell>
          <cell r="M178">
            <v>38694</v>
          </cell>
          <cell r="N178">
            <v>38725</v>
          </cell>
          <cell r="O178">
            <v>38756</v>
          </cell>
          <cell r="P178">
            <v>38787</v>
          </cell>
          <cell r="Q178">
            <v>38818</v>
          </cell>
          <cell r="R178">
            <v>38849</v>
          </cell>
          <cell r="S178">
            <v>38880</v>
          </cell>
          <cell r="T178">
            <v>38911</v>
          </cell>
          <cell r="U178">
            <v>38942</v>
          </cell>
          <cell r="V178">
            <v>38973</v>
          </cell>
          <cell r="W178">
            <v>39004</v>
          </cell>
          <cell r="X178">
            <v>39035</v>
          </cell>
          <cell r="Y178">
            <v>39066</v>
          </cell>
          <cell r="Z178">
            <v>39097</v>
          </cell>
          <cell r="AA178">
            <v>39128</v>
          </cell>
          <cell r="AB178">
            <v>39159</v>
          </cell>
          <cell r="AC178">
            <v>39190</v>
          </cell>
          <cell r="AD178">
            <v>39221</v>
          </cell>
          <cell r="AE178">
            <v>39252</v>
          </cell>
          <cell r="AF178">
            <v>39283</v>
          </cell>
          <cell r="AG178">
            <v>39314</v>
          </cell>
          <cell r="AH178">
            <v>39345</v>
          </cell>
          <cell r="AI178">
            <v>39376</v>
          </cell>
          <cell r="AJ178">
            <v>39407</v>
          </cell>
          <cell r="AK178">
            <v>39438</v>
          </cell>
          <cell r="AL178">
            <v>39469</v>
          </cell>
          <cell r="AM178">
            <v>39500</v>
          </cell>
          <cell r="AN178">
            <v>39531</v>
          </cell>
          <cell r="AO178">
            <v>39562</v>
          </cell>
          <cell r="AP178">
            <v>39593</v>
          </cell>
          <cell r="AQ178">
            <v>39624</v>
          </cell>
          <cell r="AR178">
            <v>39655</v>
          </cell>
          <cell r="AS178">
            <v>39686</v>
          </cell>
          <cell r="AT178">
            <v>39717</v>
          </cell>
          <cell r="AU178">
            <v>39748</v>
          </cell>
          <cell r="AV178">
            <v>39779</v>
          </cell>
          <cell r="AW178">
            <v>39810</v>
          </cell>
          <cell r="AX178">
            <v>39841</v>
          </cell>
          <cell r="AY178">
            <v>39872</v>
          </cell>
          <cell r="AZ178">
            <v>39903</v>
          </cell>
          <cell r="BA178">
            <v>39933</v>
          </cell>
          <cell r="BB178">
            <v>39964</v>
          </cell>
          <cell r="BC178">
            <v>39994</v>
          </cell>
          <cell r="BD178">
            <v>40024</v>
          </cell>
          <cell r="BE178">
            <v>40054</v>
          </cell>
          <cell r="BF178">
            <v>40084</v>
          </cell>
          <cell r="BG178">
            <v>40114</v>
          </cell>
          <cell r="BH178">
            <v>40144</v>
          </cell>
          <cell r="BI178">
            <v>40174</v>
          </cell>
          <cell r="IV178">
            <v>31</v>
          </cell>
        </row>
        <row r="179">
          <cell r="A179" t="str">
            <v>ARO</v>
          </cell>
          <cell r="B179">
            <v>9.0999999999999998E-2</v>
          </cell>
          <cell r="C179">
            <v>0</v>
          </cell>
          <cell r="D179">
            <v>0</v>
          </cell>
          <cell r="E179">
            <v>0</v>
          </cell>
          <cell r="F179">
            <v>0.13400000000000001</v>
          </cell>
          <cell r="G179">
            <v>6.8000000000000005E-2</v>
          </cell>
          <cell r="H179">
            <v>-5.7000000000000002E-2</v>
          </cell>
          <cell r="I179">
            <v>-4.9000000000000002E-2</v>
          </cell>
          <cell r="J179">
            <v>0.02</v>
          </cell>
          <cell r="K179">
            <v>-4.2000000000000003E-2</v>
          </cell>
          <cell r="L179">
            <v>1.2999999999999999E-2</v>
          </cell>
          <cell r="M179">
            <v>-4.2000000000000003E-2</v>
          </cell>
          <cell r="N179">
            <v>-2.5000000000000001E-2</v>
          </cell>
          <cell r="O179">
            <v>0</v>
          </cell>
          <cell r="P179">
            <v>0</v>
          </cell>
          <cell r="Q179">
            <v>0</v>
          </cell>
          <cell r="R179">
            <v>-5.3999999999999999E-2</v>
          </cell>
          <cell r="S179">
            <v>-9.2999999999999999E-2</v>
          </cell>
          <cell r="T179">
            <v>8.4000000000000005E-2</v>
          </cell>
          <cell r="U179">
            <v>-1.0999999999999999E-2</v>
          </cell>
          <cell r="V179">
            <v>5.2999999999999999E-2</v>
          </cell>
          <cell r="W179">
            <v>-1.9E-2</v>
          </cell>
          <cell r="X179">
            <v>3.3000000000000002E-2</v>
          </cell>
          <cell r="Y179">
            <v>8.5000000000000006E-2</v>
          </cell>
          <cell r="Z179">
            <v>5.6000000000000001E-2</v>
          </cell>
          <cell r="AA179">
            <v>0</v>
          </cell>
          <cell r="AB179">
            <v>0</v>
          </cell>
          <cell r="AC179">
            <v>0</v>
          </cell>
          <cell r="AD179">
            <v>2.3E-2</v>
          </cell>
          <cell r="AE179">
            <v>0.159</v>
          </cell>
          <cell r="AF179">
            <v>-0.14000000000000001</v>
          </cell>
          <cell r="AG179">
            <v>1.9E-2</v>
          </cell>
          <cell r="AH179">
            <v>2E-3</v>
          </cell>
          <cell r="AI179">
            <v>-0.11899999999999999</v>
          </cell>
          <cell r="AJ179">
            <v>1.7000000000000001E-2</v>
          </cell>
          <cell r="AK179">
            <v>1.2999999999999999E-2</v>
          </cell>
          <cell r="AL179">
            <v>0.03</v>
          </cell>
          <cell r="AM179">
            <v>0</v>
          </cell>
          <cell r="AN179">
            <v>0</v>
          </cell>
          <cell r="AO179">
            <v>0</v>
          </cell>
          <cell r="AP179">
            <v>7.0000000000000007E-2</v>
          </cell>
          <cell r="AQ179">
            <v>2.5000000000000001E-2</v>
          </cell>
          <cell r="AR179">
            <v>0.25</v>
          </cell>
          <cell r="AS179">
            <v>0.06</v>
          </cell>
          <cell r="AT179">
            <v>0.12</v>
          </cell>
          <cell r="AU179">
            <v>0.13</v>
          </cell>
          <cell r="AV179">
            <v>0.13</v>
          </cell>
          <cell r="AW179">
            <v>0.05</v>
          </cell>
          <cell r="AX179">
            <v>0.01</v>
          </cell>
          <cell r="AY179">
            <v>0</v>
          </cell>
          <cell r="AZ179">
            <v>0</v>
          </cell>
          <cell r="BA179">
            <v>0</v>
          </cell>
          <cell r="BB179">
            <v>0.11</v>
          </cell>
          <cell r="BC179">
            <v>0.03</v>
          </cell>
          <cell r="BD179">
            <v>0.2</v>
          </cell>
          <cell r="BE179">
            <v>0.19</v>
          </cell>
          <cell r="BF179">
            <v>0.12</v>
          </cell>
          <cell r="BG179">
            <v>0.06</v>
          </cell>
          <cell r="BH179">
            <v>0.19</v>
          </cell>
          <cell r="BI179">
            <v>0.12</v>
          </cell>
        </row>
        <row r="182">
          <cell r="A182" t="str">
            <v>URBN sales productivity by division</v>
          </cell>
        </row>
        <row r="183">
          <cell r="A183" t="str">
            <v>LTM Sales/Gross Average Sq. Ft.</v>
          </cell>
          <cell r="N183" t="str">
            <v>2000-2009</v>
          </cell>
        </row>
        <row r="184">
          <cell r="B184">
            <v>2000</v>
          </cell>
          <cell r="C184">
            <v>2001</v>
          </cell>
          <cell r="D184">
            <v>2002</v>
          </cell>
          <cell r="E184">
            <v>2003</v>
          </cell>
          <cell r="F184">
            <v>2004</v>
          </cell>
          <cell r="G184">
            <v>2005</v>
          </cell>
          <cell r="H184">
            <v>2006</v>
          </cell>
          <cell r="I184">
            <v>2007</v>
          </cell>
          <cell r="J184">
            <v>2008</v>
          </cell>
          <cell r="K184" t="str">
            <v>2009</v>
          </cell>
          <cell r="L184">
            <v>2010</v>
          </cell>
          <cell r="N184" t="str">
            <v>Max</v>
          </cell>
          <cell r="O184" t="str">
            <v>Min</v>
          </cell>
          <cell r="P184" t="str">
            <v>2010 vs max</v>
          </cell>
        </row>
        <row r="185">
          <cell r="A185" t="str">
            <v>Urban Outfitters (division)</v>
          </cell>
          <cell r="B185">
            <v>270.96178184451503</v>
          </cell>
          <cell r="C185">
            <v>264.44541967873494</v>
          </cell>
          <cell r="D185">
            <v>284.4972339992741</v>
          </cell>
          <cell r="E185">
            <v>318.46555482575133</v>
          </cell>
          <cell r="F185">
            <v>382.65593609442482</v>
          </cell>
          <cell r="G185">
            <v>421.72142644903295</v>
          </cell>
          <cell r="H185">
            <v>387.50814312663522</v>
          </cell>
          <cell r="I185">
            <v>387.49369418039146</v>
          </cell>
          <cell r="J185">
            <v>408.70311941571555</v>
          </cell>
          <cell r="K185">
            <v>368.97415400758092</v>
          </cell>
          <cell r="L185">
            <v>394.65492014811076</v>
          </cell>
          <cell r="N185">
            <v>421.72142644903295</v>
          </cell>
          <cell r="O185">
            <v>264.44541967873494</v>
          </cell>
          <cell r="P185">
            <v>-6.4181008133323503E-2</v>
          </cell>
        </row>
        <row r="186">
          <cell r="A186" t="str">
            <v>Anthropologie</v>
          </cell>
          <cell r="B186">
            <v>280.14666638523443</v>
          </cell>
          <cell r="C186">
            <v>307.40807612789365</v>
          </cell>
          <cell r="D186">
            <v>330.99998331831983</v>
          </cell>
          <cell r="E186">
            <v>348.37875117971998</v>
          </cell>
          <cell r="F186">
            <v>432.85046981315469</v>
          </cell>
          <cell r="G186">
            <v>442.81396763923766</v>
          </cell>
          <cell r="H186">
            <v>413.58764694304784</v>
          </cell>
          <cell r="I186">
            <v>459.54237922896903</v>
          </cell>
          <cell r="J186">
            <v>468.68309808032865</v>
          </cell>
          <cell r="K186">
            <v>454.35598884429891</v>
          </cell>
          <cell r="L186">
            <v>466.43259180928817</v>
          </cell>
          <cell r="N186">
            <v>468.68309808032865</v>
          </cell>
          <cell r="O186">
            <v>280.14666638523443</v>
          </cell>
          <cell r="P186">
            <v>-4.8017653725049847E-3</v>
          </cell>
        </row>
        <row r="187">
          <cell r="A187" t="str">
            <v>Free People (Retail)</v>
          </cell>
          <cell r="B187" t="str">
            <v>NM</v>
          </cell>
          <cell r="C187" t="str">
            <v>NM</v>
          </cell>
          <cell r="D187">
            <v>82.727272727267646</v>
          </cell>
          <cell r="E187">
            <v>394.54545454548133</v>
          </cell>
          <cell r="F187">
            <v>312.64762722782973</v>
          </cell>
          <cell r="G187">
            <v>306.08120521771826</v>
          </cell>
          <cell r="H187">
            <v>444.39894439894516</v>
          </cell>
          <cell r="I187">
            <v>408.45371602356954</v>
          </cell>
          <cell r="J187">
            <v>412.08895647215564</v>
          </cell>
          <cell r="K187">
            <v>406.20772163645915</v>
          </cell>
          <cell r="L187">
            <v>357.74086573642296</v>
          </cell>
          <cell r="N187">
            <v>444.39894439894516</v>
          </cell>
          <cell r="O187">
            <v>82.727272727267646</v>
          </cell>
          <cell r="P187">
            <v>-0.19500064020117847</v>
          </cell>
        </row>
        <row r="188">
          <cell r="A188" t="str">
            <v>Terrain</v>
          </cell>
          <cell r="B188" t="str">
            <v>NM</v>
          </cell>
          <cell r="C188" t="str">
            <v>NM</v>
          </cell>
          <cell r="D188" t="str">
            <v>NM</v>
          </cell>
          <cell r="E188" t="str">
            <v>NM</v>
          </cell>
          <cell r="F188" t="str">
            <v>NM</v>
          </cell>
          <cell r="G188" t="str">
            <v>NM</v>
          </cell>
          <cell r="H188" t="str">
            <v>NM</v>
          </cell>
          <cell r="I188" t="str">
            <v>NM</v>
          </cell>
          <cell r="J188">
            <v>297.68421052631578</v>
          </cell>
          <cell r="K188">
            <v>329.4736842105263</v>
          </cell>
          <cell r="L188">
            <v>152.85087719298247</v>
          </cell>
          <cell r="N188">
            <v>329.4736842105263</v>
          </cell>
          <cell r="O188">
            <v>297.68421052631578</v>
          </cell>
          <cell r="P188">
            <v>-0.5360756123535676</v>
          </cell>
        </row>
        <row r="190">
          <cell r="A190" t="str">
            <v>Urban Outfitters (division)</v>
          </cell>
          <cell r="C190">
            <v>-2.4049008393070559E-2</v>
          </cell>
          <cell r="D190">
            <v>7.5825908971686395E-2</v>
          </cell>
          <cell r="E190">
            <v>0.1193977190884179</v>
          </cell>
          <cell r="F190">
            <v>0.20156145710576245</v>
          </cell>
          <cell r="G190">
            <v>0.10209038112234659</v>
          </cell>
          <cell r="H190">
            <v>-8.1127685663210158E-2</v>
          </cell>
          <cell r="I190">
            <v>-3.7286819645099278E-5</v>
          </cell>
          <cell r="J190">
            <v>5.4734891312709699E-2</v>
          </cell>
          <cell r="K190">
            <v>-9.7207394611842912E-2</v>
          </cell>
          <cell r="L190">
            <v>6.9600447244340558E-2</v>
          </cell>
        </row>
        <row r="191">
          <cell r="A191" t="str">
            <v>Anthropologie</v>
          </cell>
          <cell r="C191">
            <v>9.731120521409875E-2</v>
          </cell>
          <cell r="D191">
            <v>7.6744591383510086E-2</v>
          </cell>
          <cell r="E191">
            <v>5.2503833043058279E-2</v>
          </cell>
          <cell r="F191">
            <v>0.24247092667789549</v>
          </cell>
          <cell r="G191">
            <v>2.3018336633396475E-2</v>
          </cell>
          <cell r="H191">
            <v>-6.6001352333132868E-2</v>
          </cell>
          <cell r="I191">
            <v>0.11111243922681591</v>
          </cell>
          <cell r="J191">
            <v>1.9890915973182155E-2</v>
          </cell>
          <cell r="K191">
            <v>-3.056886261679137E-2</v>
          </cell>
          <cell r="L191">
            <v>2.6579605554902797E-2</v>
          </cell>
        </row>
        <row r="192">
          <cell r="A192" t="str">
            <v>Free People (Retail)</v>
          </cell>
          <cell r="C192" t="e">
            <v>#VALUE!</v>
          </cell>
          <cell r="D192" t="e">
            <v>#VALUE!</v>
          </cell>
          <cell r="E192">
            <v>3.7692307692313856</v>
          </cell>
          <cell r="F192">
            <v>-0.20757513836269736</v>
          </cell>
          <cell r="G192">
            <v>-2.100262864085789E-2</v>
          </cell>
          <cell r="H192">
            <v>0.4518988321509001</v>
          </cell>
          <cell r="I192">
            <v>-8.0885044459302113E-2</v>
          </cell>
          <cell r="J192">
            <v>8.9000058170025653E-3</v>
          </cell>
          <cell r="K192">
            <v>-1.4271760364667485E-2</v>
          </cell>
          <cell r="L192">
            <v>-0.11931544704463359</v>
          </cell>
        </row>
        <row r="193">
          <cell r="A193" t="str">
            <v>Terrain</v>
          </cell>
          <cell r="C193" t="e">
            <v>#VALUE!</v>
          </cell>
          <cell r="D193" t="e">
            <v>#VALUE!</v>
          </cell>
          <cell r="E193" t="e">
            <v>#VALUE!</v>
          </cell>
          <cell r="F193" t="e">
            <v>#VALUE!</v>
          </cell>
          <cell r="G193" t="e">
            <v>#VALUE!</v>
          </cell>
          <cell r="H193" t="e">
            <v>#VALUE!</v>
          </cell>
          <cell r="I193" t="e">
            <v>#VALUE!</v>
          </cell>
          <cell r="J193" t="e">
            <v>#VALUE!</v>
          </cell>
          <cell r="K193">
            <v>0.10678925035360676</v>
          </cell>
          <cell r="L193">
            <v>-0.5360756123535676</v>
          </cell>
        </row>
        <row r="196">
          <cell r="A196" t="str">
            <v>GAP - Gap division sales productivity</v>
          </cell>
          <cell r="B196">
            <v>2000</v>
          </cell>
          <cell r="C196">
            <v>2001</v>
          </cell>
          <cell r="D196">
            <v>2002</v>
          </cell>
          <cell r="E196">
            <v>2003</v>
          </cell>
          <cell r="F196">
            <v>2004</v>
          </cell>
          <cell r="G196">
            <v>2005</v>
          </cell>
          <cell r="H196">
            <v>2006</v>
          </cell>
          <cell r="I196">
            <v>2007</v>
          </cell>
          <cell r="J196">
            <v>2008</v>
          </cell>
          <cell r="K196" t="str">
            <v>2009</v>
          </cell>
          <cell r="L196">
            <v>2010</v>
          </cell>
          <cell r="N196" t="str">
            <v>Max</v>
          </cell>
          <cell r="O196" t="str">
            <v>Min</v>
          </cell>
          <cell r="P196" t="str">
            <v>2010 vs max</v>
          </cell>
        </row>
        <row r="197">
          <cell r="A197" t="str">
            <v>Gap (division)</v>
          </cell>
          <cell r="B197" t="str">
            <v>NM</v>
          </cell>
          <cell r="C197">
            <v>395.07042253521126</v>
          </cell>
          <cell r="D197">
            <v>380.1398601398601</v>
          </cell>
          <cell r="E197">
            <v>414.12186379928318</v>
          </cell>
          <cell r="F197">
            <v>429.60747663551405</v>
          </cell>
          <cell r="G197">
            <v>420.11650485436894</v>
          </cell>
          <cell r="H197">
            <v>408.27037773359842</v>
          </cell>
          <cell r="I197">
            <v>392.63157894736844</v>
          </cell>
          <cell r="J197">
            <v>373.60995850622402</v>
          </cell>
          <cell r="K197">
            <v>354.94646680942179</v>
          </cell>
          <cell r="L197">
            <v>354.82623096253781</v>
          </cell>
          <cell r="N197">
            <v>429.60747663551405</v>
          </cell>
          <cell r="O197">
            <v>354.94646680942179</v>
          </cell>
          <cell r="P197">
            <v>-0.17406877147164235</v>
          </cell>
        </row>
        <row r="199">
          <cell r="A199" t="str">
            <v>VS calculations</v>
          </cell>
          <cell r="C199">
            <v>2001</v>
          </cell>
          <cell r="D199">
            <v>2002</v>
          </cell>
          <cell r="E199">
            <v>2003</v>
          </cell>
          <cell r="F199">
            <v>2004</v>
          </cell>
          <cell r="G199">
            <v>2005</v>
          </cell>
          <cell r="H199">
            <v>2006</v>
          </cell>
          <cell r="I199">
            <v>2007</v>
          </cell>
          <cell r="J199">
            <v>2008</v>
          </cell>
          <cell r="K199">
            <v>2009</v>
          </cell>
          <cell r="L199" t="str">
            <v>2010E</v>
          </cell>
          <cell r="N199" t="str">
            <v>Max</v>
          </cell>
          <cell r="O199" t="str">
            <v>Min</v>
          </cell>
          <cell r="P199" t="str">
            <v>2010 vs max</v>
          </cell>
        </row>
        <row r="200">
          <cell r="A200" t="str">
            <v>Victoria's Secret Stores</v>
          </cell>
          <cell r="C200">
            <v>550.8625136110951</v>
          </cell>
          <cell r="D200">
            <v>577.77050253724008</v>
          </cell>
          <cell r="E200">
            <v>601.54543032240872</v>
          </cell>
          <cell r="F200">
            <v>648.74439929144523</v>
          </cell>
          <cell r="G200">
            <v>652.34070550129047</v>
          </cell>
          <cell r="H200">
            <v>731.47827806059399</v>
          </cell>
          <cell r="I200">
            <v>682.69936370814185</v>
          </cell>
          <cell r="J200">
            <v>613.98471323961724</v>
          </cell>
          <cell r="K200">
            <v>578.92143670427492</v>
          </cell>
          <cell r="L200">
            <v>627.9275198661386</v>
          </cell>
          <cell r="N200">
            <v>731.47827806059399</v>
          </cell>
          <cell r="O200">
            <v>550.8625136110951</v>
          </cell>
          <cell r="P200">
            <v>-0.14156368179381196</v>
          </cell>
        </row>
        <row r="202">
          <cell r="A202" t="str">
            <v>AEO calculations</v>
          </cell>
          <cell r="B202">
            <v>2000</v>
          </cell>
          <cell r="C202">
            <v>2001</v>
          </cell>
          <cell r="D202">
            <v>2002</v>
          </cell>
          <cell r="E202">
            <v>2003</v>
          </cell>
          <cell r="F202">
            <v>2004</v>
          </cell>
          <cell r="G202">
            <v>2005</v>
          </cell>
          <cell r="H202">
            <v>2006</v>
          </cell>
          <cell r="I202">
            <v>2007</v>
          </cell>
          <cell r="J202">
            <v>2008</v>
          </cell>
          <cell r="K202" t="str">
            <v>2009</v>
          </cell>
          <cell r="L202">
            <v>2010</v>
          </cell>
          <cell r="N202" t="str">
            <v>Max</v>
          </cell>
          <cell r="O202" t="str">
            <v>Min</v>
          </cell>
          <cell r="P202" t="str">
            <v>2010 vs max</v>
          </cell>
        </row>
        <row r="203">
          <cell r="A203" t="str">
            <v>aerie</v>
          </cell>
          <cell r="B203" t="str">
            <v>NA</v>
          </cell>
          <cell r="C203" t="str">
            <v>NA</v>
          </cell>
          <cell r="D203" t="str">
            <v>NA</v>
          </cell>
          <cell r="E203" t="str">
            <v>NA</v>
          </cell>
          <cell r="F203" t="str">
            <v>NA</v>
          </cell>
          <cell r="G203" t="str">
            <v>NA</v>
          </cell>
          <cell r="H203" t="str">
            <v>NA</v>
          </cell>
          <cell r="I203">
            <v>65.076999999999998</v>
          </cell>
          <cell r="J203">
            <v>338.88775000000004</v>
          </cell>
          <cell r="K203">
            <v>514.66875000000005</v>
          </cell>
          <cell r="L203">
            <v>567.74511678832118</v>
          </cell>
          <cell r="N203">
            <v>514.66875000000005</v>
          </cell>
          <cell r="O203">
            <v>65.076999999999998</v>
          </cell>
          <cell r="P203">
            <v>0.10312723822521019</v>
          </cell>
        </row>
      </sheetData>
      <sheetData sheetId="16"/>
      <sheetData sheetId="17"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efreshError="1">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efreshError="1">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Analysis"/>
      <sheetName val="For Inv. Report"/>
      <sheetName val="Inv"/>
      <sheetName val="Debt"/>
      <sheetName val="  "/>
      <sheetName val="JCP"/>
      <sheetName val="JWN"/>
      <sheetName val="KSS"/>
      <sheetName val="M"/>
      <sheetName val="SKS"/>
      <sheetName val="CapEx"/>
      <sheetName val="__FDSCACHE__"/>
      <sheetName val="MW-Cache"/>
    </sheetNames>
    <sheetDataSet>
      <sheetData sheetId="0"/>
      <sheetData sheetId="1"/>
      <sheetData sheetId="2"/>
      <sheetData sheetId="3"/>
      <sheetData sheetId="4"/>
      <sheetData sheetId="5"/>
      <sheetData sheetId="6">
        <row r="54">
          <cell r="A54" t="str">
            <v>1 Yr Comps</v>
          </cell>
          <cell r="B54" t="str">
            <v>2007Q1</v>
          </cell>
          <cell r="C54" t="str">
            <v>2007Q2</v>
          </cell>
          <cell r="D54" t="str">
            <v>2007Q3</v>
          </cell>
          <cell r="E54" t="str">
            <v>2007Q4</v>
          </cell>
          <cell r="F54" t="str">
            <v>2008Q1</v>
          </cell>
          <cell r="G54" t="str">
            <v>2008Q2</v>
          </cell>
          <cell r="H54" t="str">
            <v>2008Q3</v>
          </cell>
          <cell r="I54" t="str">
            <v>2008Q4</v>
          </cell>
          <cell r="J54" t="str">
            <v>2009Q1</v>
          </cell>
          <cell r="K54" t="str">
            <v>2009Q2</v>
          </cell>
          <cell r="L54" t="str">
            <v>2009Q3</v>
          </cell>
          <cell r="M54" t="str">
            <v>2009Q4</v>
          </cell>
          <cell r="N54" t="str">
            <v>2010Q1</v>
          </cell>
          <cell r="O54" t="str">
            <v>2010Q2</v>
          </cell>
          <cell r="P54" t="str">
            <v>2010Q3</v>
          </cell>
          <cell r="Q54" t="str">
            <v>2010Q4</v>
          </cell>
          <cell r="R54" t="str">
            <v>2011Q1</v>
          </cell>
          <cell r="S54" t="str">
            <v>2011Q2</v>
          </cell>
          <cell r="T54" t="str">
            <v>2011Q3</v>
          </cell>
          <cell r="U54" t="str">
            <v>2011Q4e</v>
          </cell>
          <cell r="V54" t="str">
            <v>2012Q1e</v>
          </cell>
          <cell r="W54" t="str">
            <v>2012Q2e</v>
          </cell>
          <cell r="X54" t="str">
            <v>2012Q3e</v>
          </cell>
          <cell r="Y54" t="str">
            <v>2012Q4e</v>
          </cell>
        </row>
        <row r="55">
          <cell r="A55" t="str">
            <v>JCP</v>
          </cell>
          <cell r="B55">
            <v>2.1999999999999999E-2</v>
          </cell>
          <cell r="C55">
            <v>1.9E-2</v>
          </cell>
          <cell r="D55">
            <v>-3.5000000000000003E-2</v>
          </cell>
          <cell r="E55">
            <v>-3.5999999999999997E-2</v>
          </cell>
          <cell r="F55">
            <v>-7.3999999999999996E-2</v>
          </cell>
          <cell r="G55">
            <v>-4.2999999999999997E-2</v>
          </cell>
          <cell r="H55">
            <v>-0.10100000000000001</v>
          </cell>
          <cell r="I55">
            <v>-0.108</v>
          </cell>
          <cell r="J55">
            <v>-7.4999999999999997E-2</v>
          </cell>
          <cell r="K55">
            <v>-9.5000000000000001E-2</v>
          </cell>
          <cell r="L55">
            <v>-4.5999999999999999E-2</v>
          </cell>
          <cell r="M55">
            <v>-4.4999999999999998E-2</v>
          </cell>
          <cell r="N55">
            <v>1.6E-2</v>
          </cell>
          <cell r="O55">
            <v>8.9999999999999993E-3</v>
          </cell>
          <cell r="P55">
            <v>1.9E-2</v>
          </cell>
          <cell r="Q55">
            <v>4.4999999999999998E-2</v>
          </cell>
          <cell r="R55">
            <v>3.7999999999999999E-2</v>
          </cell>
          <cell r="S55">
            <v>1.4999999999999999E-2</v>
          </cell>
          <cell r="T55">
            <v>0</v>
          </cell>
          <cell r="U55">
            <v>0</v>
          </cell>
          <cell r="V55">
            <v>-2.1608157959071499E-2</v>
          </cell>
          <cell r="W55">
            <v>-1.1378008352056337E-2</v>
          </cell>
          <cell r="X55">
            <v>4.2433391807850905E-3</v>
          </cell>
          <cell r="Y55">
            <v>3.161220202750066E-3</v>
          </cell>
        </row>
        <row r="56">
          <cell r="A56" t="str">
            <v>M</v>
          </cell>
          <cell r="B56">
            <v>6.0000000000000001E-3</v>
          </cell>
          <cell r="C56">
            <v>-2.5999999999999999E-2</v>
          </cell>
          <cell r="D56">
            <v>-8.0000000000000002E-3</v>
          </cell>
          <cell r="E56">
            <v>-0.02</v>
          </cell>
          <cell r="F56">
            <v>-2.5999999999999999E-2</v>
          </cell>
          <cell r="G56">
            <v>-2.1000000000000001E-2</v>
          </cell>
          <cell r="H56">
            <v>-0.06</v>
          </cell>
          <cell r="I56">
            <v>-7.0000000000000007E-2</v>
          </cell>
          <cell r="J56">
            <v>-0.09</v>
          </cell>
          <cell r="K56">
            <v>-9.5000000000000001E-2</v>
          </cell>
          <cell r="L56">
            <v>-3.5999999999999997E-2</v>
          </cell>
          <cell r="M56">
            <v>-8.0000000000000002E-3</v>
          </cell>
          <cell r="N56">
            <v>5.5E-2</v>
          </cell>
          <cell r="O56">
            <v>4.9000000000000002E-2</v>
          </cell>
          <cell r="P56">
            <v>3.9E-2</v>
          </cell>
          <cell r="Q56">
            <v>4.2999999999999997E-2</v>
          </cell>
          <cell r="R56">
            <v>5.3999999999999999E-2</v>
          </cell>
          <cell r="S56">
            <v>6.4000000000000001E-2</v>
          </cell>
          <cell r="T56">
            <v>0.04</v>
          </cell>
          <cell r="U56">
            <v>5.1999999999999998E-2</v>
          </cell>
          <cell r="V56">
            <v>3.1230920582903131E-2</v>
          </cell>
          <cell r="W56">
            <v>2.9742596430138542E-2</v>
          </cell>
          <cell r="X56">
            <v>4.4925303944057193E-2</v>
          </cell>
          <cell r="Y56">
            <v>3.4620305559042677E-2</v>
          </cell>
        </row>
        <row r="57">
          <cell r="A57" t="str">
            <v>KSS</v>
          </cell>
          <cell r="B57">
            <v>3.9E-2</v>
          </cell>
          <cell r="C57">
            <v>1.2999999999999999E-2</v>
          </cell>
          <cell r="D57">
            <v>-2.5683781240196588E-2</v>
          </cell>
          <cell r="E57">
            <v>-0.04</v>
          </cell>
          <cell r="F57">
            <v>-6.7000000000000004E-2</v>
          </cell>
          <cell r="G57">
            <v>-4.5999999999999999E-2</v>
          </cell>
          <cell r="H57">
            <v>-6.7000000000000004E-2</v>
          </cell>
          <cell r="I57">
            <v>-9.0999999999999998E-2</v>
          </cell>
          <cell r="J57">
            <v>-4.2000000000000003E-2</v>
          </cell>
          <cell r="K57">
            <v>-2.3E-2</v>
          </cell>
          <cell r="L57">
            <v>2.4E-2</v>
          </cell>
          <cell r="M57">
            <v>4.4999999999999998E-2</v>
          </cell>
          <cell r="N57">
            <v>7.3999999999999996E-2</v>
          </cell>
          <cell r="O57">
            <v>4.5999999999999999E-2</v>
          </cell>
          <cell r="P57">
            <v>1.7999999999999999E-2</v>
          </cell>
          <cell r="Q57">
            <v>4.2999999999999997E-2</v>
          </cell>
          <cell r="R57">
            <v>1.2999999999999999E-2</v>
          </cell>
          <cell r="S57">
            <v>1.9E-2</v>
          </cell>
          <cell r="T57">
            <v>2.1000000000000001E-2</v>
          </cell>
          <cell r="U57">
            <v>-2.1000000000000001E-2</v>
          </cell>
          <cell r="V57">
            <v>-2.8459367930321836E-3</v>
          </cell>
          <cell r="W57">
            <v>3.7799915846087641E-3</v>
          </cell>
          <cell r="X57">
            <v>8.2509903068364102E-3</v>
          </cell>
          <cell r="Y57">
            <v>2.2272400277867151E-2</v>
          </cell>
        </row>
        <row r="58">
          <cell r="A58" t="str">
            <v>BONT</v>
          </cell>
          <cell r="B58">
            <v>-2.5000000000000001E-2</v>
          </cell>
          <cell r="C58">
            <v>-0.05</v>
          </cell>
          <cell r="D58">
            <v>-0.03</v>
          </cell>
          <cell r="E58">
            <v>-3.5999999999999997E-2</v>
          </cell>
          <cell r="F58">
            <v>-4.5999999999999999E-2</v>
          </cell>
          <cell r="G58">
            <v>-5.7000000000000002E-2</v>
          </cell>
          <cell r="H58">
            <v>-8.3000000000000004E-2</v>
          </cell>
          <cell r="I58">
            <v>-9.7000000000000003E-2</v>
          </cell>
          <cell r="J58">
            <v>-8.5999999999999993E-2</v>
          </cell>
          <cell r="K58">
            <v>-9.8000000000000004E-2</v>
          </cell>
          <cell r="L58">
            <v>-2.5999999999999999E-2</v>
          </cell>
          <cell r="M58">
            <v>-2.4E-2</v>
          </cell>
          <cell r="N58">
            <v>0.03</v>
          </cell>
          <cell r="O58">
            <v>2E-3</v>
          </cell>
          <cell r="P58">
            <v>-3.0000000000000001E-3</v>
          </cell>
          <cell r="Q58">
            <v>8.0000000000000002E-3</v>
          </cell>
          <cell r="R58">
            <v>-1.2E-2</v>
          </cell>
          <cell r="S58">
            <v>-1.4999999999999999E-2</v>
          </cell>
          <cell r="T58">
            <v>-5.8999999999999997E-2</v>
          </cell>
          <cell r="U58">
            <v>-0.03</v>
          </cell>
        </row>
        <row r="59">
          <cell r="A59" t="str">
            <v>DDS</v>
          </cell>
          <cell r="B59">
            <v>-0.05</v>
          </cell>
          <cell r="C59">
            <v>-0.03</v>
          </cell>
          <cell r="D59">
            <v>-0.06</v>
          </cell>
          <cell r="E59">
            <v>-0.05</v>
          </cell>
          <cell r="F59">
            <v>-0.06</v>
          </cell>
          <cell r="G59">
            <v>-0.04</v>
          </cell>
          <cell r="H59">
            <v>-0.09</v>
          </cell>
          <cell r="I59">
            <v>-0.08</v>
          </cell>
          <cell r="J59">
            <v>-0.13</v>
          </cell>
          <cell r="K59">
            <v>-0.13</v>
          </cell>
          <cell r="L59">
            <v>-0.09</v>
          </cell>
          <cell r="M59">
            <v>-0.08</v>
          </cell>
          <cell r="N59">
            <v>0.02</v>
          </cell>
          <cell r="O59">
            <v>0</v>
          </cell>
          <cell r="P59">
            <v>0.01</v>
          </cell>
          <cell r="Q59">
            <v>7.0000000000000007E-2</v>
          </cell>
          <cell r="R59">
            <v>0.02</v>
          </cell>
          <cell r="S59">
            <v>0.06</v>
          </cell>
          <cell r="T59">
            <v>0.05</v>
          </cell>
          <cell r="U59">
            <v>0.02</v>
          </cell>
        </row>
        <row r="60">
          <cell r="A60" t="str">
            <v>Spread</v>
          </cell>
          <cell r="B60">
            <v>-5.0000000000000044E-4</v>
          </cell>
          <cell r="C60">
            <v>2.5499999999999998E-2</v>
          </cell>
          <cell r="D60">
            <v>-1.8158109379901709E-2</v>
          </cell>
          <cell r="E60">
            <v>-5.9999999999999984E-3</v>
          </cell>
          <cell r="F60">
            <v>-2.7499999999999997E-2</v>
          </cell>
          <cell r="G60">
            <v>-9.4999999999999946E-3</v>
          </cell>
          <cell r="H60">
            <v>-3.7500000000000006E-2</v>
          </cell>
          <cell r="I60">
            <v>-2.7499999999999997E-2</v>
          </cell>
          <cell r="J60">
            <v>-8.9999999999999941E-3</v>
          </cell>
          <cell r="K60">
            <v>-3.6000000000000004E-2</v>
          </cell>
          <cell r="L60">
            <v>-0.04</v>
          </cell>
          <cell r="M60">
            <v>-6.3500000000000001E-2</v>
          </cell>
          <cell r="N60">
            <v>-4.8500000000000001E-2</v>
          </cell>
          <cell r="O60">
            <v>-3.85E-2</v>
          </cell>
          <cell r="P60">
            <v>-9.499999999999998E-3</v>
          </cell>
          <cell r="Q60">
            <v>2.0000000000000018E-3</v>
          </cell>
          <cell r="R60">
            <v>4.4999999999999971E-3</v>
          </cell>
          <cell r="S60">
            <v>-2.6500000000000003E-2</v>
          </cell>
          <cell r="T60">
            <v>-3.0499999999999999E-2</v>
          </cell>
          <cell r="U60">
            <v>-1.5499999999999998E-2</v>
          </cell>
          <cell r="V60">
            <v>-3.5800649854006973E-2</v>
          </cell>
          <cell r="W60">
            <v>-2.8139302359429991E-2</v>
          </cell>
          <cell r="X60">
            <v>-2.2344807944661711E-2</v>
          </cell>
          <cell r="Y60">
            <v>-2.5285132715704848E-2</v>
          </cell>
        </row>
        <row r="61">
          <cell r="G61" t="str">
            <v>2Q08</v>
          </cell>
          <cell r="H61" t="str">
            <v>3Q08</v>
          </cell>
          <cell r="I61" t="str">
            <v>4Q08</v>
          </cell>
          <cell r="J61" t="str">
            <v>1Q09</v>
          </cell>
          <cell r="K61" t="str">
            <v>2Q09</v>
          </cell>
          <cell r="L61" t="str">
            <v>3Q09</v>
          </cell>
          <cell r="M61" t="str">
            <v>4Q09</v>
          </cell>
          <cell r="N61" t="str">
            <v>1Q10</v>
          </cell>
          <cell r="O61" t="str">
            <v>2Q10</v>
          </cell>
          <cell r="P61" t="str">
            <v>3Q10</v>
          </cell>
          <cell r="Q61" t="str">
            <v>4Q10</v>
          </cell>
          <cell r="R61" t="str">
            <v>1Q11</v>
          </cell>
          <cell r="S61" t="str">
            <v>2Q11</v>
          </cell>
          <cell r="T61" t="str">
            <v xml:space="preserve">3Q11 </v>
          </cell>
          <cell r="U61" t="str">
            <v>4Q11e</v>
          </cell>
          <cell r="V61" t="str">
            <v>1Q12e</v>
          </cell>
          <cell r="W61" t="str">
            <v>2Q12e</v>
          </cell>
          <cell r="X61" t="str">
            <v>3Q12e</v>
          </cell>
          <cell r="Y61" t="str">
            <v>4Q11e</v>
          </cell>
        </row>
        <row r="62">
          <cell r="A62" t="str">
            <v>2 Yr Comps</v>
          </cell>
          <cell r="B62" t="str">
            <v>2007Q1</v>
          </cell>
          <cell r="C62" t="str">
            <v>2007Q2</v>
          </cell>
          <cell r="D62" t="str">
            <v>2007Q3</v>
          </cell>
          <cell r="E62" t="str">
            <v>2007Q4</v>
          </cell>
          <cell r="F62" t="str">
            <v>2008Q1</v>
          </cell>
          <cell r="G62" t="str">
            <v>2008Q2</v>
          </cell>
          <cell r="H62" t="str">
            <v>2008Q3</v>
          </cell>
          <cell r="I62" t="str">
            <v>2008Q4</v>
          </cell>
          <cell r="J62" t="str">
            <v>2009Q1</v>
          </cell>
          <cell r="K62" t="str">
            <v>2009Q2</v>
          </cell>
          <cell r="L62" t="str">
            <v>2009Q3</v>
          </cell>
          <cell r="M62" t="str">
            <v>2009Q4</v>
          </cell>
          <cell r="N62" t="str">
            <v>2010Q1</v>
          </cell>
          <cell r="O62" t="str">
            <v>2010Q2</v>
          </cell>
          <cell r="P62" t="str">
            <v>2010Q3</v>
          </cell>
          <cell r="Q62" t="str">
            <v>2010Q4</v>
          </cell>
          <cell r="R62" t="str">
            <v>2011Q1</v>
          </cell>
          <cell r="S62" t="str">
            <v>2011Q2</v>
          </cell>
          <cell r="T62" t="str">
            <v>2011Q3</v>
          </cell>
          <cell r="U62" t="str">
            <v>2011Q4e</v>
          </cell>
          <cell r="V62" t="str">
            <v>2012Q1e</v>
          </cell>
          <cell r="W62" t="str">
            <v>2012Q2e</v>
          </cell>
          <cell r="X62" t="str">
            <v>2012Q3e</v>
          </cell>
          <cell r="Y62" t="str">
            <v>2012Q4e</v>
          </cell>
        </row>
        <row r="63">
          <cell r="A63" t="str">
            <v>JCP</v>
          </cell>
          <cell r="F63">
            <v>-2.5999999999999999E-2</v>
          </cell>
          <cell r="G63">
            <v>-1.1999999999999999E-2</v>
          </cell>
          <cell r="H63">
            <v>-6.8000000000000005E-2</v>
          </cell>
          <cell r="I63">
            <v>-7.1999999999999995E-2</v>
          </cell>
          <cell r="J63">
            <v>-7.4499999999999997E-2</v>
          </cell>
          <cell r="K63">
            <v>-6.9000000000000006E-2</v>
          </cell>
          <cell r="L63">
            <v>-7.350000000000001E-2</v>
          </cell>
          <cell r="M63">
            <v>-7.6499999999999999E-2</v>
          </cell>
          <cell r="N63">
            <v>-2.9499999999999998E-2</v>
          </cell>
          <cell r="O63">
            <v>-4.3000000000000003E-2</v>
          </cell>
          <cell r="P63">
            <v>-1.35E-2</v>
          </cell>
          <cell r="Q63">
            <v>0</v>
          </cell>
          <cell r="R63">
            <v>2.7E-2</v>
          </cell>
          <cell r="S63">
            <v>1.2E-2</v>
          </cell>
          <cell r="T63">
            <v>9.4999999999999998E-3</v>
          </cell>
          <cell r="U63">
            <v>2.2499999999999999E-2</v>
          </cell>
          <cell r="V63">
            <v>8.1959210204642502E-3</v>
          </cell>
          <cell r="W63">
            <v>1.810995823971831E-3</v>
          </cell>
          <cell r="X63">
            <v>2.1216695903925453E-3</v>
          </cell>
          <cell r="Y63">
            <v>1.580610101375033E-3</v>
          </cell>
        </row>
        <row r="64">
          <cell r="A64" t="str">
            <v>M</v>
          </cell>
          <cell r="F64">
            <v>-9.9999999999999985E-3</v>
          </cell>
          <cell r="G64">
            <v>-2.35E-2</v>
          </cell>
          <cell r="H64">
            <v>-3.4000000000000002E-2</v>
          </cell>
          <cell r="I64">
            <v>-4.5000000000000005E-2</v>
          </cell>
          <cell r="J64">
            <v>-5.7999999999999996E-2</v>
          </cell>
          <cell r="K64">
            <v>-5.8000000000000003E-2</v>
          </cell>
          <cell r="L64">
            <v>-4.8000000000000001E-2</v>
          </cell>
          <cell r="M64">
            <v>-3.9000000000000007E-2</v>
          </cell>
          <cell r="N64">
            <v>-1.7499999999999998E-2</v>
          </cell>
          <cell r="O64">
            <v>-2.3E-2</v>
          </cell>
          <cell r="P64">
            <v>1.5000000000000013E-3</v>
          </cell>
          <cell r="Q64">
            <v>1.7499999999999998E-2</v>
          </cell>
          <cell r="R64">
            <v>5.45E-2</v>
          </cell>
          <cell r="S64">
            <v>5.6500000000000002E-2</v>
          </cell>
          <cell r="T64">
            <v>3.95E-2</v>
          </cell>
          <cell r="U64">
            <v>4.7500000000000001E-2</v>
          </cell>
          <cell r="V64">
            <v>4.2615460291451565E-2</v>
          </cell>
          <cell r="W64">
            <v>4.6871298215069274E-2</v>
          </cell>
          <cell r="X64">
            <v>4.2462651972028601E-2</v>
          </cell>
          <cell r="Y64">
            <v>4.3310152779521341E-2</v>
          </cell>
        </row>
        <row r="65">
          <cell r="A65" t="str">
            <v>KSS</v>
          </cell>
          <cell r="F65">
            <v>-1.4000000000000002E-2</v>
          </cell>
          <cell r="G65">
            <v>-1.6500000000000001E-2</v>
          </cell>
          <cell r="H65">
            <v>-4.6341890620098296E-2</v>
          </cell>
          <cell r="I65">
            <v>-6.5500000000000003E-2</v>
          </cell>
          <cell r="J65">
            <v>-5.4500000000000007E-2</v>
          </cell>
          <cell r="K65">
            <v>-3.4500000000000003E-2</v>
          </cell>
          <cell r="L65">
            <v>-2.1500000000000002E-2</v>
          </cell>
          <cell r="M65">
            <v>-2.3E-2</v>
          </cell>
          <cell r="N65">
            <v>1.5999999999999997E-2</v>
          </cell>
          <cell r="O65">
            <v>1.15E-2</v>
          </cell>
          <cell r="P65">
            <v>2.0999999999999998E-2</v>
          </cell>
          <cell r="Q65">
            <v>4.3999999999999997E-2</v>
          </cell>
          <cell r="R65">
            <v>4.3499999999999997E-2</v>
          </cell>
          <cell r="S65">
            <v>3.2500000000000001E-2</v>
          </cell>
          <cell r="T65">
            <v>1.95E-2</v>
          </cell>
          <cell r="U65">
            <v>1.0999999999999998E-2</v>
          </cell>
          <cell r="V65">
            <v>5.0770316034839079E-3</v>
          </cell>
          <cell r="W65">
            <v>1.1389995792304382E-2</v>
          </cell>
          <cell r="X65">
            <v>1.4625495153418206E-2</v>
          </cell>
          <cell r="Y65">
            <v>6.3620013893357467E-4</v>
          </cell>
        </row>
        <row r="68">
          <cell r="A68" t="str">
            <v>Spread</v>
          </cell>
          <cell r="F68">
            <v>-1.3999999999999999E-2</v>
          </cell>
          <cell r="G68">
            <v>8.0000000000000019E-3</v>
          </cell>
          <cell r="H68">
            <v>-2.7829054689950852E-2</v>
          </cell>
          <cell r="I68">
            <v>-1.6749999999999987E-2</v>
          </cell>
          <cell r="J68">
            <v>-1.8249999999999995E-2</v>
          </cell>
          <cell r="K68">
            <v>-2.2750000000000006E-2</v>
          </cell>
          <cell r="L68">
            <v>-3.8750000000000007E-2</v>
          </cell>
          <cell r="M68">
            <v>-4.5499999999999999E-2</v>
          </cell>
          <cell r="N68">
            <v>-2.8749999999999998E-2</v>
          </cell>
          <cell r="O68">
            <v>-3.7250000000000005E-2</v>
          </cell>
          <cell r="P68">
            <v>-2.4750000000000001E-2</v>
          </cell>
          <cell r="Q68">
            <v>-3.075E-2</v>
          </cell>
          <cell r="R68">
            <v>-2.2000000000000002E-2</v>
          </cell>
          <cell r="S68">
            <v>-3.2500000000000001E-2</v>
          </cell>
          <cell r="T68">
            <v>-1.9999999999999997E-2</v>
          </cell>
          <cell r="U68">
            <v>-6.7499999999999991E-3</v>
          </cell>
          <cell r="V68">
            <v>-1.5650324927003488E-2</v>
          </cell>
          <cell r="W68">
            <v>-2.7319651179714997E-2</v>
          </cell>
          <cell r="X68">
            <v>-2.6422403972330859E-2</v>
          </cell>
          <cell r="Y68">
            <v>-2.0392566357852426E-2</v>
          </cell>
        </row>
        <row r="90">
          <cell r="K90">
            <v>2000</v>
          </cell>
          <cell r="L90">
            <v>2001</v>
          </cell>
          <cell r="M90">
            <v>2002</v>
          </cell>
          <cell r="N90">
            <v>2003</v>
          </cell>
          <cell r="O90">
            <v>2004</v>
          </cell>
          <cell r="P90">
            <v>2005</v>
          </cell>
          <cell r="Q90">
            <v>2006</v>
          </cell>
          <cell r="R90">
            <v>2007</v>
          </cell>
          <cell r="S90">
            <v>2008</v>
          </cell>
          <cell r="T90">
            <v>2009</v>
          </cell>
          <cell r="U90">
            <v>2010</v>
          </cell>
          <cell r="V90" t="str">
            <v>1H11</v>
          </cell>
        </row>
        <row r="91">
          <cell r="C91" t="str">
            <v>2Q10</v>
          </cell>
          <cell r="D91" t="str">
            <v>3Q10</v>
          </cell>
          <cell r="E91" t="str">
            <v>4Q10</v>
          </cell>
          <cell r="F91" t="str">
            <v>1Q11</v>
          </cell>
          <cell r="G91" t="str">
            <v>2Q11</v>
          </cell>
          <cell r="H91" t="str">
            <v>3Q11</v>
          </cell>
          <cell r="J91" t="str">
            <v>JCP</v>
          </cell>
          <cell r="K91">
            <v>-2.4E-2</v>
          </cell>
          <cell r="L91">
            <v>3.125E-2</v>
          </cell>
          <cell r="M91">
            <v>2.8250000000000001E-2</v>
          </cell>
          <cell r="N91">
            <v>8.0000000000000002E-3</v>
          </cell>
          <cell r="O91">
            <v>4.9000000000000002E-2</v>
          </cell>
          <cell r="P91">
            <v>2.9000000000000001E-2</v>
          </cell>
          <cell r="Q91">
            <v>3.6999999999999998E-2</v>
          </cell>
          <cell r="R91">
            <v>-1.0999999999999999E-2</v>
          </cell>
          <cell r="S91">
            <v>-8.5000000000000006E-2</v>
          </cell>
          <cell r="T91">
            <v>-6.3078925007644338E-2</v>
          </cell>
          <cell r="U91">
            <v>0</v>
          </cell>
          <cell r="V91">
            <v>2.6499999999999999E-2</v>
          </cell>
        </row>
        <row r="92">
          <cell r="A92" t="str">
            <v>JCP</v>
          </cell>
          <cell r="C92">
            <v>-2.5000000000000001E-2</v>
          </cell>
          <cell r="D92">
            <v>-2.5000000000000001E-2</v>
          </cell>
          <cell r="E92">
            <v>-2.5000000000000001E-2</v>
          </cell>
          <cell r="F92">
            <v>-0.01</v>
          </cell>
          <cell r="G92">
            <v>-2.5000000000000001E-3</v>
          </cell>
          <cell r="H92">
            <v>2.5000000000000001E-3</v>
          </cell>
          <cell r="J92" t="str">
            <v>M</v>
          </cell>
          <cell r="K92">
            <v>0.02</v>
          </cell>
          <cell r="L92">
            <v>-5.2999999999999999E-2</v>
          </cell>
          <cell r="M92">
            <v>-0.03</v>
          </cell>
          <cell r="N92">
            <v>-9.0000000000000011E-3</v>
          </cell>
          <cell r="O92">
            <v>2.5999999999999999E-2</v>
          </cell>
          <cell r="P92">
            <v>1.2999999999999999E-2</v>
          </cell>
          <cell r="Q92">
            <v>4.3999999999999997E-2</v>
          </cell>
          <cell r="R92">
            <v>-1.2999999999999999E-2</v>
          </cell>
          <cell r="S92">
            <v>-4.4999999999999998E-2</v>
          </cell>
          <cell r="T92">
            <v>-5.2999999999999999E-2</v>
          </cell>
          <cell r="U92">
            <v>4.610434747830261E-2</v>
          </cell>
          <cell r="V92">
            <v>5.8999999999999997E-2</v>
          </cell>
        </row>
        <row r="93">
          <cell r="C93" t="str">
            <v>(LSD)</v>
          </cell>
          <cell r="D93" t="str">
            <v>(LSD)</v>
          </cell>
          <cell r="E93" t="str">
            <v>(LSD)</v>
          </cell>
          <cell r="F93">
            <v>-0.01</v>
          </cell>
          <cell r="G93" t="str">
            <v>Down slightly</v>
          </cell>
          <cell r="H93" t="str">
            <v>Up slightly</v>
          </cell>
          <cell r="J93" t="str">
            <v>KSS</v>
          </cell>
          <cell r="K93">
            <v>9.5515620428464607E-2</v>
          </cell>
          <cell r="L93">
            <v>6.8000000000000005E-2</v>
          </cell>
          <cell r="M93">
            <v>5.9056288469869427E-2</v>
          </cell>
          <cell r="N93">
            <v>-1.2342184383842436E-2</v>
          </cell>
          <cell r="O93">
            <v>5.4574854495884851E-3</v>
          </cell>
          <cell r="P93">
            <v>3.6890876124815335E-2</v>
          </cell>
          <cell r="Q93">
            <v>5.8999999999999997E-2</v>
          </cell>
          <cell r="R93">
            <v>-7.9988102247825314E-3</v>
          </cell>
          <cell r="S93">
            <v>-6.9000000000000006E-2</v>
          </cell>
          <cell r="T93">
            <v>6.5541130581591653E-3</v>
          </cell>
          <cell r="U93">
            <v>4.4736447175248759E-2</v>
          </cell>
          <cell r="V93">
            <v>1.6E-2</v>
          </cell>
        </row>
        <row r="94">
          <cell r="J94" t="str">
            <v>DDS</v>
          </cell>
          <cell r="L94">
            <v>-0.05</v>
          </cell>
          <cell r="M94">
            <v>-0.03</v>
          </cell>
          <cell r="N94">
            <v>-0.04</v>
          </cell>
          <cell r="O94">
            <v>-0.01</v>
          </cell>
          <cell r="P94">
            <v>0</v>
          </cell>
          <cell r="Q94">
            <v>0</v>
          </cell>
          <cell r="R94">
            <v>-0.06</v>
          </cell>
          <cell r="S94">
            <v>-7.0000000000000007E-2</v>
          </cell>
          <cell r="T94">
            <v>-0.1</v>
          </cell>
          <cell r="U94">
            <v>0.03</v>
          </cell>
          <cell r="V94">
            <v>0.04</v>
          </cell>
        </row>
        <row r="95">
          <cell r="J95" t="str">
            <v>Spread</v>
          </cell>
          <cell r="K95">
            <v>-8.1757810214232313E-2</v>
          </cell>
          <cell r="L95">
            <v>4.2916666666666665E-2</v>
          </cell>
          <cell r="M95">
            <v>2.8564570510043526E-2</v>
          </cell>
          <cell r="N95">
            <v>2.8447394794614146E-2</v>
          </cell>
          <cell r="O95">
            <v>4.1847504850137177E-2</v>
          </cell>
          <cell r="P95">
            <v>1.2369707958394892E-2</v>
          </cell>
          <cell r="Q95">
            <v>2.6666666666666644E-3</v>
          </cell>
          <cell r="R95">
            <v>1.5999603408260843E-2</v>
          </cell>
          <cell r="S95">
            <v>-2.3666666666666676E-2</v>
          </cell>
          <cell r="T95">
            <v>-1.4263629360364051E-2</v>
          </cell>
          <cell r="U95">
            <v>-4.0280264884517122E-2</v>
          </cell>
          <cell r="V95">
            <v>-1.1833333333333331E-2</v>
          </cell>
        </row>
        <row r="99">
          <cell r="K99" t="str">
            <v>2010Q3</v>
          </cell>
          <cell r="L99" t="str">
            <v>2010Q4</v>
          </cell>
          <cell r="M99" t="str">
            <v>2011Q1</v>
          </cell>
          <cell r="N99" t="str">
            <v>2011Q2</v>
          </cell>
        </row>
        <row r="100">
          <cell r="J100" t="str">
            <v>JCP</v>
          </cell>
          <cell r="K100">
            <v>1.9E-2</v>
          </cell>
          <cell r="L100">
            <v>4.4999999999999998E-2</v>
          </cell>
          <cell r="M100">
            <v>3.7999999999999999E-2</v>
          </cell>
          <cell r="N100">
            <v>1.4999999999999999E-2</v>
          </cell>
        </row>
        <row r="101">
          <cell r="J101" t="str">
            <v>KSS</v>
          </cell>
          <cell r="K101">
            <v>1.7999999999999999E-2</v>
          </cell>
          <cell r="L101">
            <v>4.2999999999999997E-2</v>
          </cell>
          <cell r="M101">
            <v>1.2999999999999999E-2</v>
          </cell>
          <cell r="N101">
            <v>1.9E-2</v>
          </cell>
        </row>
        <row r="102">
          <cell r="J102" t="str">
            <v>M</v>
          </cell>
          <cell r="K102">
            <v>3.9E-2</v>
          </cell>
          <cell r="L102">
            <v>4.2999999999999997E-2</v>
          </cell>
          <cell r="M102">
            <v>5.3999999999999999E-2</v>
          </cell>
          <cell r="N102">
            <v>6.4000000000000001E-2</v>
          </cell>
        </row>
        <row r="103">
          <cell r="J103" t="str">
            <v>DDS</v>
          </cell>
          <cell r="K103">
            <v>0.01</v>
          </cell>
          <cell r="L103">
            <v>7.0000000000000007E-2</v>
          </cell>
          <cell r="M103">
            <v>0.02</v>
          </cell>
          <cell r="N103">
            <v>3.6999999999999998E-2</v>
          </cell>
        </row>
        <row r="104">
          <cell r="J104" t="str">
            <v>Mid-Tier Avg</v>
          </cell>
          <cell r="K104">
            <v>2.233333333333333E-2</v>
          </cell>
          <cell r="L104">
            <v>5.1999999999999998E-2</v>
          </cell>
          <cell r="M104">
            <v>2.9000000000000001E-2</v>
          </cell>
          <cell r="N104">
            <v>0.04</v>
          </cell>
        </row>
        <row r="106">
          <cell r="K106" t="str">
            <v>2010Q3</v>
          </cell>
          <cell r="L106" t="str">
            <v>2010Q4</v>
          </cell>
          <cell r="M106" t="str">
            <v>2011Q1</v>
          </cell>
          <cell r="N106" t="str">
            <v>2011Q2</v>
          </cell>
          <cell r="O106" t="str">
            <v>2011Q3</v>
          </cell>
        </row>
        <row r="107">
          <cell r="J107" t="str">
            <v>JCP Comps</v>
          </cell>
          <cell r="K107">
            <v>1.9E-2</v>
          </cell>
          <cell r="L107">
            <v>4.4999999999999998E-2</v>
          </cell>
          <cell r="M107">
            <v>3.7999999999999999E-2</v>
          </cell>
          <cell r="N107">
            <v>1.4999999999999999E-2</v>
          </cell>
          <cell r="O107">
            <v>0</v>
          </cell>
        </row>
        <row r="108">
          <cell r="J108" t="str">
            <v>Inv/Sq Ft Growth</v>
          </cell>
          <cell r="K108">
            <v>5.4328650481654694E-2</v>
          </cell>
          <cell r="L108">
            <v>5.4855434578787277E-2</v>
          </cell>
          <cell r="M108">
            <v>6.4199331544402716E-2</v>
          </cell>
          <cell r="N108">
            <v>-0.9183550471876234</v>
          </cell>
          <cell r="O108">
            <v>-0.9182500174951681</v>
          </cell>
        </row>
        <row r="109">
          <cell r="J109" t="str">
            <v>Spread</v>
          </cell>
          <cell r="K109">
            <v>-353.28650481654694</v>
          </cell>
          <cell r="L109">
            <v>-98.554345787872776</v>
          </cell>
          <cell r="M109">
            <v>-261.99331544402719</v>
          </cell>
          <cell r="N109">
            <v>9333.550471876235</v>
          </cell>
          <cell r="O109">
            <v>9182.5001749516814</v>
          </cell>
        </row>
      </sheetData>
      <sheetData sheetId="7">
        <row r="20">
          <cell r="M20" t="str">
            <v>Valuation</v>
          </cell>
        </row>
        <row r="53">
          <cell r="B53" t="str">
            <v>2010Q1</v>
          </cell>
          <cell r="C53" t="str">
            <v>2010Q2</v>
          </cell>
          <cell r="D53" t="str">
            <v>2010Q3</v>
          </cell>
          <cell r="E53" t="str">
            <v>2010Q4</v>
          </cell>
          <cell r="F53" t="str">
            <v>2011Q1</v>
          </cell>
          <cell r="G53" t="str">
            <v>2011Q2E</v>
          </cell>
        </row>
        <row r="54">
          <cell r="A54" t="str">
            <v>JWN</v>
          </cell>
          <cell r="B54">
            <v>-1.2000000000000011E-2</v>
          </cell>
          <cell r="C54">
            <v>-1.3999999999999999E-2</v>
          </cell>
          <cell r="D54">
            <v>4.5999999999999999E-2</v>
          </cell>
          <cell r="E54">
            <v>0.13600000000000001</v>
          </cell>
          <cell r="F54">
            <v>0.185</v>
          </cell>
          <cell r="G54">
            <v>0.157</v>
          </cell>
        </row>
        <row r="55">
          <cell r="A55" t="str">
            <v>JCP</v>
          </cell>
          <cell r="B55">
            <v>-5.8999999999999997E-2</v>
          </cell>
          <cell r="C55">
            <v>-8.6000000000000007E-2</v>
          </cell>
          <cell r="D55">
            <v>-2.7E-2</v>
          </cell>
          <cell r="E55">
            <v>0</v>
          </cell>
          <cell r="F55">
            <v>5.3999999999999999E-2</v>
          </cell>
          <cell r="G55">
            <v>2.4E-2</v>
          </cell>
          <cell r="J55">
            <v>0.01</v>
          </cell>
        </row>
        <row r="56">
          <cell r="A56" t="str">
            <v>M</v>
          </cell>
          <cell r="B56">
            <v>-3.4999999999999996E-2</v>
          </cell>
          <cell r="C56">
            <v>-4.5999999999999999E-2</v>
          </cell>
          <cell r="D56">
            <v>3.0000000000000027E-3</v>
          </cell>
          <cell r="E56">
            <v>3.4999999999999996E-2</v>
          </cell>
          <cell r="F56">
            <v>0.109</v>
          </cell>
          <cell r="G56">
            <v>0.113</v>
          </cell>
          <cell r="J56" t="str">
            <v>+MSD</v>
          </cell>
        </row>
        <row r="57">
          <cell r="A57" t="str">
            <v>KSS</v>
          </cell>
          <cell r="B57">
            <v>3.1999999999999994E-2</v>
          </cell>
          <cell r="C57">
            <v>2.3E-2</v>
          </cell>
          <cell r="D57">
            <v>4.1999999999999996E-2</v>
          </cell>
          <cell r="E57">
            <v>8.7999999999999995E-2</v>
          </cell>
          <cell r="F57">
            <v>8.6999999999999994E-2</v>
          </cell>
          <cell r="G57">
            <v>6.5000000000000002E-2</v>
          </cell>
          <cell r="J57" t="str">
            <v>+LSD</v>
          </cell>
        </row>
        <row r="58">
          <cell r="A58" t="str">
            <v>Spread</v>
          </cell>
          <cell r="B58">
            <v>8.6666666666666593E-3</v>
          </cell>
          <cell r="C58">
            <v>2.2333333333333337E-2</v>
          </cell>
          <cell r="D58">
            <v>0.04</v>
          </cell>
          <cell r="E58">
            <v>9.5000000000000001E-2</v>
          </cell>
          <cell r="F58">
            <v>0.10166666666666667</v>
          </cell>
          <cell r="G58">
            <v>8.9666666666666658E-2</v>
          </cell>
          <cell r="J58" t="str">
            <v>+MSD</v>
          </cell>
        </row>
        <row r="60">
          <cell r="L60" t="str">
            <v>Feb '11</v>
          </cell>
          <cell r="M60" t="str">
            <v>Mar '11</v>
          </cell>
          <cell r="N60" t="str">
            <v>Apr '11</v>
          </cell>
          <cell r="O60" t="str">
            <v>May '11</v>
          </cell>
        </row>
        <row r="61">
          <cell r="J61" t="str">
            <v>JWN</v>
          </cell>
          <cell r="L61">
            <v>0.01</v>
          </cell>
          <cell r="M61">
            <v>0.05</v>
          </cell>
          <cell r="N61">
            <v>0.01</v>
          </cell>
          <cell r="O61">
            <v>0.05</v>
          </cell>
        </row>
      </sheetData>
      <sheetData sheetId="8"/>
      <sheetData sheetId="9"/>
      <sheetData sheetId="10"/>
      <sheetData sheetId="11"/>
      <sheetData sheetId="12"/>
      <sheetData sheetId="13"/>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sk-Reward_View_Chart"/>
      <sheetName val="Bear_to_Bull_Data"/>
      <sheetName val="Comparative_Risk-Reward_Chart"/>
      <sheetName val="Comparative_Risk-Reward_Data"/>
      <sheetName val="Value_of_Growth_Chart"/>
      <sheetName val="Value_of_Growth_Data"/>
    </sheetNames>
    <sheetDataSet>
      <sheetData sheetId="0"/>
      <sheetData sheetId="1"/>
      <sheetData sheetId="2">
        <row r="1">
          <cell r="C1" t="str">
            <v>Please Enter
POSITIVE
Nos. Only</v>
          </cell>
        </row>
        <row r="2">
          <cell r="R2" t="str">
            <v>Old</v>
          </cell>
          <cell r="S2" t="str">
            <v>New</v>
          </cell>
        </row>
        <row r="3">
          <cell r="R3">
            <v>0.125</v>
          </cell>
          <cell r="S3">
            <v>0.14285714285714285</v>
          </cell>
        </row>
        <row r="4">
          <cell r="R4">
            <v>0.5</v>
          </cell>
          <cell r="S4">
            <v>0.5</v>
          </cell>
        </row>
        <row r="5">
          <cell r="A5" t="str">
            <v>X-Axis Labels</v>
          </cell>
          <cell r="B5" t="str">
            <v>Cases</v>
          </cell>
          <cell r="C5" t="str">
            <v>Positive
Increments</v>
          </cell>
          <cell r="D5" t="str">
            <v>Price Target</v>
          </cell>
          <cell r="E5" t="str">
            <v>Invisible</v>
          </cell>
          <cell r="F5" t="str">
            <v>Labels</v>
          </cell>
          <cell r="R5">
            <v>0.375</v>
          </cell>
          <cell r="S5">
            <v>0.35714285714285715</v>
          </cell>
        </row>
        <row r="6">
          <cell r="A6" t="str">
            <v>Bear
Case</v>
          </cell>
          <cell r="B6">
            <v>10</v>
          </cell>
          <cell r="D6">
            <v>16</v>
          </cell>
        </row>
        <row r="7">
          <cell r="A7" t="str">
            <v>Label</v>
          </cell>
          <cell r="D7">
            <v>16</v>
          </cell>
          <cell r="E7">
            <v>10</v>
          </cell>
          <cell r="F7">
            <v>0</v>
          </cell>
        </row>
        <row r="8">
          <cell r="A8" t="str">
            <v>Optional</v>
          </cell>
          <cell r="D8">
            <v>16</v>
          </cell>
          <cell r="E8">
            <v>10</v>
          </cell>
          <cell r="F8">
            <v>0</v>
          </cell>
        </row>
        <row r="9">
          <cell r="A9" t="str">
            <v>Optional</v>
          </cell>
          <cell r="D9">
            <v>16</v>
          </cell>
          <cell r="E9">
            <v>10</v>
          </cell>
          <cell r="F9">
            <v>0</v>
          </cell>
        </row>
        <row r="10">
          <cell r="A10" t="str">
            <v>Comps further decline</v>
          </cell>
          <cell r="C10">
            <v>2.85</v>
          </cell>
          <cell r="D10">
            <v>16</v>
          </cell>
          <cell r="E10">
            <v>10</v>
          </cell>
          <cell r="F10">
            <v>2.85</v>
          </cell>
        </row>
        <row r="11">
          <cell r="A11" t="str">
            <v>Increased gross margin pressure</v>
          </cell>
          <cell r="C11">
            <v>3.05</v>
          </cell>
          <cell r="D11">
            <v>16</v>
          </cell>
          <cell r="E11">
            <v>12.85</v>
          </cell>
          <cell r="F11">
            <v>3.05</v>
          </cell>
        </row>
        <row r="12">
          <cell r="A12" t="str">
            <v>Expense deleverage</v>
          </cell>
          <cell r="C12">
            <v>0.1</v>
          </cell>
          <cell r="D12">
            <v>16</v>
          </cell>
          <cell r="E12">
            <v>15.899999999999999</v>
          </cell>
          <cell r="F12">
            <v>0.1</v>
          </cell>
        </row>
        <row r="13">
          <cell r="A13" t="str">
            <v>Base
Case</v>
          </cell>
          <cell r="B13">
            <v>15.999999999999998</v>
          </cell>
          <cell r="D13">
            <v>16</v>
          </cell>
        </row>
        <row r="14">
          <cell r="A14" t="str">
            <v>Comps increase</v>
          </cell>
          <cell r="C14">
            <v>2.2000000000000002</v>
          </cell>
          <cell r="D14">
            <v>16</v>
          </cell>
          <cell r="E14">
            <v>15.999999999999998</v>
          </cell>
          <cell r="F14">
            <v>2.2000000000000002</v>
          </cell>
          <cell r="R14">
            <v>0.33333333333333331</v>
          </cell>
          <cell r="S14">
            <v>0.31818181818181818</v>
          </cell>
        </row>
        <row r="15">
          <cell r="A15" t="str">
            <v>Less pressure from gross margin</v>
          </cell>
          <cell r="C15">
            <v>1.5</v>
          </cell>
          <cell r="D15">
            <v>16</v>
          </cell>
          <cell r="E15">
            <v>18.2</v>
          </cell>
          <cell r="F15">
            <v>1.5</v>
          </cell>
          <cell r="R15">
            <v>0.5</v>
          </cell>
          <cell r="S15">
            <v>0.5</v>
          </cell>
        </row>
        <row r="16">
          <cell r="A16" t="str">
            <v>Less expense deleverage</v>
          </cell>
          <cell r="C16">
            <v>0.3</v>
          </cell>
          <cell r="D16">
            <v>16</v>
          </cell>
          <cell r="E16">
            <v>19.7</v>
          </cell>
          <cell r="F16">
            <v>0.3</v>
          </cell>
          <cell r="R16">
            <v>0.16666666666666666</v>
          </cell>
          <cell r="S16">
            <v>0.18181818181818182</v>
          </cell>
        </row>
        <row r="17">
          <cell r="A17" t="str">
            <v>Optional</v>
          </cell>
          <cell r="D17">
            <v>16</v>
          </cell>
          <cell r="E17">
            <v>20</v>
          </cell>
          <cell r="F17">
            <v>0</v>
          </cell>
        </row>
        <row r="18">
          <cell r="A18" t="str">
            <v>Optional</v>
          </cell>
          <cell r="D18">
            <v>16</v>
          </cell>
          <cell r="E18">
            <v>20</v>
          </cell>
          <cell r="F18">
            <v>0</v>
          </cell>
        </row>
        <row r="19">
          <cell r="A19" t="str">
            <v>Optional</v>
          </cell>
          <cell r="D19">
            <v>16</v>
          </cell>
          <cell r="E19">
            <v>20</v>
          </cell>
          <cell r="F19">
            <v>0</v>
          </cell>
        </row>
        <row r="20">
          <cell r="A20" t="str">
            <v>Bull
Case</v>
          </cell>
          <cell r="B20">
            <v>20</v>
          </cell>
          <cell r="D20">
            <v>16</v>
          </cell>
        </row>
      </sheetData>
      <sheetData sheetId="3" refreshError="1"/>
      <sheetData sheetId="4">
        <row r="2">
          <cell r="B2" t="str">
            <v>Stock B</v>
          </cell>
          <cell r="C2" t="str">
            <v>Stock B</v>
          </cell>
          <cell r="D2" t="str">
            <v>Stock B</v>
          </cell>
          <cell r="E2">
            <v>0</v>
          </cell>
          <cell r="F2">
            <v>0</v>
          </cell>
          <cell r="G2">
            <v>0</v>
          </cell>
        </row>
        <row r="3">
          <cell r="B3" t="str">
            <v>Stock C</v>
          </cell>
          <cell r="C3" t="str">
            <v>Stock C</v>
          </cell>
          <cell r="D3" t="str">
            <v>Stock C</v>
          </cell>
          <cell r="E3">
            <v>0</v>
          </cell>
          <cell r="F3">
            <v>-9.9999999999999978E-2</v>
          </cell>
          <cell r="G3">
            <v>-0.4</v>
          </cell>
        </row>
        <row r="4">
          <cell r="A4" t="str">
            <v>Stock D</v>
          </cell>
          <cell r="B4" t="str">
            <v>Stock D</v>
          </cell>
          <cell r="C4" t="str">
            <v>Stock D</v>
          </cell>
          <cell r="D4" t="str">
            <v>Stock D</v>
          </cell>
          <cell r="E4">
            <v>0</v>
          </cell>
          <cell r="F4">
            <v>0</v>
          </cell>
          <cell r="G4">
            <v>-0.30000000000000004</v>
          </cell>
        </row>
        <row r="5">
          <cell r="B5" t="str">
            <v>Current
Price</v>
          </cell>
          <cell r="C5" t="str">
            <v>Bear 
Case</v>
          </cell>
          <cell r="D5" t="str">
            <v>Base 
Case</v>
          </cell>
          <cell r="E5" t="str">
            <v>Bull 
Case</v>
          </cell>
          <cell r="F5" t="str">
            <v>Price Target</v>
          </cell>
          <cell r="G5" t="str">
            <v>Bear 
Case</v>
          </cell>
          <cell r="H5" t="str">
            <v>Base 
Case</v>
          </cell>
          <cell r="I5" t="str">
            <v>Bull 
Case</v>
          </cell>
          <cell r="J5" t="str">
            <v>Price 
Target</v>
          </cell>
          <cell r="K5" t="str">
            <v>+ Bear 
Data</v>
          </cell>
          <cell r="L5" t="str">
            <v>+ Base 
Data</v>
          </cell>
          <cell r="M5" t="str">
            <v>+ Bull 
Data</v>
          </cell>
          <cell r="N5" t="str">
            <v>- Bear 
Data</v>
          </cell>
          <cell r="O5" t="str">
            <v>- Base 
Data</v>
          </cell>
          <cell r="P5" t="str">
            <v>- Bull 
Data</v>
          </cell>
        </row>
        <row r="6">
          <cell r="A6" t="str">
            <v>Stock A</v>
          </cell>
          <cell r="B6">
            <v>50</v>
          </cell>
          <cell r="C6">
            <v>30</v>
          </cell>
          <cell r="D6">
            <v>40</v>
          </cell>
          <cell r="E6">
            <v>45</v>
          </cell>
          <cell r="F6">
            <v>50</v>
          </cell>
          <cell r="G6">
            <v>-0.4</v>
          </cell>
          <cell r="H6">
            <v>-0.19999999999999996</v>
          </cell>
          <cell r="I6">
            <v>-9.9999999999999978E-2</v>
          </cell>
          <cell r="J6">
            <v>0</v>
          </cell>
          <cell r="K6">
            <v>0</v>
          </cell>
          <cell r="L6">
            <v>0</v>
          </cell>
          <cell r="M6">
            <v>0</v>
          </cell>
          <cell r="N6">
            <v>-0.20000000000000007</v>
          </cell>
          <cell r="O6">
            <v>-9.9999999999999978E-2</v>
          </cell>
          <cell r="P6">
            <v>-9.9999999999999978E-2</v>
          </cell>
        </row>
        <row r="7">
          <cell r="A7" t="str">
            <v>Stock B</v>
          </cell>
          <cell r="B7">
            <v>100</v>
          </cell>
          <cell r="C7">
            <v>110</v>
          </cell>
          <cell r="D7">
            <v>120</v>
          </cell>
          <cell r="E7">
            <v>150</v>
          </cell>
          <cell r="F7">
            <v>115</v>
          </cell>
          <cell r="G7">
            <v>0.10000000000000009</v>
          </cell>
          <cell r="H7">
            <v>0.19999999999999996</v>
          </cell>
          <cell r="I7">
            <v>0.5</v>
          </cell>
          <cell r="J7">
            <v>0.14999999999999991</v>
          </cell>
          <cell r="K7">
            <v>0.10000000000000009</v>
          </cell>
          <cell r="L7">
            <v>9.9999999999999867E-2</v>
          </cell>
          <cell r="M7">
            <v>0.30000000000000004</v>
          </cell>
          <cell r="N7">
            <v>0</v>
          </cell>
          <cell r="O7">
            <v>0</v>
          </cell>
          <cell r="P7">
            <v>0</v>
          </cell>
        </row>
        <row r="8">
          <cell r="A8" t="str">
            <v>Stock C</v>
          </cell>
          <cell r="B8">
            <v>60</v>
          </cell>
          <cell r="C8">
            <v>30</v>
          </cell>
          <cell r="D8">
            <v>54</v>
          </cell>
          <cell r="E8">
            <v>78</v>
          </cell>
          <cell r="F8">
            <v>69</v>
          </cell>
          <cell r="G8">
            <v>-0.5</v>
          </cell>
          <cell r="H8">
            <v>-9.9999999999999978E-2</v>
          </cell>
          <cell r="I8">
            <v>0.30000000000000004</v>
          </cell>
          <cell r="J8">
            <v>0.14999999999999991</v>
          </cell>
          <cell r="K8">
            <v>0</v>
          </cell>
          <cell r="L8">
            <v>0</v>
          </cell>
          <cell r="M8">
            <v>0.30000000000000004</v>
          </cell>
          <cell r="N8">
            <v>-0.4</v>
          </cell>
          <cell r="O8">
            <v>-9.9999999999999978E-2</v>
          </cell>
          <cell r="P8">
            <v>0</v>
          </cell>
        </row>
        <row r="9">
          <cell r="A9" t="str">
            <v>Stock D</v>
          </cell>
          <cell r="B9">
            <v>80</v>
          </cell>
          <cell r="C9">
            <v>56</v>
          </cell>
          <cell r="D9">
            <v>90</v>
          </cell>
          <cell r="E9">
            <v>104</v>
          </cell>
          <cell r="F9">
            <v>85</v>
          </cell>
          <cell r="G9">
            <v>-0.30000000000000004</v>
          </cell>
          <cell r="H9">
            <v>0.125</v>
          </cell>
          <cell r="I9">
            <v>0.30000000000000004</v>
          </cell>
          <cell r="J9">
            <v>6.25E-2</v>
          </cell>
          <cell r="K9">
            <v>0</v>
          </cell>
          <cell r="L9">
            <v>0.125</v>
          </cell>
          <cell r="M9">
            <v>0.17500000000000004</v>
          </cell>
          <cell r="N9">
            <v>-0.30000000000000004</v>
          </cell>
          <cell r="O9">
            <v>0</v>
          </cell>
          <cell r="P9">
            <v>0</v>
          </cell>
        </row>
        <row r="10">
          <cell r="A10" t="str">
            <v>Stock E</v>
          </cell>
          <cell r="B10">
            <v>40</v>
          </cell>
          <cell r="C10">
            <v>20</v>
          </cell>
          <cell r="D10">
            <v>60</v>
          </cell>
          <cell r="E10">
            <v>70</v>
          </cell>
          <cell r="F10">
            <v>49</v>
          </cell>
          <cell r="G10">
            <v>-0.5</v>
          </cell>
          <cell r="H10">
            <v>0.5</v>
          </cell>
          <cell r="I10">
            <v>0.75</v>
          </cell>
          <cell r="J10">
            <v>0.22500000000000009</v>
          </cell>
          <cell r="K10">
            <v>0</v>
          </cell>
          <cell r="L10">
            <v>0.5</v>
          </cell>
          <cell r="M10">
            <v>0.25</v>
          </cell>
          <cell r="N10">
            <v>-0.5</v>
          </cell>
          <cell r="O10">
            <v>0</v>
          </cell>
          <cell r="P10">
            <v>0</v>
          </cell>
        </row>
        <row r="11">
          <cell r="A11" t="str">
            <v>Stock F</v>
          </cell>
          <cell r="B11">
            <v>20</v>
          </cell>
          <cell r="C11">
            <v>10</v>
          </cell>
          <cell r="D11">
            <v>30</v>
          </cell>
          <cell r="E11">
            <v>35</v>
          </cell>
          <cell r="F11">
            <v>23</v>
          </cell>
          <cell r="G11">
            <v>-0.5</v>
          </cell>
          <cell r="H11">
            <v>0.5</v>
          </cell>
          <cell r="I11">
            <v>0.75</v>
          </cell>
          <cell r="J11">
            <v>0.14999999999999991</v>
          </cell>
          <cell r="K11">
            <v>0</v>
          </cell>
          <cell r="L11">
            <v>0.5</v>
          </cell>
          <cell r="M11">
            <v>0.25</v>
          </cell>
          <cell r="N11">
            <v>-0.5</v>
          </cell>
          <cell r="O11">
            <v>0</v>
          </cell>
          <cell r="P11">
            <v>0</v>
          </cell>
        </row>
        <row r="12">
          <cell r="A12" t="str">
            <v>Stock G</v>
          </cell>
          <cell r="B12">
            <v>65</v>
          </cell>
          <cell r="C12">
            <v>35</v>
          </cell>
          <cell r="D12">
            <v>75</v>
          </cell>
          <cell r="E12">
            <v>85</v>
          </cell>
          <cell r="F12">
            <v>64</v>
          </cell>
          <cell r="G12">
            <v>-0.46153846153846156</v>
          </cell>
          <cell r="H12">
            <v>0.15384615384615374</v>
          </cell>
          <cell r="I12">
            <v>0.30769230769230771</v>
          </cell>
          <cell r="J12">
            <v>-1.538461538461533E-2</v>
          </cell>
          <cell r="K12">
            <v>0</v>
          </cell>
          <cell r="L12">
            <v>0.15384615384615374</v>
          </cell>
          <cell r="M12">
            <v>0.15384615384615397</v>
          </cell>
          <cell r="N12">
            <v>-0.46153846153846156</v>
          </cell>
          <cell r="O12">
            <v>0</v>
          </cell>
          <cell r="P12">
            <v>0</v>
          </cell>
        </row>
        <row r="13">
          <cell r="A13" t="str">
            <v>Stock H</v>
          </cell>
          <cell r="B13">
            <v>35</v>
          </cell>
          <cell r="C13">
            <v>20</v>
          </cell>
          <cell r="D13">
            <v>45</v>
          </cell>
          <cell r="E13">
            <v>50</v>
          </cell>
          <cell r="F13">
            <v>30</v>
          </cell>
          <cell r="G13">
            <v>-0.4285714285714286</v>
          </cell>
          <cell r="H13">
            <v>0.28571428571428581</v>
          </cell>
          <cell r="I13">
            <v>0.4285714285714286</v>
          </cell>
          <cell r="J13">
            <v>-0.1428571428571429</v>
          </cell>
          <cell r="K13">
            <v>0</v>
          </cell>
          <cell r="L13">
            <v>0.28571428571428581</v>
          </cell>
          <cell r="M13">
            <v>0.14285714285714279</v>
          </cell>
          <cell r="N13">
            <v>-0.4285714285714286</v>
          </cell>
          <cell r="O13">
            <v>0</v>
          </cell>
          <cell r="P13">
            <v>0</v>
          </cell>
        </row>
        <row r="14">
          <cell r="A14" t="str">
            <v>Stock I</v>
          </cell>
          <cell r="B14">
            <v>16</v>
          </cell>
          <cell r="C14">
            <v>10</v>
          </cell>
          <cell r="D14">
            <v>20</v>
          </cell>
          <cell r="E14">
            <v>23</v>
          </cell>
          <cell r="F14">
            <v>22</v>
          </cell>
          <cell r="G14">
            <v>-0.375</v>
          </cell>
          <cell r="H14">
            <v>0.25</v>
          </cell>
          <cell r="I14">
            <v>0.4375</v>
          </cell>
          <cell r="J14">
            <v>0.375</v>
          </cell>
          <cell r="K14">
            <v>0</v>
          </cell>
          <cell r="L14">
            <v>0.25</v>
          </cell>
          <cell r="M14">
            <v>0.1875</v>
          </cell>
          <cell r="N14">
            <v>-0.375</v>
          </cell>
          <cell r="O14">
            <v>0</v>
          </cell>
          <cell r="P14">
            <v>0</v>
          </cell>
        </row>
      </sheetData>
      <sheetData sheetId="5" refreshError="1"/>
      <sheetData sheetId="6">
        <row r="5">
          <cell r="A5" t="str">
            <v>X-Axis Labels</v>
          </cell>
          <cell r="B5" t="str">
            <v>Invisible</v>
          </cell>
          <cell r="C5" t="str">
            <v>Input
Bases</v>
          </cell>
          <cell r="D5" t="str">
            <v>Input
Increments</v>
          </cell>
          <cell r="E5" t="str">
            <v>Value
Gap</v>
          </cell>
          <cell r="F5" t="str">
            <v>+ Data</v>
          </cell>
          <cell r="G5" t="str">
            <v>- Data</v>
          </cell>
          <cell r="H5" t="str">
            <v>Increment
Labels</v>
          </cell>
        </row>
        <row r="6">
          <cell r="A6" t="str">
            <v>Current
Earnings</v>
          </cell>
          <cell r="C6">
            <v>26</v>
          </cell>
        </row>
        <row r="7">
          <cell r="A7" t="str">
            <v>Growth in
Explicit
Forecast
Period</v>
          </cell>
          <cell r="B7">
            <v>22</v>
          </cell>
          <cell r="D7">
            <v>-4</v>
          </cell>
          <cell r="F7">
            <v>0</v>
          </cell>
          <cell r="G7">
            <v>4</v>
          </cell>
          <cell r="H7">
            <v>4</v>
          </cell>
        </row>
        <row r="8">
          <cell r="A8" t="str">
            <v>Growth in
Terminal
Forecast
Period</v>
          </cell>
          <cell r="B8">
            <v>22</v>
          </cell>
          <cell r="D8">
            <v>8</v>
          </cell>
          <cell r="F8">
            <v>8</v>
          </cell>
          <cell r="G8">
            <v>0</v>
          </cell>
          <cell r="H8">
            <v>8</v>
          </cell>
        </row>
        <row r="9">
          <cell r="A9" t="str">
            <v>Estimated
Intrinsic
Value</v>
          </cell>
          <cell r="C9">
            <v>30</v>
          </cell>
        </row>
        <row r="10">
          <cell r="A10" t="str">
            <v>Value
Gap</v>
          </cell>
          <cell r="B10">
            <v>30</v>
          </cell>
          <cell r="E10">
            <v>10</v>
          </cell>
        </row>
        <row r="11">
          <cell r="A11" t="str">
            <v>Current
Price</v>
          </cell>
          <cell r="C11">
            <v>20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Summary"/>
      <sheetName val="Balance Sheet"/>
      <sheetName val="Cash Flow"/>
      <sheetName val="Income"/>
      <sheetName val="May Co Acquisition"/>
      <sheetName val="Drivers"/>
      <sheetName val="__FDSCACHE__"/>
      <sheetName val="Trends"/>
      <sheetName val="Credit Income &amp; SG&amp;A Detail"/>
      <sheetName val="Variance-2Q12"/>
      <sheetName val="2012 Stores"/>
      <sheetName val="online"/>
      <sheetName val="PreFHT"/>
      <sheetName val="MainCode"/>
      <sheetName val="Debt"/>
      <sheetName val="CreditRatios"/>
      <sheetName val="Reported 2009"/>
      <sheetName val="Productivity"/>
      <sheetName val="MWA RR"/>
      <sheetName val="LEASES NEW"/>
      <sheetName val="RNOA - ROE"/>
      <sheetName val="Real Estate"/>
      <sheetName val="mwareValPrintout"/>
      <sheetName val="P Map"/>
      <sheetName val="Asset Sales"/>
      <sheetName val="Ledger"/>
      <sheetName val="Valuation "/>
      <sheetName val="MW-Cache"/>
      <sheetName val="LBO"/>
      <sheetName val="LINKED DATA"/>
      <sheetName val="mwareDates_38951_3819959"/>
      <sheetName val="mwareDates_38951_3889055"/>
      <sheetName val="mwareDates"/>
      <sheetName val="mwareSettings"/>
      <sheetName val="MacabacusCustomFormats"/>
      <sheetName val="Variance"/>
      <sheetName val="Disclosures"/>
      <sheetName val="Guidance"/>
      <sheetName val="Variance-1Q11"/>
      <sheetName val="Variance-2Q11"/>
      <sheetName val="LEASES"/>
      <sheetName val="Inv Turn"/>
      <sheetName val="msri"/>
      <sheetName val="Variance2"/>
      <sheetName val="NY UPLOAD shadow"/>
      <sheetName val="#REF"/>
      <sheetName val="M_working2"/>
      <sheetName val="Variance-1Q12"/>
      <sheetName val="Credit Income"/>
      <sheetName val="Variance-4Q11"/>
      <sheetName val="Variance-3Q11"/>
      <sheetName val="3Q EPS Cheat Sheet"/>
      <sheetName val="Shr Repo"/>
    </sheetNames>
    <sheetDataSet>
      <sheetData sheetId="0"/>
      <sheetData sheetId="1"/>
      <sheetData sheetId="2"/>
      <sheetData sheetId="3"/>
      <sheetData sheetId="4">
        <row r="1">
          <cell r="EX1" t="str">
            <v>Q1-07</v>
          </cell>
          <cell r="EY1" t="str">
            <v>Q2-07</v>
          </cell>
          <cell r="EZ1" t="str">
            <v>Q3-07</v>
          </cell>
          <cell r="FA1" t="str">
            <v>Q4-07</v>
          </cell>
          <cell r="FD1" t="str">
            <v>Q1-08</v>
          </cell>
          <cell r="FE1" t="str">
            <v>Q2-08</v>
          </cell>
          <cell r="FF1" t="str">
            <v>Q3-08</v>
          </cell>
          <cell r="FG1" t="str">
            <v>Q4-08</v>
          </cell>
          <cell r="FJ1" t="str">
            <v>Q1-09</v>
          </cell>
          <cell r="FK1" t="str">
            <v>Q2-09</v>
          </cell>
          <cell r="FL1" t="str">
            <v>Q3-09</v>
          </cell>
          <cell r="FM1" t="str">
            <v>Q4-09</v>
          </cell>
          <cell r="FP1" t="str">
            <v>Q1-10</v>
          </cell>
          <cell r="FQ1" t="str">
            <v>Q2-10</v>
          </cell>
          <cell r="FR1" t="str">
            <v>Q3-10</v>
          </cell>
          <cell r="FS1" t="str">
            <v>Q4-10</v>
          </cell>
          <cell r="FV1" t="str">
            <v>Q1-11</v>
          </cell>
          <cell r="FW1" t="str">
            <v>Q2-11</v>
          </cell>
          <cell r="FX1" t="str">
            <v>Q3-11</v>
          </cell>
          <cell r="FY1" t="str">
            <v>Q4-11</v>
          </cell>
          <cell r="GB1" t="str">
            <v>Q1-12</v>
          </cell>
          <cell r="GC1" t="str">
            <v>Q2-12</v>
          </cell>
          <cell r="GD1" t="str">
            <v>Q3-12</v>
          </cell>
          <cell r="GE1" t="str">
            <v>Q4-12</v>
          </cell>
          <cell r="GS1" t="str">
            <v>ElementName</v>
          </cell>
          <cell r="GT1" t="str">
            <v>ScaleOverride</v>
          </cell>
          <cell r="GU1" t="str">
            <v>UnitOverride</v>
          </cell>
          <cell r="GV1" t="str">
            <v>ReverseSign</v>
          </cell>
          <cell r="GW1" t="str">
            <v>IsDrivinFYssumption</v>
          </cell>
          <cell r="GX1" t="str">
            <v>SegmentID</v>
          </cell>
        </row>
        <row r="2">
          <cell r="A2" t="str">
            <v>Macy's Inc.</v>
          </cell>
          <cell r="F2" t="str">
            <v>Federated (Post-Bankruptcy)</v>
          </cell>
          <cell r="K2" t="str">
            <v>Combined Federated + Macy's;  Adjusted for Broadway</v>
          </cell>
          <cell r="R2" t="str">
            <v>Ex-Fingerhut</v>
          </cell>
          <cell r="X2" t="str">
            <v>Proforma -- May Department Stores</v>
          </cell>
          <cell r="AN2" t="str">
            <v>Macy's Inc.</v>
          </cell>
          <cell r="AO2" t="str">
            <v>Not Adjusted For Consistency</v>
          </cell>
          <cell r="DH2" t="str">
            <v>Adjusted -- Fingerhut Disposition</v>
          </cell>
          <cell r="EN2" t="str">
            <v>Proforma -- May Department Stores</v>
          </cell>
        </row>
        <row r="3">
          <cell r="A3" t="str">
            <v>Annual Income Statement: Base Case - 5/2/13</v>
          </cell>
          <cell r="E3" t="str">
            <v>RPT'D</v>
          </cell>
          <cell r="F3" t="str">
            <v>PFMA</v>
          </cell>
          <cell r="J3" t="str">
            <v>91P-94E</v>
          </cell>
          <cell r="K3" t="str">
            <v>PFMA</v>
          </cell>
          <cell r="L3" t="str">
            <v>FD+MCO</v>
          </cell>
          <cell r="AN3" t="str">
            <v>Quarterly Income Statement: Base Case - 5/2/13</v>
          </cell>
          <cell r="BY3" t="str">
            <v>1995A</v>
          </cell>
          <cell r="CJ3">
            <v>1996</v>
          </cell>
          <cell r="CR3">
            <v>1997</v>
          </cell>
          <cell r="CX3">
            <v>1998</v>
          </cell>
          <cell r="DD3">
            <v>1999</v>
          </cell>
          <cell r="DJ3">
            <v>2000</v>
          </cell>
          <cell r="DP3">
            <v>2001</v>
          </cell>
          <cell r="DV3">
            <v>2002</v>
          </cell>
          <cell r="EB3">
            <v>2003</v>
          </cell>
          <cell r="EH3">
            <v>2004</v>
          </cell>
          <cell r="EN3">
            <v>2005</v>
          </cell>
          <cell r="ET3">
            <v>2006</v>
          </cell>
          <cell r="EX3">
            <v>39447</v>
          </cell>
          <cell r="FD3">
            <v>39813</v>
          </cell>
          <cell r="FJ3">
            <v>40178</v>
          </cell>
          <cell r="FP3">
            <v>40543</v>
          </cell>
          <cell r="FV3">
            <v>40908</v>
          </cell>
          <cell r="FZ3" t="str">
            <v xml:space="preserve"> </v>
          </cell>
          <cell r="GB3">
            <v>41274</v>
          </cell>
          <cell r="GF3" t="str">
            <v xml:space="preserve"> </v>
          </cell>
        </row>
        <row r="4">
          <cell r="A4" t="str">
            <v>($ Millions)</v>
          </cell>
          <cell r="C4">
            <v>32873</v>
          </cell>
          <cell r="D4">
            <v>1990</v>
          </cell>
          <cell r="E4">
            <v>1991</v>
          </cell>
          <cell r="F4">
            <v>1991</v>
          </cell>
          <cell r="G4" t="str">
            <v>1992</v>
          </cell>
          <cell r="H4">
            <v>1993</v>
          </cell>
          <cell r="I4">
            <v>1994</v>
          </cell>
          <cell r="J4" t="str">
            <v>CAGR</v>
          </cell>
          <cell r="K4" t="str">
            <v>1994P</v>
          </cell>
          <cell r="L4">
            <v>1995</v>
          </cell>
          <cell r="N4">
            <v>1995</v>
          </cell>
          <cell r="O4">
            <v>1996</v>
          </cell>
          <cell r="P4">
            <v>1997</v>
          </cell>
          <cell r="Q4">
            <v>1998</v>
          </cell>
          <cell r="R4">
            <v>1999</v>
          </cell>
          <cell r="S4">
            <v>2000</v>
          </cell>
          <cell r="T4">
            <v>2001</v>
          </cell>
          <cell r="U4">
            <v>2002</v>
          </cell>
          <cell r="V4">
            <v>2003</v>
          </cell>
          <cell r="W4">
            <v>2004</v>
          </cell>
          <cell r="X4">
            <v>2005</v>
          </cell>
          <cell r="Y4">
            <v>2006</v>
          </cell>
          <cell r="Z4">
            <v>2007</v>
          </cell>
          <cell r="AA4">
            <v>2008</v>
          </cell>
          <cell r="AB4">
            <v>2009</v>
          </cell>
          <cell r="AC4">
            <v>2010</v>
          </cell>
          <cell r="AD4">
            <v>2011</v>
          </cell>
          <cell r="AE4" t="str">
            <v>2012E</v>
          </cell>
          <cell r="AF4" t="str">
            <v>2013E</v>
          </cell>
          <cell r="AG4" t="str">
            <v>2014E</v>
          </cell>
          <cell r="AH4" t="str">
            <v>2015E</v>
          </cell>
          <cell r="AI4" t="str">
            <v>2016E</v>
          </cell>
          <cell r="AJ4" t="str">
            <v>2017E</v>
          </cell>
          <cell r="AK4" t="str">
            <v>2018E</v>
          </cell>
          <cell r="AL4" t="str">
            <v>2019E</v>
          </cell>
          <cell r="AN4" t="str">
            <v>($ Millions)</v>
          </cell>
          <cell r="AO4" t="str">
            <v>Q1</v>
          </cell>
          <cell r="AP4" t="str">
            <v>Q2</v>
          </cell>
          <cell r="AQ4" t="str">
            <v>Q3</v>
          </cell>
          <cell r="AR4" t="str">
            <v>Q4</v>
          </cell>
          <cell r="AS4" t="str">
            <v>Year</v>
          </cell>
          <cell r="AU4" t="str">
            <v>Q1</v>
          </cell>
          <cell r="AV4" t="str">
            <v>Q2</v>
          </cell>
          <cell r="AW4" t="str">
            <v>Q3</v>
          </cell>
          <cell r="AX4" t="str">
            <v>Q4</v>
          </cell>
          <cell r="AY4" t="str">
            <v>Year</v>
          </cell>
          <cell r="BA4" t="str">
            <v>Q1</v>
          </cell>
          <cell r="BB4" t="str">
            <v>Q2</v>
          </cell>
          <cell r="BC4" t="str">
            <v>Q3</v>
          </cell>
          <cell r="BD4" t="str">
            <v>Q4</v>
          </cell>
          <cell r="BE4" t="str">
            <v>Year</v>
          </cell>
          <cell r="BG4" t="str">
            <v>Q1</v>
          </cell>
          <cell r="BH4" t="str">
            <v>Q2</v>
          </cell>
          <cell r="BI4" t="str">
            <v>Q3</v>
          </cell>
          <cell r="BJ4" t="str">
            <v>Q4</v>
          </cell>
          <cell r="BK4" t="str">
            <v>Year</v>
          </cell>
          <cell r="BM4" t="str">
            <v>Q1</v>
          </cell>
          <cell r="BN4" t="str">
            <v>Q2</v>
          </cell>
          <cell r="BO4" t="str">
            <v>Q3</v>
          </cell>
          <cell r="BP4" t="str">
            <v>Q4</v>
          </cell>
          <cell r="BQ4" t="str">
            <v>Year</v>
          </cell>
          <cell r="BS4" t="str">
            <v>Q1P</v>
          </cell>
          <cell r="BT4" t="str">
            <v>Q2P</v>
          </cell>
          <cell r="BU4" t="str">
            <v>Q3P</v>
          </cell>
          <cell r="BV4" t="str">
            <v>Q4P</v>
          </cell>
          <cell r="BW4" t="str">
            <v>Year P</v>
          </cell>
          <cell r="BY4" t="str">
            <v>Q1</v>
          </cell>
          <cell r="BZ4" t="str">
            <v>Q2</v>
          </cell>
          <cell r="CA4" t="str">
            <v>Q3</v>
          </cell>
          <cell r="CB4" t="str">
            <v>Q3</v>
          </cell>
          <cell r="CC4" t="str">
            <v>Q3</v>
          </cell>
          <cell r="CD4" t="str">
            <v>Q4</v>
          </cell>
          <cell r="CE4" t="str">
            <v>Q4</v>
          </cell>
          <cell r="CF4" t="str">
            <v>Year</v>
          </cell>
          <cell r="CG4" t="str">
            <v>Year</v>
          </cell>
          <cell r="CH4" t="str">
            <v>Year</v>
          </cell>
          <cell r="CJ4" t="str">
            <v>Q1</v>
          </cell>
          <cell r="CK4" t="str">
            <v>Q2</v>
          </cell>
          <cell r="CL4" t="str">
            <v>Q3</v>
          </cell>
          <cell r="CM4" t="str">
            <v>Q4</v>
          </cell>
          <cell r="CN4" t="str">
            <v>Year</v>
          </cell>
          <cell r="CP4" t="str">
            <v>Q1</v>
          </cell>
          <cell r="CQ4" t="str">
            <v>Q2</v>
          </cell>
          <cell r="CR4" t="str">
            <v>Q3</v>
          </cell>
          <cell r="CS4" t="str">
            <v>Q4</v>
          </cell>
          <cell r="CT4" t="str">
            <v>Year</v>
          </cell>
          <cell r="CV4" t="str">
            <v>Q1</v>
          </cell>
          <cell r="CW4" t="str">
            <v>Q2</v>
          </cell>
          <cell r="CX4" t="str">
            <v>Q3</v>
          </cell>
          <cell r="CY4" t="str">
            <v>Q4</v>
          </cell>
          <cell r="CZ4" t="str">
            <v>Year</v>
          </cell>
          <cell r="DB4" t="str">
            <v>Q1</v>
          </cell>
          <cell r="DC4" t="str">
            <v>Q2</v>
          </cell>
          <cell r="DD4" t="str">
            <v>Q3</v>
          </cell>
          <cell r="DE4" t="str">
            <v>Q4</v>
          </cell>
          <cell r="DF4" t="str">
            <v>Year</v>
          </cell>
          <cell r="DH4" t="str">
            <v>Q1</v>
          </cell>
          <cell r="DI4" t="str">
            <v>Q2</v>
          </cell>
          <cell r="DJ4" t="str">
            <v>Q3</v>
          </cell>
          <cell r="DK4" t="str">
            <v>Q4</v>
          </cell>
          <cell r="DL4">
            <v>2000</v>
          </cell>
          <cell r="DN4" t="str">
            <v>Q1A</v>
          </cell>
          <cell r="DO4" t="str">
            <v>Q2A</v>
          </cell>
          <cell r="DP4" t="str">
            <v>Q3A</v>
          </cell>
          <cell r="DQ4" t="str">
            <v>Q4A</v>
          </cell>
          <cell r="DR4">
            <v>2001</v>
          </cell>
          <cell r="DT4" t="str">
            <v>Q1A</v>
          </cell>
          <cell r="DU4" t="str">
            <v>Q2A</v>
          </cell>
          <cell r="DV4" t="str">
            <v>Q3A</v>
          </cell>
          <cell r="DW4" t="str">
            <v>Q4A</v>
          </cell>
          <cell r="DX4">
            <v>2002</v>
          </cell>
          <cell r="DZ4" t="str">
            <v>Q1A</v>
          </cell>
          <cell r="EA4" t="str">
            <v>Q2A</v>
          </cell>
          <cell r="EB4" t="str">
            <v>Q3A</v>
          </cell>
          <cell r="EC4" t="str">
            <v>Q4A</v>
          </cell>
          <cell r="ED4">
            <v>2003</v>
          </cell>
          <cell r="EF4" t="str">
            <v>Q1A</v>
          </cell>
          <cell r="EG4" t="str">
            <v>Q2A</v>
          </cell>
          <cell r="EH4" t="str">
            <v>Q3A</v>
          </cell>
          <cell r="EI4" t="str">
            <v>Q4A</v>
          </cell>
          <cell r="EJ4">
            <v>2004</v>
          </cell>
          <cell r="EL4" t="str">
            <v>Q1A</v>
          </cell>
          <cell r="EM4" t="str">
            <v>Q2A</v>
          </cell>
          <cell r="EN4" t="str">
            <v>Q3A</v>
          </cell>
          <cell r="EO4" t="str">
            <v>Q4A</v>
          </cell>
          <cell r="EP4">
            <v>2005</v>
          </cell>
          <cell r="ER4" t="str">
            <v>Q1A</v>
          </cell>
          <cell r="ES4" t="str">
            <v>Q2A</v>
          </cell>
          <cell r="ET4" t="str">
            <v>Q3A</v>
          </cell>
          <cell r="EU4" t="str">
            <v>Q4A</v>
          </cell>
          <cell r="EV4">
            <v>2006</v>
          </cell>
          <cell r="EX4">
            <v>1</v>
          </cell>
          <cell r="EY4">
            <v>2</v>
          </cell>
          <cell r="EZ4">
            <v>3</v>
          </cell>
          <cell r="FA4">
            <v>4</v>
          </cell>
          <cell r="FB4" t="str">
            <v>Year</v>
          </cell>
          <cell r="FD4">
            <v>1</v>
          </cell>
          <cell r="FE4">
            <v>2</v>
          </cell>
          <cell r="FF4">
            <v>3</v>
          </cell>
          <cell r="FG4">
            <v>4</v>
          </cell>
          <cell r="FH4" t="str">
            <v>Year</v>
          </cell>
          <cell r="FJ4">
            <v>1</v>
          </cell>
          <cell r="FK4">
            <v>2</v>
          </cell>
          <cell r="FL4">
            <v>3</v>
          </cell>
          <cell r="FM4">
            <v>4</v>
          </cell>
          <cell r="FN4" t="str">
            <v>Year</v>
          </cell>
          <cell r="FP4">
            <v>1</v>
          </cell>
          <cell r="FQ4">
            <v>2</v>
          </cell>
          <cell r="FR4">
            <v>3</v>
          </cell>
          <cell r="FS4">
            <v>4</v>
          </cell>
          <cell r="FT4" t="str">
            <v>Year</v>
          </cell>
          <cell r="FV4">
            <v>1</v>
          </cell>
          <cell r="FW4">
            <v>2</v>
          </cell>
          <cell r="FX4">
            <v>3</v>
          </cell>
          <cell r="FY4">
            <v>4</v>
          </cell>
          <cell r="FZ4" t="str">
            <v>Year</v>
          </cell>
          <cell r="GB4">
            <v>1</v>
          </cell>
          <cell r="GC4">
            <v>2</v>
          </cell>
          <cell r="GD4">
            <v>3</v>
          </cell>
          <cell r="GE4">
            <v>4</v>
          </cell>
          <cell r="GF4" t="str">
            <v>Year</v>
          </cell>
        </row>
        <row r="5">
          <cell r="A5" t="str">
            <v>R=Restated  O=Originally Reported</v>
          </cell>
          <cell r="N5" t="str">
            <v>R-1999</v>
          </cell>
          <cell r="O5" t="str">
            <v>R-2000</v>
          </cell>
          <cell r="P5" t="str">
            <v>R-2001</v>
          </cell>
          <cell r="Q5" t="str">
            <v>R-2001</v>
          </cell>
          <cell r="R5" t="str">
            <v>R-2001</v>
          </cell>
          <cell r="S5" t="str">
            <v>R-2001</v>
          </cell>
          <cell r="T5" t="str">
            <v>R-2005</v>
          </cell>
          <cell r="U5" t="str">
            <v>R-2005</v>
          </cell>
          <cell r="V5" t="str">
            <v>R-2005</v>
          </cell>
          <cell r="W5" t="str">
            <v>R-2005</v>
          </cell>
          <cell r="X5" t="str">
            <v>O-2005</v>
          </cell>
          <cell r="Y5" t="str">
            <v>O-Q406</v>
          </cell>
          <cell r="Z5" t="str">
            <v>O-Q407</v>
          </cell>
          <cell r="DH5" t="str">
            <v>R-2001</v>
          </cell>
          <cell r="DI5" t="str">
            <v>R-2001</v>
          </cell>
          <cell r="DJ5" t="str">
            <v>R-2001</v>
          </cell>
          <cell r="DK5" t="str">
            <v>R-Q401</v>
          </cell>
          <cell r="DL5" t="str">
            <v>R-2001</v>
          </cell>
          <cell r="DN5" t="str">
            <v>R-Q102</v>
          </cell>
          <cell r="DO5" t="str">
            <v>R-Q202</v>
          </cell>
          <cell r="DP5" t="str">
            <v>R-Q302</v>
          </cell>
          <cell r="DQ5" t="str">
            <v>O-Q402</v>
          </cell>
          <cell r="DR5" t="str">
            <v>R-2005</v>
          </cell>
          <cell r="DT5" t="str">
            <v>O-Q102</v>
          </cell>
          <cell r="DU5" t="str">
            <v>O-Q202</v>
          </cell>
          <cell r="DV5" t="str">
            <v>O-Q302</v>
          </cell>
          <cell r="DW5" t="str">
            <v>O-Q402</v>
          </cell>
          <cell r="DX5" t="str">
            <v>R-2005</v>
          </cell>
          <cell r="DZ5" t="str">
            <v>O-Q103</v>
          </cell>
          <cell r="EA5" t="str">
            <v>O-Q203</v>
          </cell>
          <cell r="EB5" t="str">
            <v>O-Q303</v>
          </cell>
          <cell r="EC5" t="str">
            <v>O-Q403</v>
          </cell>
          <cell r="ED5" t="str">
            <v>R-2005</v>
          </cell>
          <cell r="EF5" t="str">
            <v>R-Q105</v>
          </cell>
          <cell r="EG5" t="str">
            <v>R-Q205</v>
          </cell>
          <cell r="EH5" t="str">
            <v>R-Q305</v>
          </cell>
          <cell r="EI5" t="str">
            <v>R-Q405</v>
          </cell>
          <cell r="EJ5" t="str">
            <v>R-2005</v>
          </cell>
          <cell r="EL5" t="str">
            <v>O-Q105</v>
          </cell>
          <cell r="EM5" t="str">
            <v>O-Q205</v>
          </cell>
          <cell r="EN5" t="str">
            <v>R-2005</v>
          </cell>
          <cell r="EO5" t="str">
            <v>O-Q405</v>
          </cell>
          <cell r="EP5" t="str">
            <v>O-2005</v>
          </cell>
          <cell r="ER5" t="str">
            <v>O-Q106</v>
          </cell>
          <cell r="ES5" t="str">
            <v>O-Q206</v>
          </cell>
          <cell r="ET5" t="str">
            <v>O-Q306</v>
          </cell>
          <cell r="EU5" t="str">
            <v>O-Q406</v>
          </cell>
          <cell r="EV5" t="str">
            <v>O-Q406</v>
          </cell>
          <cell r="FB5" t="str">
            <v>O-Q407</v>
          </cell>
          <cell r="GE5" t="str">
            <v>53rd Week</v>
          </cell>
        </row>
        <row r="7">
          <cell r="A7" t="str">
            <v>Retail Revenues</v>
          </cell>
          <cell r="C7">
            <v>7577.5860000000002</v>
          </cell>
          <cell r="D7">
            <v>7141.9830000000002</v>
          </cell>
          <cell r="E7">
            <v>6932.3230000000003</v>
          </cell>
          <cell r="F7">
            <v>6932.3230000000003</v>
          </cell>
          <cell r="G7">
            <v>7079.9410000000007</v>
          </cell>
          <cell r="H7">
            <v>7229.4059999999999</v>
          </cell>
          <cell r="I7">
            <v>7707.476999999999</v>
          </cell>
          <cell r="J7">
            <v>3.5963567590107104E-2</v>
          </cell>
          <cell r="K7">
            <v>13701.5</v>
          </cell>
          <cell r="L7">
            <v>13998.034</v>
          </cell>
          <cell r="N7">
            <v>14614</v>
          </cell>
          <cell r="O7">
            <v>14833</v>
          </cell>
          <cell r="P7">
            <v>15220</v>
          </cell>
          <cell r="Q7">
            <v>15365</v>
          </cell>
          <cell r="R7">
            <v>16029</v>
          </cell>
          <cell r="S7">
            <v>16638</v>
          </cell>
          <cell r="T7">
            <v>15785</v>
          </cell>
          <cell r="U7">
            <v>15571</v>
          </cell>
          <cell r="V7">
            <v>15412</v>
          </cell>
          <cell r="W7">
            <v>15776</v>
          </cell>
          <cell r="X7">
            <v>22390</v>
          </cell>
          <cell r="Y7">
            <v>26970</v>
          </cell>
          <cell r="Z7">
            <v>26313</v>
          </cell>
          <cell r="AA7">
            <v>24892</v>
          </cell>
          <cell r="AB7">
            <v>23895</v>
          </cell>
          <cell r="AC7">
            <v>25003</v>
          </cell>
          <cell r="AD7">
            <v>26405</v>
          </cell>
          <cell r="AE7">
            <v>27697.820605365057</v>
          </cell>
          <cell r="AF7">
            <v>28358.892641397051</v>
          </cell>
          <cell r="AG7">
            <v>28905.408744504351</v>
          </cell>
          <cell r="AH7">
            <v>29204.897015558319</v>
          </cell>
          <cell r="AI7">
            <v>29496.945985713905</v>
          </cell>
          <cell r="AJ7">
            <v>29791.915445571045</v>
          </cell>
          <cell r="AK7">
            <v>30089.834600026756</v>
          </cell>
          <cell r="AL7">
            <v>30390.732946027023</v>
          </cell>
          <cell r="AN7" t="str">
            <v>Retail Revenues</v>
          </cell>
          <cell r="AO7">
            <v>1590.46</v>
          </cell>
          <cell r="AP7">
            <v>1525.692</v>
          </cell>
          <cell r="AQ7">
            <v>1767.327</v>
          </cell>
          <cell r="AR7">
            <v>2258.5039999999999</v>
          </cell>
          <cell r="AS7">
            <v>7141.9830000000002</v>
          </cell>
          <cell r="AU7">
            <v>1593.4190000000001</v>
          </cell>
          <cell r="AV7">
            <v>1495.7429999999999</v>
          </cell>
          <cell r="AW7">
            <v>1708.9010000000001</v>
          </cell>
          <cell r="AX7">
            <v>2134.2600000000002</v>
          </cell>
          <cell r="AY7">
            <v>6932.3230000000003</v>
          </cell>
          <cell r="BA7">
            <v>1571.7260000000001</v>
          </cell>
          <cell r="BB7">
            <v>1457.212</v>
          </cell>
          <cell r="BC7">
            <v>1788.9649999999999</v>
          </cell>
          <cell r="BD7">
            <v>2262.038</v>
          </cell>
          <cell r="BE7">
            <v>7079.9410000000007</v>
          </cell>
          <cell r="BG7">
            <v>1590.259</v>
          </cell>
          <cell r="BH7">
            <v>1502.288</v>
          </cell>
          <cell r="BI7">
            <v>1789.3150000000001</v>
          </cell>
          <cell r="BJ7">
            <v>2347.5439999999999</v>
          </cell>
          <cell r="BK7">
            <v>7229.4059999999999</v>
          </cell>
          <cell r="BM7">
            <v>1653.6310000000001</v>
          </cell>
          <cell r="BN7">
            <v>1596.1</v>
          </cell>
          <cell r="BO7">
            <v>1926.8109999999999</v>
          </cell>
          <cell r="BP7">
            <v>2530.9349999999999</v>
          </cell>
          <cell r="BQ7">
            <v>7707.476999999999</v>
          </cell>
          <cell r="BS7">
            <v>2938</v>
          </cell>
          <cell r="BT7">
            <v>2930.8</v>
          </cell>
          <cell r="BU7">
            <v>3352.6</v>
          </cell>
          <cell r="BV7">
            <v>4480.1000000000004</v>
          </cell>
          <cell r="BW7">
            <v>13701.5</v>
          </cell>
          <cell r="BY7">
            <v>2988.0059999999999</v>
          </cell>
          <cell r="BZ7">
            <v>3047</v>
          </cell>
          <cell r="CA7">
            <v>3333.5279999999998</v>
          </cell>
          <cell r="CB7">
            <v>414.8</v>
          </cell>
          <cell r="CC7">
            <v>3748.3690000000001</v>
          </cell>
          <cell r="CD7">
            <v>4629.5</v>
          </cell>
          <cell r="CE7">
            <v>5264.9</v>
          </cell>
          <cell r="CF7">
            <v>13998.034</v>
          </cell>
          <cell r="CG7">
            <v>14633.433999999999</v>
          </cell>
          <cell r="CH7">
            <v>15048.233999999999</v>
          </cell>
          <cell r="CJ7">
            <v>3300.7</v>
          </cell>
          <cell r="CK7">
            <v>3284.2280000000001</v>
          </cell>
          <cell r="CL7">
            <v>3609.1480000000001</v>
          </cell>
          <cell r="CM7">
            <v>5034.9579999999996</v>
          </cell>
          <cell r="CN7">
            <v>15229.034</v>
          </cell>
          <cell r="CP7">
            <v>3409.0909999999999</v>
          </cell>
          <cell r="CQ7">
            <v>3452.8290000000002</v>
          </cell>
          <cell r="CR7">
            <v>3746.2759999999998</v>
          </cell>
          <cell r="CS7">
            <v>5060.116</v>
          </cell>
          <cell r="CT7">
            <v>15668.312</v>
          </cell>
          <cell r="CV7">
            <v>3357</v>
          </cell>
          <cell r="CW7">
            <v>3426</v>
          </cell>
          <cell r="CX7">
            <v>3548</v>
          </cell>
          <cell r="CY7">
            <v>5034</v>
          </cell>
          <cell r="CZ7">
            <v>15365</v>
          </cell>
          <cell r="DB7">
            <v>3470</v>
          </cell>
          <cell r="DC7">
            <v>3609</v>
          </cell>
          <cell r="DD7">
            <v>3691</v>
          </cell>
          <cell r="DE7">
            <v>5259</v>
          </cell>
          <cell r="DF7">
            <v>16029</v>
          </cell>
          <cell r="DH7">
            <v>3573</v>
          </cell>
          <cell r="DI7">
            <v>3679</v>
          </cell>
          <cell r="DJ7">
            <v>3782</v>
          </cell>
          <cell r="DK7">
            <v>5604</v>
          </cell>
          <cell r="DL7">
            <v>16638</v>
          </cell>
          <cell r="DN7">
            <v>3556</v>
          </cell>
          <cell r="DO7">
            <v>3488</v>
          </cell>
          <cell r="DP7">
            <v>3475</v>
          </cell>
          <cell r="DQ7">
            <v>5132</v>
          </cell>
          <cell r="DR7">
            <v>15785</v>
          </cell>
          <cell r="DT7">
            <v>3453</v>
          </cell>
          <cell r="DU7">
            <v>3486</v>
          </cell>
          <cell r="DV7">
            <v>3479</v>
          </cell>
          <cell r="DW7">
            <v>5017</v>
          </cell>
          <cell r="DX7">
            <v>15571</v>
          </cell>
          <cell r="DZ7">
            <v>3291</v>
          </cell>
          <cell r="EA7">
            <v>3434</v>
          </cell>
          <cell r="EB7">
            <v>3486</v>
          </cell>
          <cell r="EC7">
            <v>5053</v>
          </cell>
          <cell r="ED7">
            <v>15412</v>
          </cell>
          <cell r="EF7">
            <v>3550</v>
          </cell>
          <cell r="EG7">
            <v>3581</v>
          </cell>
          <cell r="EH7">
            <v>3525</v>
          </cell>
          <cell r="EI7">
            <v>5120</v>
          </cell>
          <cell r="EJ7">
            <v>15776</v>
          </cell>
          <cell r="EL7">
            <v>3641</v>
          </cell>
          <cell r="EM7">
            <v>3623</v>
          </cell>
          <cell r="EN7">
            <v>5555</v>
          </cell>
          <cell r="EO7">
            <v>9571</v>
          </cell>
          <cell r="EP7">
            <v>22390</v>
          </cell>
          <cell r="ER7">
            <v>5930</v>
          </cell>
          <cell r="ES7">
            <v>5995</v>
          </cell>
          <cell r="ET7">
            <v>5886</v>
          </cell>
          <cell r="EU7">
            <v>9159</v>
          </cell>
          <cell r="EV7">
            <v>26970</v>
          </cell>
          <cell r="EX7">
            <v>5921</v>
          </cell>
          <cell r="EY7">
            <v>5892</v>
          </cell>
          <cell r="EZ7">
            <v>5906</v>
          </cell>
          <cell r="FA7">
            <v>8594</v>
          </cell>
          <cell r="FB7">
            <v>26313</v>
          </cell>
          <cell r="FD7">
            <v>5747</v>
          </cell>
          <cell r="FE7">
            <v>5718</v>
          </cell>
          <cell r="FF7">
            <v>5493</v>
          </cell>
          <cell r="FG7">
            <v>7934</v>
          </cell>
          <cell r="FH7">
            <v>24892</v>
          </cell>
          <cell r="FJ7">
            <v>5288</v>
          </cell>
          <cell r="FK7">
            <v>5285</v>
          </cell>
          <cell r="FL7">
            <v>5385</v>
          </cell>
          <cell r="FM7">
            <v>7937</v>
          </cell>
          <cell r="FN7">
            <v>23895</v>
          </cell>
          <cell r="FP7">
            <v>5574</v>
          </cell>
          <cell r="FQ7">
            <v>5537</v>
          </cell>
          <cell r="FR7">
            <v>5623</v>
          </cell>
          <cell r="FS7">
            <v>8269</v>
          </cell>
          <cell r="FT7">
            <v>25003</v>
          </cell>
          <cell r="FV7">
            <v>5889</v>
          </cell>
          <cell r="FW7">
            <v>5939</v>
          </cell>
          <cell r="FX7">
            <v>5853</v>
          </cell>
          <cell r="FY7">
            <v>8724</v>
          </cell>
          <cell r="FZ7">
            <v>26405</v>
          </cell>
          <cell r="GB7">
            <v>6143</v>
          </cell>
          <cell r="GC7">
            <v>6118</v>
          </cell>
          <cell r="GD7">
            <v>6069.6866469352608</v>
          </cell>
          <cell r="GE7">
            <v>9367.1339584297966</v>
          </cell>
          <cell r="GF7">
            <v>27697.820605365057</v>
          </cell>
        </row>
        <row r="8">
          <cell r="A8" t="str">
            <v>Direct-to-consumer</v>
          </cell>
          <cell r="AN8" t="str">
            <v>Direct-to-consumer</v>
          </cell>
          <cell r="CP8" t="str">
            <v>--</v>
          </cell>
          <cell r="CQ8" t="str">
            <v>--</v>
          </cell>
          <cell r="CR8" t="str">
            <v>--</v>
          </cell>
          <cell r="CS8" t="str">
            <v>--</v>
          </cell>
          <cell r="CT8" t="str">
            <v>--</v>
          </cell>
          <cell r="DB8">
            <v>130</v>
          </cell>
          <cell r="DC8">
            <v>397</v>
          </cell>
          <cell r="DD8">
            <v>446</v>
          </cell>
          <cell r="DE8">
            <v>714</v>
          </cell>
          <cell r="DF8">
            <v>1687</v>
          </cell>
        </row>
        <row r="9">
          <cell r="A9" t="str">
            <v>Total Revenues</v>
          </cell>
          <cell r="K9">
            <v>13701.5</v>
          </cell>
          <cell r="L9">
            <v>13998.034</v>
          </cell>
          <cell r="N9">
            <v>14614</v>
          </cell>
          <cell r="O9">
            <v>14833</v>
          </cell>
          <cell r="P9">
            <v>15220</v>
          </cell>
          <cell r="Q9">
            <v>15365</v>
          </cell>
          <cell r="R9">
            <v>16029</v>
          </cell>
          <cell r="S9">
            <v>16638</v>
          </cell>
          <cell r="T9">
            <v>15785</v>
          </cell>
          <cell r="U9">
            <v>15571</v>
          </cell>
          <cell r="V9">
            <v>15412</v>
          </cell>
          <cell r="W9">
            <v>15776</v>
          </cell>
          <cell r="X9">
            <v>22390</v>
          </cell>
          <cell r="Y9">
            <v>26970</v>
          </cell>
          <cell r="Z9">
            <v>26313</v>
          </cell>
          <cell r="AA9">
            <v>24892</v>
          </cell>
          <cell r="AB9">
            <v>23895</v>
          </cell>
          <cell r="AC9">
            <v>25003</v>
          </cell>
          <cell r="AD9">
            <v>26405</v>
          </cell>
          <cell r="AE9">
            <v>27697.820605365057</v>
          </cell>
          <cell r="AF9">
            <v>28358.892641397051</v>
          </cell>
          <cell r="AG9">
            <v>28905.408744504351</v>
          </cell>
          <cell r="AH9">
            <v>29204.897015558319</v>
          </cell>
          <cell r="AI9">
            <v>29496.945985713905</v>
          </cell>
          <cell r="AJ9">
            <v>29791.915445571045</v>
          </cell>
          <cell r="AK9">
            <v>30089.834600026756</v>
          </cell>
          <cell r="AL9">
            <v>30390.732946027023</v>
          </cell>
          <cell r="AN9" t="str">
            <v>Total Revenues</v>
          </cell>
          <cell r="AO9">
            <v>1590.46</v>
          </cell>
          <cell r="AP9">
            <v>1525.692</v>
          </cell>
          <cell r="AQ9">
            <v>1767.327</v>
          </cell>
          <cell r="AR9">
            <v>2258.5039999999999</v>
          </cell>
          <cell r="AS9">
            <v>7141.9830000000002</v>
          </cell>
          <cell r="AU9">
            <v>1593.4190000000001</v>
          </cell>
          <cell r="AV9">
            <v>1495.7429999999999</v>
          </cell>
          <cell r="AW9">
            <v>1708.9010000000001</v>
          </cell>
          <cell r="AX9">
            <v>2134.2600000000002</v>
          </cell>
          <cell r="AY9">
            <v>6932.3230000000003</v>
          </cell>
          <cell r="BA9">
            <v>1571.7260000000001</v>
          </cell>
          <cell r="BB9">
            <v>1457.212</v>
          </cell>
          <cell r="BC9">
            <v>1788.9649999999999</v>
          </cell>
          <cell r="BD9">
            <v>2262.038</v>
          </cell>
          <cell r="BE9">
            <v>7079.9410000000007</v>
          </cell>
          <cell r="BG9">
            <v>1590.259</v>
          </cell>
          <cell r="BH9">
            <v>1502.288</v>
          </cell>
          <cell r="BI9">
            <v>1789.3150000000001</v>
          </cell>
          <cell r="BJ9">
            <v>2347.5439999999999</v>
          </cell>
          <cell r="BK9">
            <v>7229.4059999999999</v>
          </cell>
          <cell r="BM9">
            <v>1653.6310000000001</v>
          </cell>
          <cell r="BN9">
            <v>1596.1</v>
          </cell>
          <cell r="BO9">
            <v>1926.8109999999999</v>
          </cell>
          <cell r="BP9">
            <v>2530.9349999999999</v>
          </cell>
          <cell r="BQ9">
            <v>7707.476999999999</v>
          </cell>
          <cell r="BS9">
            <v>2938</v>
          </cell>
          <cell r="BT9">
            <v>2930.8</v>
          </cell>
          <cell r="BU9">
            <v>3352.6</v>
          </cell>
          <cell r="BV9">
            <v>4480.1000000000004</v>
          </cell>
          <cell r="BW9">
            <v>13701.5</v>
          </cell>
          <cell r="BY9">
            <v>2988.0059999999999</v>
          </cell>
          <cell r="BZ9">
            <v>3047</v>
          </cell>
          <cell r="CA9">
            <v>3333.5279999999998</v>
          </cell>
          <cell r="CB9">
            <v>414.8</v>
          </cell>
          <cell r="CC9">
            <v>3748.3690000000001</v>
          </cell>
          <cell r="CD9">
            <v>4629.5</v>
          </cell>
          <cell r="CE9">
            <v>5264.9</v>
          </cell>
          <cell r="CF9">
            <v>13998.034</v>
          </cell>
          <cell r="CG9">
            <v>14633.433999999999</v>
          </cell>
          <cell r="CH9">
            <v>15048.233999999999</v>
          </cell>
          <cell r="CJ9">
            <v>3300.7</v>
          </cell>
          <cell r="CK9">
            <v>3284.2280000000001</v>
          </cell>
          <cell r="CL9">
            <v>3609.1480000000001</v>
          </cell>
          <cell r="CM9">
            <v>5034.9579999999996</v>
          </cell>
          <cell r="CN9">
            <v>15229.034</v>
          </cell>
          <cell r="CP9">
            <v>3409.0909999999999</v>
          </cell>
          <cell r="CQ9">
            <v>3452.8290000000002</v>
          </cell>
          <cell r="CR9">
            <v>3746.2759999999998</v>
          </cell>
          <cell r="CS9">
            <v>5060.116</v>
          </cell>
          <cell r="CT9">
            <v>15668.312</v>
          </cell>
          <cell r="CV9">
            <v>3357</v>
          </cell>
          <cell r="CW9">
            <v>3426</v>
          </cell>
          <cell r="CX9">
            <v>3548</v>
          </cell>
          <cell r="CY9">
            <v>5034</v>
          </cell>
          <cell r="CZ9">
            <v>15365</v>
          </cell>
          <cell r="DB9">
            <v>3600</v>
          </cell>
          <cell r="DC9">
            <v>4006</v>
          </cell>
          <cell r="DD9">
            <v>4137</v>
          </cell>
          <cell r="DE9">
            <v>5973</v>
          </cell>
          <cell r="DF9">
            <v>17716</v>
          </cell>
          <cell r="DH9">
            <v>3573</v>
          </cell>
          <cell r="DI9">
            <v>3679</v>
          </cell>
          <cell r="DJ9">
            <v>3782</v>
          </cell>
          <cell r="DK9">
            <v>5604</v>
          </cell>
          <cell r="DL9">
            <v>16638</v>
          </cell>
          <cell r="DN9">
            <v>3556</v>
          </cell>
          <cell r="DO9">
            <v>3488</v>
          </cell>
          <cell r="DP9">
            <v>3475</v>
          </cell>
          <cell r="DQ9">
            <v>5132</v>
          </cell>
          <cell r="DR9">
            <v>15785</v>
          </cell>
          <cell r="DT9">
            <v>3453</v>
          </cell>
          <cell r="DU9">
            <v>3486</v>
          </cell>
          <cell r="DV9">
            <v>3479</v>
          </cell>
          <cell r="DW9">
            <v>5017</v>
          </cell>
          <cell r="DX9">
            <v>15571</v>
          </cell>
          <cell r="DZ9">
            <v>3291</v>
          </cell>
          <cell r="EA9">
            <v>3434</v>
          </cell>
          <cell r="EB9">
            <v>3486</v>
          </cell>
          <cell r="EC9">
            <v>5053</v>
          </cell>
          <cell r="ED9">
            <v>15412</v>
          </cell>
          <cell r="EF9">
            <v>3550</v>
          </cell>
          <cell r="EG9">
            <v>3581</v>
          </cell>
          <cell r="EH9">
            <v>3525</v>
          </cell>
          <cell r="EI9">
            <v>5120</v>
          </cell>
          <cell r="EJ9">
            <v>15776</v>
          </cell>
          <cell r="EK9" t="str">
            <v>Total Revenues</v>
          </cell>
          <cell r="EL9">
            <v>3641</v>
          </cell>
          <cell r="EM9">
            <v>3623</v>
          </cell>
          <cell r="EN9">
            <v>5555</v>
          </cell>
          <cell r="EO9">
            <v>9571</v>
          </cell>
          <cell r="EP9">
            <v>22390</v>
          </cell>
          <cell r="ER9">
            <v>5930</v>
          </cell>
          <cell r="ES9">
            <v>5995</v>
          </cell>
          <cell r="ET9">
            <v>5886</v>
          </cell>
          <cell r="EU9">
            <v>9159</v>
          </cell>
          <cell r="EV9">
            <v>26970</v>
          </cell>
          <cell r="EX9">
            <v>5921</v>
          </cell>
          <cell r="EY9">
            <v>5892</v>
          </cell>
          <cell r="EZ9">
            <v>5906</v>
          </cell>
          <cell r="FA9">
            <v>8594</v>
          </cell>
          <cell r="FB9">
            <v>26313</v>
          </cell>
          <cell r="FD9">
            <v>5747</v>
          </cell>
          <cell r="FE9">
            <v>5718</v>
          </cell>
          <cell r="FF9">
            <v>5493</v>
          </cell>
          <cell r="FG9">
            <v>7934</v>
          </cell>
          <cell r="FH9">
            <v>24892</v>
          </cell>
          <cell r="FJ9">
            <v>5288</v>
          </cell>
          <cell r="FK9">
            <v>5285</v>
          </cell>
          <cell r="FL9">
            <v>5385</v>
          </cell>
          <cell r="FM9">
            <v>7937</v>
          </cell>
          <cell r="FN9">
            <v>23895</v>
          </cell>
          <cell r="FP9">
            <v>5574</v>
          </cell>
          <cell r="FQ9">
            <v>5537</v>
          </cell>
          <cell r="FR9">
            <v>5623</v>
          </cell>
          <cell r="FS9">
            <v>8269</v>
          </cell>
          <cell r="FT9">
            <v>25003</v>
          </cell>
          <cell r="FV9">
            <v>5889</v>
          </cell>
          <cell r="FW9">
            <v>5939</v>
          </cell>
          <cell r="FX9">
            <v>5853</v>
          </cell>
          <cell r="FY9">
            <v>8724</v>
          </cell>
          <cell r="FZ9">
            <v>26405</v>
          </cell>
          <cell r="GB9">
            <v>6143</v>
          </cell>
          <cell r="GC9">
            <v>6118</v>
          </cell>
          <cell r="GD9">
            <v>6069.6866469352608</v>
          </cell>
          <cell r="GE9">
            <v>9367.1339584297966</v>
          </cell>
          <cell r="GF9">
            <v>27697.820605365057</v>
          </cell>
          <cell r="GS9" t="str">
            <v>mstag:revenueNet</v>
          </cell>
          <cell r="GT9">
            <v>6</v>
          </cell>
          <cell r="GU9" t="str">
            <v>ISO4217:USD</v>
          </cell>
          <cell r="GV9" t="b">
            <v>0</v>
          </cell>
          <cell r="GW9" t="b">
            <v>0</v>
          </cell>
        </row>
        <row r="10">
          <cell r="A10" t="str">
            <v>Y/Y Growth</v>
          </cell>
          <cell r="C10" t="str">
            <v>--</v>
          </cell>
          <cell r="D10">
            <v>-5.7485721706094783E-2</v>
          </cell>
          <cell r="E10" t="str">
            <v>--</v>
          </cell>
          <cell r="F10">
            <v>-2.935599258637267E-2</v>
          </cell>
          <cell r="G10">
            <v>2.1294160701975429E-2</v>
          </cell>
          <cell r="H10">
            <v>2.1111051631644839E-2</v>
          </cell>
          <cell r="I10">
            <v>6.6128669492348191E-2</v>
          </cell>
          <cell r="K10" t="str">
            <v xml:space="preserve">--  </v>
          </cell>
          <cell r="L10">
            <v>2.164244790716352E-2</v>
          </cell>
          <cell r="N10" t="str">
            <v>NA</v>
          </cell>
          <cell r="O10">
            <v>1.4985630217599466E-2</v>
          </cell>
          <cell r="P10">
            <v>2.6090473943234604E-2</v>
          </cell>
          <cell r="Q10">
            <v>9.5269382391589552E-3</v>
          </cell>
          <cell r="R10">
            <v>4.3215099251545652E-2</v>
          </cell>
          <cell r="S10">
            <v>3.7993636533782515E-2</v>
          </cell>
          <cell r="T10">
            <v>-5.126818127178745E-2</v>
          </cell>
          <cell r="U10">
            <v>-1.3557174532784266E-2</v>
          </cell>
          <cell r="V10">
            <v>-1.0211290218996805E-2</v>
          </cell>
          <cell r="W10">
            <v>2.361796003114458E-2</v>
          </cell>
          <cell r="X10">
            <v>0.41924442190669375</v>
          </cell>
          <cell r="Y10">
            <v>0.20455560518088434</v>
          </cell>
          <cell r="Z10">
            <v>-2.4360400444938812E-2</v>
          </cell>
          <cell r="AA10">
            <v>-5.4003724394785846E-2</v>
          </cell>
          <cell r="AB10">
            <v>-4.0053029085650005E-2</v>
          </cell>
          <cell r="AC10">
            <v>4.6369533375183014E-2</v>
          </cell>
          <cell r="AD10">
            <v>5.60732712074552E-2</v>
          </cell>
          <cell r="AE10">
            <v>4.8961204520547419E-2</v>
          </cell>
          <cell r="AF10">
            <v>2.3867294306323394E-2</v>
          </cell>
          <cell r="AG10">
            <v>1.9271419022529823E-2</v>
          </cell>
          <cell r="AH10">
            <v>1.0360976857347159E-2</v>
          </cell>
          <cell r="AI10">
            <v>1.0000000000000009E-2</v>
          </cell>
          <cell r="AJ10">
            <v>1.0000000000000009E-2</v>
          </cell>
          <cell r="AK10">
            <v>1.0000000000000009E-2</v>
          </cell>
          <cell r="AL10">
            <v>1.0000000000000009E-2</v>
          </cell>
          <cell r="AN10" t="str">
            <v>Y/Y Growth</v>
          </cell>
          <cell r="AS10">
            <v>-5.7485721706094783E-2</v>
          </cell>
          <cell r="AU10">
            <v>1.86046804069262E-3</v>
          </cell>
          <cell r="AV10">
            <v>-1.9629781109162359E-2</v>
          </cell>
          <cell r="AW10">
            <v>-3.3058964187159479E-2</v>
          </cell>
          <cell r="AX10">
            <v>-5.5011636021012E-2</v>
          </cell>
          <cell r="AY10">
            <v>-2.935599258637267E-2</v>
          </cell>
          <cell r="BA10">
            <v>-1.3614121583839567E-2</v>
          </cell>
          <cell r="BB10">
            <v>-2.5760441466214368E-2</v>
          </cell>
          <cell r="BC10">
            <v>4.6851163408529795E-2</v>
          </cell>
          <cell r="BD10">
            <v>5.9869931498505169E-2</v>
          </cell>
          <cell r="BE10">
            <v>2.1294160701975429E-2</v>
          </cell>
          <cell r="BG10">
            <v>1.1791495464221979E-2</v>
          </cell>
          <cell r="BH10">
            <v>3.0933042000752087E-2</v>
          </cell>
          <cell r="BI10">
            <v>1.9564384993575601E-4</v>
          </cell>
          <cell r="BJ10">
            <v>3.7800425987538633E-2</v>
          </cell>
          <cell r="BK10">
            <v>2.1111051631644839E-2</v>
          </cell>
          <cell r="BM10">
            <v>3.9850112465956933E-2</v>
          </cell>
          <cell r="BN10">
            <v>6.2446082242552547E-2</v>
          </cell>
          <cell r="BO10">
            <v>7.6842814149548744E-2</v>
          </cell>
          <cell r="BP10">
            <v>7.8120367498969223E-2</v>
          </cell>
          <cell r="BQ10">
            <v>6.6128669492348191E-2</v>
          </cell>
          <cell r="BS10" t="str">
            <v xml:space="preserve"> --  </v>
          </cell>
          <cell r="BT10" t="str">
            <v xml:space="preserve"> --  </v>
          </cell>
          <cell r="BU10" t="str">
            <v xml:space="preserve"> --  </v>
          </cell>
          <cell r="BV10" t="str">
            <v xml:space="preserve"> --  </v>
          </cell>
          <cell r="BW10" t="str">
            <v xml:space="preserve"> --  </v>
          </cell>
          <cell r="BY10">
            <v>1.7020422055820328E-2</v>
          </cell>
          <cell r="BZ10">
            <v>3.9647877712569946E-2</v>
          </cell>
          <cell r="CA10">
            <v>-5.6887192030066203E-3</v>
          </cell>
          <cell r="CC10">
            <v>0.11804838036151044</v>
          </cell>
          <cell r="CD10">
            <v>3.3347469922546225E-2</v>
          </cell>
          <cell r="CE10">
            <v>0.1751746612798819</v>
          </cell>
          <cell r="CF10">
            <v>2.164244790716352E-2</v>
          </cell>
          <cell r="CG10">
            <v>6.8016932452651169E-2</v>
          </cell>
          <cell r="CH10">
            <v>9.8290990037587012E-2</v>
          </cell>
          <cell r="CJ10">
            <v>0.10464972292558983</v>
          </cell>
          <cell r="CK10">
            <v>7.7856252051197838E-2</v>
          </cell>
          <cell r="CL10">
            <v>-3.7141754186954423E-2</v>
          </cell>
          <cell r="CM10">
            <v>-4.3674523732644466E-2</v>
          </cell>
          <cell r="CN10">
            <v>1.2014698867654605E-2</v>
          </cell>
          <cell r="CP10">
            <v>3.2838791771442555E-2</v>
          </cell>
          <cell r="CQ10">
            <v>5.1336569811840205E-2</v>
          </cell>
          <cell r="CR10">
            <v>3.799456270565793E-2</v>
          </cell>
          <cell r="CS10">
            <v>4.9966653147852647E-3</v>
          </cell>
          <cell r="CT10">
            <v>2.8844771112862544E-2</v>
          </cell>
          <cell r="CV10">
            <v>-1.528002625919922E-2</v>
          </cell>
          <cell r="CW10">
            <v>-7.7701502159533975E-3</v>
          </cell>
          <cell r="CX10">
            <v>-5.2926159204500611E-2</v>
          </cell>
          <cell r="CY10">
            <v>-5.1611465033607473E-3</v>
          </cell>
          <cell r="CZ10">
            <v>-1.9358307391376894E-2</v>
          </cell>
          <cell r="DB10">
            <v>3.3661006851355424E-2</v>
          </cell>
          <cell r="DC10">
            <v>5.3415061295972066E-2</v>
          </cell>
          <cell r="DD10">
            <v>4.0304396843291901E-2</v>
          </cell>
          <cell r="DE10">
            <v>4.4696066746126251E-2</v>
          </cell>
          <cell r="DF10">
            <v>4.3215099251545652E-2</v>
          </cell>
          <cell r="DH10">
            <v>2.9682997118155585E-2</v>
          </cell>
          <cell r="DI10">
            <v>1.9395954558049322E-2</v>
          </cell>
          <cell r="DJ10">
            <v>2.4654565158493735E-2</v>
          </cell>
          <cell r="DK10">
            <v>6.560182544209936E-2</v>
          </cell>
          <cell r="DL10">
            <v>3.7993636533782515E-2</v>
          </cell>
          <cell r="DN10">
            <v>-4.7579065211307281E-3</v>
          </cell>
          <cell r="DO10">
            <v>-5.191628159826045E-2</v>
          </cell>
          <cell r="DP10">
            <v>-8.1173982020095181E-2</v>
          </cell>
          <cell r="DQ10">
            <v>-8.4225553176302648E-2</v>
          </cell>
          <cell r="DR10">
            <v>-5.126818127178745E-2</v>
          </cell>
          <cell r="DT10">
            <v>-2.8965129358830111E-2</v>
          </cell>
          <cell r="DU10">
            <v>-5.7339449541282672E-4</v>
          </cell>
          <cell r="DV10">
            <v>1.1510791366906581E-3</v>
          </cell>
          <cell r="DW10">
            <v>-2.2408417770849565E-2</v>
          </cell>
          <cell r="DX10">
            <v>-1.3557174532784266E-2</v>
          </cell>
          <cell r="DZ10">
            <v>-4.6915725456125101E-2</v>
          </cell>
          <cell r="EA10">
            <v>-1.4916810097532984E-2</v>
          </cell>
          <cell r="EB10">
            <v>2.012072434607548E-3</v>
          </cell>
          <cell r="EC10">
            <v>7.1756029499701057E-3</v>
          </cell>
          <cell r="ED10">
            <v>-1.0211290218996805E-2</v>
          </cell>
          <cell r="EF10">
            <v>7.8699483439683915E-2</v>
          </cell>
          <cell r="EG10">
            <v>4.2807221898660375E-2</v>
          </cell>
          <cell r="EH10">
            <v>1.1187607573149849E-2</v>
          </cell>
          <cell r="EI10">
            <v>1.3259449831783066E-2</v>
          </cell>
          <cell r="EJ10">
            <v>2.361796003114458E-2</v>
          </cell>
          <cell r="EK10" t="str">
            <v>Y/Y Growth</v>
          </cell>
          <cell r="EL10">
            <v>2.5633802816901419E-2</v>
          </cell>
          <cell r="EM10">
            <v>1.1728567439262871E-2</v>
          </cell>
          <cell r="EN10">
            <v>0.57588652482269498</v>
          </cell>
          <cell r="EO10">
            <v>0.86933593750000004</v>
          </cell>
          <cell r="EP10">
            <v>0.41924442190669375</v>
          </cell>
          <cell r="ER10">
            <v>0.62867344136226322</v>
          </cell>
          <cell r="ES10">
            <v>0.65470604471432514</v>
          </cell>
          <cell r="ET10">
            <v>5.9585958595859578E-2</v>
          </cell>
          <cell r="EU10">
            <v>-4.3046703583742518E-2</v>
          </cell>
          <cell r="EV10">
            <v>0.20455560518088434</v>
          </cell>
          <cell r="EX10">
            <v>-1.5177065767284503E-3</v>
          </cell>
          <cell r="EY10">
            <v>-1.7180984153461254E-2</v>
          </cell>
          <cell r="EZ10">
            <v>3.397893306150257E-3</v>
          </cell>
          <cell r="FA10">
            <v>-6.1687957200567745E-2</v>
          </cell>
          <cell r="FB10">
            <v>-2.4360400444938812E-2</v>
          </cell>
          <cell r="FD10">
            <v>-2.9386927883803371E-2</v>
          </cell>
          <cell r="FE10">
            <v>-2.9531568228105876E-2</v>
          </cell>
          <cell r="FF10">
            <v>-6.9928885878767333E-2</v>
          </cell>
          <cell r="FG10">
            <v>-7.6797765883174329E-2</v>
          </cell>
          <cell r="FH10">
            <v>-5.4003724394785846E-2</v>
          </cell>
          <cell r="FJ10">
            <v>-7.9867757090655966E-2</v>
          </cell>
          <cell r="FK10">
            <v>-7.5725778244141284E-2</v>
          </cell>
          <cell r="FL10">
            <v>-1.9661387220098359E-2</v>
          </cell>
          <cell r="FM10">
            <v>3.7811948575749987E-4</v>
          </cell>
          <cell r="FN10">
            <v>-4.0053029085650005E-2</v>
          </cell>
          <cell r="FP10">
            <v>5.4084720121028829E-2</v>
          </cell>
          <cell r="FQ10">
            <v>4.7682119205298079E-2</v>
          </cell>
          <cell r="FR10">
            <v>4.4196843082636939E-2</v>
          </cell>
          <cell r="FS10">
            <v>4.182940657679235E-2</v>
          </cell>
          <cell r="FT10">
            <v>4.6369533375183014E-2</v>
          </cell>
          <cell r="FV10">
            <v>5.6512378902045191E-2</v>
          </cell>
          <cell r="FW10">
            <v>7.2602492324363332E-2</v>
          </cell>
          <cell r="FX10">
            <v>4.0903432331495626E-2</v>
          </cell>
          <cell r="FY10">
            <v>5.5024791389527206E-2</v>
          </cell>
          <cell r="FZ10">
            <v>5.60732712074552E-2</v>
          </cell>
          <cell r="GB10">
            <v>4.313126167430803E-2</v>
          </cell>
          <cell r="GC10">
            <v>3.0139754167368249E-2</v>
          </cell>
          <cell r="GD10">
            <v>3.7021467099822347E-2</v>
          </cell>
          <cell r="GE10">
            <v>7.372007776590972E-2</v>
          </cell>
          <cell r="GF10">
            <v>4.8961204520547419E-2</v>
          </cell>
        </row>
        <row r="11">
          <cell r="A11" t="str">
            <v xml:space="preserve">  % Same-Store</v>
          </cell>
          <cell r="C11" t="str">
            <v>--</v>
          </cell>
          <cell r="D11">
            <v>-4.2999999999999997E-2</v>
          </cell>
          <cell r="E11" t="str">
            <v>--</v>
          </cell>
          <cell r="F11">
            <v>1.4E-2</v>
          </cell>
          <cell r="G11">
            <v>5.1999999999999998E-2</v>
          </cell>
          <cell r="H11">
            <v>1.9E-2</v>
          </cell>
          <cell r="I11">
            <v>3.1E-2</v>
          </cell>
          <cell r="K11">
            <v>3.0898675327518884E-2</v>
          </cell>
          <cell r="L11">
            <v>2.7118808112624956E-2</v>
          </cell>
          <cell r="N11">
            <v>2.7E-2</v>
          </cell>
          <cell r="O11">
            <v>3.1E-2</v>
          </cell>
          <cell r="P11">
            <v>2.7E-2</v>
          </cell>
          <cell r="Q11">
            <v>2.1999999999999999E-2</v>
          </cell>
          <cell r="R11">
            <v>4.4999999999999998E-2</v>
          </cell>
          <cell r="S11">
            <v>0.02</v>
          </cell>
          <cell r="T11">
            <v>-5.2999999999999999E-2</v>
          </cell>
          <cell r="U11">
            <v>-0.03</v>
          </cell>
          <cell r="V11">
            <v>-9.0000000000000011E-3</v>
          </cell>
          <cell r="W11">
            <v>2.5999999999999999E-2</v>
          </cell>
          <cell r="X11">
            <v>1.2999999999999999E-2</v>
          </cell>
          <cell r="Y11">
            <v>4.3999999999999997E-2</v>
          </cell>
          <cell r="Z11">
            <v>-1.2999999999999999E-2</v>
          </cell>
          <cell r="AA11">
            <v>-4.4999999999999998E-2</v>
          </cell>
          <cell r="AB11">
            <v>-5.2999999999999999E-2</v>
          </cell>
          <cell r="AC11">
            <v>4.610434747830261E-2</v>
          </cell>
          <cell r="AD11">
            <v>5.2999999999999999E-2</v>
          </cell>
          <cell r="AE11">
            <v>4.02253638971692E-2</v>
          </cell>
          <cell r="AF11">
            <v>3.5000000000000003E-2</v>
          </cell>
          <cell r="AG11">
            <v>0.02</v>
          </cell>
          <cell r="AH11">
            <v>0.01</v>
          </cell>
          <cell r="AI11">
            <v>0.01</v>
          </cell>
          <cell r="AJ11">
            <v>0.01</v>
          </cell>
          <cell r="AK11">
            <v>0.01</v>
          </cell>
          <cell r="AL11">
            <v>0.01</v>
          </cell>
          <cell r="AN11" t="str">
            <v xml:space="preserve">  % Same-Store</v>
          </cell>
          <cell r="AS11">
            <v>-4.2999999999999997E-2</v>
          </cell>
          <cell r="AU11">
            <v>2.9000000000000001E-2</v>
          </cell>
          <cell r="AV11">
            <v>1.4E-2</v>
          </cell>
          <cell r="AW11">
            <v>1.7999999999999999E-2</v>
          </cell>
          <cell r="AX11">
            <v>-1E-3</v>
          </cell>
          <cell r="AY11">
            <v>1.4E-2</v>
          </cell>
          <cell r="BA11">
            <v>4.3999999999999997E-2</v>
          </cell>
          <cell r="BB11">
            <v>1.7000000000000001E-2</v>
          </cell>
          <cell r="BC11">
            <v>5.7000000000000002E-2</v>
          </cell>
          <cell r="BD11">
            <v>7.4999999999999997E-2</v>
          </cell>
          <cell r="BE11">
            <v>5.1999999999999998E-2</v>
          </cell>
          <cell r="BG11">
            <v>0.02</v>
          </cell>
          <cell r="BH11">
            <v>0.04</v>
          </cell>
          <cell r="BI11">
            <v>0</v>
          </cell>
          <cell r="BJ11">
            <v>2.1000000000000001E-2</v>
          </cell>
          <cell r="BK11">
            <v>1.9E-2</v>
          </cell>
          <cell r="BM11">
            <v>2.1000000000000001E-2</v>
          </cell>
          <cell r="BN11">
            <v>2.1999999999999999E-2</v>
          </cell>
          <cell r="BO11">
            <v>3.4000000000000002E-2</v>
          </cell>
          <cell r="BP11">
            <v>4.1000000000000002E-2</v>
          </cell>
          <cell r="BQ11">
            <v>3.1E-2</v>
          </cell>
          <cell r="BS11">
            <v>3.9E-2</v>
          </cell>
          <cell r="BT11">
            <v>8.0000000000000002E-3</v>
          </cell>
          <cell r="BU11">
            <v>3.6999999999999998E-2</v>
          </cell>
          <cell r="BV11">
            <v>3.5999999999999997E-2</v>
          </cell>
          <cell r="BW11">
            <v>3.0898675327518884E-2</v>
          </cell>
          <cell r="BY11">
            <v>1.2999999999999999E-2</v>
          </cell>
          <cell r="BZ11">
            <v>6.2E-2</v>
          </cell>
          <cell r="CA11">
            <v>1.4999999999999999E-2</v>
          </cell>
          <cell r="CC11">
            <v>1.4999999999999999E-2</v>
          </cell>
          <cell r="CD11">
            <v>2.1999999999999999E-2</v>
          </cell>
          <cell r="CE11">
            <v>2.1999999999999999E-2</v>
          </cell>
          <cell r="CF11">
            <v>2.7118808112624956E-2</v>
          </cell>
          <cell r="CG11">
            <v>2.7118808112624956E-2</v>
          </cell>
          <cell r="CH11">
            <v>2.7118808112624956E-2</v>
          </cell>
          <cell r="CJ11">
            <v>4.5999999999999999E-2</v>
          </cell>
          <cell r="CK11">
            <v>8.0000000000000002E-3</v>
          </cell>
          <cell r="CL11">
            <v>2.5000000000000001E-2</v>
          </cell>
          <cell r="CM11">
            <v>0.04</v>
          </cell>
          <cell r="CN11">
            <v>3.0844572544785176E-2</v>
          </cell>
          <cell r="CP11">
            <v>2.5000000000000001E-2</v>
          </cell>
          <cell r="CQ11">
            <v>4.3999999999999997E-2</v>
          </cell>
          <cell r="CR11">
            <v>3.1E-2</v>
          </cell>
          <cell r="CS11">
            <v>1.4E-2</v>
          </cell>
          <cell r="CT11">
            <v>2.7069152758765591E-2</v>
          </cell>
          <cell r="CV11">
            <v>2.4E-2</v>
          </cell>
          <cell r="CW11">
            <v>3.0187969924812031E-2</v>
          </cell>
          <cell r="CX11">
            <v>-1.2999999999999999E-2</v>
          </cell>
          <cell r="CY11">
            <v>4.1000000000000002E-2</v>
          </cell>
          <cell r="CZ11">
            <v>4.4999999999999998E-2</v>
          </cell>
          <cell r="DB11">
            <v>0.04</v>
          </cell>
          <cell r="DC11">
            <v>5.8999999999999997E-2</v>
          </cell>
          <cell r="DD11">
            <v>3.9E-2</v>
          </cell>
          <cell r="DE11">
            <v>4.3999999999999997E-2</v>
          </cell>
          <cell r="DF11">
            <v>4.4999999999999998E-2</v>
          </cell>
          <cell r="DH11">
            <v>2.9000000000000001E-2</v>
          </cell>
          <cell r="DI11">
            <v>1.9E-2</v>
          </cell>
          <cell r="DJ11">
            <v>1.9E-2</v>
          </cell>
          <cell r="DK11">
            <v>1.6E-2</v>
          </cell>
          <cell r="DL11">
            <v>0.02</v>
          </cell>
          <cell r="DN11">
            <v>-1.4999999999999999E-2</v>
          </cell>
          <cell r="DO11">
            <v>-4.8000000000000001E-2</v>
          </cell>
          <cell r="DP11">
            <v>-8.5999999999999993E-2</v>
          </cell>
          <cell r="DQ11">
            <v>-0.06</v>
          </cell>
          <cell r="DR11">
            <v>-5.2999999999999999E-2</v>
          </cell>
          <cell r="DT11">
            <v>-2.9000000000000001E-2</v>
          </cell>
          <cell r="DU11">
            <v>-2.8000000000000001E-2</v>
          </cell>
          <cell r="DV11">
            <v>-0.02</v>
          </cell>
          <cell r="DW11">
            <v>-3.9E-2</v>
          </cell>
          <cell r="DX11">
            <v>-0.03</v>
          </cell>
          <cell r="DZ11">
            <v>-0.05</v>
          </cell>
          <cell r="EA11">
            <v>-1.2E-2</v>
          </cell>
          <cell r="EB11">
            <v>2E-3</v>
          </cell>
          <cell r="EC11">
            <v>1.3999999999999999E-2</v>
          </cell>
          <cell r="ED11">
            <v>-9.0000000000000011E-3</v>
          </cell>
          <cell r="EF11">
            <v>6.9000000000000006E-2</v>
          </cell>
          <cell r="EG11">
            <v>3.3000000000000002E-2</v>
          </cell>
          <cell r="EH11">
            <v>4.0000000000000001E-3</v>
          </cell>
          <cell r="EI11">
            <v>8.0000000000000002E-3</v>
          </cell>
          <cell r="EJ11">
            <v>2.5999999999999999E-2</v>
          </cell>
          <cell r="EK11" t="str">
            <v xml:space="preserve">  % Same-Store</v>
          </cell>
          <cell r="EL11">
            <v>2.5999999999999999E-2</v>
          </cell>
          <cell r="EM11">
            <v>1.0999999999999999E-2</v>
          </cell>
          <cell r="EN11">
            <v>6.0000000000000001E-3</v>
          </cell>
          <cell r="EO11">
            <v>1.0999999999999999E-2</v>
          </cell>
          <cell r="EP11">
            <v>1.2999999999999999E-2</v>
          </cell>
          <cell r="ER11">
            <v>0</v>
          </cell>
          <cell r="ES11">
            <v>4.5999999999999999E-2</v>
          </cell>
          <cell r="ET11">
            <v>5.8999999999999997E-2</v>
          </cell>
          <cell r="EU11">
            <v>6.0999999999999999E-2</v>
          </cell>
          <cell r="EV11">
            <v>4.3999999999999997E-2</v>
          </cell>
          <cell r="EX11">
            <v>6.0000000000000001E-3</v>
          </cell>
          <cell r="EY11">
            <v>-2.5999999999999999E-2</v>
          </cell>
          <cell r="EZ11">
            <v>-8.0000000000000002E-3</v>
          </cell>
          <cell r="FA11">
            <v>-0.02</v>
          </cell>
          <cell r="FB11">
            <v>-1.2999999999999999E-2</v>
          </cell>
          <cell r="FD11">
            <v>-2.5999999999999999E-2</v>
          </cell>
          <cell r="FE11">
            <v>-2.1000000000000001E-2</v>
          </cell>
          <cell r="FF11">
            <v>-0.06</v>
          </cell>
          <cell r="FG11">
            <v>-7.0000000000000007E-2</v>
          </cell>
          <cell r="FH11">
            <v>-4.4999999999999998E-2</v>
          </cell>
          <cell r="FJ11">
            <v>-0.09</v>
          </cell>
          <cell r="FK11">
            <v>-9.5000000000000001E-2</v>
          </cell>
          <cell r="FL11">
            <v>-3.5999999999999997E-2</v>
          </cell>
          <cell r="FM11">
            <v>-8.0000000000000002E-3</v>
          </cell>
          <cell r="FN11">
            <v>-5.2999999999999999E-2</v>
          </cell>
          <cell r="FP11">
            <v>5.5E-2</v>
          </cell>
          <cell r="FQ11">
            <v>4.9000000000000002E-2</v>
          </cell>
          <cell r="FR11">
            <v>3.9E-2</v>
          </cell>
          <cell r="FS11">
            <v>4.2999999999999997E-2</v>
          </cell>
          <cell r="FT11">
            <v>4.610434747830261E-2</v>
          </cell>
          <cell r="FV11">
            <v>5.3999999999999999E-2</v>
          </cell>
          <cell r="FW11">
            <v>6.4000000000000001E-2</v>
          </cell>
          <cell r="FX11">
            <v>0.04</v>
          </cell>
          <cell r="FY11">
            <v>5.1999999999999998E-2</v>
          </cell>
          <cell r="FZ11">
            <v>5.2999999999999999E-2</v>
          </cell>
          <cell r="GB11">
            <v>4.3999999999999997E-2</v>
          </cell>
          <cell r="GC11">
            <v>0.03</v>
          </cell>
          <cell r="GD11">
            <v>4.4170626829774157E-2</v>
          </cell>
          <cell r="GE11">
            <v>4.1872044415560798E-2</v>
          </cell>
          <cell r="GF11">
            <v>4.02253638971692E-2</v>
          </cell>
          <cell r="GS11" t="str">
            <v>mstag:comparableStoreSalesGrowth</v>
          </cell>
          <cell r="GT11">
            <v>0</v>
          </cell>
          <cell r="GU11" t="str">
            <v>ms_eqr_gcim_Decimal:ms_eqr_gcim_decimal</v>
          </cell>
          <cell r="GV11" t="b">
            <v>0</v>
          </cell>
          <cell r="GW11" t="b">
            <v>0</v>
          </cell>
        </row>
        <row r="13">
          <cell r="A13" t="str">
            <v>Cost of Goods Sold</v>
          </cell>
          <cell r="C13">
            <v>5447.1210000000001</v>
          </cell>
          <cell r="D13">
            <v>4394.9759999999997</v>
          </cell>
          <cell r="E13">
            <v>4202.223</v>
          </cell>
          <cell r="F13">
            <v>4173.2920000000004</v>
          </cell>
          <cell r="G13">
            <v>4220.8230000000003</v>
          </cell>
          <cell r="H13">
            <v>4371.2170000000006</v>
          </cell>
          <cell r="I13">
            <v>4738.326</v>
          </cell>
          <cell r="K13">
            <v>8409.8680000000004</v>
          </cell>
          <cell r="L13">
            <v>8578.85</v>
          </cell>
          <cell r="N13">
            <v>9038</v>
          </cell>
          <cell r="O13">
            <v>9018</v>
          </cell>
          <cell r="P13">
            <v>9200</v>
          </cell>
          <cell r="Q13">
            <v>9218</v>
          </cell>
          <cell r="R13">
            <v>9576</v>
          </cell>
          <cell r="S13">
            <v>9955</v>
          </cell>
          <cell r="T13">
            <v>9603</v>
          </cell>
          <cell r="U13">
            <v>9324</v>
          </cell>
          <cell r="V13">
            <v>9175</v>
          </cell>
          <cell r="W13">
            <v>9346</v>
          </cell>
          <cell r="X13">
            <v>13272</v>
          </cell>
          <cell r="Y13">
            <v>16019</v>
          </cell>
          <cell r="Z13">
            <v>15677</v>
          </cell>
          <cell r="AA13">
            <v>15009</v>
          </cell>
          <cell r="AB13">
            <v>14278</v>
          </cell>
          <cell r="AC13">
            <v>14824</v>
          </cell>
          <cell r="AD13">
            <v>15738</v>
          </cell>
          <cell r="AE13">
            <v>16473.116703251519</v>
          </cell>
          <cell r="AF13">
            <v>16781.208749826241</v>
          </cell>
          <cell r="AG13">
            <v>17061.248342231931</v>
          </cell>
          <cell r="AH13">
            <v>17267.224438478806</v>
          </cell>
          <cell r="AI13">
            <v>17498.890574835023</v>
          </cell>
          <cell r="AJ13">
            <v>17673.879480583375</v>
          </cell>
          <cell r="AK13">
            <v>17850.618275389206</v>
          </cell>
          <cell r="AL13">
            <v>18029.124458143102</v>
          </cell>
          <cell r="AN13" t="str">
            <v>Cost of Goods Sold</v>
          </cell>
          <cell r="AO13">
            <v>955.19299999999998</v>
          </cell>
          <cell r="AP13">
            <v>949.21100000000001</v>
          </cell>
          <cell r="AQ13">
            <v>1068.867</v>
          </cell>
          <cell r="AR13">
            <v>1421.7049999999999</v>
          </cell>
          <cell r="AS13">
            <v>4394.9759999999997</v>
          </cell>
          <cell r="AU13">
            <v>954.02099999999996</v>
          </cell>
          <cell r="AV13">
            <v>897.43100000000004</v>
          </cell>
          <cell r="AW13">
            <v>1031.549</v>
          </cell>
          <cell r="AX13">
            <v>1319.222</v>
          </cell>
          <cell r="AY13">
            <v>4202.223</v>
          </cell>
          <cell r="BA13">
            <v>924.86599999999999</v>
          </cell>
          <cell r="BB13">
            <v>867.78200000000004</v>
          </cell>
          <cell r="BC13">
            <v>1063.415</v>
          </cell>
          <cell r="BD13">
            <v>1364.76</v>
          </cell>
          <cell r="BE13">
            <v>4220.8230000000003</v>
          </cell>
          <cell r="BG13">
            <v>947.86799999999994</v>
          </cell>
          <cell r="BH13">
            <v>900.06400000000008</v>
          </cell>
          <cell r="BI13">
            <v>1077.3520000000001</v>
          </cell>
          <cell r="BJ13">
            <v>1445.933</v>
          </cell>
          <cell r="BK13">
            <v>4371.2170000000006</v>
          </cell>
          <cell r="BM13">
            <v>1002.9349999999999</v>
          </cell>
          <cell r="BN13">
            <v>974.73500000000001</v>
          </cell>
          <cell r="BO13">
            <v>1182.5509999999999</v>
          </cell>
          <cell r="BP13">
            <v>1578.105</v>
          </cell>
          <cell r="BQ13">
            <v>4738.326</v>
          </cell>
          <cell r="BS13">
            <v>1781.979</v>
          </cell>
          <cell r="BT13">
            <v>1814.82</v>
          </cell>
          <cell r="BU13">
            <v>2045.9162000000001</v>
          </cell>
          <cell r="BV13">
            <v>2767.1528000000003</v>
          </cell>
          <cell r="BW13">
            <v>8409.8680000000004</v>
          </cell>
          <cell r="BY13">
            <v>1822.16</v>
          </cell>
          <cell r="BZ13">
            <v>1862.915</v>
          </cell>
          <cell r="CA13">
            <v>2039.616</v>
          </cell>
          <cell r="CB13">
            <v>288.96100000000024</v>
          </cell>
          <cell r="CC13">
            <v>2328.5770000000002</v>
          </cell>
          <cell r="CD13">
            <v>2854.1590000000001</v>
          </cell>
          <cell r="CE13">
            <v>3304.3710000000001</v>
          </cell>
          <cell r="CF13">
            <v>8578.85</v>
          </cell>
          <cell r="CG13">
            <v>9029.0619999999999</v>
          </cell>
          <cell r="CH13">
            <v>9318.023000000001</v>
          </cell>
          <cell r="CJ13">
            <v>2014.6479999999999</v>
          </cell>
          <cell r="CK13">
            <v>1995.5730000000001</v>
          </cell>
          <cell r="CL13">
            <v>2189.9029999999998</v>
          </cell>
          <cell r="CM13">
            <v>3088.5619999999999</v>
          </cell>
          <cell r="CN13">
            <v>9288.6859999999997</v>
          </cell>
          <cell r="CP13">
            <v>2086.8649999999998</v>
          </cell>
          <cell r="CQ13">
            <v>2098.6709999999998</v>
          </cell>
          <cell r="CR13">
            <v>2286.9189999999999</v>
          </cell>
          <cell r="CS13">
            <v>3108.3119999999999</v>
          </cell>
          <cell r="CT13">
            <v>9580.7669999999998</v>
          </cell>
          <cell r="CV13">
            <v>2022</v>
          </cell>
          <cell r="CW13">
            <v>2017</v>
          </cell>
          <cell r="CX13">
            <v>2145</v>
          </cell>
          <cell r="CY13">
            <v>3034</v>
          </cell>
          <cell r="CZ13">
            <v>9218</v>
          </cell>
          <cell r="DB13">
            <v>2174</v>
          </cell>
          <cell r="DC13">
            <v>2319</v>
          </cell>
          <cell r="DD13">
            <v>2454</v>
          </cell>
          <cell r="DE13">
            <v>3496</v>
          </cell>
          <cell r="DF13">
            <v>10443</v>
          </cell>
          <cell r="DH13">
            <v>2152</v>
          </cell>
          <cell r="DI13">
            <v>2173</v>
          </cell>
          <cell r="DJ13">
            <v>2295</v>
          </cell>
          <cell r="DK13">
            <v>3335</v>
          </cell>
          <cell r="DL13">
            <v>9955</v>
          </cell>
          <cell r="DN13">
            <v>2158</v>
          </cell>
          <cell r="DO13">
            <v>2128</v>
          </cell>
          <cell r="DP13">
            <v>2134</v>
          </cell>
          <cell r="DQ13">
            <v>3111</v>
          </cell>
          <cell r="DR13">
            <v>9603</v>
          </cell>
          <cell r="DT13">
            <v>2078</v>
          </cell>
          <cell r="DU13">
            <v>2051</v>
          </cell>
          <cell r="DV13">
            <v>2112</v>
          </cell>
          <cell r="DW13">
            <v>3014</v>
          </cell>
          <cell r="DX13">
            <v>9324</v>
          </cell>
          <cell r="DZ13">
            <v>2002</v>
          </cell>
          <cell r="EA13">
            <v>2025</v>
          </cell>
          <cell r="EB13">
            <v>2091</v>
          </cell>
          <cell r="EC13">
            <v>2981</v>
          </cell>
          <cell r="ED13">
            <v>9175</v>
          </cell>
          <cell r="EF13">
            <v>2119</v>
          </cell>
          <cell r="EG13">
            <v>2098</v>
          </cell>
          <cell r="EH13">
            <v>2107</v>
          </cell>
          <cell r="EI13">
            <v>3022</v>
          </cell>
          <cell r="EJ13">
            <v>9346</v>
          </cell>
          <cell r="EK13" t="str">
            <v>Cost of Goods Sold</v>
          </cell>
          <cell r="EL13">
            <v>2176</v>
          </cell>
          <cell r="EM13">
            <v>2126</v>
          </cell>
          <cell r="EN13">
            <v>3312</v>
          </cell>
          <cell r="EO13">
            <v>5658</v>
          </cell>
          <cell r="EP13">
            <v>13272</v>
          </cell>
          <cell r="ER13">
            <v>3627</v>
          </cell>
          <cell r="ES13">
            <v>3470</v>
          </cell>
          <cell r="ET13">
            <v>3513</v>
          </cell>
          <cell r="EU13">
            <v>5409</v>
          </cell>
          <cell r="EV13">
            <v>16019</v>
          </cell>
          <cell r="EX13">
            <v>3564</v>
          </cell>
          <cell r="EY13">
            <v>3507</v>
          </cell>
          <cell r="EZ13">
            <v>3585</v>
          </cell>
          <cell r="FA13">
            <v>5021</v>
          </cell>
          <cell r="FB13">
            <v>15677</v>
          </cell>
          <cell r="FD13">
            <v>3527</v>
          </cell>
          <cell r="FE13">
            <v>3346</v>
          </cell>
          <cell r="FF13">
            <v>3324</v>
          </cell>
          <cell r="FG13">
            <v>4812</v>
          </cell>
          <cell r="FH13">
            <v>15009</v>
          </cell>
          <cell r="FJ13">
            <v>3279</v>
          </cell>
          <cell r="FK13">
            <v>3117</v>
          </cell>
          <cell r="FL13">
            <v>3241</v>
          </cell>
          <cell r="FM13">
            <v>4641</v>
          </cell>
          <cell r="FN13">
            <v>14278</v>
          </cell>
          <cell r="FP13">
            <v>3378</v>
          </cell>
          <cell r="FQ13">
            <v>3214</v>
          </cell>
          <cell r="FR13">
            <v>3377</v>
          </cell>
          <cell r="FS13">
            <v>4855</v>
          </cell>
          <cell r="FT13">
            <v>14824</v>
          </cell>
          <cell r="FV13">
            <v>3586</v>
          </cell>
          <cell r="FW13">
            <v>3457</v>
          </cell>
          <cell r="FX13">
            <v>3544</v>
          </cell>
          <cell r="FY13">
            <v>5151</v>
          </cell>
          <cell r="FZ13">
            <v>15738</v>
          </cell>
          <cell r="GB13">
            <v>3757</v>
          </cell>
          <cell r="GC13">
            <v>3555</v>
          </cell>
          <cell r="GD13">
            <v>3666.0995494313679</v>
          </cell>
          <cell r="GE13">
            <v>5495.0171538201503</v>
          </cell>
          <cell r="GF13">
            <v>16473.116703251519</v>
          </cell>
          <cell r="GS13" t="str">
            <v>mstag:costOfSalesWithoutDepreciation</v>
          </cell>
          <cell r="GT13">
            <v>6</v>
          </cell>
          <cell r="GU13" t="str">
            <v>ISO4217:USD</v>
          </cell>
          <cell r="GV13" t="b">
            <v>0</v>
          </cell>
          <cell r="GW13" t="b">
            <v>0</v>
          </cell>
        </row>
        <row r="14">
          <cell r="A14" t="str">
            <v>Gross Profit</v>
          </cell>
          <cell r="C14">
            <v>2130.4650000000001</v>
          </cell>
          <cell r="D14">
            <v>2747.0070000000005</v>
          </cell>
          <cell r="E14">
            <v>2730.1000000000004</v>
          </cell>
          <cell r="F14">
            <v>2759.0309999999999</v>
          </cell>
          <cell r="G14">
            <v>2859.1180000000004</v>
          </cell>
          <cell r="H14">
            <v>2858.1889999999994</v>
          </cell>
          <cell r="I14">
            <v>2969.1509999999989</v>
          </cell>
          <cell r="K14">
            <v>5291.6319999999996</v>
          </cell>
          <cell r="L14">
            <v>5419.1839999999993</v>
          </cell>
          <cell r="N14">
            <v>5576</v>
          </cell>
          <cell r="O14">
            <v>5815</v>
          </cell>
          <cell r="P14">
            <v>6020</v>
          </cell>
          <cell r="Q14">
            <v>6147</v>
          </cell>
          <cell r="R14">
            <v>6453</v>
          </cell>
          <cell r="S14">
            <v>6683</v>
          </cell>
          <cell r="T14">
            <v>6182</v>
          </cell>
          <cell r="U14">
            <v>6247</v>
          </cell>
          <cell r="V14">
            <v>6237</v>
          </cell>
          <cell r="W14">
            <v>6430</v>
          </cell>
          <cell r="X14">
            <v>9118</v>
          </cell>
          <cell r="Y14">
            <v>10951</v>
          </cell>
          <cell r="Z14">
            <v>10636</v>
          </cell>
          <cell r="AA14">
            <v>9883</v>
          </cell>
          <cell r="AB14">
            <v>9617</v>
          </cell>
          <cell r="AC14">
            <v>10179</v>
          </cell>
          <cell r="AD14">
            <v>10667</v>
          </cell>
          <cell r="AE14">
            <v>11224.703902113539</v>
          </cell>
          <cell r="AF14">
            <v>11577.68389157081</v>
          </cell>
          <cell r="AG14">
            <v>11844.16040227242</v>
          </cell>
          <cell r="AH14">
            <v>11937.672577079513</v>
          </cell>
          <cell r="AI14">
            <v>11998.055410878882</v>
          </cell>
          <cell r="AJ14">
            <v>12118.03596498767</v>
          </cell>
          <cell r="AK14">
            <v>12239.216324637549</v>
          </cell>
          <cell r="AL14">
            <v>12361.608487883921</v>
          </cell>
          <cell r="AN14" t="str">
            <v>Gross Profit</v>
          </cell>
          <cell r="AO14">
            <v>635.26700000000005</v>
          </cell>
          <cell r="AP14">
            <v>576.48099999999999</v>
          </cell>
          <cell r="AQ14">
            <v>698.46</v>
          </cell>
          <cell r="AR14">
            <v>836.79899999999998</v>
          </cell>
          <cell r="AS14">
            <v>2747.0070000000001</v>
          </cell>
          <cell r="AU14">
            <v>639.39800000000014</v>
          </cell>
          <cell r="AV14">
            <v>598.3119999999999</v>
          </cell>
          <cell r="AW14">
            <v>677.35200000000009</v>
          </cell>
          <cell r="AX14">
            <v>815.03800000000024</v>
          </cell>
          <cell r="AY14">
            <v>2730.1000000000004</v>
          </cell>
          <cell r="BA14">
            <v>646.86000000000013</v>
          </cell>
          <cell r="BB14">
            <v>589.42999999999995</v>
          </cell>
          <cell r="BC14">
            <v>725.55</v>
          </cell>
          <cell r="BD14">
            <v>897.27800000000002</v>
          </cell>
          <cell r="BE14">
            <v>2859.1179999999999</v>
          </cell>
          <cell r="BG14">
            <v>642.39100000000008</v>
          </cell>
          <cell r="BH14">
            <v>602.22399999999993</v>
          </cell>
          <cell r="BI14">
            <v>711.96299999999997</v>
          </cell>
          <cell r="BJ14">
            <v>901.61099999999988</v>
          </cell>
          <cell r="BK14">
            <v>2858.1889999999994</v>
          </cell>
          <cell r="BM14">
            <v>650.69600000000014</v>
          </cell>
          <cell r="BN14">
            <v>621.3649999999999</v>
          </cell>
          <cell r="BO14">
            <v>744.26</v>
          </cell>
          <cell r="BP14">
            <v>952.82999999999993</v>
          </cell>
          <cell r="BQ14">
            <v>2969.1509999999989</v>
          </cell>
          <cell r="BS14">
            <v>1156.021</v>
          </cell>
          <cell r="BT14">
            <v>1115.9800000000002</v>
          </cell>
          <cell r="BU14">
            <v>1306.6837999999998</v>
          </cell>
          <cell r="BV14">
            <v>1712.9472000000001</v>
          </cell>
          <cell r="BW14">
            <v>5291.6319999999996</v>
          </cell>
          <cell r="BY14">
            <v>1165.8459999999998</v>
          </cell>
          <cell r="BZ14">
            <v>1184.085</v>
          </cell>
          <cell r="CA14">
            <v>1293.9119999999998</v>
          </cell>
          <cell r="CB14">
            <v>125.83899999999977</v>
          </cell>
          <cell r="CC14">
            <v>1419.7919999999999</v>
          </cell>
          <cell r="CD14">
            <v>1775.3409999999999</v>
          </cell>
          <cell r="CE14">
            <v>1960.5289999999995</v>
          </cell>
          <cell r="CF14">
            <v>5419.1839999999993</v>
          </cell>
          <cell r="CG14">
            <v>5604.3719999999994</v>
          </cell>
          <cell r="CH14">
            <v>5730.2109999999975</v>
          </cell>
          <cell r="CJ14">
            <v>1286.0519999999999</v>
          </cell>
          <cell r="CK14">
            <v>1288.655</v>
          </cell>
          <cell r="CL14">
            <v>1419.2450000000003</v>
          </cell>
          <cell r="CM14">
            <v>1946.3959999999997</v>
          </cell>
          <cell r="CN14">
            <v>5940.348</v>
          </cell>
          <cell r="CP14">
            <v>1322.2260000000001</v>
          </cell>
          <cell r="CQ14">
            <v>1354.1580000000004</v>
          </cell>
          <cell r="CR14">
            <v>1459.357</v>
          </cell>
          <cell r="CS14">
            <v>1951.8040000000001</v>
          </cell>
          <cell r="CT14">
            <v>6087.5450000000001</v>
          </cell>
          <cell r="CV14">
            <v>1335</v>
          </cell>
          <cell r="CW14">
            <v>1409</v>
          </cell>
          <cell r="CX14">
            <v>1403</v>
          </cell>
          <cell r="CY14">
            <v>2000</v>
          </cell>
          <cell r="CZ14">
            <v>6147</v>
          </cell>
          <cell r="DB14">
            <v>1426</v>
          </cell>
          <cell r="DC14">
            <v>1687</v>
          </cell>
          <cell r="DD14">
            <v>1683</v>
          </cell>
          <cell r="DE14">
            <v>2477</v>
          </cell>
          <cell r="DF14">
            <v>7273</v>
          </cell>
          <cell r="DH14">
            <v>1421</v>
          </cell>
          <cell r="DI14">
            <v>1506</v>
          </cell>
          <cell r="DJ14">
            <v>1487</v>
          </cell>
          <cell r="DK14">
            <v>2269</v>
          </cell>
          <cell r="DL14">
            <v>6683</v>
          </cell>
          <cell r="DN14">
            <v>1398</v>
          </cell>
          <cell r="DO14">
            <v>1360</v>
          </cell>
          <cell r="DP14">
            <v>1341</v>
          </cell>
          <cell r="DQ14">
            <v>2021</v>
          </cell>
          <cell r="DR14">
            <v>6182</v>
          </cell>
          <cell r="DT14">
            <v>1375</v>
          </cell>
          <cell r="DU14">
            <v>1435</v>
          </cell>
          <cell r="DV14">
            <v>1367</v>
          </cell>
          <cell r="DW14">
            <v>2003</v>
          </cell>
          <cell r="DX14">
            <v>6247</v>
          </cell>
          <cell r="DZ14">
            <v>1289</v>
          </cell>
          <cell r="EA14">
            <v>1409</v>
          </cell>
          <cell r="EB14">
            <v>1395</v>
          </cell>
          <cell r="EC14">
            <v>2072</v>
          </cell>
          <cell r="ED14">
            <v>6237</v>
          </cell>
          <cell r="EF14">
            <v>1431</v>
          </cell>
          <cell r="EG14">
            <v>1483</v>
          </cell>
          <cell r="EH14">
            <v>1418</v>
          </cell>
          <cell r="EI14">
            <v>2098</v>
          </cell>
          <cell r="EJ14">
            <v>6430</v>
          </cell>
          <cell r="EK14" t="str">
            <v>Gross Profit</v>
          </cell>
          <cell r="EL14">
            <v>1465</v>
          </cell>
          <cell r="EM14">
            <v>1497</v>
          </cell>
          <cell r="EN14">
            <v>2243</v>
          </cell>
          <cell r="EO14">
            <v>3913</v>
          </cell>
          <cell r="EP14">
            <v>9118</v>
          </cell>
          <cell r="ER14">
            <v>2303</v>
          </cell>
          <cell r="ES14">
            <v>2525</v>
          </cell>
          <cell r="ET14">
            <v>2373</v>
          </cell>
          <cell r="EU14">
            <v>3750</v>
          </cell>
          <cell r="EV14">
            <v>10951</v>
          </cell>
          <cell r="EX14">
            <v>2357</v>
          </cell>
          <cell r="EY14">
            <v>2385</v>
          </cell>
          <cell r="EZ14">
            <v>2321</v>
          </cell>
          <cell r="FA14">
            <v>3573</v>
          </cell>
          <cell r="FB14">
            <v>10636</v>
          </cell>
          <cell r="FD14">
            <v>2220</v>
          </cell>
          <cell r="FE14">
            <v>2372</v>
          </cell>
          <cell r="FF14">
            <v>2169</v>
          </cell>
          <cell r="FG14">
            <v>3122</v>
          </cell>
          <cell r="FH14">
            <v>9883</v>
          </cell>
          <cell r="FJ14">
            <v>2009</v>
          </cell>
          <cell r="FK14">
            <v>2168</v>
          </cell>
          <cell r="FL14">
            <v>2144</v>
          </cell>
          <cell r="FM14">
            <v>3296</v>
          </cell>
          <cell r="FN14">
            <v>9617</v>
          </cell>
          <cell r="FP14">
            <v>2196</v>
          </cell>
          <cell r="FQ14">
            <v>2323</v>
          </cell>
          <cell r="FR14">
            <v>2246</v>
          </cell>
          <cell r="FS14">
            <v>3414</v>
          </cell>
          <cell r="FT14">
            <v>10179</v>
          </cell>
          <cell r="FV14">
            <v>2303</v>
          </cell>
          <cell r="FW14">
            <v>2482</v>
          </cell>
          <cell r="FX14">
            <v>2309</v>
          </cell>
          <cell r="FY14">
            <v>3573</v>
          </cell>
          <cell r="FZ14">
            <v>10667</v>
          </cell>
          <cell r="GB14">
            <v>2386</v>
          </cell>
          <cell r="GC14">
            <v>2563</v>
          </cell>
          <cell r="GD14">
            <v>2403.5870975038929</v>
          </cell>
          <cell r="GE14">
            <v>3872.1168046096464</v>
          </cell>
          <cell r="GF14">
            <v>11224.703902113539</v>
          </cell>
        </row>
        <row r="16">
          <cell r="A16" t="str">
            <v>SG&amp;A Expense</v>
          </cell>
          <cell r="C16">
            <v>1881.0170000000001</v>
          </cell>
          <cell r="D16">
            <v>2611.8339999999998</v>
          </cell>
          <cell r="E16">
            <v>2463.1280000000002</v>
          </cell>
          <cell r="F16">
            <v>2458.1280000000002</v>
          </cell>
          <cell r="G16">
            <v>2420.6839999999997</v>
          </cell>
          <cell r="H16">
            <v>2347.5460000000003</v>
          </cell>
          <cell r="I16">
            <v>2328.047</v>
          </cell>
          <cell r="K16">
            <v>4608.8310000000001</v>
          </cell>
          <cell r="L16">
            <v>4424.5330000000004</v>
          </cell>
          <cell r="N16">
            <v>4913</v>
          </cell>
          <cell r="O16">
            <v>4922</v>
          </cell>
          <cell r="P16">
            <v>4679</v>
          </cell>
          <cell r="Q16">
            <v>4692</v>
          </cell>
          <cell r="R16">
            <v>4760</v>
          </cell>
          <cell r="S16">
            <v>4912</v>
          </cell>
          <cell r="T16">
            <v>4806</v>
          </cell>
          <cell r="U16">
            <v>4836</v>
          </cell>
          <cell r="V16">
            <v>4837</v>
          </cell>
          <cell r="W16">
            <v>4931</v>
          </cell>
          <cell r="X16">
            <v>6980</v>
          </cell>
          <cell r="Y16">
            <v>8678</v>
          </cell>
          <cell r="Z16">
            <v>8554</v>
          </cell>
          <cell r="AA16">
            <v>8458</v>
          </cell>
          <cell r="AB16">
            <v>8163</v>
          </cell>
          <cell r="AC16">
            <v>8260</v>
          </cell>
          <cell r="AD16">
            <v>8281</v>
          </cell>
          <cell r="AE16">
            <v>8553.4072798862726</v>
          </cell>
          <cell r="AF16">
            <v>8800.0923077192638</v>
          </cell>
          <cell r="AG16">
            <v>8940.7771652737574</v>
          </cell>
          <cell r="AH16">
            <v>9004.2074535542979</v>
          </cell>
          <cell r="AI16">
            <v>9064.7525821041272</v>
          </cell>
          <cell r="AJ16">
            <v>9125.6081924795981</v>
          </cell>
          <cell r="AK16">
            <v>9186.7744398043687</v>
          </cell>
          <cell r="AL16">
            <v>9248.2514512563848</v>
          </cell>
          <cell r="AN16" t="str">
            <v>SG&amp;A Expense</v>
          </cell>
          <cell r="AO16">
            <v>608.81899999999996</v>
          </cell>
          <cell r="AP16">
            <v>616.54300000000001</v>
          </cell>
          <cell r="AQ16">
            <v>656.14200000000005</v>
          </cell>
          <cell r="AR16">
            <v>730.33</v>
          </cell>
          <cell r="AS16">
            <v>2611.8340000000003</v>
          </cell>
          <cell r="AU16">
            <v>597.87800000000004</v>
          </cell>
          <cell r="AV16">
            <v>589.803</v>
          </cell>
          <cell r="AW16">
            <v>624.08500000000004</v>
          </cell>
          <cell r="AX16">
            <v>651.36199999999997</v>
          </cell>
          <cell r="AY16">
            <v>2463.1280000000002</v>
          </cell>
          <cell r="BA16">
            <v>562.19899999999996</v>
          </cell>
          <cell r="BB16">
            <v>557.755</v>
          </cell>
          <cell r="BC16">
            <v>614.78200000000004</v>
          </cell>
          <cell r="BD16">
            <v>685.94799999999998</v>
          </cell>
          <cell r="BE16">
            <v>2420.6839999999997</v>
          </cell>
          <cell r="BG16">
            <v>555.61</v>
          </cell>
          <cell r="BH16">
            <v>540.18899999999996</v>
          </cell>
          <cell r="BI16">
            <v>604.58100000000002</v>
          </cell>
          <cell r="BJ16">
            <v>647.16600000000005</v>
          </cell>
          <cell r="BK16">
            <v>2347.5460000000003</v>
          </cell>
          <cell r="BM16">
            <v>542.08799999999997</v>
          </cell>
          <cell r="BN16">
            <v>534.79100000000005</v>
          </cell>
          <cell r="BO16">
            <v>611.56299999999999</v>
          </cell>
          <cell r="BP16">
            <v>639.6049999999999</v>
          </cell>
          <cell r="BQ16">
            <v>2328.047</v>
          </cell>
          <cell r="BS16">
            <v>1095.52</v>
          </cell>
          <cell r="BT16">
            <v>1083.9040000000002</v>
          </cell>
          <cell r="BU16">
            <v>1182.6087999999997</v>
          </cell>
          <cell r="BV16">
            <v>1246.7982</v>
          </cell>
          <cell r="BW16">
            <v>4608.8310000000001</v>
          </cell>
          <cell r="BY16">
            <v>1069.9590000000001</v>
          </cell>
          <cell r="BZ16">
            <v>1067.8869999999999</v>
          </cell>
          <cell r="CA16">
            <v>1107.3150000000001</v>
          </cell>
          <cell r="CB16">
            <v>168.36500000000001</v>
          </cell>
          <cell r="CC16">
            <v>1275.68</v>
          </cell>
          <cell r="CD16">
            <v>1179.3720000000001</v>
          </cell>
          <cell r="CE16">
            <v>1334.8050000000001</v>
          </cell>
          <cell r="CF16">
            <v>4424.5330000000004</v>
          </cell>
          <cell r="CG16">
            <v>4579.9660000000003</v>
          </cell>
          <cell r="CH16">
            <v>4748.3310000000001</v>
          </cell>
          <cell r="CJ16">
            <v>1153.0650000000001</v>
          </cell>
          <cell r="CK16">
            <v>1113.9839999999999</v>
          </cell>
          <cell r="CL16">
            <v>1187.6289999999999</v>
          </cell>
          <cell r="CM16">
            <v>1283.8050000000001</v>
          </cell>
          <cell r="CN16">
            <v>4738.4830000000002</v>
          </cell>
          <cell r="CP16">
            <v>1174.1659999999999</v>
          </cell>
          <cell r="CQ16">
            <v>1142.298</v>
          </cell>
          <cell r="CR16">
            <v>1191.396</v>
          </cell>
          <cell r="CS16">
            <v>1238.9000000000001</v>
          </cell>
          <cell r="CT16">
            <v>4746.76</v>
          </cell>
          <cell r="CV16">
            <v>1154</v>
          </cell>
          <cell r="CW16">
            <v>1142</v>
          </cell>
          <cell r="CX16">
            <v>1146</v>
          </cell>
          <cell r="CY16">
            <v>1250</v>
          </cell>
          <cell r="CZ16">
            <v>4692</v>
          </cell>
          <cell r="DB16">
            <v>1201</v>
          </cell>
          <cell r="DC16">
            <v>1369</v>
          </cell>
          <cell r="DD16">
            <v>1381</v>
          </cell>
          <cell r="DE16">
            <v>1621</v>
          </cell>
          <cell r="DF16">
            <v>5572</v>
          </cell>
          <cell r="DH16">
            <v>1152</v>
          </cell>
          <cell r="DI16">
            <v>1104</v>
          </cell>
          <cell r="DJ16">
            <v>1218</v>
          </cell>
          <cell r="DK16">
            <v>1438</v>
          </cell>
          <cell r="DL16">
            <v>4912</v>
          </cell>
          <cell r="DN16">
            <v>1168</v>
          </cell>
          <cell r="DO16">
            <v>1106</v>
          </cell>
          <cell r="DP16">
            <v>1185</v>
          </cell>
          <cell r="DQ16">
            <v>1285</v>
          </cell>
          <cell r="DR16">
            <v>4806</v>
          </cell>
          <cell r="DT16">
            <v>1154</v>
          </cell>
          <cell r="DU16">
            <v>1135</v>
          </cell>
          <cell r="DV16">
            <v>1179</v>
          </cell>
          <cell r="DW16">
            <v>1301</v>
          </cell>
          <cell r="DX16">
            <v>4836</v>
          </cell>
          <cell r="DZ16">
            <v>1135</v>
          </cell>
          <cell r="EA16">
            <v>1135</v>
          </cell>
          <cell r="EB16">
            <v>1193</v>
          </cell>
          <cell r="EC16">
            <v>1302</v>
          </cell>
          <cell r="ED16">
            <v>4837</v>
          </cell>
          <cell r="EF16">
            <v>1195</v>
          </cell>
          <cell r="EG16">
            <v>1207</v>
          </cell>
          <cell r="EH16">
            <v>1207</v>
          </cell>
          <cell r="EI16">
            <v>1322</v>
          </cell>
          <cell r="EJ16">
            <v>4931</v>
          </cell>
          <cell r="EK16" t="str">
            <v>SG&amp;A Expense</v>
          </cell>
          <cell r="EL16">
            <v>1213</v>
          </cell>
          <cell r="EM16">
            <v>1206</v>
          </cell>
          <cell r="EN16">
            <v>1973</v>
          </cell>
          <cell r="EO16">
            <v>2588</v>
          </cell>
          <cell r="EP16">
            <v>6980</v>
          </cell>
          <cell r="ER16">
            <v>2154</v>
          </cell>
          <cell r="ES16">
            <v>2117</v>
          </cell>
          <cell r="ET16">
            <v>2094</v>
          </cell>
          <cell r="EU16">
            <v>2313</v>
          </cell>
          <cell r="EV16">
            <v>8678</v>
          </cell>
          <cell r="EX16">
            <v>2113</v>
          </cell>
          <cell r="EY16">
            <v>2038</v>
          </cell>
          <cell r="EZ16">
            <v>2121</v>
          </cell>
          <cell r="FA16">
            <v>2282</v>
          </cell>
          <cell r="FB16">
            <v>8554</v>
          </cell>
          <cell r="FD16">
            <v>2080</v>
          </cell>
          <cell r="FE16">
            <v>2037</v>
          </cell>
          <cell r="FF16">
            <v>2085</v>
          </cell>
          <cell r="FG16">
            <v>2256</v>
          </cell>
          <cell r="FH16">
            <v>8458</v>
          </cell>
          <cell r="FJ16">
            <v>1985</v>
          </cell>
          <cell r="FK16">
            <v>1886</v>
          </cell>
          <cell r="FL16">
            <v>2056</v>
          </cell>
          <cell r="FM16">
            <v>2236</v>
          </cell>
          <cell r="FN16">
            <v>8163</v>
          </cell>
          <cell r="FP16">
            <v>1993</v>
          </cell>
          <cell r="FQ16">
            <v>1953</v>
          </cell>
          <cell r="FR16">
            <v>2069</v>
          </cell>
          <cell r="FS16">
            <v>2245</v>
          </cell>
          <cell r="FT16">
            <v>8260</v>
          </cell>
          <cell r="FV16">
            <v>1973</v>
          </cell>
          <cell r="FW16">
            <v>1976</v>
          </cell>
          <cell r="FX16">
            <v>2018</v>
          </cell>
          <cell r="FY16">
            <v>2314</v>
          </cell>
          <cell r="FZ16">
            <v>8281</v>
          </cell>
          <cell r="GB16">
            <v>1995</v>
          </cell>
          <cell r="GC16">
            <v>2009</v>
          </cell>
          <cell r="GD16">
            <v>2122.0121029772449</v>
          </cell>
          <cell r="GE16">
            <v>2427.3951769090281</v>
          </cell>
          <cell r="GF16">
            <v>8553.4072798862726</v>
          </cell>
          <cell r="GS16" t="str">
            <v>mstag:sellingGeneralAndAdministrativeExpenses</v>
          </cell>
          <cell r="GT16">
            <v>6</v>
          </cell>
          <cell r="GU16" t="str">
            <v>ISO4217:USD</v>
          </cell>
          <cell r="GV16" t="b">
            <v>0</v>
          </cell>
          <cell r="GW16" t="b">
            <v>0</v>
          </cell>
        </row>
        <row r="17">
          <cell r="A17" t="str">
            <v>Operating Income</v>
          </cell>
          <cell r="C17">
            <v>249.44800000000009</v>
          </cell>
          <cell r="D17">
            <v>135.17300000000068</v>
          </cell>
          <cell r="E17">
            <v>266.97200000000021</v>
          </cell>
          <cell r="F17">
            <v>300.90299999999979</v>
          </cell>
          <cell r="G17">
            <v>438.43400000000065</v>
          </cell>
          <cell r="H17">
            <v>510.64299999999912</v>
          </cell>
          <cell r="I17">
            <v>641.1039999999989</v>
          </cell>
          <cell r="J17">
            <v>0.28676919756182384</v>
          </cell>
          <cell r="K17">
            <v>682.80099999999948</v>
          </cell>
          <cell r="L17">
            <v>994.65099999999893</v>
          </cell>
          <cell r="N17">
            <v>663</v>
          </cell>
          <cell r="O17">
            <v>893</v>
          </cell>
          <cell r="P17">
            <v>1341</v>
          </cell>
          <cell r="Q17">
            <v>1455</v>
          </cell>
          <cell r="R17">
            <v>1693</v>
          </cell>
          <cell r="S17">
            <v>1771</v>
          </cell>
          <cell r="T17">
            <v>1376</v>
          </cell>
          <cell r="U17">
            <v>1411</v>
          </cell>
          <cell r="V17">
            <v>1400</v>
          </cell>
          <cell r="W17">
            <v>1499</v>
          </cell>
          <cell r="X17">
            <v>2138</v>
          </cell>
          <cell r="Y17">
            <v>2273</v>
          </cell>
          <cell r="Z17">
            <v>2082</v>
          </cell>
          <cell r="AA17">
            <v>1425</v>
          </cell>
          <cell r="AB17">
            <v>1454</v>
          </cell>
          <cell r="AC17">
            <v>1919</v>
          </cell>
          <cell r="AD17">
            <v>2386</v>
          </cell>
          <cell r="AE17">
            <v>2671.2966222272662</v>
          </cell>
          <cell r="AF17">
            <v>2777.5915838515466</v>
          </cell>
          <cell r="AG17">
            <v>2903.3832369986631</v>
          </cell>
          <cell r="AH17">
            <v>2933.4651235252149</v>
          </cell>
          <cell r="AI17">
            <v>2933.3028287747547</v>
          </cell>
          <cell r="AJ17">
            <v>2992.4277725080719</v>
          </cell>
          <cell r="AK17">
            <v>3052.4418848331807</v>
          </cell>
          <cell r="AL17">
            <v>3113.3570366275362</v>
          </cell>
          <cell r="AN17" t="str">
            <v>Operating Income</v>
          </cell>
          <cell r="AO17">
            <v>26.448000000000093</v>
          </cell>
          <cell r="AP17">
            <v>-40.062000000000012</v>
          </cell>
          <cell r="AQ17">
            <v>42.317999999999984</v>
          </cell>
          <cell r="AR17">
            <v>106.46899999999994</v>
          </cell>
          <cell r="AS17">
            <v>135.173</v>
          </cell>
          <cell r="AU17">
            <v>41.520000000000095</v>
          </cell>
          <cell r="AV17">
            <v>8.5089999999999009</v>
          </cell>
          <cell r="AW17">
            <v>53.267000000000053</v>
          </cell>
          <cell r="AX17">
            <v>163.67600000000027</v>
          </cell>
          <cell r="AY17">
            <v>266.97200000000032</v>
          </cell>
          <cell r="BA17">
            <v>84.661000000000172</v>
          </cell>
          <cell r="BB17">
            <v>31.674999999999955</v>
          </cell>
          <cell r="BC17">
            <v>110.76799999999992</v>
          </cell>
          <cell r="BD17">
            <v>211.33000000000004</v>
          </cell>
          <cell r="BE17">
            <v>438.43400000000008</v>
          </cell>
          <cell r="BG17">
            <v>86.781000000000063</v>
          </cell>
          <cell r="BH17">
            <v>62.034999999999968</v>
          </cell>
          <cell r="BI17">
            <v>107.38199999999995</v>
          </cell>
          <cell r="BJ17">
            <v>254.44499999999982</v>
          </cell>
          <cell r="BK17">
            <v>510.64299999999912</v>
          </cell>
          <cell r="BM17">
            <v>108.60800000000017</v>
          </cell>
          <cell r="BN17">
            <v>86.573999999999842</v>
          </cell>
          <cell r="BO17">
            <v>132.697</v>
          </cell>
          <cell r="BP17">
            <v>313.22500000000002</v>
          </cell>
          <cell r="BQ17">
            <v>641.1039999999989</v>
          </cell>
          <cell r="BS17">
            <v>60.500999999999976</v>
          </cell>
          <cell r="BT17">
            <v>32.076000000000022</v>
          </cell>
          <cell r="BU17">
            <v>124.07500000000005</v>
          </cell>
          <cell r="BV17">
            <v>466.14900000000011</v>
          </cell>
          <cell r="BW17">
            <v>682.80099999999948</v>
          </cell>
          <cell r="BY17">
            <v>95.886999999999716</v>
          </cell>
          <cell r="BZ17">
            <v>116.19800000000009</v>
          </cell>
          <cell r="CA17">
            <v>186.59699999999975</v>
          </cell>
          <cell r="CB17">
            <v>-42.526000000000238</v>
          </cell>
          <cell r="CC17">
            <v>144.11199999999985</v>
          </cell>
          <cell r="CD17">
            <v>595.96899999999982</v>
          </cell>
          <cell r="CE17">
            <v>625.72399999999948</v>
          </cell>
          <cell r="CF17">
            <v>994.65099999999893</v>
          </cell>
          <cell r="CG17">
            <v>1024.405999999999</v>
          </cell>
          <cell r="CH17">
            <v>981.87999999999738</v>
          </cell>
          <cell r="CJ17">
            <v>132.98699999999985</v>
          </cell>
          <cell r="CK17">
            <v>174.67100000000005</v>
          </cell>
          <cell r="CL17">
            <v>231.61600000000044</v>
          </cell>
          <cell r="CM17">
            <v>662.59099999999967</v>
          </cell>
          <cell r="CN17">
            <v>1201.8649999999998</v>
          </cell>
          <cell r="CP17">
            <v>148.06000000000017</v>
          </cell>
          <cell r="CQ17">
            <v>211.86000000000035</v>
          </cell>
          <cell r="CR17">
            <v>267.96100000000001</v>
          </cell>
          <cell r="CS17">
            <v>712.904</v>
          </cell>
          <cell r="CT17">
            <v>1340.7850000000005</v>
          </cell>
          <cell r="CV17">
            <v>181</v>
          </cell>
          <cell r="CW17">
            <v>267</v>
          </cell>
          <cell r="CX17">
            <v>257</v>
          </cell>
          <cell r="CY17">
            <v>750</v>
          </cell>
          <cell r="CZ17">
            <v>1455</v>
          </cell>
          <cell r="DB17">
            <v>225</v>
          </cell>
          <cell r="DC17">
            <v>318</v>
          </cell>
          <cell r="DD17">
            <v>302</v>
          </cell>
          <cell r="DE17">
            <v>856</v>
          </cell>
          <cell r="DF17">
            <v>1701</v>
          </cell>
          <cell r="DH17">
            <v>269</v>
          </cell>
          <cell r="DI17">
            <v>402</v>
          </cell>
          <cell r="DJ17">
            <v>269</v>
          </cell>
          <cell r="DK17">
            <v>831</v>
          </cell>
          <cell r="DL17">
            <v>1771</v>
          </cell>
          <cell r="DN17">
            <v>230</v>
          </cell>
          <cell r="DO17">
            <v>254</v>
          </cell>
          <cell r="DP17">
            <v>156</v>
          </cell>
          <cell r="DQ17">
            <v>736</v>
          </cell>
          <cell r="DR17">
            <v>1376</v>
          </cell>
          <cell r="DT17">
            <v>221</v>
          </cell>
          <cell r="DU17">
            <v>300</v>
          </cell>
          <cell r="DV17">
            <v>188</v>
          </cell>
          <cell r="DW17">
            <v>702</v>
          </cell>
          <cell r="DX17">
            <v>1411</v>
          </cell>
          <cell r="DZ17">
            <v>154</v>
          </cell>
          <cell r="EA17">
            <v>274</v>
          </cell>
          <cell r="EB17">
            <v>202</v>
          </cell>
          <cell r="EC17">
            <v>770</v>
          </cell>
          <cell r="ED17">
            <v>1400</v>
          </cell>
          <cell r="EF17">
            <v>236</v>
          </cell>
          <cell r="EG17">
            <v>276</v>
          </cell>
          <cell r="EH17">
            <v>211</v>
          </cell>
          <cell r="EI17">
            <v>776</v>
          </cell>
          <cell r="EJ17">
            <v>1499</v>
          </cell>
          <cell r="EK17" t="str">
            <v>Operating Income</v>
          </cell>
          <cell r="EL17">
            <v>252</v>
          </cell>
          <cell r="EM17">
            <v>291</v>
          </cell>
          <cell r="EN17">
            <v>270</v>
          </cell>
          <cell r="EO17">
            <v>1325</v>
          </cell>
          <cell r="EP17">
            <v>2138</v>
          </cell>
          <cell r="ER17">
            <v>149</v>
          </cell>
          <cell r="ES17">
            <v>408</v>
          </cell>
          <cell r="ET17">
            <v>279</v>
          </cell>
          <cell r="EU17">
            <v>1437</v>
          </cell>
          <cell r="EV17">
            <v>2273</v>
          </cell>
          <cell r="EX17">
            <v>244</v>
          </cell>
          <cell r="EY17">
            <v>347</v>
          </cell>
          <cell r="EZ17">
            <v>200</v>
          </cell>
          <cell r="FA17">
            <v>1291</v>
          </cell>
          <cell r="FB17">
            <v>2082</v>
          </cell>
          <cell r="FD17">
            <v>140</v>
          </cell>
          <cell r="FE17">
            <v>335</v>
          </cell>
          <cell r="FF17">
            <v>84</v>
          </cell>
          <cell r="FG17">
            <v>866</v>
          </cell>
          <cell r="FH17">
            <v>1425</v>
          </cell>
          <cell r="FJ17">
            <v>24</v>
          </cell>
          <cell r="FK17">
            <v>282</v>
          </cell>
          <cell r="FL17">
            <v>88</v>
          </cell>
          <cell r="FM17">
            <v>1060</v>
          </cell>
          <cell r="FN17">
            <v>1454</v>
          </cell>
          <cell r="FP17">
            <v>203</v>
          </cell>
          <cell r="FQ17">
            <v>370</v>
          </cell>
          <cell r="FR17">
            <v>177</v>
          </cell>
          <cell r="FS17">
            <v>1169</v>
          </cell>
          <cell r="FT17">
            <v>1919</v>
          </cell>
          <cell r="FV17">
            <v>330</v>
          </cell>
          <cell r="FW17">
            <v>506</v>
          </cell>
          <cell r="FX17">
            <v>291</v>
          </cell>
          <cell r="FY17">
            <v>1259</v>
          </cell>
          <cell r="FZ17">
            <v>2386</v>
          </cell>
          <cell r="GB17">
            <v>391</v>
          </cell>
          <cell r="GC17">
            <v>554</v>
          </cell>
          <cell r="GD17">
            <v>281.57499452664797</v>
          </cell>
          <cell r="GE17">
            <v>1444.7216277006182</v>
          </cell>
          <cell r="GF17">
            <v>2671.2966222272662</v>
          </cell>
        </row>
        <row r="19">
          <cell r="A19" t="str">
            <v xml:space="preserve">Interest Expense, net </v>
          </cell>
          <cell r="C19">
            <v>806.66499999999996</v>
          </cell>
          <cell r="D19">
            <v>555.94200000000001</v>
          </cell>
          <cell r="E19">
            <v>436.99700000000001</v>
          </cell>
          <cell r="F19">
            <v>224.37599999999998</v>
          </cell>
          <cell r="G19">
            <v>197.85400000000001</v>
          </cell>
          <cell r="H19">
            <v>164.13899999999998</v>
          </cell>
          <cell r="I19">
            <v>199.44799999999998</v>
          </cell>
          <cell r="K19">
            <v>448</v>
          </cell>
          <cell r="L19">
            <v>413.26499999999999</v>
          </cell>
          <cell r="N19">
            <v>461</v>
          </cell>
          <cell r="O19">
            <v>452</v>
          </cell>
          <cell r="P19">
            <v>383</v>
          </cell>
          <cell r="Q19">
            <v>292</v>
          </cell>
          <cell r="R19">
            <v>307</v>
          </cell>
          <cell r="S19">
            <v>321</v>
          </cell>
          <cell r="T19">
            <v>324</v>
          </cell>
          <cell r="U19">
            <v>295</v>
          </cell>
          <cell r="V19">
            <v>257</v>
          </cell>
          <cell r="W19">
            <v>225</v>
          </cell>
          <cell r="X19">
            <v>397</v>
          </cell>
          <cell r="Y19">
            <v>461</v>
          </cell>
          <cell r="Z19">
            <v>543</v>
          </cell>
          <cell r="AA19">
            <v>560</v>
          </cell>
          <cell r="AB19">
            <v>556</v>
          </cell>
          <cell r="AC19">
            <v>574</v>
          </cell>
          <cell r="AD19">
            <v>443</v>
          </cell>
          <cell r="AE19">
            <v>437.94267925414607</v>
          </cell>
          <cell r="AF19">
            <v>437.64689230808881</v>
          </cell>
          <cell r="AG19">
            <v>333.89684092277935</v>
          </cell>
          <cell r="AH19">
            <v>328.47781900841903</v>
          </cell>
          <cell r="AI19">
            <v>261.10044333485752</v>
          </cell>
          <cell r="AJ19">
            <v>217.66232702027793</v>
          </cell>
          <cell r="AK19">
            <v>193.03041288077011</v>
          </cell>
          <cell r="AL19">
            <v>185.41379199688066</v>
          </cell>
          <cell r="AN19" t="str">
            <v xml:space="preserve">Interest Expense, net </v>
          </cell>
          <cell r="AO19">
            <v>150.16</v>
          </cell>
          <cell r="AP19">
            <v>137.041</v>
          </cell>
          <cell r="AQ19">
            <v>134.49700000000001</v>
          </cell>
          <cell r="AR19">
            <v>134.244</v>
          </cell>
          <cell r="AS19">
            <v>555.94200000000001</v>
          </cell>
          <cell r="AU19">
            <v>115.88100000000001</v>
          </cell>
          <cell r="AV19">
            <v>110.38499999999999</v>
          </cell>
          <cell r="AW19">
            <v>109.601</v>
          </cell>
          <cell r="AX19">
            <v>101.13</v>
          </cell>
          <cell r="AY19">
            <v>436.99700000000001</v>
          </cell>
          <cell r="BA19">
            <v>57.285000000000011</v>
          </cell>
          <cell r="BB19">
            <v>49.753999999999998</v>
          </cell>
          <cell r="BC19">
            <v>43.933</v>
          </cell>
          <cell r="BD19">
            <v>46.881999999999998</v>
          </cell>
          <cell r="BE19">
            <v>197.85400000000001</v>
          </cell>
          <cell r="BG19">
            <v>43.271999999999998</v>
          </cell>
          <cell r="BH19">
            <v>40.268999999999998</v>
          </cell>
          <cell r="BI19">
            <v>39.991999999999997</v>
          </cell>
          <cell r="BJ19">
            <v>40.606000000000002</v>
          </cell>
          <cell r="BK19">
            <v>164.13899999999998</v>
          </cell>
          <cell r="BM19">
            <v>45.338999999999999</v>
          </cell>
          <cell r="BN19">
            <v>48.698</v>
          </cell>
          <cell r="BO19">
            <v>50.985999999999997</v>
          </cell>
          <cell r="BP19">
            <v>54.424999999999997</v>
          </cell>
          <cell r="BQ19">
            <v>199.44799999999998</v>
          </cell>
          <cell r="BS19">
            <v>103.04</v>
          </cell>
          <cell r="BT19">
            <v>109.75999999999999</v>
          </cell>
          <cell r="BU19">
            <v>114.24000000000001</v>
          </cell>
          <cell r="BV19">
            <v>120.96000000000001</v>
          </cell>
          <cell r="BW19">
            <v>448</v>
          </cell>
          <cell r="BY19">
            <v>97.552000000000007</v>
          </cell>
          <cell r="BZ19">
            <v>103.21599999999999</v>
          </cell>
          <cell r="CA19">
            <v>104.617</v>
          </cell>
          <cell r="CB19">
            <v>25.671999999999983</v>
          </cell>
          <cell r="CC19">
            <v>130.28899999999999</v>
          </cell>
          <cell r="CD19">
            <v>107.88</v>
          </cell>
          <cell r="CE19">
            <v>129.971</v>
          </cell>
          <cell r="CF19">
            <v>413.26499999999999</v>
          </cell>
          <cell r="CG19">
            <v>435.35599999999999</v>
          </cell>
          <cell r="CH19">
            <v>461.02799999999996</v>
          </cell>
          <cell r="CJ19">
            <v>112.28100000000001</v>
          </cell>
          <cell r="CK19">
            <v>115.614</v>
          </cell>
          <cell r="CL19">
            <v>113.361</v>
          </cell>
          <cell r="CM19">
            <v>110.508</v>
          </cell>
          <cell r="CN19">
            <v>451.76400000000001</v>
          </cell>
          <cell r="CP19">
            <v>104.377</v>
          </cell>
          <cell r="CQ19">
            <v>99.263000000000005</v>
          </cell>
          <cell r="CR19">
            <v>91.878</v>
          </cell>
          <cell r="CS19">
            <v>86.977000000000004</v>
          </cell>
          <cell r="CT19">
            <v>382.495</v>
          </cell>
          <cell r="CV19">
            <v>77</v>
          </cell>
          <cell r="CW19">
            <v>74</v>
          </cell>
          <cell r="CX19">
            <v>72</v>
          </cell>
          <cell r="CY19">
            <v>69</v>
          </cell>
          <cell r="CZ19">
            <v>292</v>
          </cell>
          <cell r="DB19">
            <v>75</v>
          </cell>
          <cell r="DC19">
            <v>85</v>
          </cell>
          <cell r="DD19">
            <v>91</v>
          </cell>
          <cell r="DE19">
            <v>104</v>
          </cell>
          <cell r="DF19">
            <v>355</v>
          </cell>
          <cell r="DH19">
            <v>69</v>
          </cell>
          <cell r="DI19">
            <v>78</v>
          </cell>
          <cell r="DJ19">
            <v>84</v>
          </cell>
          <cell r="DK19">
            <v>90</v>
          </cell>
          <cell r="DL19">
            <v>321</v>
          </cell>
          <cell r="DN19">
            <v>78</v>
          </cell>
          <cell r="DO19">
            <v>78</v>
          </cell>
          <cell r="DP19">
            <v>80</v>
          </cell>
          <cell r="DQ19">
            <v>88</v>
          </cell>
          <cell r="DR19">
            <v>324</v>
          </cell>
          <cell r="DT19">
            <v>74</v>
          </cell>
          <cell r="DU19">
            <v>78</v>
          </cell>
          <cell r="DV19">
            <v>73</v>
          </cell>
          <cell r="DW19">
            <v>70</v>
          </cell>
          <cell r="DX19">
            <v>295</v>
          </cell>
          <cell r="DZ19">
            <v>70</v>
          </cell>
          <cell r="EA19">
            <v>65</v>
          </cell>
          <cell r="EB19">
            <v>61</v>
          </cell>
          <cell r="EC19">
            <v>61</v>
          </cell>
          <cell r="ED19">
            <v>257</v>
          </cell>
          <cell r="EF19">
            <v>60</v>
          </cell>
          <cell r="EG19">
            <v>60</v>
          </cell>
          <cell r="EH19">
            <v>55</v>
          </cell>
          <cell r="EI19">
            <v>50</v>
          </cell>
          <cell r="EJ19">
            <v>225</v>
          </cell>
          <cell r="EK19" t="str">
            <v xml:space="preserve">Interest Expense, net </v>
          </cell>
          <cell r="EL19">
            <v>54</v>
          </cell>
          <cell r="EM19">
            <v>54</v>
          </cell>
          <cell r="EN19">
            <v>145</v>
          </cell>
          <cell r="EO19">
            <v>144</v>
          </cell>
          <cell r="EP19">
            <v>397</v>
          </cell>
          <cell r="ER19">
            <v>138</v>
          </cell>
          <cell r="ES19">
            <v>116</v>
          </cell>
          <cell r="ET19">
            <v>104</v>
          </cell>
          <cell r="EU19">
            <v>103</v>
          </cell>
          <cell r="EV19">
            <v>461</v>
          </cell>
          <cell r="EX19">
            <v>125</v>
          </cell>
          <cell r="EY19">
            <v>137</v>
          </cell>
          <cell r="EZ19">
            <v>145</v>
          </cell>
          <cell r="FA19">
            <v>136</v>
          </cell>
          <cell r="FB19">
            <v>543</v>
          </cell>
          <cell r="FD19">
            <v>136</v>
          </cell>
          <cell r="FE19">
            <v>138</v>
          </cell>
          <cell r="FF19">
            <v>143</v>
          </cell>
          <cell r="FG19">
            <v>143</v>
          </cell>
          <cell r="FH19">
            <v>560</v>
          </cell>
          <cell r="FJ19">
            <v>141</v>
          </cell>
          <cell r="FK19">
            <v>139</v>
          </cell>
          <cell r="FL19">
            <v>137</v>
          </cell>
          <cell r="FM19">
            <v>139</v>
          </cell>
          <cell r="FN19">
            <v>556</v>
          </cell>
          <cell r="FP19">
            <v>162</v>
          </cell>
          <cell r="FQ19">
            <v>130</v>
          </cell>
          <cell r="FR19">
            <v>164</v>
          </cell>
          <cell r="FS19">
            <v>118</v>
          </cell>
          <cell r="FT19">
            <v>574</v>
          </cell>
          <cell r="FV19">
            <v>116</v>
          </cell>
          <cell r="FW19">
            <v>111</v>
          </cell>
          <cell r="FX19">
            <v>108</v>
          </cell>
          <cell r="FY19">
            <v>108</v>
          </cell>
          <cell r="FZ19">
            <v>443</v>
          </cell>
          <cell r="GB19">
            <v>112</v>
          </cell>
          <cell r="GC19">
            <v>105</v>
          </cell>
          <cell r="GD19">
            <v>106.92000000000002</v>
          </cell>
          <cell r="GE19">
            <v>114.02267925414607</v>
          </cell>
          <cell r="GF19">
            <v>437.94267925414607</v>
          </cell>
          <cell r="GS19" t="str">
            <v>mstag:interestExpense</v>
          </cell>
          <cell r="GT19">
            <v>6</v>
          </cell>
          <cell r="GU19" t="str">
            <v>ISO4217:USD</v>
          </cell>
          <cell r="GV19" t="b">
            <v>0</v>
          </cell>
          <cell r="GW19" t="b">
            <v>0</v>
          </cell>
        </row>
        <row r="20">
          <cell r="A20" t="str">
            <v>LIFO Charge</v>
          </cell>
          <cell r="C20">
            <v>0</v>
          </cell>
          <cell r="D20">
            <v>0</v>
          </cell>
          <cell r="E20">
            <v>0</v>
          </cell>
          <cell r="F20">
            <v>23.248000000000001</v>
          </cell>
          <cell r="G20">
            <v>8.5730000000000022</v>
          </cell>
          <cell r="H20">
            <v>2.7240000000000002</v>
          </cell>
          <cell r="I20">
            <v>-11.271000000000001</v>
          </cell>
          <cell r="K20">
            <v>-2.0990000000000002</v>
          </cell>
          <cell r="L20">
            <v>-0.2390000000000001</v>
          </cell>
          <cell r="AN20" t="str">
            <v>LIFO Charge</v>
          </cell>
          <cell r="AO20">
            <v>0</v>
          </cell>
          <cell r="AP20">
            <v>0</v>
          </cell>
          <cell r="AQ20">
            <v>0</v>
          </cell>
          <cell r="AR20">
            <v>0</v>
          </cell>
          <cell r="AS20">
            <v>0</v>
          </cell>
          <cell r="AU20">
            <v>0</v>
          </cell>
          <cell r="AV20">
            <v>0</v>
          </cell>
          <cell r="AW20">
            <v>0</v>
          </cell>
          <cell r="AX20">
            <v>10.055999999999999</v>
          </cell>
          <cell r="AY20">
            <v>23.248000000000001</v>
          </cell>
          <cell r="BA20">
            <v>4.4000000000000004</v>
          </cell>
          <cell r="BB20">
            <v>4.4000000000000004</v>
          </cell>
          <cell r="BC20">
            <v>11.3</v>
          </cell>
          <cell r="BD20">
            <v>-11.526999999999999</v>
          </cell>
          <cell r="BE20">
            <v>8.5730000000000022</v>
          </cell>
          <cell r="BG20">
            <v>3.85</v>
          </cell>
          <cell r="BH20">
            <v>3.6749999999999998</v>
          </cell>
          <cell r="BI20">
            <v>4.375</v>
          </cell>
          <cell r="BJ20">
            <v>-9.1760000000000002</v>
          </cell>
          <cell r="BK20">
            <v>2.7240000000000002</v>
          </cell>
          <cell r="BM20">
            <v>5.2009999999999996</v>
          </cell>
          <cell r="BN20">
            <v>0.60399999999999998</v>
          </cell>
          <cell r="BO20">
            <v>3.375</v>
          </cell>
          <cell r="BP20">
            <v>-20.451000000000001</v>
          </cell>
          <cell r="BQ20">
            <v>-11.271000000000001</v>
          </cell>
          <cell r="BS20">
            <v>10.201000000000001</v>
          </cell>
          <cell r="BT20">
            <v>2.2759999999999998</v>
          </cell>
          <cell r="BU20">
            <v>5.875</v>
          </cell>
          <cell r="BV20">
            <v>-20.451000000000001</v>
          </cell>
          <cell r="BW20">
            <v>-2.0990000000000002</v>
          </cell>
          <cell r="BY20">
            <v>1.7609999999999999</v>
          </cell>
          <cell r="BZ20">
            <v>0</v>
          </cell>
          <cell r="CA20">
            <v>0</v>
          </cell>
          <cell r="CB20">
            <v>0</v>
          </cell>
          <cell r="CC20">
            <v>0</v>
          </cell>
          <cell r="CD20">
            <v>-2</v>
          </cell>
          <cell r="CE20">
            <v>-1.7609999999999999</v>
          </cell>
          <cell r="CF20">
            <v>-0.2390000000000001</v>
          </cell>
          <cell r="CG20">
            <v>0</v>
          </cell>
          <cell r="CH20">
            <v>0</v>
          </cell>
        </row>
        <row r="21">
          <cell r="A21" t="str">
            <v>Pre-Tax Extraordinary Charges (FYins)</v>
          </cell>
          <cell r="C21">
            <v>1209.9270000000001</v>
          </cell>
          <cell r="D21">
            <v>127.032</v>
          </cell>
          <cell r="E21">
            <v>1679.9359999999999</v>
          </cell>
          <cell r="F21">
            <v>0</v>
          </cell>
          <cell r="G21">
            <v>0</v>
          </cell>
          <cell r="H21">
            <v>-24</v>
          </cell>
          <cell r="I21">
            <v>25.204999999999998</v>
          </cell>
          <cell r="K21">
            <v>144.60500000000002</v>
          </cell>
          <cell r="L21">
            <v>276.92599999999999</v>
          </cell>
          <cell r="N21">
            <v>0</v>
          </cell>
          <cell r="O21">
            <v>0</v>
          </cell>
          <cell r="P21">
            <v>0</v>
          </cell>
          <cell r="Q21">
            <v>0</v>
          </cell>
          <cell r="R21">
            <v>0</v>
          </cell>
          <cell r="S21">
            <v>80</v>
          </cell>
          <cell r="T21">
            <v>272</v>
          </cell>
          <cell r="U21">
            <v>68</v>
          </cell>
          <cell r="V21">
            <v>59</v>
          </cell>
          <cell r="W21">
            <v>158</v>
          </cell>
          <cell r="X21">
            <v>-303</v>
          </cell>
          <cell r="Y21">
            <v>437</v>
          </cell>
          <cell r="Z21">
            <v>219</v>
          </cell>
          <cell r="AA21">
            <v>421</v>
          </cell>
          <cell r="AB21">
            <v>391</v>
          </cell>
          <cell r="AC21">
            <v>25</v>
          </cell>
          <cell r="AD21">
            <v>-25</v>
          </cell>
          <cell r="AE21">
            <v>0</v>
          </cell>
          <cell r="AF21">
            <v>0</v>
          </cell>
          <cell r="AG21">
            <v>0</v>
          </cell>
          <cell r="AH21">
            <v>0</v>
          </cell>
          <cell r="AI21">
            <v>0</v>
          </cell>
          <cell r="AJ21">
            <v>0</v>
          </cell>
          <cell r="AK21">
            <v>0</v>
          </cell>
          <cell r="AL21">
            <v>0</v>
          </cell>
          <cell r="AN21" t="str">
            <v>Pre-Tax Extraordinary Charges (FYins)</v>
          </cell>
          <cell r="AO21">
            <v>19.689</v>
          </cell>
          <cell r="AP21">
            <v>9.3439999999999994</v>
          </cell>
          <cell r="AQ21">
            <v>29.286000000000001</v>
          </cell>
          <cell r="AR21">
            <v>68.712999999999994</v>
          </cell>
          <cell r="AS21">
            <v>127.032</v>
          </cell>
          <cell r="AU21">
            <v>10.657</v>
          </cell>
          <cell r="AV21">
            <v>108.504</v>
          </cell>
          <cell r="AW21">
            <v>23.658000000000001</v>
          </cell>
          <cell r="AX21">
            <v>1537.117</v>
          </cell>
          <cell r="AY21">
            <v>1679.9359999999999</v>
          </cell>
          <cell r="BA21">
            <v>0</v>
          </cell>
          <cell r="BB21">
            <v>0</v>
          </cell>
          <cell r="BC21">
            <v>0</v>
          </cell>
          <cell r="BD21">
            <v>0</v>
          </cell>
          <cell r="BE21">
            <v>0</v>
          </cell>
          <cell r="BG21">
            <v>0</v>
          </cell>
          <cell r="BH21">
            <v>0</v>
          </cell>
          <cell r="BI21">
            <v>0</v>
          </cell>
          <cell r="BJ21">
            <v>-24</v>
          </cell>
          <cell r="BK21">
            <v>-24</v>
          </cell>
          <cell r="BM21">
            <v>0</v>
          </cell>
          <cell r="BN21">
            <v>27.004999999999999</v>
          </cell>
          <cell r="BO21">
            <v>0</v>
          </cell>
          <cell r="BP21">
            <v>-1.8000000000000007</v>
          </cell>
          <cell r="BQ21">
            <v>25.204999999999998</v>
          </cell>
          <cell r="BS21">
            <v>0</v>
          </cell>
          <cell r="BT21">
            <v>7.5050000000000026</v>
          </cell>
          <cell r="BU21">
            <v>80</v>
          </cell>
          <cell r="BV21">
            <v>57.100000000000009</v>
          </cell>
          <cell r="BW21">
            <v>144.60500000000002</v>
          </cell>
          <cell r="BY21">
            <v>83.322000000000003</v>
          </cell>
          <cell r="BZ21">
            <v>114.604</v>
          </cell>
          <cell r="CA21">
            <v>39</v>
          </cell>
          <cell r="CB21">
            <v>0</v>
          </cell>
          <cell r="CC21">
            <v>39.134</v>
          </cell>
          <cell r="CD21">
            <v>40</v>
          </cell>
          <cell r="CE21">
            <v>82.450999999999993</v>
          </cell>
          <cell r="CF21">
            <v>276.92599999999999</v>
          </cell>
          <cell r="CG21">
            <v>319.37699999999995</v>
          </cell>
          <cell r="CH21">
            <v>319.37699999999995</v>
          </cell>
          <cell r="CJ21">
            <v>77.7</v>
          </cell>
          <cell r="CK21">
            <v>98.917000000000002</v>
          </cell>
          <cell r="CL21">
            <v>44.304000000000002</v>
          </cell>
          <cell r="CM21">
            <v>87.721999999999994</v>
          </cell>
          <cell r="CN21">
            <v>308.64300000000003</v>
          </cell>
          <cell r="CP21">
            <v>0</v>
          </cell>
          <cell r="CQ21">
            <v>0</v>
          </cell>
          <cell r="CR21">
            <v>0</v>
          </cell>
          <cell r="CS21">
            <v>0</v>
          </cell>
          <cell r="CT21">
            <v>0</v>
          </cell>
          <cell r="CV21">
            <v>0</v>
          </cell>
          <cell r="CW21">
            <v>0</v>
          </cell>
          <cell r="CX21">
            <v>0</v>
          </cell>
          <cell r="CY21">
            <v>0</v>
          </cell>
          <cell r="CZ21">
            <v>0</v>
          </cell>
          <cell r="DB21">
            <v>0</v>
          </cell>
          <cell r="DC21">
            <v>0</v>
          </cell>
          <cell r="DD21">
            <v>0</v>
          </cell>
          <cell r="DE21">
            <v>0</v>
          </cell>
          <cell r="DF21">
            <v>0</v>
          </cell>
          <cell r="DH21">
            <v>0</v>
          </cell>
          <cell r="DI21">
            <v>0</v>
          </cell>
          <cell r="DJ21">
            <v>0</v>
          </cell>
          <cell r="DK21">
            <v>80</v>
          </cell>
          <cell r="DL21">
            <v>80</v>
          </cell>
          <cell r="DN21">
            <v>52</v>
          </cell>
          <cell r="DO21">
            <v>41</v>
          </cell>
          <cell r="DP21">
            <v>30</v>
          </cell>
          <cell r="DQ21">
            <v>149</v>
          </cell>
          <cell r="DR21">
            <v>272</v>
          </cell>
          <cell r="DT21">
            <v>0</v>
          </cell>
          <cell r="DU21">
            <v>0</v>
          </cell>
          <cell r="DV21">
            <v>0</v>
          </cell>
          <cell r="DW21">
            <v>68</v>
          </cell>
          <cell r="DX21">
            <v>68</v>
          </cell>
          <cell r="DZ21">
            <v>8</v>
          </cell>
          <cell r="EA21">
            <v>10</v>
          </cell>
          <cell r="EB21">
            <v>29</v>
          </cell>
          <cell r="EC21">
            <v>12</v>
          </cell>
          <cell r="ED21">
            <v>59</v>
          </cell>
          <cell r="EF21">
            <v>19</v>
          </cell>
          <cell r="EG21">
            <v>90</v>
          </cell>
          <cell r="EH21">
            <v>36</v>
          </cell>
          <cell r="EI21">
            <v>13</v>
          </cell>
          <cell r="EJ21">
            <v>158</v>
          </cell>
          <cell r="EK21" t="str">
            <v>Pre-Tax Extraordinary Charges (FYins)</v>
          </cell>
          <cell r="EL21">
            <v>0</v>
          </cell>
          <cell r="EM21">
            <v>0</v>
          </cell>
          <cell r="EN21">
            <v>-417</v>
          </cell>
          <cell r="EO21">
            <v>114</v>
          </cell>
          <cell r="EP21">
            <v>-303</v>
          </cell>
          <cell r="ER21">
            <v>129</v>
          </cell>
          <cell r="ES21">
            <v>-14</v>
          </cell>
          <cell r="ET21">
            <v>145</v>
          </cell>
          <cell r="EU21">
            <v>177</v>
          </cell>
          <cell r="EV21">
            <v>437</v>
          </cell>
          <cell r="EX21">
            <v>36</v>
          </cell>
          <cell r="EY21">
            <v>97</v>
          </cell>
          <cell r="EZ21">
            <v>17</v>
          </cell>
          <cell r="FA21">
            <v>69</v>
          </cell>
          <cell r="FB21">
            <v>219</v>
          </cell>
          <cell r="FD21">
            <v>110</v>
          </cell>
          <cell r="FE21">
            <v>76</v>
          </cell>
          <cell r="FF21">
            <v>16</v>
          </cell>
          <cell r="FG21">
            <v>219</v>
          </cell>
          <cell r="FH21">
            <v>421</v>
          </cell>
          <cell r="FJ21">
            <v>138</v>
          </cell>
          <cell r="FK21">
            <v>34</v>
          </cell>
          <cell r="FL21">
            <v>33</v>
          </cell>
          <cell r="FM21">
            <v>186</v>
          </cell>
          <cell r="FN21">
            <v>391</v>
          </cell>
          <cell r="FP21">
            <v>0</v>
          </cell>
          <cell r="FQ21">
            <v>0</v>
          </cell>
          <cell r="FR21">
            <v>0</v>
          </cell>
          <cell r="FS21">
            <v>25</v>
          </cell>
          <cell r="FT21">
            <v>25</v>
          </cell>
          <cell r="FV21">
            <v>0</v>
          </cell>
          <cell r="FW21">
            <v>0</v>
          </cell>
          <cell r="FX21">
            <v>0</v>
          </cell>
          <cell r="FY21">
            <v>-25</v>
          </cell>
          <cell r="FZ21">
            <v>-25</v>
          </cell>
          <cell r="GB21">
            <v>0</v>
          </cell>
          <cell r="GC21">
            <v>0</v>
          </cell>
          <cell r="GD21">
            <v>0</v>
          </cell>
          <cell r="GE21">
            <v>0</v>
          </cell>
          <cell r="GF21">
            <v>0</v>
          </cell>
        </row>
        <row r="23">
          <cell r="A23" t="str">
            <v>Pretax Income</v>
          </cell>
          <cell r="C23">
            <v>-1767.144</v>
          </cell>
          <cell r="D23">
            <v>-547.80099999999936</v>
          </cell>
          <cell r="E23">
            <v>-1849.9609999999998</v>
          </cell>
          <cell r="F23">
            <v>53.278999999999812</v>
          </cell>
          <cell r="G23">
            <v>232.00700000000063</v>
          </cell>
          <cell r="H23">
            <v>367.77999999999912</v>
          </cell>
          <cell r="I23">
            <v>427.72199999999896</v>
          </cell>
          <cell r="J23">
            <v>1.0023277888444908</v>
          </cell>
          <cell r="K23">
            <v>92.294999999999447</v>
          </cell>
          <cell r="L23">
            <v>304.69899999999899</v>
          </cell>
          <cell r="N23">
            <v>202</v>
          </cell>
          <cell r="O23">
            <v>441</v>
          </cell>
          <cell r="P23">
            <v>958</v>
          </cell>
          <cell r="Q23">
            <v>1163</v>
          </cell>
          <cell r="R23">
            <v>1386</v>
          </cell>
          <cell r="S23">
            <v>1370</v>
          </cell>
          <cell r="T23">
            <v>780</v>
          </cell>
          <cell r="U23">
            <v>1048</v>
          </cell>
          <cell r="V23">
            <v>1084</v>
          </cell>
          <cell r="W23">
            <v>1116</v>
          </cell>
          <cell r="X23">
            <v>2044</v>
          </cell>
          <cell r="Y23">
            <v>1375</v>
          </cell>
          <cell r="Z23">
            <v>1320</v>
          </cell>
          <cell r="AA23">
            <v>444</v>
          </cell>
          <cell r="AB23">
            <v>507</v>
          </cell>
          <cell r="AC23">
            <v>1320</v>
          </cell>
          <cell r="AD23">
            <v>1968</v>
          </cell>
          <cell r="AE23">
            <v>2233.35394297312</v>
          </cell>
          <cell r="AF23">
            <v>2339.9446915434578</v>
          </cell>
          <cell r="AG23">
            <v>2569.4863960758839</v>
          </cell>
          <cell r="AH23">
            <v>2604.987304516796</v>
          </cell>
          <cell r="AI23">
            <v>2672.2023854398972</v>
          </cell>
          <cell r="AJ23">
            <v>2774.7654454877938</v>
          </cell>
          <cell r="AK23">
            <v>2859.4114719524105</v>
          </cell>
          <cell r="AL23">
            <v>2927.9432446306555</v>
          </cell>
          <cell r="AN23" t="str">
            <v>Pretax Income</v>
          </cell>
          <cell r="AO23">
            <v>-143.4009999999999</v>
          </cell>
          <cell r="AP23">
            <v>-186.447</v>
          </cell>
          <cell r="AQ23">
            <v>-121.46500000000003</v>
          </cell>
          <cell r="AR23">
            <v>-96.488000000000056</v>
          </cell>
          <cell r="AS23">
            <v>-547.80100000000004</v>
          </cell>
          <cell r="AT23">
            <v>0</v>
          </cell>
          <cell r="AU23">
            <v>-85.017999999999915</v>
          </cell>
          <cell r="AV23">
            <v>-210.38000000000011</v>
          </cell>
          <cell r="AW23">
            <v>-79.991999999999962</v>
          </cell>
          <cell r="AX23">
            <v>-1484.6269999999995</v>
          </cell>
          <cell r="AY23">
            <v>-1873.2089999999998</v>
          </cell>
          <cell r="AZ23">
            <v>0</v>
          </cell>
          <cell r="BA23">
            <v>22.976000000000163</v>
          </cell>
          <cell r="BB23">
            <v>-22.479000000000042</v>
          </cell>
          <cell r="BC23">
            <v>55.534999999999911</v>
          </cell>
          <cell r="BD23">
            <v>175.97500000000005</v>
          </cell>
          <cell r="BE23">
            <v>232.00700000000006</v>
          </cell>
          <cell r="BF23">
            <v>0</v>
          </cell>
          <cell r="BG23">
            <v>39.659000000000063</v>
          </cell>
          <cell r="BH23">
            <v>18.090999999999973</v>
          </cell>
          <cell r="BI23">
            <v>63.014999999999951</v>
          </cell>
          <cell r="BJ23">
            <v>247.01499999999982</v>
          </cell>
          <cell r="BK23">
            <v>367.77999999999918</v>
          </cell>
          <cell r="BL23">
            <v>0</v>
          </cell>
          <cell r="BM23">
            <v>58.068000000000175</v>
          </cell>
          <cell r="BN23">
            <v>10.26699999999984</v>
          </cell>
          <cell r="BO23">
            <v>78.336000000000013</v>
          </cell>
          <cell r="BP23">
            <v>281.05100000000004</v>
          </cell>
          <cell r="BQ23">
            <v>427.72199999999896</v>
          </cell>
          <cell r="BR23">
            <v>0</v>
          </cell>
          <cell r="BS23">
            <v>-52.740000000000038</v>
          </cell>
          <cell r="BT23">
            <v>-87.464999999999975</v>
          </cell>
          <cell r="BU23">
            <v>-76.039999999999964</v>
          </cell>
          <cell r="BV23">
            <v>308.54000000000008</v>
          </cell>
          <cell r="BW23">
            <v>92.294999999999391</v>
          </cell>
          <cell r="BX23">
            <v>0</v>
          </cell>
          <cell r="BY23">
            <v>-86.748000000000275</v>
          </cell>
          <cell r="BZ23">
            <v>-101.6219999999999</v>
          </cell>
          <cell r="CA23">
            <v>42.979999999999734</v>
          </cell>
          <cell r="CB23">
            <v>-68.198000000000221</v>
          </cell>
          <cell r="CC23">
            <v>-25.311000000000149</v>
          </cell>
          <cell r="CD23">
            <v>450.08899999999983</v>
          </cell>
          <cell r="CE23">
            <v>415.06299999999948</v>
          </cell>
          <cell r="CF23">
            <v>304.69899999999893</v>
          </cell>
          <cell r="CG23">
            <v>269.67299999999909</v>
          </cell>
          <cell r="CH23">
            <v>201.47499999999741</v>
          </cell>
          <cell r="CJ23">
            <v>-56.994000000000142</v>
          </cell>
          <cell r="CK23">
            <v>-39.859999999999957</v>
          </cell>
          <cell r="CL23">
            <v>73.95100000000042</v>
          </cell>
          <cell r="CM23">
            <v>464.36099999999965</v>
          </cell>
          <cell r="CN23">
            <v>441.45799999999974</v>
          </cell>
          <cell r="CP23">
            <v>43.683000000000177</v>
          </cell>
          <cell r="CQ23">
            <v>112.59700000000035</v>
          </cell>
          <cell r="CR23">
            <v>176.08300000000003</v>
          </cell>
          <cell r="CS23">
            <v>625.92700000000002</v>
          </cell>
          <cell r="CT23">
            <v>958.29000000000053</v>
          </cell>
          <cell r="CU23">
            <v>0</v>
          </cell>
          <cell r="CV23">
            <v>104</v>
          </cell>
          <cell r="CW23">
            <v>193</v>
          </cell>
          <cell r="CX23">
            <v>185</v>
          </cell>
          <cell r="CY23">
            <v>681</v>
          </cell>
          <cell r="CZ23">
            <v>1163</v>
          </cell>
          <cell r="DB23">
            <v>150</v>
          </cell>
          <cell r="DC23">
            <v>233</v>
          </cell>
          <cell r="DD23">
            <v>211</v>
          </cell>
          <cell r="DE23">
            <v>752</v>
          </cell>
          <cell r="DF23">
            <v>1346</v>
          </cell>
          <cell r="DH23">
            <v>200</v>
          </cell>
          <cell r="DI23">
            <v>324</v>
          </cell>
          <cell r="DJ23">
            <v>185</v>
          </cell>
          <cell r="DK23">
            <v>661</v>
          </cell>
          <cell r="DL23">
            <v>1370</v>
          </cell>
          <cell r="DN23">
            <v>100</v>
          </cell>
          <cell r="DO23">
            <v>135</v>
          </cell>
          <cell r="DP23">
            <v>46</v>
          </cell>
          <cell r="DQ23">
            <v>499</v>
          </cell>
          <cell r="DR23">
            <v>780</v>
          </cell>
          <cell r="DT23">
            <v>147</v>
          </cell>
          <cell r="DU23">
            <v>222</v>
          </cell>
          <cell r="DV23">
            <v>115</v>
          </cell>
          <cell r="DW23">
            <v>564</v>
          </cell>
          <cell r="DX23">
            <v>1048</v>
          </cell>
          <cell r="DZ23">
            <v>76</v>
          </cell>
          <cell r="EA23">
            <v>199</v>
          </cell>
          <cell r="EB23">
            <v>112</v>
          </cell>
          <cell r="EC23">
            <v>697</v>
          </cell>
          <cell r="ED23">
            <v>1084</v>
          </cell>
          <cell r="EF23">
            <v>157</v>
          </cell>
          <cell r="EG23">
            <v>126</v>
          </cell>
          <cell r="EH23">
            <v>120</v>
          </cell>
          <cell r="EI23">
            <v>713</v>
          </cell>
          <cell r="EJ23">
            <v>1116</v>
          </cell>
          <cell r="EK23" t="str">
            <v>Pretax Income</v>
          </cell>
          <cell r="EL23">
            <v>198</v>
          </cell>
          <cell r="EM23">
            <v>237</v>
          </cell>
          <cell r="EN23">
            <v>542</v>
          </cell>
          <cell r="EO23">
            <v>1067</v>
          </cell>
          <cell r="EP23">
            <v>2044</v>
          </cell>
          <cell r="ER23">
            <v>-118</v>
          </cell>
          <cell r="ES23">
            <v>306</v>
          </cell>
          <cell r="ET23">
            <v>30</v>
          </cell>
          <cell r="EU23">
            <v>1157</v>
          </cell>
          <cell r="EV23">
            <v>1375</v>
          </cell>
          <cell r="EX23">
            <v>83</v>
          </cell>
          <cell r="EY23">
            <v>113</v>
          </cell>
          <cell r="EZ23">
            <v>38</v>
          </cell>
          <cell r="FA23">
            <v>1086</v>
          </cell>
          <cell r="FB23">
            <v>1320</v>
          </cell>
          <cell r="FD23">
            <v>-106</v>
          </cell>
          <cell r="FE23">
            <v>121</v>
          </cell>
          <cell r="FF23">
            <v>-75</v>
          </cell>
          <cell r="FG23">
            <v>504</v>
          </cell>
          <cell r="FH23">
            <v>444</v>
          </cell>
          <cell r="FJ23">
            <v>-255</v>
          </cell>
          <cell r="FK23">
            <v>109</v>
          </cell>
          <cell r="FL23">
            <v>-82</v>
          </cell>
          <cell r="FM23">
            <v>735</v>
          </cell>
          <cell r="FN23">
            <v>507</v>
          </cell>
          <cell r="FP23">
            <v>41</v>
          </cell>
          <cell r="FQ23">
            <v>240</v>
          </cell>
          <cell r="FR23">
            <v>13</v>
          </cell>
          <cell r="FS23">
            <v>1026</v>
          </cell>
          <cell r="FT23">
            <v>1320</v>
          </cell>
          <cell r="FV23">
            <v>214</v>
          </cell>
          <cell r="FW23">
            <v>395</v>
          </cell>
          <cell r="FX23">
            <v>183</v>
          </cell>
          <cell r="FY23">
            <v>1176</v>
          </cell>
          <cell r="FZ23">
            <v>1968</v>
          </cell>
          <cell r="GB23">
            <v>279</v>
          </cell>
          <cell r="GC23">
            <v>449</v>
          </cell>
          <cell r="GD23">
            <v>174.65499452664795</v>
          </cell>
          <cell r="GE23">
            <v>1330.6989484464721</v>
          </cell>
          <cell r="GF23">
            <v>2233.35394297312</v>
          </cell>
        </row>
        <row r="24">
          <cell r="A24" t="str">
            <v>Income Taxes (Benefit)</v>
          </cell>
          <cell r="C24">
            <v>6.7830000000000004</v>
          </cell>
          <cell r="D24">
            <v>-276.35500000000002</v>
          </cell>
          <cell r="E24">
            <v>-613.98900000000003</v>
          </cell>
          <cell r="F24">
            <v>28.096</v>
          </cell>
          <cell r="G24">
            <v>99.299000000000007</v>
          </cell>
          <cell r="H24">
            <v>156.745</v>
          </cell>
          <cell r="I24">
            <v>180.869</v>
          </cell>
          <cell r="K24">
            <v>55.495050000000049</v>
          </cell>
          <cell r="L24">
            <v>155.708</v>
          </cell>
          <cell r="N24">
            <v>127</v>
          </cell>
          <cell r="O24">
            <v>175</v>
          </cell>
          <cell r="P24">
            <v>383</v>
          </cell>
          <cell r="Q24">
            <v>478</v>
          </cell>
          <cell r="R24">
            <v>561</v>
          </cell>
          <cell r="S24">
            <v>549</v>
          </cell>
          <cell r="T24">
            <v>306</v>
          </cell>
          <cell r="U24">
            <v>410</v>
          </cell>
          <cell r="V24">
            <v>429</v>
          </cell>
          <cell r="W24">
            <v>427</v>
          </cell>
          <cell r="X24">
            <v>765.40858992805761</v>
          </cell>
          <cell r="Y24">
            <v>511.75</v>
          </cell>
          <cell r="Z24">
            <v>489</v>
          </cell>
          <cell r="AA24">
            <v>-135</v>
          </cell>
          <cell r="AB24">
            <v>178</v>
          </cell>
          <cell r="AC24">
            <v>473</v>
          </cell>
          <cell r="AD24">
            <v>712</v>
          </cell>
          <cell r="AE24">
            <v>824.98095890005447</v>
          </cell>
          <cell r="AF24">
            <v>865.77953587107936</v>
          </cell>
          <cell r="AG24">
            <v>950.70996654807709</v>
          </cell>
          <cell r="AH24">
            <v>963.84530267121454</v>
          </cell>
          <cell r="AI24">
            <v>988.71488261276193</v>
          </cell>
          <cell r="AJ24">
            <v>1026.6632148304836</v>
          </cell>
          <cell r="AK24">
            <v>1057.9822446223918</v>
          </cell>
          <cell r="AL24">
            <v>1083.3390005133426</v>
          </cell>
          <cell r="AN24" t="str">
            <v>Income Taxes (Benefit)</v>
          </cell>
          <cell r="AO24">
            <v>-43.960999999999999</v>
          </cell>
          <cell r="AP24">
            <v>-60.075000000000003</v>
          </cell>
          <cell r="AQ24">
            <v>-34.662999999999997</v>
          </cell>
          <cell r="AR24">
            <v>-137.65600000000001</v>
          </cell>
          <cell r="AS24">
            <v>-276.35500000000002</v>
          </cell>
          <cell r="AU24">
            <v>-20.856999999999999</v>
          </cell>
          <cell r="AV24">
            <v>-66.552000000000007</v>
          </cell>
          <cell r="AW24">
            <v>-18.997</v>
          </cell>
          <cell r="AX24">
            <v>-507.58300000000003</v>
          </cell>
          <cell r="AY24">
            <v>-613.98900000000003</v>
          </cell>
          <cell r="BA24">
            <v>11.164</v>
          </cell>
          <cell r="BB24">
            <v>-6.69</v>
          </cell>
          <cell r="BC24">
            <v>23.952999999999999</v>
          </cell>
          <cell r="BD24">
            <v>70.872</v>
          </cell>
          <cell r="BE24">
            <v>99.299000000000007</v>
          </cell>
          <cell r="BG24">
            <v>17.959</v>
          </cell>
          <cell r="BH24">
            <v>9.2379999999999995</v>
          </cell>
          <cell r="BI24">
            <v>28.490999999999996</v>
          </cell>
          <cell r="BJ24">
            <v>101.057</v>
          </cell>
          <cell r="BK24">
            <v>156.745</v>
          </cell>
          <cell r="BM24">
            <v>25.846</v>
          </cell>
          <cell r="BN24">
            <v>6.4950000000000001</v>
          </cell>
          <cell r="BO24">
            <v>33.993000000000002</v>
          </cell>
          <cell r="BP24">
            <v>114.535</v>
          </cell>
          <cell r="BQ24">
            <v>180.869</v>
          </cell>
          <cell r="BS24">
            <v>-15.693600000000016</v>
          </cell>
          <cell r="BT24">
            <v>-29.236349999999991</v>
          </cell>
          <cell r="BU24">
            <v>-24.780599999999986</v>
          </cell>
          <cell r="BV24">
            <v>125.20560000000003</v>
          </cell>
          <cell r="BW24">
            <v>55.495050000000049</v>
          </cell>
          <cell r="BY24">
            <v>-29.748999999999999</v>
          </cell>
          <cell r="BZ24">
            <v>-34.447000000000003</v>
          </cell>
          <cell r="CA24">
            <v>21.084</v>
          </cell>
          <cell r="CB24">
            <v>0</v>
          </cell>
          <cell r="CC24">
            <v>21.084</v>
          </cell>
          <cell r="CD24">
            <v>198.82</v>
          </cell>
          <cell r="CE24">
            <v>170.41800000000001</v>
          </cell>
          <cell r="CF24">
            <v>155.708</v>
          </cell>
          <cell r="CG24">
            <v>127.30600000000001</v>
          </cell>
          <cell r="CH24">
            <v>127.30600000000001</v>
          </cell>
          <cell r="CJ24">
            <v>-19.071000000000002</v>
          </cell>
          <cell r="CK24">
            <v>-12.667</v>
          </cell>
          <cell r="CL24">
            <v>32.15</v>
          </cell>
          <cell r="CM24">
            <v>175.15899999999999</v>
          </cell>
          <cell r="CN24">
            <v>175.571</v>
          </cell>
          <cell r="CP24">
            <v>19.623999999999999</v>
          </cell>
          <cell r="CQ24">
            <v>46.226999999999997</v>
          </cell>
          <cell r="CR24">
            <v>70.968999999999994</v>
          </cell>
          <cell r="CS24">
            <v>246.84700000000001</v>
          </cell>
          <cell r="CT24">
            <v>383.66700000000003</v>
          </cell>
          <cell r="CV24">
            <v>43.765999999999998</v>
          </cell>
          <cell r="CW24">
            <v>86</v>
          </cell>
          <cell r="CX24">
            <v>75</v>
          </cell>
          <cell r="CY24">
            <v>273</v>
          </cell>
          <cell r="CZ24">
            <v>477.76599999999996</v>
          </cell>
          <cell r="DB24">
            <v>63</v>
          </cell>
          <cell r="DC24">
            <v>96</v>
          </cell>
          <cell r="DD24">
            <v>88</v>
          </cell>
          <cell r="DE24">
            <v>304</v>
          </cell>
          <cell r="DF24">
            <v>551</v>
          </cell>
          <cell r="DH24">
            <v>82</v>
          </cell>
          <cell r="DI24">
            <v>130</v>
          </cell>
          <cell r="DJ24">
            <v>76</v>
          </cell>
          <cell r="DK24">
            <v>261</v>
          </cell>
          <cell r="DL24">
            <v>549</v>
          </cell>
          <cell r="DN24">
            <v>42</v>
          </cell>
          <cell r="DO24">
            <v>55</v>
          </cell>
          <cell r="DP24">
            <v>20</v>
          </cell>
          <cell r="DQ24">
            <v>189</v>
          </cell>
          <cell r="DR24">
            <v>306</v>
          </cell>
          <cell r="DT24">
            <v>58</v>
          </cell>
          <cell r="DU24">
            <v>89</v>
          </cell>
          <cell r="DV24">
            <v>40</v>
          </cell>
          <cell r="DW24">
            <v>223</v>
          </cell>
          <cell r="DX24">
            <v>410</v>
          </cell>
          <cell r="DZ24">
            <v>30</v>
          </cell>
          <cell r="EA24">
            <v>79</v>
          </cell>
          <cell r="EB24">
            <v>45</v>
          </cell>
          <cell r="EC24">
            <v>275</v>
          </cell>
          <cell r="ED24">
            <v>429</v>
          </cell>
          <cell r="EF24">
            <v>60</v>
          </cell>
          <cell r="EG24">
            <v>48</v>
          </cell>
          <cell r="EH24">
            <v>46</v>
          </cell>
          <cell r="EI24">
            <v>273</v>
          </cell>
          <cell r="EJ24">
            <v>427</v>
          </cell>
          <cell r="EK24" t="str">
            <v>Income Taxes (Benefit)</v>
          </cell>
          <cell r="EL24">
            <v>74.646000000000001</v>
          </cell>
          <cell r="EM24">
            <v>89</v>
          </cell>
          <cell r="EN24">
            <v>202.76258992805757</v>
          </cell>
          <cell r="EO24">
            <v>399</v>
          </cell>
          <cell r="EP24">
            <v>765.40858992805761</v>
          </cell>
          <cell r="ER24">
            <v>-44</v>
          </cell>
          <cell r="ES24">
            <v>114.75</v>
          </cell>
          <cell r="ET24">
            <v>10</v>
          </cell>
          <cell r="EU24">
            <v>431</v>
          </cell>
          <cell r="EV24">
            <v>511.75</v>
          </cell>
          <cell r="EX24">
            <v>31</v>
          </cell>
          <cell r="EY24">
            <v>39</v>
          </cell>
          <cell r="EZ24">
            <v>5</v>
          </cell>
          <cell r="FA24">
            <v>414</v>
          </cell>
          <cell r="FB24">
            <v>489</v>
          </cell>
          <cell r="FD24">
            <v>-47</v>
          </cell>
          <cell r="FE24">
            <v>48</v>
          </cell>
          <cell r="FF24">
            <v>-31</v>
          </cell>
          <cell r="FG24">
            <v>-105</v>
          </cell>
          <cell r="FH24">
            <v>-135</v>
          </cell>
          <cell r="FJ24">
            <v>-167</v>
          </cell>
          <cell r="FK24">
            <v>102</v>
          </cell>
          <cell r="FL24">
            <v>-47</v>
          </cell>
          <cell r="FM24">
            <v>290</v>
          </cell>
          <cell r="FN24">
            <v>178</v>
          </cell>
          <cell r="FP24">
            <v>18</v>
          </cell>
          <cell r="FQ24">
            <v>93</v>
          </cell>
          <cell r="FR24">
            <v>3</v>
          </cell>
          <cell r="FS24">
            <v>359</v>
          </cell>
          <cell r="FT24">
            <v>473</v>
          </cell>
          <cell r="FV24">
            <v>83</v>
          </cell>
          <cell r="FW24">
            <v>154</v>
          </cell>
          <cell r="FX24">
            <v>44</v>
          </cell>
          <cell r="FY24">
            <v>431</v>
          </cell>
          <cell r="FZ24">
            <v>712</v>
          </cell>
          <cell r="GB24">
            <v>98</v>
          </cell>
          <cell r="GC24">
            <v>170</v>
          </cell>
          <cell r="GD24">
            <v>64.622347974859736</v>
          </cell>
          <cell r="GE24">
            <v>492.35861092519468</v>
          </cell>
          <cell r="GF24">
            <v>824.98095890005447</v>
          </cell>
          <cell r="GS24" t="str">
            <v>mstag:taxExpenseIncome</v>
          </cell>
          <cell r="GT24">
            <v>6</v>
          </cell>
          <cell r="GU24" t="str">
            <v>ISO4217:USD</v>
          </cell>
          <cell r="GV24" t="b">
            <v>0</v>
          </cell>
          <cell r="GW24" t="b">
            <v>0</v>
          </cell>
        </row>
        <row r="25">
          <cell r="A25" t="str">
            <v>Net Income Before Post-Tax Items</v>
          </cell>
          <cell r="C25">
            <v>-1773.9269999999999</v>
          </cell>
          <cell r="D25">
            <v>-271.44599999999934</v>
          </cell>
          <cell r="E25">
            <v>-1235.9719999999998</v>
          </cell>
          <cell r="F25">
            <v>25.182999999999812</v>
          </cell>
          <cell r="G25">
            <v>132.70800000000062</v>
          </cell>
          <cell r="H25">
            <v>211.03499999999912</v>
          </cell>
          <cell r="I25">
            <v>246.85299999999896</v>
          </cell>
          <cell r="J25">
            <v>1.1401472134972468</v>
          </cell>
          <cell r="K25">
            <v>36.799949999999399</v>
          </cell>
          <cell r="L25">
            <v>148.99099999999899</v>
          </cell>
          <cell r="N25">
            <v>75</v>
          </cell>
          <cell r="O25">
            <v>266</v>
          </cell>
          <cell r="P25">
            <v>575</v>
          </cell>
          <cell r="Q25">
            <v>685</v>
          </cell>
          <cell r="R25">
            <v>825</v>
          </cell>
          <cell r="S25">
            <v>821</v>
          </cell>
          <cell r="T25">
            <v>474</v>
          </cell>
          <cell r="U25">
            <v>638</v>
          </cell>
          <cell r="V25">
            <v>655</v>
          </cell>
          <cell r="W25">
            <v>689</v>
          </cell>
          <cell r="X25">
            <v>1278.5914100719424</v>
          </cell>
          <cell r="Y25">
            <v>863.25</v>
          </cell>
          <cell r="Z25">
            <v>831</v>
          </cell>
          <cell r="AA25">
            <v>579</v>
          </cell>
          <cell r="AB25">
            <v>329</v>
          </cell>
          <cell r="AC25">
            <v>847</v>
          </cell>
          <cell r="AD25">
            <v>1256</v>
          </cell>
          <cell r="AE25">
            <v>1408.3729840730655</v>
          </cell>
          <cell r="AF25">
            <v>1474.1651556723784</v>
          </cell>
          <cell r="AG25">
            <v>1618.7764295278068</v>
          </cell>
          <cell r="AH25">
            <v>1641.1420018455815</v>
          </cell>
          <cell r="AI25">
            <v>1683.4875028271354</v>
          </cell>
          <cell r="AJ25">
            <v>1748.1022306573102</v>
          </cell>
          <cell r="AK25">
            <v>1801.4292273300186</v>
          </cell>
          <cell r="AL25">
            <v>1844.6042441173129</v>
          </cell>
          <cell r="AN25" t="str">
            <v>Net Income Before Post-Tax Items</v>
          </cell>
          <cell r="AO25">
            <v>-99.439999999999898</v>
          </cell>
          <cell r="AP25">
            <v>-126.372</v>
          </cell>
          <cell r="AQ25">
            <v>-86.802000000000035</v>
          </cell>
          <cell r="AR25">
            <v>41.16799999999995</v>
          </cell>
          <cell r="AS25">
            <v>-271.44599999999997</v>
          </cell>
          <cell r="AU25">
            <v>-64.160999999999916</v>
          </cell>
          <cell r="AV25">
            <v>-143.82800000000009</v>
          </cell>
          <cell r="AW25">
            <v>-60.994999999999962</v>
          </cell>
          <cell r="AX25">
            <v>-977.04399999999941</v>
          </cell>
          <cell r="AY25">
            <v>-1246.0279999999993</v>
          </cell>
          <cell r="BA25">
            <v>11.812000000000163</v>
          </cell>
          <cell r="BB25">
            <v>-15.789000000000041</v>
          </cell>
          <cell r="BC25">
            <v>31.581999999999912</v>
          </cell>
          <cell r="BD25">
            <v>105.10300000000005</v>
          </cell>
          <cell r="BE25">
            <v>132.70800000000008</v>
          </cell>
          <cell r="BG25">
            <v>21.700000000000063</v>
          </cell>
          <cell r="BH25">
            <v>8.8529999999999731</v>
          </cell>
          <cell r="BI25">
            <v>34.523999999999958</v>
          </cell>
          <cell r="BJ25">
            <v>145.9579999999998</v>
          </cell>
          <cell r="BK25">
            <v>211.03499999999917</v>
          </cell>
          <cell r="BM25">
            <v>32.222000000000179</v>
          </cell>
          <cell r="BN25">
            <v>3.7719999999998395</v>
          </cell>
          <cell r="BO25">
            <v>44.343000000000011</v>
          </cell>
          <cell r="BP25">
            <v>166.51600000000005</v>
          </cell>
          <cell r="BQ25">
            <v>246.85299999999896</v>
          </cell>
          <cell r="BS25">
            <v>-37.04640000000002</v>
          </cell>
          <cell r="BT25">
            <v>-58.228649999999988</v>
          </cell>
          <cell r="BU25">
            <v>-51.259399999999978</v>
          </cell>
          <cell r="BV25">
            <v>183.33440000000004</v>
          </cell>
          <cell r="BW25">
            <v>36.799949999999342</v>
          </cell>
          <cell r="BY25">
            <v>-56.999000000000279</v>
          </cell>
          <cell r="BZ25">
            <v>-67.174999999999898</v>
          </cell>
          <cell r="CA25">
            <v>21.895999999999734</v>
          </cell>
          <cell r="CB25">
            <v>-68.198000000000221</v>
          </cell>
          <cell r="CC25">
            <v>-46.395000000000152</v>
          </cell>
          <cell r="CD25">
            <v>251.26899999999983</v>
          </cell>
          <cell r="CE25">
            <v>244.64499999999947</v>
          </cell>
          <cell r="CF25">
            <v>148.99099999999893</v>
          </cell>
          <cell r="CG25">
            <v>142.36699999999902</v>
          </cell>
          <cell r="CH25">
            <v>74.168999999998789</v>
          </cell>
          <cell r="CJ25">
            <v>-37.923000000000144</v>
          </cell>
          <cell r="CK25">
            <v>-27.192999999999955</v>
          </cell>
          <cell r="CL25">
            <v>41.801000000000421</v>
          </cell>
          <cell r="CM25">
            <v>289.20199999999966</v>
          </cell>
          <cell r="CN25">
            <v>265.88699999999972</v>
          </cell>
          <cell r="CP25">
            <v>24.059000000000179</v>
          </cell>
          <cell r="CQ25">
            <v>66.370000000000346</v>
          </cell>
          <cell r="CR25">
            <v>105.11400000000003</v>
          </cell>
          <cell r="CS25">
            <v>379.08000000000004</v>
          </cell>
          <cell r="CT25">
            <v>574.62300000000062</v>
          </cell>
          <cell r="CV25">
            <v>60.234000000000002</v>
          </cell>
          <cell r="CW25">
            <v>107</v>
          </cell>
          <cell r="CX25">
            <v>110</v>
          </cell>
          <cell r="CY25">
            <v>408</v>
          </cell>
          <cell r="CZ25">
            <v>685.23400000000004</v>
          </cell>
          <cell r="DB25">
            <v>87</v>
          </cell>
          <cell r="DC25">
            <v>137</v>
          </cell>
          <cell r="DD25">
            <v>123</v>
          </cell>
          <cell r="DE25">
            <v>448</v>
          </cell>
          <cell r="DF25">
            <v>795</v>
          </cell>
          <cell r="DH25">
            <v>118</v>
          </cell>
          <cell r="DI25">
            <v>194</v>
          </cell>
          <cell r="DJ25">
            <v>109</v>
          </cell>
          <cell r="DK25">
            <v>400</v>
          </cell>
          <cell r="DL25">
            <v>821</v>
          </cell>
          <cell r="DN25">
            <v>58</v>
          </cell>
          <cell r="DO25">
            <v>80</v>
          </cell>
          <cell r="DP25">
            <v>26</v>
          </cell>
          <cell r="DQ25">
            <v>310</v>
          </cell>
          <cell r="DR25">
            <v>474</v>
          </cell>
          <cell r="DT25">
            <v>89</v>
          </cell>
          <cell r="DU25">
            <v>133</v>
          </cell>
          <cell r="DV25">
            <v>75</v>
          </cell>
          <cell r="DW25">
            <v>341</v>
          </cell>
          <cell r="DX25">
            <v>638</v>
          </cell>
          <cell r="DZ25">
            <v>46</v>
          </cell>
          <cell r="EA25">
            <v>120</v>
          </cell>
          <cell r="EB25">
            <v>67</v>
          </cell>
          <cell r="EC25">
            <v>422</v>
          </cell>
          <cell r="ED25">
            <v>655</v>
          </cell>
          <cell r="EF25">
            <v>97</v>
          </cell>
          <cell r="EG25">
            <v>78</v>
          </cell>
          <cell r="EH25">
            <v>74</v>
          </cell>
          <cell r="EI25">
            <v>440</v>
          </cell>
          <cell r="EJ25">
            <v>689</v>
          </cell>
          <cell r="EK25" t="str">
            <v>Net Income Before Post-Tax Items</v>
          </cell>
          <cell r="EL25">
            <v>123.354</v>
          </cell>
          <cell r="EM25">
            <v>148</v>
          </cell>
          <cell r="EN25">
            <v>339.23741007194246</v>
          </cell>
          <cell r="EO25">
            <v>668</v>
          </cell>
          <cell r="EP25">
            <v>1278.5914100719424</v>
          </cell>
          <cell r="ER25">
            <v>-74</v>
          </cell>
          <cell r="ES25">
            <v>191.25</v>
          </cell>
          <cell r="ET25">
            <v>20</v>
          </cell>
          <cell r="EU25">
            <v>726</v>
          </cell>
          <cell r="EV25">
            <v>863.25</v>
          </cell>
          <cell r="EX25">
            <v>52</v>
          </cell>
          <cell r="EY25">
            <v>74</v>
          </cell>
          <cell r="EZ25">
            <v>33</v>
          </cell>
          <cell r="FA25">
            <v>672</v>
          </cell>
          <cell r="FB25">
            <v>831</v>
          </cell>
          <cell r="FD25">
            <v>-59</v>
          </cell>
          <cell r="FE25">
            <v>73</v>
          </cell>
          <cell r="FF25">
            <v>-44</v>
          </cell>
          <cell r="FG25">
            <v>609</v>
          </cell>
          <cell r="FH25">
            <v>579</v>
          </cell>
          <cell r="FJ25">
            <v>-88</v>
          </cell>
          <cell r="FK25">
            <v>7</v>
          </cell>
          <cell r="FL25">
            <v>-35</v>
          </cell>
          <cell r="FM25">
            <v>445</v>
          </cell>
          <cell r="FN25">
            <v>329</v>
          </cell>
          <cell r="FP25">
            <v>23</v>
          </cell>
          <cell r="FQ25">
            <v>147</v>
          </cell>
          <cell r="FR25">
            <v>10</v>
          </cell>
          <cell r="FS25">
            <v>667</v>
          </cell>
          <cell r="FT25">
            <v>847</v>
          </cell>
          <cell r="FV25">
            <v>131</v>
          </cell>
          <cell r="FW25">
            <v>241</v>
          </cell>
          <cell r="FX25">
            <v>139</v>
          </cell>
          <cell r="FY25">
            <v>745</v>
          </cell>
          <cell r="FZ25">
            <v>1256</v>
          </cell>
          <cell r="GB25">
            <v>181</v>
          </cell>
          <cell r="GC25">
            <v>279</v>
          </cell>
          <cell r="GD25">
            <v>110.03264655178822</v>
          </cell>
          <cell r="GE25">
            <v>838.34033752127743</v>
          </cell>
          <cell r="GF25">
            <v>1408.3729840730655</v>
          </cell>
        </row>
        <row r="26">
          <cell r="A26" t="str">
            <v>Discontinued Operations Charges (FYins)</v>
          </cell>
          <cell r="N26">
            <v>0</v>
          </cell>
          <cell r="O26">
            <v>0</v>
          </cell>
          <cell r="P26">
            <v>0</v>
          </cell>
          <cell r="Q26">
            <v>0</v>
          </cell>
          <cell r="R26">
            <v>30</v>
          </cell>
          <cell r="S26">
            <v>1005</v>
          </cell>
          <cell r="T26">
            <v>797</v>
          </cell>
          <cell r="U26">
            <v>-180</v>
          </cell>
          <cell r="V26">
            <v>0</v>
          </cell>
          <cell r="W26">
            <v>0</v>
          </cell>
          <cell r="X26">
            <v>-33</v>
          </cell>
          <cell r="Y26">
            <v>-7</v>
          </cell>
          <cell r="Z26">
            <v>16</v>
          </cell>
          <cell r="AA26">
            <v>0</v>
          </cell>
          <cell r="AB26">
            <v>0</v>
          </cell>
          <cell r="AC26">
            <v>0</v>
          </cell>
          <cell r="AD26">
            <v>0</v>
          </cell>
          <cell r="AE26">
            <v>0</v>
          </cell>
          <cell r="AF26">
            <v>0</v>
          </cell>
          <cell r="AG26">
            <v>0</v>
          </cell>
          <cell r="AH26">
            <v>0</v>
          </cell>
          <cell r="AI26">
            <v>0</v>
          </cell>
          <cell r="AJ26">
            <v>0</v>
          </cell>
          <cell r="AK26">
            <v>0</v>
          </cell>
          <cell r="AL26">
            <v>0</v>
          </cell>
          <cell r="AN26" t="str">
            <v>Discontinued Operations Charges (FYins)</v>
          </cell>
          <cell r="DB26">
            <v>0</v>
          </cell>
          <cell r="DC26">
            <v>0</v>
          </cell>
          <cell r="DD26">
            <v>0</v>
          </cell>
          <cell r="DE26">
            <v>0</v>
          </cell>
          <cell r="DF26">
            <v>0</v>
          </cell>
          <cell r="DH26">
            <v>29</v>
          </cell>
          <cell r="DI26">
            <v>131</v>
          </cell>
          <cell r="DJ26">
            <v>777</v>
          </cell>
          <cell r="DK26">
            <v>68</v>
          </cell>
          <cell r="DL26">
            <v>1005</v>
          </cell>
          <cell r="DN26">
            <v>0</v>
          </cell>
          <cell r="DO26">
            <v>14</v>
          </cell>
          <cell r="DP26">
            <v>13</v>
          </cell>
          <cell r="DQ26">
            <v>770</v>
          </cell>
          <cell r="DR26">
            <v>797</v>
          </cell>
          <cell r="DT26">
            <v>0</v>
          </cell>
          <cell r="DU26">
            <v>-149</v>
          </cell>
          <cell r="DV26">
            <v>-31</v>
          </cell>
          <cell r="DW26">
            <v>0</v>
          </cell>
          <cell r="DX26">
            <v>-180</v>
          </cell>
          <cell r="DZ26">
            <v>0</v>
          </cell>
          <cell r="EA26">
            <v>0</v>
          </cell>
          <cell r="EB26">
            <v>0</v>
          </cell>
          <cell r="EC26">
            <v>0</v>
          </cell>
          <cell r="ED26">
            <v>0</v>
          </cell>
          <cell r="EF26">
            <v>0</v>
          </cell>
          <cell r="EG26">
            <v>0</v>
          </cell>
          <cell r="EH26">
            <v>0</v>
          </cell>
          <cell r="EI26">
            <v>0</v>
          </cell>
          <cell r="EJ26">
            <v>0</v>
          </cell>
          <cell r="EK26" t="str">
            <v>Discontinued Operations Charges (FYins)</v>
          </cell>
          <cell r="EL26">
            <v>0</v>
          </cell>
          <cell r="EM26">
            <v>0</v>
          </cell>
          <cell r="EN26">
            <v>-12</v>
          </cell>
          <cell r="EO26">
            <v>-21</v>
          </cell>
          <cell r="EP26">
            <v>-33</v>
          </cell>
          <cell r="ER26">
            <v>-22</v>
          </cell>
          <cell r="ES26">
            <v>-35</v>
          </cell>
          <cell r="ET26">
            <v>23</v>
          </cell>
          <cell r="EU26">
            <v>27</v>
          </cell>
          <cell r="EV26">
            <v>-7</v>
          </cell>
          <cell r="EX26">
            <v>16</v>
          </cell>
          <cell r="EY26">
            <v>0</v>
          </cell>
          <cell r="EZ26">
            <v>0</v>
          </cell>
          <cell r="FA26">
            <v>0</v>
          </cell>
          <cell r="FB26">
            <v>16</v>
          </cell>
          <cell r="FD26">
            <v>0</v>
          </cell>
          <cell r="FE26">
            <v>0</v>
          </cell>
          <cell r="FF26">
            <v>0</v>
          </cell>
          <cell r="FG26">
            <v>0</v>
          </cell>
          <cell r="FH26">
            <v>0</v>
          </cell>
          <cell r="FJ26">
            <v>0</v>
          </cell>
          <cell r="FK26">
            <v>0</v>
          </cell>
          <cell r="FL26">
            <v>0</v>
          </cell>
          <cell r="FM26">
            <v>0</v>
          </cell>
          <cell r="FN26">
            <v>0</v>
          </cell>
          <cell r="FP26">
            <v>0</v>
          </cell>
          <cell r="FQ26">
            <v>0</v>
          </cell>
          <cell r="FR26">
            <v>0</v>
          </cell>
          <cell r="FS26">
            <v>0</v>
          </cell>
          <cell r="FT26">
            <v>0</v>
          </cell>
          <cell r="FV26">
            <v>0</v>
          </cell>
          <cell r="FW26">
            <v>0</v>
          </cell>
          <cell r="FX26">
            <v>0</v>
          </cell>
          <cell r="FY26">
            <v>0</v>
          </cell>
          <cell r="FZ26">
            <v>0</v>
          </cell>
          <cell r="GB26">
            <v>0</v>
          </cell>
          <cell r="GC26">
            <v>0</v>
          </cell>
          <cell r="GD26">
            <v>0</v>
          </cell>
          <cell r="GE26">
            <v>0</v>
          </cell>
          <cell r="GF26">
            <v>0</v>
          </cell>
          <cell r="GS26" t="str">
            <v>mstag:incomeLossFromDiscontinuedOperationsNetOfTax</v>
          </cell>
          <cell r="GT26">
            <v>6</v>
          </cell>
          <cell r="GU26" t="str">
            <v>ISO4217:USD</v>
          </cell>
          <cell r="GV26" t="b">
            <v>1</v>
          </cell>
          <cell r="GW26" t="b">
            <v>0</v>
          </cell>
        </row>
        <row r="27">
          <cell r="A27" t="str">
            <v>Post-Tax Extraordinary Charges (FYins)</v>
          </cell>
          <cell r="C27">
            <v>0</v>
          </cell>
          <cell r="D27">
            <v>0</v>
          </cell>
          <cell r="E27">
            <v>2072.364</v>
          </cell>
          <cell r="F27">
            <v>0</v>
          </cell>
          <cell r="G27">
            <v>-19.698999999999998</v>
          </cell>
          <cell r="H27">
            <v>-17.786999999999999</v>
          </cell>
          <cell r="I27">
            <v>0</v>
          </cell>
          <cell r="K27">
            <v>0</v>
          </cell>
          <cell r="L27">
            <v>0</v>
          </cell>
          <cell r="N27">
            <v>0</v>
          </cell>
          <cell r="O27">
            <v>0</v>
          </cell>
          <cell r="P27">
            <v>39</v>
          </cell>
          <cell r="Q27">
            <v>23</v>
          </cell>
          <cell r="R27">
            <v>0</v>
          </cell>
          <cell r="S27">
            <v>0</v>
          </cell>
          <cell r="T27">
            <v>-47</v>
          </cell>
          <cell r="U27">
            <v>0</v>
          </cell>
          <cell r="V27">
            <v>-38</v>
          </cell>
          <cell r="W27">
            <v>0</v>
          </cell>
          <cell r="X27">
            <v>-95</v>
          </cell>
          <cell r="Y27">
            <v>-124.625</v>
          </cell>
          <cell r="Z27">
            <v>-78</v>
          </cell>
          <cell r="AA27">
            <v>5382</v>
          </cell>
          <cell r="AB27">
            <v>0</v>
          </cell>
          <cell r="AC27">
            <v>41.4</v>
          </cell>
          <cell r="AD27">
            <v>0</v>
          </cell>
          <cell r="AE27">
            <v>0</v>
          </cell>
          <cell r="AF27">
            <v>0</v>
          </cell>
          <cell r="AG27">
            <v>0</v>
          </cell>
          <cell r="AH27">
            <v>0</v>
          </cell>
          <cell r="AI27">
            <v>0</v>
          </cell>
          <cell r="AJ27">
            <v>0</v>
          </cell>
          <cell r="AK27">
            <v>0</v>
          </cell>
          <cell r="AL27">
            <v>0</v>
          </cell>
          <cell r="AN27" t="str">
            <v>Post-Tax Extraordinary Charges (FYins)</v>
          </cell>
          <cell r="AO27">
            <v>0</v>
          </cell>
          <cell r="AP27">
            <v>0</v>
          </cell>
          <cell r="AQ27">
            <v>0</v>
          </cell>
          <cell r="AR27">
            <v>0</v>
          </cell>
          <cell r="AS27">
            <v>0</v>
          </cell>
          <cell r="AU27">
            <v>0</v>
          </cell>
          <cell r="AV27">
            <v>0</v>
          </cell>
          <cell r="AW27">
            <v>0</v>
          </cell>
          <cell r="AX27">
            <v>2165.5149999999999</v>
          </cell>
          <cell r="AY27">
            <v>2165.5149999999999</v>
          </cell>
          <cell r="BA27">
            <v>0</v>
          </cell>
          <cell r="BB27">
            <v>-13.574</v>
          </cell>
          <cell r="BC27">
            <v>0</v>
          </cell>
          <cell r="BD27">
            <v>-6.125</v>
          </cell>
          <cell r="BE27">
            <v>-19.698999999999998</v>
          </cell>
          <cell r="BG27">
            <v>-3.5449999999999999</v>
          </cell>
          <cell r="BH27">
            <v>0</v>
          </cell>
          <cell r="BI27">
            <v>-14.242000000000001</v>
          </cell>
          <cell r="BJ27">
            <v>0</v>
          </cell>
          <cell r="BK27">
            <v>-17.786999999999999</v>
          </cell>
          <cell r="BM27">
            <v>0</v>
          </cell>
          <cell r="BN27">
            <v>0</v>
          </cell>
          <cell r="BO27">
            <v>0</v>
          </cell>
          <cell r="BP27">
            <v>0</v>
          </cell>
          <cell r="BQ27">
            <v>0</v>
          </cell>
          <cell r="BS27">
            <v>0</v>
          </cell>
          <cell r="BT27">
            <v>0</v>
          </cell>
          <cell r="BU27">
            <v>0</v>
          </cell>
          <cell r="BV27">
            <v>0</v>
          </cell>
          <cell r="BW27">
            <v>0</v>
          </cell>
          <cell r="BY27">
            <v>0</v>
          </cell>
          <cell r="BZ27">
            <v>0</v>
          </cell>
          <cell r="CA27">
            <v>0</v>
          </cell>
          <cell r="CB27">
            <v>0</v>
          </cell>
          <cell r="CC27">
            <v>0</v>
          </cell>
          <cell r="CD27">
            <v>0</v>
          </cell>
          <cell r="CE27">
            <v>0</v>
          </cell>
          <cell r="CF27">
            <v>0</v>
          </cell>
          <cell r="CG27">
            <v>0</v>
          </cell>
          <cell r="CH27">
            <v>0</v>
          </cell>
          <cell r="CJ27">
            <v>0</v>
          </cell>
          <cell r="CK27">
            <v>0</v>
          </cell>
          <cell r="CL27">
            <v>0</v>
          </cell>
          <cell r="CM27">
            <v>0</v>
          </cell>
          <cell r="CN27">
            <v>0</v>
          </cell>
          <cell r="CP27">
            <v>0</v>
          </cell>
          <cell r="CQ27">
            <v>-38.673000000000002</v>
          </cell>
          <cell r="CR27">
            <v>0</v>
          </cell>
          <cell r="CS27">
            <v>0</v>
          </cell>
          <cell r="CT27">
            <v>-38.673000000000002</v>
          </cell>
          <cell r="CV27">
            <v>0</v>
          </cell>
          <cell r="CW27">
            <v>0</v>
          </cell>
          <cell r="CX27">
            <v>23</v>
          </cell>
          <cell r="CY27">
            <v>0</v>
          </cell>
          <cell r="CZ27">
            <v>23</v>
          </cell>
          <cell r="DB27">
            <v>0</v>
          </cell>
          <cell r="DC27">
            <v>0</v>
          </cell>
          <cell r="DD27">
            <v>0</v>
          </cell>
          <cell r="DE27">
            <v>0</v>
          </cell>
          <cell r="DF27">
            <v>0</v>
          </cell>
          <cell r="DH27">
            <v>0</v>
          </cell>
          <cell r="DI27">
            <v>0</v>
          </cell>
          <cell r="DJ27">
            <v>0</v>
          </cell>
          <cell r="DK27">
            <v>0</v>
          </cell>
          <cell r="DL27">
            <v>0</v>
          </cell>
          <cell r="DN27">
            <v>0</v>
          </cell>
          <cell r="DO27">
            <v>-44</v>
          </cell>
          <cell r="DP27">
            <v>10</v>
          </cell>
          <cell r="DQ27">
            <v>-13</v>
          </cell>
          <cell r="DR27">
            <v>-47</v>
          </cell>
          <cell r="DT27">
            <v>0</v>
          </cell>
          <cell r="DU27">
            <v>0</v>
          </cell>
          <cell r="DV27">
            <v>0</v>
          </cell>
          <cell r="DW27">
            <v>0</v>
          </cell>
          <cell r="DX27">
            <v>0</v>
          </cell>
          <cell r="DZ27">
            <v>0</v>
          </cell>
          <cell r="EA27">
            <v>0</v>
          </cell>
          <cell r="EB27">
            <v>0</v>
          </cell>
          <cell r="EC27">
            <v>-38</v>
          </cell>
          <cell r="ED27">
            <v>-38</v>
          </cell>
          <cell r="EF27">
            <v>0</v>
          </cell>
          <cell r="EG27">
            <v>0</v>
          </cell>
          <cell r="EH27">
            <v>0</v>
          </cell>
          <cell r="EI27">
            <v>0</v>
          </cell>
          <cell r="EJ27">
            <v>0</v>
          </cell>
          <cell r="EK27" t="str">
            <v>Post-Tax Extraordinary Charges (FYins)</v>
          </cell>
          <cell r="EL27">
            <v>0</v>
          </cell>
          <cell r="EM27">
            <v>0</v>
          </cell>
          <cell r="EN27">
            <v>-85</v>
          </cell>
          <cell r="EO27">
            <v>-10</v>
          </cell>
          <cell r="EP27">
            <v>-95</v>
          </cell>
          <cell r="ER27">
            <v>0</v>
          </cell>
          <cell r="ES27">
            <v>-90.625</v>
          </cell>
          <cell r="ET27">
            <v>0</v>
          </cell>
          <cell r="EU27">
            <v>-34</v>
          </cell>
          <cell r="EV27">
            <v>-124.625</v>
          </cell>
          <cell r="EX27">
            <v>0</v>
          </cell>
          <cell r="EY27">
            <v>0</v>
          </cell>
          <cell r="EZ27">
            <v>0</v>
          </cell>
          <cell r="FA27">
            <v>-78</v>
          </cell>
          <cell r="FB27">
            <v>-78</v>
          </cell>
          <cell r="FD27">
            <v>0</v>
          </cell>
          <cell r="FE27">
            <v>0</v>
          </cell>
          <cell r="FF27">
            <v>0</v>
          </cell>
          <cell r="FG27">
            <v>5382</v>
          </cell>
          <cell r="FH27">
            <v>5382</v>
          </cell>
          <cell r="FJ27">
            <v>0</v>
          </cell>
          <cell r="FK27">
            <v>0</v>
          </cell>
          <cell r="FL27">
            <v>0</v>
          </cell>
          <cell r="FM27">
            <v>0</v>
          </cell>
          <cell r="FN27">
            <v>0</v>
          </cell>
          <cell r="FP27">
            <v>17</v>
          </cell>
          <cell r="FQ27">
            <v>0</v>
          </cell>
          <cell r="FR27">
            <v>24.4</v>
          </cell>
          <cell r="FS27">
            <v>0</v>
          </cell>
          <cell r="FT27">
            <v>41.4</v>
          </cell>
          <cell r="FV27">
            <v>0</v>
          </cell>
          <cell r="FW27">
            <v>0</v>
          </cell>
          <cell r="FX27">
            <v>0</v>
          </cell>
          <cell r="FY27">
            <v>0</v>
          </cell>
          <cell r="FZ27">
            <v>0</v>
          </cell>
          <cell r="GB27">
            <v>0</v>
          </cell>
          <cell r="GC27">
            <v>0</v>
          </cell>
          <cell r="GD27">
            <v>0</v>
          </cell>
          <cell r="GE27">
            <v>0</v>
          </cell>
          <cell r="GF27">
            <v>0</v>
          </cell>
        </row>
        <row r="28">
          <cell r="A28" t="str">
            <v>Net Income, Reported</v>
          </cell>
          <cell r="C28">
            <v>-1773.9269999999999</v>
          </cell>
          <cell r="D28">
            <v>-271.44599999999934</v>
          </cell>
          <cell r="E28">
            <v>836.39200000000028</v>
          </cell>
          <cell r="F28">
            <v>25.182999999999812</v>
          </cell>
          <cell r="G28">
            <v>113.00900000000063</v>
          </cell>
          <cell r="H28">
            <v>193.24799999999911</v>
          </cell>
          <cell r="I28">
            <v>246.85299999999896</v>
          </cell>
          <cell r="K28">
            <v>36.799949999999399</v>
          </cell>
          <cell r="L28">
            <v>148.99099999999899</v>
          </cell>
          <cell r="N28">
            <v>75</v>
          </cell>
          <cell r="O28">
            <v>266</v>
          </cell>
          <cell r="P28">
            <v>536</v>
          </cell>
          <cell r="Q28">
            <v>662</v>
          </cell>
          <cell r="R28">
            <v>795</v>
          </cell>
          <cell r="S28">
            <v>-184</v>
          </cell>
          <cell r="T28">
            <v>-276</v>
          </cell>
          <cell r="U28">
            <v>818</v>
          </cell>
          <cell r="V28">
            <v>693</v>
          </cell>
          <cell r="W28">
            <v>689</v>
          </cell>
          <cell r="X28">
            <v>1406.5914100719424</v>
          </cell>
          <cell r="Y28">
            <v>994.875</v>
          </cell>
          <cell r="Z28">
            <v>893</v>
          </cell>
          <cell r="AA28">
            <v>-4803</v>
          </cell>
          <cell r="AB28">
            <v>329</v>
          </cell>
          <cell r="AC28">
            <v>805.6</v>
          </cell>
          <cell r="AD28">
            <v>1256</v>
          </cell>
          <cell r="AE28">
            <v>1408.3729840730655</v>
          </cell>
          <cell r="AF28">
            <v>1474.1651556723784</v>
          </cell>
          <cell r="AG28">
            <v>1618.7764295278068</v>
          </cell>
          <cell r="AH28">
            <v>1641.1420018455815</v>
          </cell>
          <cell r="AI28">
            <v>1683.4875028271354</v>
          </cell>
          <cell r="AJ28">
            <v>1748.1022306573102</v>
          </cell>
          <cell r="AK28">
            <v>1801.4292273300186</v>
          </cell>
          <cell r="AL28">
            <v>1844.6042441173129</v>
          </cell>
          <cell r="AN28" t="str">
            <v>Net Income, Reported</v>
          </cell>
          <cell r="AO28">
            <v>-99.439999999999898</v>
          </cell>
          <cell r="AP28">
            <v>-126.372</v>
          </cell>
          <cell r="AQ28">
            <v>-86.802000000000035</v>
          </cell>
          <cell r="AR28">
            <v>41.16799999999995</v>
          </cell>
          <cell r="AS28">
            <v>-271.44599999999997</v>
          </cell>
          <cell r="AU28">
            <v>-64.160999999999916</v>
          </cell>
          <cell r="AV28">
            <v>-143.82800000000009</v>
          </cell>
          <cell r="AW28">
            <v>-60.994999999999962</v>
          </cell>
          <cell r="AX28">
            <v>-3142.5589999999993</v>
          </cell>
          <cell r="AY28">
            <v>-3411.5429999999992</v>
          </cell>
          <cell r="BA28">
            <v>11.812000000000163</v>
          </cell>
          <cell r="BB28">
            <v>-2.2150000000000407</v>
          </cell>
          <cell r="BC28">
            <v>31.581999999999912</v>
          </cell>
          <cell r="BD28">
            <v>111.22800000000005</v>
          </cell>
          <cell r="BE28">
            <v>152.4070000000001</v>
          </cell>
          <cell r="BG28">
            <v>25.245000000000061</v>
          </cell>
          <cell r="BH28">
            <v>8.8529999999999731</v>
          </cell>
          <cell r="BI28">
            <v>48.765999999999963</v>
          </cell>
          <cell r="BJ28">
            <v>145.9579999999998</v>
          </cell>
          <cell r="BK28">
            <v>228.82199999999918</v>
          </cell>
          <cell r="BM28">
            <v>32.222000000000179</v>
          </cell>
          <cell r="BN28">
            <v>3.7719999999998395</v>
          </cell>
          <cell r="BO28">
            <v>44.343000000000011</v>
          </cell>
          <cell r="BP28">
            <v>166.51600000000005</v>
          </cell>
          <cell r="BQ28">
            <v>246.85299999999896</v>
          </cell>
          <cell r="BS28">
            <v>-37.04640000000002</v>
          </cell>
          <cell r="BT28">
            <v>-58.228649999999988</v>
          </cell>
          <cell r="BU28">
            <v>-51.259399999999978</v>
          </cell>
          <cell r="BV28">
            <v>183.33440000000004</v>
          </cell>
          <cell r="BW28">
            <v>36.799949999999342</v>
          </cell>
          <cell r="BY28">
            <v>-56.999000000000279</v>
          </cell>
          <cell r="BZ28">
            <v>-67.174999999999898</v>
          </cell>
          <cell r="CA28">
            <v>21.895999999999734</v>
          </cell>
          <cell r="CB28">
            <v>-68.198000000000221</v>
          </cell>
          <cell r="CC28">
            <v>-46.395000000000152</v>
          </cell>
          <cell r="CD28">
            <v>251.26899999999983</v>
          </cell>
          <cell r="CE28">
            <v>244.64499999999947</v>
          </cell>
          <cell r="CF28">
            <v>148.99099999999893</v>
          </cell>
          <cell r="CG28">
            <v>142.36699999999902</v>
          </cell>
          <cell r="CH28">
            <v>74.168999999998789</v>
          </cell>
          <cell r="CJ28">
            <v>-37.923000000000144</v>
          </cell>
          <cell r="CK28">
            <v>-27.192999999999955</v>
          </cell>
          <cell r="CL28">
            <v>41.801000000000421</v>
          </cell>
          <cell r="CM28">
            <v>289.20199999999966</v>
          </cell>
          <cell r="CN28">
            <v>265.88699999999972</v>
          </cell>
          <cell r="CP28">
            <v>24.059000000000179</v>
          </cell>
          <cell r="CQ28">
            <v>105.04300000000035</v>
          </cell>
          <cell r="CR28">
            <v>105.11400000000003</v>
          </cell>
          <cell r="CS28">
            <v>379.08000000000004</v>
          </cell>
          <cell r="CT28">
            <v>613.29600000000062</v>
          </cell>
          <cell r="CV28">
            <v>60.234000000000002</v>
          </cell>
          <cell r="CW28">
            <v>107</v>
          </cell>
          <cell r="CX28">
            <v>87</v>
          </cell>
          <cell r="CY28">
            <v>408</v>
          </cell>
          <cell r="CZ28">
            <v>662.23400000000004</v>
          </cell>
          <cell r="DB28">
            <v>87</v>
          </cell>
          <cell r="DC28">
            <v>137</v>
          </cell>
          <cell r="DD28">
            <v>123</v>
          </cell>
          <cell r="DE28">
            <v>448</v>
          </cell>
          <cell r="DF28">
            <v>795</v>
          </cell>
          <cell r="DH28">
            <v>89</v>
          </cell>
          <cell r="DI28">
            <v>63</v>
          </cell>
          <cell r="DJ28">
            <v>-668</v>
          </cell>
          <cell r="DK28">
            <v>332</v>
          </cell>
          <cell r="DL28">
            <v>-184</v>
          </cell>
          <cell r="DN28">
            <v>58</v>
          </cell>
          <cell r="DO28">
            <v>110</v>
          </cell>
          <cell r="DP28">
            <v>3</v>
          </cell>
          <cell r="DQ28">
            <v>-447</v>
          </cell>
          <cell r="DR28">
            <v>-276</v>
          </cell>
          <cell r="DT28">
            <v>89</v>
          </cell>
          <cell r="DU28">
            <v>282</v>
          </cell>
          <cell r="DV28">
            <v>106</v>
          </cell>
          <cell r="DW28">
            <v>341</v>
          </cell>
          <cell r="DX28">
            <v>818</v>
          </cell>
          <cell r="DZ28">
            <v>46</v>
          </cell>
          <cell r="EA28">
            <v>120</v>
          </cell>
          <cell r="EB28">
            <v>67</v>
          </cell>
          <cell r="EC28">
            <v>460</v>
          </cell>
          <cell r="ED28">
            <v>693</v>
          </cell>
          <cell r="EF28">
            <v>97</v>
          </cell>
          <cell r="EG28">
            <v>78</v>
          </cell>
          <cell r="EH28">
            <v>74</v>
          </cell>
          <cell r="EI28">
            <v>440</v>
          </cell>
          <cell r="EJ28">
            <v>689</v>
          </cell>
          <cell r="EK28" t="str">
            <v>Net Income, Reported</v>
          </cell>
          <cell r="EL28">
            <v>123.354</v>
          </cell>
          <cell r="EM28">
            <v>148</v>
          </cell>
          <cell r="EN28">
            <v>436.23741007194246</v>
          </cell>
          <cell r="EO28">
            <v>699</v>
          </cell>
          <cell r="EP28">
            <v>1406.5914100719424</v>
          </cell>
          <cell r="ER28">
            <v>-52</v>
          </cell>
          <cell r="ES28">
            <v>316.875</v>
          </cell>
          <cell r="ET28">
            <v>-3</v>
          </cell>
          <cell r="EU28">
            <v>733</v>
          </cell>
          <cell r="EV28">
            <v>994.875</v>
          </cell>
          <cell r="EX28">
            <v>36</v>
          </cell>
          <cell r="EY28">
            <v>74</v>
          </cell>
          <cell r="EZ28">
            <v>33</v>
          </cell>
          <cell r="FA28">
            <v>750</v>
          </cell>
          <cell r="FB28">
            <v>893</v>
          </cell>
          <cell r="FD28">
            <v>-59</v>
          </cell>
          <cell r="FE28">
            <v>73</v>
          </cell>
          <cell r="FF28">
            <v>-44</v>
          </cell>
          <cell r="FG28">
            <v>-4773</v>
          </cell>
          <cell r="FH28">
            <v>-4803</v>
          </cell>
          <cell r="FJ28">
            <v>-88</v>
          </cell>
          <cell r="FK28">
            <v>7</v>
          </cell>
          <cell r="FL28">
            <v>-35</v>
          </cell>
          <cell r="FM28">
            <v>445</v>
          </cell>
          <cell r="FN28">
            <v>329</v>
          </cell>
          <cell r="FP28">
            <v>23</v>
          </cell>
          <cell r="FQ28">
            <v>147</v>
          </cell>
          <cell r="FR28">
            <v>10</v>
          </cell>
          <cell r="FS28">
            <v>667</v>
          </cell>
          <cell r="FT28">
            <v>847</v>
          </cell>
          <cell r="FV28">
            <v>131</v>
          </cell>
          <cell r="FW28">
            <v>241</v>
          </cell>
          <cell r="FX28">
            <v>139</v>
          </cell>
          <cell r="FY28">
            <v>745</v>
          </cell>
          <cell r="FZ28">
            <v>1256</v>
          </cell>
          <cell r="GB28">
            <v>181</v>
          </cell>
          <cell r="GC28">
            <v>279</v>
          </cell>
          <cell r="GD28">
            <v>110.03264655178822</v>
          </cell>
          <cell r="GE28">
            <v>838.34033752127743</v>
          </cell>
          <cell r="GF28">
            <v>1408.3729840730655</v>
          </cell>
          <cell r="GS28" t="str">
            <v>mstag:netIncomeAsReported</v>
          </cell>
          <cell r="GT28">
            <v>6</v>
          </cell>
          <cell r="GU28" t="str">
            <v>ISO4217:USD</v>
          </cell>
          <cell r="GV28" t="b">
            <v>0</v>
          </cell>
        </row>
        <row r="30">
          <cell r="A30" t="str">
            <v>EPS, Before All Extraordinary Items</v>
          </cell>
          <cell r="C30" t="str">
            <v xml:space="preserve">--  </v>
          </cell>
          <cell r="D30" t="str">
            <v xml:space="preserve">--  </v>
          </cell>
          <cell r="E30" t="str">
            <v xml:space="preserve">--  </v>
          </cell>
          <cell r="F30">
            <v>0.22616075437808544</v>
          </cell>
          <cell r="G30">
            <v>1.0148989672204816</v>
          </cell>
          <cell r="H30">
            <v>1.5301560656568385</v>
          </cell>
          <cell r="I30">
            <v>1.9499735372413873</v>
          </cell>
          <cell r="K30">
            <v>0.20197557628978816</v>
          </cell>
          <cell r="L30">
            <v>0.81437207573570658</v>
          </cell>
          <cell r="N30">
            <v>0.19396284189183596</v>
          </cell>
          <cell r="O30">
            <v>0.59802158273381312</v>
          </cell>
          <cell r="P30">
            <v>1.2657726276118944</v>
          </cell>
          <cell r="Q30">
            <v>1.5161575918548031</v>
          </cell>
          <cell r="R30">
            <v>1.8784153005464481</v>
          </cell>
          <cell r="S30">
            <v>2.100160980880764</v>
          </cell>
          <cell r="T30">
            <v>1.6014336365037769</v>
          </cell>
          <cell r="U30">
            <v>1.7093897259149216</v>
          </cell>
          <cell r="V30">
            <v>1.8506172802885585</v>
          </cell>
          <cell r="W30">
            <v>2.2069208613414109</v>
          </cell>
          <cell r="X30">
            <v>2.5058780966631615</v>
          </cell>
          <cell r="Y30">
            <v>2.0770614304446693</v>
          </cell>
          <cell r="Z30">
            <v>2.129219701162147</v>
          </cell>
          <cell r="AA30">
            <v>1.2932312985703269</v>
          </cell>
          <cell r="AB30">
            <v>1.3637977980348048</v>
          </cell>
          <cell r="AC30">
            <v>2.1076672104404568</v>
          </cell>
          <cell r="AD30">
            <v>2.879879182156134</v>
          </cell>
          <cell r="AE30">
            <v>3.4254564468311228</v>
          </cell>
          <cell r="AF30">
            <v>3.9453943917559142</v>
          </cell>
          <cell r="AG30">
            <v>4.7983581094155907</v>
          </cell>
          <cell r="AH30">
            <v>5.2958753573867723</v>
          </cell>
          <cell r="AI30">
            <v>5.6959829769682733</v>
          </cell>
          <cell r="AJ30">
            <v>6.1538937066977288</v>
          </cell>
          <cell r="AK30">
            <v>6.8001516881883797</v>
          </cell>
          <cell r="AL30">
            <v>7.5529335978779351</v>
          </cell>
          <cell r="AN30" t="str">
            <v>EPS, Before All Extraordinary Items</v>
          </cell>
          <cell r="AO30">
            <v>-1.2429999999999988</v>
          </cell>
          <cell r="AP30">
            <v>-1.57965</v>
          </cell>
          <cell r="AQ30">
            <v>-1.0850250000000004</v>
          </cell>
          <cell r="AR30">
            <v>0.51459999999999939</v>
          </cell>
          <cell r="AS30">
            <v>-3.3930749999999996</v>
          </cell>
          <cell r="AU30">
            <v>-0.80231336751281623</v>
          </cell>
          <cell r="AV30">
            <v>-1.7985244466675014</v>
          </cell>
          <cell r="AW30">
            <v>-0.7627235213204947</v>
          </cell>
          <cell r="AX30">
            <v>-39.296723771414271</v>
          </cell>
          <cell r="AY30">
            <v>-42.660285106915083</v>
          </cell>
          <cell r="BA30">
            <v>0.14770538952107243</v>
          </cell>
          <cell r="BB30">
            <v>-1.9535728775290969E-2</v>
          </cell>
          <cell r="BC30">
            <v>0.25065079365079296</v>
          </cell>
          <cell r="BD30">
            <v>0.88256577903323108</v>
          </cell>
          <cell r="BE30">
            <v>1.3687202514593633</v>
          </cell>
          <cell r="BG30">
            <v>0.20002535476867783</v>
          </cell>
          <cell r="BH30">
            <v>7.0090017338431732E-2</v>
          </cell>
          <cell r="BI30">
            <v>0.38607880548804113</v>
          </cell>
          <cell r="BJ30">
            <v>1.1552976934888934</v>
          </cell>
          <cell r="BK30">
            <v>1.8118343851203089</v>
          </cell>
          <cell r="BM30">
            <v>0.25479187753036581</v>
          </cell>
          <cell r="BN30">
            <v>2.9799807233483223E-2</v>
          </cell>
          <cell r="BO30">
            <v>0.3502606635071091</v>
          </cell>
          <cell r="BP30">
            <v>1.3138393561622224</v>
          </cell>
          <cell r="BQ30">
            <v>1.9499735372413873</v>
          </cell>
          <cell r="BS30">
            <v>-0.20332821075740956</v>
          </cell>
          <cell r="BT30">
            <v>-0.31958644346871568</v>
          </cell>
          <cell r="BU30">
            <v>-0.28133589462129516</v>
          </cell>
          <cell r="BV30">
            <v>1.0062261251372122</v>
          </cell>
          <cell r="BW30">
            <v>0.20197557628978785</v>
          </cell>
          <cell r="BY30">
            <v>-0.31201213036862024</v>
          </cell>
          <cell r="BZ30">
            <v>-0.36741781983263083</v>
          </cell>
          <cell r="CA30">
            <v>0.11965027322404226</v>
          </cell>
          <cell r="CB30">
            <v>-0.34615287005689976</v>
          </cell>
          <cell r="CC30">
            <v>-0.23548729297471871</v>
          </cell>
          <cell r="CD30">
            <v>1.3712712428644704</v>
          </cell>
          <cell r="CE30">
            <v>1.207342410588703</v>
          </cell>
          <cell r="CF30">
            <v>0.81437207573570625</v>
          </cell>
          <cell r="CG30">
            <v>0.7435356421009699</v>
          </cell>
          <cell r="CH30">
            <v>0.38729941567494397</v>
          </cell>
          <cell r="CJ30">
            <v>-0.18345991969425834</v>
          </cell>
          <cell r="CK30">
            <v>-0.13094773743998667</v>
          </cell>
          <cell r="CL30">
            <v>0.19647851243942646</v>
          </cell>
          <cell r="CM30">
            <v>1.295707885304658</v>
          </cell>
          <cell r="CN30">
            <v>1.1955350719424447</v>
          </cell>
          <cell r="CP30">
            <v>0.11263576779026301</v>
          </cell>
          <cell r="CQ30">
            <v>0.29367256637168293</v>
          </cell>
          <cell r="CR30">
            <v>0.46448961555457374</v>
          </cell>
          <cell r="CS30">
            <v>1.6504702194357368</v>
          </cell>
          <cell r="CT30">
            <v>2.5298854420738444</v>
          </cell>
          <cell r="CV30">
            <v>0.26007772020725389</v>
          </cell>
          <cell r="CW30">
            <v>0.4604130808950086</v>
          </cell>
          <cell r="CX30">
            <v>0.48076923076923067</v>
          </cell>
          <cell r="CY30">
            <v>1.8793182865039153</v>
          </cell>
          <cell r="CZ30">
            <v>3.0333510402833115</v>
          </cell>
          <cell r="DB30">
            <v>0.20101663585951943</v>
          </cell>
          <cell r="DC30">
            <v>0.30869761153672826</v>
          </cell>
          <cell r="DD30">
            <v>0.27967257844474763</v>
          </cell>
          <cell r="DE30">
            <v>1.0186448385629832</v>
          </cell>
          <cell r="DF30">
            <v>1.8103153819879312</v>
          </cell>
          <cell r="DH30">
            <v>0.27276930189551551</v>
          </cell>
          <cell r="DI30">
            <v>0.46522781774580335</v>
          </cell>
          <cell r="DJ30">
            <v>0.27100944803580307</v>
          </cell>
          <cell r="DK30">
            <v>1.1121316908003744</v>
          </cell>
          <cell r="DL30">
            <v>2.100160980880764</v>
          </cell>
          <cell r="DN30">
            <v>0.21597256246937779</v>
          </cell>
          <cell r="DO30">
            <v>0.26126326727529131</v>
          </cell>
          <cell r="DP30">
            <v>0.11037133026498057</v>
          </cell>
          <cell r="DQ30">
            <v>1.0059098707159446</v>
          </cell>
          <cell r="DR30">
            <v>1.6014336365037769</v>
          </cell>
          <cell r="DT30">
            <v>0.21813725490196079</v>
          </cell>
          <cell r="DU30">
            <v>0.32678132678132676</v>
          </cell>
          <cell r="DV30">
            <v>0.19142419601837671</v>
          </cell>
          <cell r="DW30">
            <v>0.99768531377886427</v>
          </cell>
          <cell r="DX30">
            <v>1.7093897259149216</v>
          </cell>
          <cell r="DZ30">
            <v>0.13414803499513958</v>
          </cell>
          <cell r="EA30">
            <v>0.3366189923978869</v>
          </cell>
          <cell r="EB30">
            <v>0.22710881606277405</v>
          </cell>
          <cell r="EC30">
            <v>1.1671164307843058</v>
          </cell>
          <cell r="ED30">
            <v>1.8506172802885585</v>
          </cell>
          <cell r="EF30">
            <v>0.29516518323340046</v>
          </cell>
          <cell r="EG30">
            <v>0.36734693877551022</v>
          </cell>
          <cell r="EH30">
            <v>0.27580275229357798</v>
          </cell>
          <cell r="EI30">
            <v>1.2993690266609828</v>
          </cell>
          <cell r="EJ30">
            <v>2.2069208613414109</v>
          </cell>
          <cell r="EK30" t="str">
            <v>EPS, Before All Extraordinary Items</v>
          </cell>
          <cell r="EL30">
            <v>0.35692708333333328</v>
          </cell>
          <cell r="EM30">
            <v>0.42117245304496292</v>
          </cell>
          <cell r="EN30">
            <v>0.1606847608789124</v>
          </cell>
          <cell r="EO30">
            <v>1.3341216109951204</v>
          </cell>
          <cell r="EP30">
            <v>2.5058780966631615</v>
          </cell>
          <cell r="ER30">
            <v>1.2362553915314987E-2</v>
          </cell>
          <cell r="ES30">
            <v>0.32635908440629469</v>
          </cell>
          <cell r="ET30">
            <v>0.20415978662787176</v>
          </cell>
          <cell r="EU30">
            <v>1.5983670475799727</v>
          </cell>
          <cell r="EV30">
            <v>2.0770614304446693</v>
          </cell>
          <cell r="EX30">
            <v>0.16</v>
          </cell>
          <cell r="EY30">
            <v>0.34</v>
          </cell>
          <cell r="EZ30">
            <v>0.08</v>
          </cell>
          <cell r="FA30">
            <v>1.67</v>
          </cell>
          <cell r="FB30">
            <v>2.129219701162147</v>
          </cell>
          <cell r="FD30">
            <v>0.01</v>
          </cell>
          <cell r="FE30">
            <v>0.28999999999999998</v>
          </cell>
          <cell r="FF30">
            <v>-0.08</v>
          </cell>
          <cell r="FG30">
            <v>1.06</v>
          </cell>
          <cell r="FH30">
            <v>1.2932312985703269</v>
          </cell>
          <cell r="FJ30">
            <v>-0.16</v>
          </cell>
          <cell r="FK30">
            <v>0.2</v>
          </cell>
          <cell r="FL30">
            <v>-0.03</v>
          </cell>
          <cell r="FM30">
            <v>1.35</v>
          </cell>
          <cell r="FN30">
            <v>1.3637977980348048</v>
          </cell>
          <cell r="FP30">
            <v>9.3852651337400284E-2</v>
          </cell>
          <cell r="FQ30">
            <v>0.35</v>
          </cell>
          <cell r="FR30">
            <v>8.0449017773620193E-2</v>
          </cell>
          <cell r="FS30">
            <v>1.59</v>
          </cell>
          <cell r="FT30">
            <v>2.1076672104404568</v>
          </cell>
          <cell r="FV30">
            <v>0.30465116279069765</v>
          </cell>
          <cell r="FW30">
            <v>0.55453290381960418</v>
          </cell>
          <cell r="FX30">
            <v>0.32190829087540529</v>
          </cell>
          <cell r="FY30">
            <v>1.7048911771589044</v>
          </cell>
          <cell r="FZ30">
            <v>2.879879182156134</v>
          </cell>
          <cell r="GB30">
            <v>0.42718904885532216</v>
          </cell>
          <cell r="GC30">
            <v>0.66890433948693373</v>
          </cell>
          <cell r="GD30">
            <v>0.27084783703217807</v>
          </cell>
          <cell r="GE30">
            <v>2.1088022722950708</v>
          </cell>
          <cell r="GF30">
            <v>3.4254564468311224</v>
          </cell>
          <cell r="GS30" t="str">
            <v>mstag:adjEpsForConsensus</v>
          </cell>
          <cell r="GT30">
            <v>0</v>
          </cell>
          <cell r="GU30" t="str">
            <v>ISO4217:USD</v>
          </cell>
          <cell r="GV30" t="b">
            <v>0</v>
          </cell>
          <cell r="GW30" t="b">
            <v>0</v>
          </cell>
        </row>
        <row r="31">
          <cell r="A31" t="str">
            <v>EPS, Extraordinary/Discontinued</v>
          </cell>
          <cell r="K31">
            <v>-0.57276646542261256</v>
          </cell>
          <cell r="L31">
            <v>-0.9233288512833967</v>
          </cell>
          <cell r="N31">
            <v>0</v>
          </cell>
          <cell r="O31">
            <v>0</v>
          </cell>
          <cell r="P31">
            <v>-8.5852404307589364E-2</v>
          </cell>
          <cell r="Q31">
            <v>-5.090748118636565E-2</v>
          </cell>
          <cell r="R31">
            <v>-6.8306010928961755E-2</v>
          </cell>
          <cell r="S31">
            <v>-2.5448739718173199</v>
          </cell>
          <cell r="T31">
            <v>-2.2928164020348389</v>
          </cell>
          <cell r="U31">
            <v>0.34873079238926785</v>
          </cell>
          <cell r="V31">
            <v>6.29590299118425E-3</v>
          </cell>
          <cell r="W31">
            <v>-0.27369976145364439</v>
          </cell>
          <cell r="X31">
            <v>0.7306414847264896</v>
          </cell>
          <cell r="Y31">
            <v>-0.26060168971069103</v>
          </cell>
          <cell r="Z31">
            <v>-0.1348828629404164</v>
          </cell>
          <cell r="AA31">
            <v>-12.690277036246071</v>
          </cell>
          <cell r="AB31">
            <v>-0.58482301408784143</v>
          </cell>
          <cell r="AC31">
            <v>-0.13766721044045682</v>
          </cell>
          <cell r="AD31">
            <v>4.0120817843865897E-2</v>
          </cell>
          <cell r="AE31">
            <v>4.5435531688777786E-3</v>
          </cell>
          <cell r="AF31">
            <v>0</v>
          </cell>
          <cell r="AG31">
            <v>0</v>
          </cell>
          <cell r="AH31">
            <v>0</v>
          </cell>
          <cell r="AI31">
            <v>0</v>
          </cell>
          <cell r="AJ31">
            <v>0</v>
          </cell>
          <cell r="AK31">
            <v>0</v>
          </cell>
          <cell r="AL31">
            <v>0</v>
          </cell>
          <cell r="AN31" t="str">
            <v>EPS, Extraordinary/Discontinued</v>
          </cell>
          <cell r="AO31">
            <v>0.17066427012363927</v>
          </cell>
          <cell r="AP31">
            <v>7.9165927046291967E-2</v>
          </cell>
          <cell r="AQ31">
            <v>0.2616065710286915</v>
          </cell>
          <cell r="AR31">
            <v>-0.36646743429234646</v>
          </cell>
          <cell r="AS31">
            <v>0.14496933390627625</v>
          </cell>
          <cell r="AU31">
            <v>0.10056992116474267</v>
          </cell>
          <cell r="AV31">
            <v>0.92759338606906783</v>
          </cell>
          <cell r="AW31">
            <v>0.22557897123962739</v>
          </cell>
          <cell r="AX31">
            <v>12.649594309088322</v>
          </cell>
          <cell r="AY31">
            <v>13.90333658756176</v>
          </cell>
          <cell r="BA31">
            <v>0</v>
          </cell>
          <cell r="BB31">
            <v>-0.12</v>
          </cell>
          <cell r="BC31">
            <v>0</v>
          </cell>
          <cell r="BD31">
            <v>-0.05</v>
          </cell>
          <cell r="BE31">
            <v>-0.16999999999999998</v>
          </cell>
          <cell r="BG31">
            <v>-2.8088329675379727E-2</v>
          </cell>
          <cell r="BH31">
            <v>0</v>
          </cell>
          <cell r="BI31">
            <v>-0.11275344190133876</v>
          </cell>
          <cell r="BJ31">
            <v>0.11</v>
          </cell>
          <cell r="BK31">
            <v>-3.0841771576718482E-2</v>
          </cell>
          <cell r="BM31">
            <v>0</v>
          </cell>
          <cell r="BN31">
            <v>-0.12758141225173411</v>
          </cell>
          <cell r="BO31">
            <v>0</v>
          </cell>
          <cell r="BP31">
            <v>0</v>
          </cell>
          <cell r="BQ31">
            <v>-0.12758141225173411</v>
          </cell>
          <cell r="BS31">
            <v>0</v>
          </cell>
          <cell r="BT31">
            <v>-0.11375987925356752</v>
          </cell>
          <cell r="BU31">
            <v>-0.26783754116355651</v>
          </cell>
          <cell r="BV31">
            <v>-0.19116904500548851</v>
          </cell>
          <cell r="BW31">
            <v>-0.57276646542261256</v>
          </cell>
          <cell r="BY31">
            <v>-0.27822347029263966</v>
          </cell>
          <cell r="BZ31">
            <v>-0.38236853908001966</v>
          </cell>
          <cell r="CA31">
            <v>-0.12076142131979695</v>
          </cell>
          <cell r="CB31">
            <v>0</v>
          </cell>
          <cell r="CC31">
            <v>-0.12117634517766497</v>
          </cell>
          <cell r="CD31">
            <v>-0.13316015237014156</v>
          </cell>
          <cell r="CE31">
            <v>-0.24821034293864214</v>
          </cell>
          <cell r="CF31">
            <v>-0.9233288512833967</v>
          </cell>
          <cell r="CG31">
            <v>-1.0174801146897994</v>
          </cell>
          <cell r="CH31">
            <v>-1.0173207208242168</v>
          </cell>
          <cell r="CJ31">
            <v>-0.22177446664409073</v>
          </cell>
          <cell r="CK31">
            <v>-0.28818222312111447</v>
          </cell>
          <cell r="CL31">
            <v>-0.12598728090584768</v>
          </cell>
          <cell r="CM31">
            <v>-0.23777692652329746</v>
          </cell>
          <cell r="CN31">
            <v>-0.83960888039568349</v>
          </cell>
          <cell r="CP31">
            <v>0</v>
          </cell>
          <cell r="CQ31">
            <v>-0.17111946902654868</v>
          </cell>
          <cell r="CR31">
            <v>0</v>
          </cell>
          <cell r="CS31">
            <v>0</v>
          </cell>
          <cell r="CT31">
            <v>-0.17026512983525147</v>
          </cell>
          <cell r="CV31">
            <v>0</v>
          </cell>
          <cell r="CW31">
            <v>0</v>
          </cell>
          <cell r="CX31">
            <v>-0.10052447552447552</v>
          </cell>
          <cell r="CY31">
            <v>0</v>
          </cell>
          <cell r="CZ31">
            <v>-0.1018149623727313</v>
          </cell>
          <cell r="DB31">
            <v>0</v>
          </cell>
          <cell r="DC31">
            <v>0</v>
          </cell>
          <cell r="DD31">
            <v>0</v>
          </cell>
          <cell r="DE31">
            <v>0</v>
          </cell>
          <cell r="DF31">
            <v>0</v>
          </cell>
          <cell r="DH31">
            <v>-6.7036523347202961E-2</v>
          </cell>
          <cell r="DI31">
            <v>-0.31414868105515587</v>
          </cell>
          <cell r="DJ31">
            <v>-1.9318746892093486</v>
          </cell>
          <cell r="DK31">
            <v>-0.28871899238767618</v>
          </cell>
          <cell r="DL31">
            <v>-2.5448739718173199</v>
          </cell>
          <cell r="DN31">
            <v>-7.3885350318471349E-2</v>
          </cell>
          <cell r="DO31">
            <v>1.4287834929117501E-2</v>
          </cell>
          <cell r="DP31">
            <v>-0.10266321104606999</v>
          </cell>
          <cell r="DQ31">
            <v>-2.122851399951327</v>
          </cell>
          <cell r="DR31">
            <v>-2.2928164020348389</v>
          </cell>
          <cell r="DT31">
            <v>0</v>
          </cell>
          <cell r="DU31">
            <v>0.36609336609336607</v>
          </cell>
          <cell r="DV31">
            <v>7.9122001020929048E-2</v>
          </cell>
          <cell r="DW31">
            <v>-0.10734588819139679</v>
          </cell>
          <cell r="DX31">
            <v>0.34873079238926785</v>
          </cell>
          <cell r="DZ31">
            <v>-1.2776003332870435E-2</v>
          </cell>
          <cell r="EA31">
            <v>-1.6106171885066356E-2</v>
          </cell>
          <cell r="EB31">
            <v>-4.6710323871067008E-2</v>
          </cell>
          <cell r="EC31">
            <v>8.3563286453323213E-2</v>
          </cell>
          <cell r="ED31">
            <v>6.29590299118425E-3</v>
          </cell>
          <cell r="EF31">
            <v>-3.1864423189969363E-2</v>
          </cell>
          <cell r="EG31">
            <v>-0.15306122448979592</v>
          </cell>
          <cell r="EH31">
            <v>-6.3646788990825695E-2</v>
          </cell>
          <cell r="EI31">
            <v>-2.3266938493929443E-2</v>
          </cell>
          <cell r="EJ31">
            <v>-0.27369976145364439</v>
          </cell>
          <cell r="EK31" t="str">
            <v>EPS, Extraordinary/Discontinued</v>
          </cell>
          <cell r="EL31">
            <v>0</v>
          </cell>
          <cell r="EM31">
            <v>0</v>
          </cell>
          <cell r="EN31">
            <v>0.73526391456151163</v>
          </cell>
          <cell r="EO31">
            <v>-7.2844093853294434E-2</v>
          </cell>
          <cell r="EP31">
            <v>0.7306414847264896</v>
          </cell>
          <cell r="ER31">
            <v>-0.10555251807302107</v>
          </cell>
          <cell r="ES31">
            <v>0.24029864091559369</v>
          </cell>
          <cell r="ET31">
            <v>-0.21761532399830275</v>
          </cell>
          <cell r="EU31">
            <v>-0.19871075580987546</v>
          </cell>
          <cell r="EV31">
            <v>-0.26060168971069103</v>
          </cell>
          <cell r="EX31">
            <v>-8.3109782144382749E-2</v>
          </cell>
          <cell r="EY31">
            <v>-0.17624695729143616</v>
          </cell>
          <cell r="EZ31">
            <v>-3.9981575310916589E-3</v>
          </cell>
          <cell r="FA31">
            <v>0.17943409247757075</v>
          </cell>
          <cell r="FB31">
            <v>-0.1348828629404164</v>
          </cell>
          <cell r="FD31">
            <v>-0.15</v>
          </cell>
          <cell r="FE31">
            <v>-0.12</v>
          </cell>
          <cell r="FF31">
            <v>-0.02</v>
          </cell>
          <cell r="FG31">
            <v>-12.39</v>
          </cell>
          <cell r="FH31">
            <v>-12.690277036246071</v>
          </cell>
          <cell r="FJ31">
            <v>-0.05</v>
          </cell>
          <cell r="FK31">
            <v>-0.18</v>
          </cell>
          <cell r="FL31">
            <v>-0.05</v>
          </cell>
          <cell r="FM31">
            <v>-0.3</v>
          </cell>
          <cell r="FN31">
            <v>-0.58482301408784143</v>
          </cell>
          <cell r="FP31">
            <v>-4.3852651337400281E-2</v>
          </cell>
          <cell r="FQ31">
            <v>-5.3341148886283385E-3</v>
          </cell>
          <cell r="FR31">
            <v>-6.0449017773620189E-2</v>
          </cell>
          <cell r="FS31">
            <v>-4.0000000000000036E-2</v>
          </cell>
          <cell r="FT31">
            <v>-0.13766721044045682</v>
          </cell>
          <cell r="FV31">
            <v>-4.6511627906976605E-3</v>
          </cell>
          <cell r="FW31">
            <v>0</v>
          </cell>
          <cell r="FX31">
            <v>-1.908290875405283E-3</v>
          </cell>
          <cell r="FY31">
            <v>3.5108822841095622E-2</v>
          </cell>
          <cell r="FZ31">
            <v>4.0120817843865897E-2</v>
          </cell>
          <cell r="GB31">
            <v>2.8109511446778312E-3</v>
          </cell>
          <cell r="GC31">
            <v>1.09566051306631E-3</v>
          </cell>
          <cell r="GD31">
            <v>-8.4783703217805595E-4</v>
          </cell>
          <cell r="GE31">
            <v>1.1977277049290969E-3</v>
          </cell>
          <cell r="GF31">
            <v>4.5435531688777786E-3</v>
          </cell>
        </row>
        <row r="32">
          <cell r="A32" t="str">
            <v>EPS Basic, Reported</v>
          </cell>
          <cell r="C32" t="str">
            <v xml:space="preserve">--  </v>
          </cell>
          <cell r="D32" t="str">
            <v xml:space="preserve">--  </v>
          </cell>
          <cell r="E32" t="str">
            <v xml:space="preserve">--  </v>
          </cell>
          <cell r="F32">
            <v>0.22616075437808544</v>
          </cell>
          <cell r="G32">
            <v>1.1918096093399249</v>
          </cell>
          <cell r="H32">
            <v>1.78</v>
          </cell>
          <cell r="I32">
            <v>2.0775398323761891</v>
          </cell>
          <cell r="J32">
            <v>1.0943248139788602</v>
          </cell>
          <cell r="K32">
            <v>0.77474204171240069</v>
          </cell>
          <cell r="L32">
            <v>1.7377009270191033</v>
          </cell>
          <cell r="N32">
            <v>0.19424315098649622</v>
          </cell>
          <cell r="O32">
            <v>0.64003849855630413</v>
          </cell>
          <cell r="P32">
            <v>1.279376733483867</v>
          </cell>
          <cell r="Q32">
            <v>1.5799522673031026</v>
          </cell>
          <cell r="R32">
            <v>1.8892585551330798</v>
          </cell>
          <cell r="S32">
            <v>-0.44921875</v>
          </cell>
          <cell r="T32">
            <v>-0.70525105404369481</v>
          </cell>
          <cell r="U32">
            <v>2.0735107731305451</v>
          </cell>
          <cell r="V32">
            <v>1.8790672451193058</v>
          </cell>
          <cell r="W32">
            <v>1.966447173043975</v>
          </cell>
          <cell r="X32">
            <v>3.3018577701219307</v>
          </cell>
          <cell r="Y32">
            <v>1.8423611111111111</v>
          </cell>
          <cell r="Z32">
            <v>1.9545877791262072</v>
          </cell>
          <cell r="AA32">
            <v>-11.403810767495697</v>
          </cell>
          <cell r="AB32">
            <v>0.78012923113403276</v>
          </cell>
          <cell r="AC32">
            <v>1.996229083195852</v>
          </cell>
          <cell r="AD32">
            <v>2.9587750294464077</v>
          </cell>
          <cell r="AE32">
            <v>3.4768289072784784</v>
          </cell>
          <cell r="AF32">
            <v>4.0106022836648636</v>
          </cell>
          <cell r="AG32">
            <v>4.8863487599011481</v>
          </cell>
          <cell r="AH32">
            <v>5.401769994132783</v>
          </cell>
          <cell r="AI32">
            <v>5.8155175230849547</v>
          </cell>
          <cell r="AJ32">
            <v>6.2883768989543398</v>
          </cell>
          <cell r="AK32">
            <v>6.9597548987727658</v>
          </cell>
          <cell r="AL32">
            <v>7.7456035591899965</v>
          </cell>
          <cell r="AN32" t="str">
            <v>EPS Basic, Reported</v>
          </cell>
          <cell r="AO32">
            <v>-1.0723357298763596</v>
          </cell>
          <cell r="AP32">
            <v>-1.5004840729537079</v>
          </cell>
          <cell r="AQ32">
            <v>-0.82341842897130901</v>
          </cell>
          <cell r="AR32">
            <v>0.14813256570765293</v>
          </cell>
          <cell r="AS32">
            <v>-2.6062398109441198</v>
          </cell>
          <cell r="AU32">
            <v>-0.70174344634807351</v>
          </cell>
          <cell r="AV32">
            <v>-0.8709310605984335</v>
          </cell>
          <cell r="AW32">
            <v>-0.53714455008086737</v>
          </cell>
          <cell r="AX32">
            <v>0.43196269723388214</v>
          </cell>
          <cell r="AY32">
            <v>-1.4596868454619985</v>
          </cell>
          <cell r="BA32">
            <v>0.14770538952107243</v>
          </cell>
          <cell r="BB32">
            <v>-0.13925490818648498</v>
          </cell>
          <cell r="BC32">
            <v>0.25065079365079296</v>
          </cell>
          <cell r="BD32">
            <v>0.83396546799124038</v>
          </cell>
          <cell r="BE32">
            <v>1.19180960933992</v>
          </cell>
          <cell r="BG32">
            <v>0.17</v>
          </cell>
          <cell r="BH32">
            <v>7.0000000000000007E-2</v>
          </cell>
          <cell r="BI32">
            <v>0.27</v>
          </cell>
          <cell r="BJ32">
            <v>1.04</v>
          </cell>
          <cell r="BK32">
            <v>1.56</v>
          </cell>
          <cell r="BM32">
            <v>0.25</v>
          </cell>
          <cell r="BN32">
            <v>0.15738121948521733</v>
          </cell>
          <cell r="BO32">
            <v>0.35</v>
          </cell>
          <cell r="BP32">
            <v>1.31</v>
          </cell>
          <cell r="BQ32">
            <v>2.0775398323761891</v>
          </cell>
          <cell r="BS32">
            <v>-0.20332821075740956</v>
          </cell>
          <cell r="BT32">
            <v>-0.20582656421514811</v>
          </cell>
          <cell r="BU32">
            <v>-1.3498353457738645E-2</v>
          </cell>
          <cell r="BV32">
            <v>1.1973951701427006</v>
          </cell>
          <cell r="BW32">
            <v>0.77474204171240035</v>
          </cell>
          <cell r="BY32">
            <v>-3.378866007598056E-2</v>
          </cell>
          <cell r="BZ32">
            <v>1.4950719247388836E-2</v>
          </cell>
          <cell r="CA32">
            <v>0.24965027322404229</v>
          </cell>
          <cell r="CB32">
            <v>-0.34615287005689976</v>
          </cell>
          <cell r="CC32">
            <v>-0.11432140373673416</v>
          </cell>
          <cell r="CD32">
            <v>1.5044313952346118</v>
          </cell>
          <cell r="CE32">
            <v>1.4555527535273449</v>
          </cell>
          <cell r="CF32">
            <v>1.7377009270191031</v>
          </cell>
          <cell r="CG32">
            <v>1.7610157567907692</v>
          </cell>
          <cell r="CH32">
            <v>1.4012846587259669</v>
          </cell>
          <cell r="CJ32">
            <v>0.04</v>
          </cell>
          <cell r="CK32">
            <v>0.16</v>
          </cell>
          <cell r="CL32">
            <v>0.33</v>
          </cell>
          <cell r="CM32">
            <v>1.65</v>
          </cell>
          <cell r="CN32">
            <v>2.1800000000000002</v>
          </cell>
          <cell r="CP32">
            <v>0.11539088729016872</v>
          </cell>
          <cell r="CQ32">
            <v>0.3169531996179577</v>
          </cell>
          <cell r="CR32">
            <v>0.50221691352126152</v>
          </cell>
          <cell r="CS32">
            <v>1.8039573994232363</v>
          </cell>
          <cell r="CT32">
            <v>2.743131704196645</v>
          </cell>
          <cell r="CV32">
            <v>0.28887565258661607</v>
          </cell>
          <cell r="CW32">
            <v>0.50731353919239908</v>
          </cell>
          <cell r="CX32">
            <v>0.41527446300715992</v>
          </cell>
          <cell r="CY32">
            <v>1.9474940334128878</v>
          </cell>
          <cell r="CZ32">
            <v>3.1610214797136038</v>
          </cell>
          <cell r="DB32">
            <v>0.21113397129186603</v>
          </cell>
          <cell r="DC32">
            <v>0.32534587898999523</v>
          </cell>
          <cell r="DD32">
            <v>0.29230038022813687</v>
          </cell>
          <cell r="DE32">
            <v>1.0551106924163918</v>
          </cell>
          <cell r="DF32">
            <v>1.8892585551330801</v>
          </cell>
          <cell r="DH32">
            <v>0.21211654135338345</v>
          </cell>
          <cell r="DI32">
            <v>0.15346853823814133</v>
          </cell>
          <cell r="DJ32">
            <v>-1.6608652411735456</v>
          </cell>
          <cell r="DK32">
            <v>0.83543029693004534</v>
          </cell>
          <cell r="DL32">
            <v>-0.44921875</v>
          </cell>
          <cell r="DN32">
            <v>0.14946464646464647</v>
          </cell>
          <cell r="DO32">
            <v>0.28163103802672151</v>
          </cell>
          <cell r="DP32">
            <v>7.7760497667185065E-3</v>
          </cell>
          <cell r="DQ32">
            <v>-1.1333671399594321</v>
          </cell>
          <cell r="DR32">
            <v>-0.70525105404369481</v>
          </cell>
          <cell r="DT32">
            <v>0.22073412698412698</v>
          </cell>
          <cell r="DU32">
            <v>0.69975186104218368</v>
          </cell>
          <cell r="DV32">
            <v>0.27179487179487177</v>
          </cell>
          <cell r="DW32">
            <v>0.89113776846516501</v>
          </cell>
          <cell r="DX32">
            <v>2.0735107731305451</v>
          </cell>
          <cell r="DZ32">
            <v>0.12156448202959831</v>
          </cell>
          <cell r="EA32">
            <v>0.32327586206896552</v>
          </cell>
          <cell r="EB32">
            <v>0.18346111719605696</v>
          </cell>
          <cell r="EC32">
            <v>1.2749445676274944</v>
          </cell>
          <cell r="ED32">
            <v>1.8790672451193058</v>
          </cell>
          <cell r="EF32">
            <v>0.26869806094182824</v>
          </cell>
          <cell r="EG32">
            <v>0.21775544388609716</v>
          </cell>
          <cell r="EH32">
            <v>0.21511627906976744</v>
          </cell>
          <cell r="EI32">
            <v>1.3040901007705987</v>
          </cell>
          <cell r="EJ32">
            <v>1.966447173043975</v>
          </cell>
          <cell r="EK32" t="str">
            <v>EPS Basic, Reported</v>
          </cell>
          <cell r="EL32">
            <v>0.36538507109004736</v>
          </cell>
          <cell r="EM32">
            <v>0.43324299065420563</v>
          </cell>
          <cell r="EN32">
            <v>0.91167692805003653</v>
          </cell>
          <cell r="EO32">
            <v>1.2806888970318799</v>
          </cell>
          <cell r="EP32">
            <v>3.3018577701219307</v>
          </cell>
          <cell r="ER32">
            <v>-9.4511086877499081E-2</v>
          </cell>
          <cell r="ES32">
            <v>0.57384099963781232</v>
          </cell>
          <cell r="ET32">
            <v>-5.538120731031936E-3</v>
          </cell>
          <cell r="EU32">
            <v>1.4205426356589148</v>
          </cell>
          <cell r="EV32">
            <v>1.8423611111111111</v>
          </cell>
          <cell r="EX32">
            <v>7.6890217855617254E-2</v>
          </cell>
          <cell r="EY32">
            <v>0.16375304270856386</v>
          </cell>
          <cell r="EZ32">
            <v>7.6001842468908343E-2</v>
          </cell>
          <cell r="FA32">
            <v>1.7978979422385495</v>
          </cell>
          <cell r="FB32">
            <v>1.9545877791262072</v>
          </cell>
          <cell r="FD32">
            <v>-0.14000000000000001</v>
          </cell>
          <cell r="FE32">
            <v>0.17</v>
          </cell>
          <cell r="FF32">
            <v>-0.1</v>
          </cell>
          <cell r="FG32">
            <v>-11.33</v>
          </cell>
          <cell r="FH32">
            <v>-11.403810767495697</v>
          </cell>
          <cell r="FJ32">
            <v>-0.21</v>
          </cell>
          <cell r="FK32">
            <v>0.02</v>
          </cell>
          <cell r="FL32">
            <v>-0.08</v>
          </cell>
          <cell r="FM32">
            <v>1.05</v>
          </cell>
          <cell r="FN32">
            <v>0.78012923113403276</v>
          </cell>
          <cell r="FP32">
            <v>5.4424988168480827E-2</v>
          </cell>
          <cell r="FQ32">
            <v>0.3475177304964539</v>
          </cell>
          <cell r="FR32">
            <v>2.3612750885478158E-2</v>
          </cell>
          <cell r="FS32">
            <v>1.5757146231986769</v>
          </cell>
          <cell r="FT32">
            <v>1.996229083195852</v>
          </cell>
          <cell r="FV32">
            <v>0.30816278522700541</v>
          </cell>
          <cell r="FW32">
            <v>0.56374269005847955</v>
          </cell>
          <cell r="FX32">
            <v>0.32682812132612271</v>
          </cell>
          <cell r="FY32">
            <v>1.7738095238095237</v>
          </cell>
          <cell r="FZ32">
            <v>2.9587750294464077</v>
          </cell>
          <cell r="GB32">
            <v>0.43394869335890673</v>
          </cell>
          <cell r="GC32">
            <v>0.67850194552529186</v>
          </cell>
          <cell r="GD32">
            <v>0.27483932381768389</v>
          </cell>
          <cell r="GE32">
            <v>2.1405708013402154</v>
          </cell>
          <cell r="GF32">
            <v>3.4768289072784784</v>
          </cell>
        </row>
        <row r="33">
          <cell r="A33" t="str">
            <v>EPS Diluted, Reported</v>
          </cell>
          <cell r="N33">
            <v>0.19396284189183596</v>
          </cell>
          <cell r="O33">
            <v>0.62193570143884891</v>
          </cell>
          <cell r="P33">
            <v>1.2039336603062509</v>
          </cell>
          <cell r="Q33">
            <v>1.4807436918990704</v>
          </cell>
          <cell r="R33">
            <v>1.8101092896174864</v>
          </cell>
          <cell r="S33">
            <v>-0.44471299093655592</v>
          </cell>
          <cell r="T33">
            <v>-0.69138276553106215</v>
          </cell>
          <cell r="U33">
            <v>2.0581205183041891</v>
          </cell>
          <cell r="V33">
            <v>1.8569131832797428</v>
          </cell>
          <cell r="W33">
            <v>1.9312210998877666</v>
          </cell>
          <cell r="X33">
            <v>3.236519581389651</v>
          </cell>
          <cell r="Y33">
            <v>1.8164597407339782</v>
          </cell>
          <cell r="Z33">
            <v>1.9323052621090515</v>
          </cell>
          <cell r="AA33">
            <v>-11.397045737675745</v>
          </cell>
          <cell r="AB33">
            <v>0.7789747839469634</v>
          </cell>
          <cell r="AC33">
            <v>1.97</v>
          </cell>
          <cell r="AD33">
            <v>2.92</v>
          </cell>
          <cell r="AE33">
            <v>3.43</v>
          </cell>
          <cell r="AF33">
            <v>3.9453943917559142</v>
          </cell>
          <cell r="AG33">
            <v>4.7983581094155907</v>
          </cell>
          <cell r="AH33">
            <v>5.2958753573867723</v>
          </cell>
          <cell r="AI33">
            <v>5.6959829769682733</v>
          </cell>
          <cell r="AJ33">
            <v>6.1538937066977288</v>
          </cell>
          <cell r="AK33">
            <v>6.8001516881883797</v>
          </cell>
          <cell r="AL33">
            <v>7.5529335978779351</v>
          </cell>
          <cell r="AN33" t="str">
            <v>EPS Diluted, Reported</v>
          </cell>
          <cell r="CJ33">
            <v>4.3952880847563512E-2</v>
          </cell>
          <cell r="CK33">
            <v>0.1572344856811278</v>
          </cell>
          <cell r="CL33">
            <v>0.33496867229766447</v>
          </cell>
          <cell r="CM33">
            <v>1.5454023745519698</v>
          </cell>
          <cell r="CN33">
            <v>2.071115175359711</v>
          </cell>
          <cell r="CP33">
            <v>0.12199906367041283</v>
          </cell>
          <cell r="CQ33">
            <v>0.30544247787610773</v>
          </cell>
          <cell r="CR33">
            <v>0.47624392399469739</v>
          </cell>
          <cell r="CS33">
            <v>1.6620515499825848</v>
          </cell>
          <cell r="CT33">
            <v>2.5768180897619937</v>
          </cell>
          <cell r="CV33">
            <v>0.26107772020725389</v>
          </cell>
          <cell r="CW33">
            <v>0.4604130808950086</v>
          </cell>
          <cell r="CX33">
            <v>0.38024475524475521</v>
          </cell>
          <cell r="CY33">
            <v>1.8793182865039153</v>
          </cell>
          <cell r="CZ33">
            <v>2.9315360779105801</v>
          </cell>
          <cell r="DB33">
            <v>0.2020166358595194</v>
          </cell>
          <cell r="DC33">
            <v>0.30869761153672826</v>
          </cell>
          <cell r="DD33">
            <v>0.27967257844474763</v>
          </cell>
          <cell r="DE33">
            <v>1.0186448385629832</v>
          </cell>
          <cell r="DF33">
            <v>1.8103153819879312</v>
          </cell>
          <cell r="DH33">
            <v>0.20673277854831251</v>
          </cell>
          <cell r="DI33">
            <v>0.15107913669064749</v>
          </cell>
          <cell r="DJ33">
            <v>-1.6608652411735456</v>
          </cell>
          <cell r="DK33">
            <v>0.82341269841269848</v>
          </cell>
          <cell r="DL33">
            <v>-0.44471299093655592</v>
          </cell>
          <cell r="DN33">
            <v>0.14308721215090642</v>
          </cell>
          <cell r="DO33">
            <v>0.27555110220440882</v>
          </cell>
          <cell r="DP33">
            <v>7.7081192189105861E-3</v>
          </cell>
          <cell r="DQ33">
            <v>-1.1169415292353824</v>
          </cell>
          <cell r="DR33">
            <v>-0.69138276553106215</v>
          </cell>
          <cell r="DT33">
            <v>0.21613725490196078</v>
          </cell>
          <cell r="DU33">
            <v>0.69287469287469283</v>
          </cell>
          <cell r="DV33">
            <v>0.27054619703930577</v>
          </cell>
          <cell r="DW33">
            <v>0.89033942558746737</v>
          </cell>
          <cell r="DX33">
            <v>2.0581205183041891</v>
          </cell>
          <cell r="DZ33">
            <v>0.12137203166226913</v>
          </cell>
          <cell r="EA33">
            <v>0.32051282051282054</v>
          </cell>
          <cell r="EB33">
            <v>0.18039849219170706</v>
          </cell>
          <cell r="EC33">
            <v>1.2506797172376292</v>
          </cell>
          <cell r="ED33">
            <v>1.8569131832797428</v>
          </cell>
          <cell r="EF33">
            <v>0.26330076004343106</v>
          </cell>
          <cell r="EG33">
            <v>0.21428571428571427</v>
          </cell>
          <cell r="EH33">
            <v>0.2121559633027523</v>
          </cell>
          <cell r="EI33">
            <v>1.2761020881670533</v>
          </cell>
          <cell r="EJ33">
            <v>1.9312210998877666</v>
          </cell>
          <cell r="EK33" t="str">
            <v>EPS Diluted, Reported</v>
          </cell>
          <cell r="EL33">
            <v>0.35692708333333328</v>
          </cell>
          <cell r="EM33">
            <v>0.42117245304496304</v>
          </cell>
          <cell r="EN33">
            <v>0.89594867544042411</v>
          </cell>
          <cell r="EO33">
            <v>1.261277517141826</v>
          </cell>
          <cell r="EP33">
            <v>3.236519581389651</v>
          </cell>
          <cell r="ER33">
            <v>-9.3189964157706098E-2</v>
          </cell>
          <cell r="ES33">
            <v>0.56665772532188841</v>
          </cell>
          <cell r="ET33">
            <v>-5.4555373704309879E-3</v>
          </cell>
          <cell r="EU33">
            <v>1.3996562917700972</v>
          </cell>
          <cell r="EV33">
            <v>1.8164597407339782</v>
          </cell>
          <cell r="EX33">
            <v>7.5566750629722929E-2</v>
          </cell>
          <cell r="EY33">
            <v>0.16164263870685888</v>
          </cell>
          <cell r="EZ33">
            <v>7.532526820360648E-2</v>
          </cell>
          <cell r="FA33">
            <v>1.7778979422385495</v>
          </cell>
          <cell r="FB33">
            <v>1.9323052621090515</v>
          </cell>
          <cell r="FD33">
            <v>-0.14000000000000001</v>
          </cell>
          <cell r="FE33">
            <v>0.17</v>
          </cell>
          <cell r="FF33">
            <v>-0.1</v>
          </cell>
          <cell r="FG33">
            <v>-11.33</v>
          </cell>
          <cell r="FH33">
            <v>-11.397045737675745</v>
          </cell>
          <cell r="FJ33">
            <v>-0.21</v>
          </cell>
          <cell r="FK33">
            <v>0.02</v>
          </cell>
          <cell r="FL33">
            <v>-0.08</v>
          </cell>
          <cell r="FM33">
            <v>1.05</v>
          </cell>
          <cell r="FN33">
            <v>0.7789747839469634</v>
          </cell>
          <cell r="FP33">
            <v>0.05</v>
          </cell>
          <cell r="FQ33">
            <v>0.34466588511137164</v>
          </cell>
          <cell r="FR33">
            <v>0.02</v>
          </cell>
          <cell r="FS33">
            <v>1.55</v>
          </cell>
          <cell r="FT33">
            <v>1.97</v>
          </cell>
          <cell r="FV33">
            <v>0.3</v>
          </cell>
          <cell r="FW33">
            <v>0.55453290381960418</v>
          </cell>
          <cell r="FX33">
            <v>0.32</v>
          </cell>
          <cell r="FY33">
            <v>1.74</v>
          </cell>
          <cell r="FZ33">
            <v>2.92</v>
          </cell>
          <cell r="GB33">
            <v>0.43</v>
          </cell>
          <cell r="GC33">
            <v>0.67</v>
          </cell>
          <cell r="GD33">
            <v>0.27</v>
          </cell>
          <cell r="GE33">
            <v>2.11</v>
          </cell>
          <cell r="GF33">
            <v>3.43</v>
          </cell>
        </row>
        <row r="34">
          <cell r="A34" t="str">
            <v>Net Income, For Consensus</v>
          </cell>
          <cell r="W34">
            <v>786.54659498207877</v>
          </cell>
          <cell r="X34">
            <v>1089.0546208098101</v>
          </cell>
          <cell r="Y34">
            <v>1137.6065454545455</v>
          </cell>
          <cell r="Z34">
            <v>968.87045454545455</v>
          </cell>
          <cell r="AA34">
            <v>545</v>
          </cell>
          <cell r="AB34">
            <v>575.99999999999989</v>
          </cell>
          <cell r="AC34">
            <v>863</v>
          </cell>
          <cell r="AD34">
            <v>1239.5</v>
          </cell>
          <cell r="AE34">
            <v>1407.0129840730656</v>
          </cell>
          <cell r="AF34">
            <v>1474.1651556723784</v>
          </cell>
          <cell r="AG34">
            <v>1618.7764295278068</v>
          </cell>
          <cell r="AH34">
            <v>1641.1420018455815</v>
          </cell>
          <cell r="AI34">
            <v>1683.4875028271351</v>
          </cell>
          <cell r="AJ34">
            <v>1748.1022306573102</v>
          </cell>
          <cell r="AK34">
            <v>1801.4292273300186</v>
          </cell>
          <cell r="AL34">
            <v>1844.6042441173129</v>
          </cell>
          <cell r="ER34">
            <v>11</v>
          </cell>
          <cell r="ES34">
            <v>292</v>
          </cell>
          <cell r="ET34">
            <v>175</v>
          </cell>
          <cell r="EU34">
            <v>1334</v>
          </cell>
          <cell r="EV34">
            <v>1812</v>
          </cell>
          <cell r="EX34">
            <v>119</v>
          </cell>
          <cell r="EY34">
            <v>210</v>
          </cell>
          <cell r="EZ34">
            <v>55</v>
          </cell>
          <cell r="FA34">
            <v>1155</v>
          </cell>
          <cell r="FB34">
            <v>1539</v>
          </cell>
          <cell r="FD34">
            <v>4</v>
          </cell>
          <cell r="FE34">
            <v>120.99999999999999</v>
          </cell>
          <cell r="FF34">
            <v>-34</v>
          </cell>
          <cell r="FG34">
            <v>448</v>
          </cell>
          <cell r="FH34">
            <v>545</v>
          </cell>
          <cell r="FJ34">
            <v>-67.999999999999986</v>
          </cell>
          <cell r="FK34">
            <v>84</v>
          </cell>
          <cell r="FL34">
            <v>-12.000000000000002</v>
          </cell>
          <cell r="FM34">
            <v>572</v>
          </cell>
          <cell r="FN34">
            <v>575.99999999999989</v>
          </cell>
          <cell r="FP34">
            <v>23.000000000000004</v>
          </cell>
          <cell r="FQ34">
            <v>147</v>
          </cell>
          <cell r="FR34">
            <v>10</v>
          </cell>
          <cell r="FS34">
            <v>682.99999999999989</v>
          </cell>
          <cell r="FT34">
            <v>863</v>
          </cell>
          <cell r="FV34">
            <v>131</v>
          </cell>
          <cell r="FW34">
            <v>240.99999999999997</v>
          </cell>
          <cell r="FX34">
            <v>139</v>
          </cell>
          <cell r="FY34">
            <v>728.49999999999989</v>
          </cell>
          <cell r="FZ34">
            <v>1239.5</v>
          </cell>
          <cell r="GB34">
            <v>181</v>
          </cell>
          <cell r="GC34">
            <v>279.00000000000006</v>
          </cell>
          <cell r="GD34">
            <v>110.03264655178822</v>
          </cell>
          <cell r="GE34">
            <v>838.34033752127743</v>
          </cell>
          <cell r="GF34">
            <v>1408.3729840730653</v>
          </cell>
          <cell r="GS34" t="str">
            <v>mstag:netIncomeAdjustedForConsensus</v>
          </cell>
          <cell r="GT34">
            <v>6</v>
          </cell>
          <cell r="GU34" t="str">
            <v>ISO4217:USD</v>
          </cell>
          <cell r="GV34" t="b">
            <v>0</v>
          </cell>
        </row>
        <row r="35">
          <cell r="A35" t="str">
            <v>Average Basic Shares Outstanding</v>
          </cell>
          <cell r="C35" t="str">
            <v xml:space="preserve">--  </v>
          </cell>
          <cell r="D35" t="str">
            <v xml:space="preserve">--  </v>
          </cell>
          <cell r="E35" t="str">
            <v xml:space="preserve">--  </v>
          </cell>
          <cell r="F35">
            <v>111.35</v>
          </cell>
          <cell r="G35">
            <v>111.35</v>
          </cell>
          <cell r="H35">
            <v>126.29300000000001</v>
          </cell>
          <cell r="I35">
            <v>126.593</v>
          </cell>
          <cell r="K35">
            <v>182.2</v>
          </cell>
          <cell r="L35">
            <v>182.952</v>
          </cell>
          <cell r="N35">
            <v>386.11399999999998</v>
          </cell>
          <cell r="O35">
            <v>415.6</v>
          </cell>
          <cell r="P35">
            <v>418.95400000000001</v>
          </cell>
          <cell r="Q35">
            <v>419</v>
          </cell>
          <cell r="R35">
            <v>420.8</v>
          </cell>
          <cell r="S35">
            <v>409.6</v>
          </cell>
          <cell r="T35">
            <v>391.35</v>
          </cell>
          <cell r="U35">
            <v>394.5</v>
          </cell>
          <cell r="V35">
            <v>368.8</v>
          </cell>
          <cell r="W35">
            <v>350.2</v>
          </cell>
          <cell r="X35">
            <v>426</v>
          </cell>
          <cell r="Y35">
            <v>540</v>
          </cell>
          <cell r="Z35">
            <v>446.6</v>
          </cell>
          <cell r="AA35">
            <v>421.17499999999995</v>
          </cell>
          <cell r="AB35">
            <v>421.72500000000002</v>
          </cell>
          <cell r="AC35">
            <v>424.3</v>
          </cell>
          <cell r="AD35">
            <v>424.5</v>
          </cell>
          <cell r="AE35">
            <v>405.07399749373434</v>
          </cell>
          <cell r="AF35">
            <v>367.56702644803153</v>
          </cell>
          <cell r="AG35">
            <v>331.28548719485082</v>
          </cell>
          <cell r="AH35">
            <v>303.81560185423177</v>
          </cell>
          <cell r="AI35">
            <v>289.4819757905392</v>
          </cell>
          <cell r="AJ35">
            <v>277.98941741993752</v>
          </cell>
          <cell r="AK35">
            <v>258.83515346893466</v>
          </cell>
          <cell r="AL35">
            <v>238.1485484018516</v>
          </cell>
          <cell r="AN35" t="str">
            <v>Average Basic Shares Outstanding</v>
          </cell>
          <cell r="AO35">
            <v>80</v>
          </cell>
          <cell r="AP35">
            <v>80</v>
          </cell>
          <cell r="AQ35">
            <v>80</v>
          </cell>
          <cell r="AR35">
            <v>80</v>
          </cell>
          <cell r="AS35">
            <v>80</v>
          </cell>
          <cell r="AU35">
            <v>79.97</v>
          </cell>
          <cell r="AV35">
            <v>79.97</v>
          </cell>
          <cell r="AW35">
            <v>79.97</v>
          </cell>
          <cell r="AX35">
            <v>79.97</v>
          </cell>
          <cell r="AY35">
            <v>79.97</v>
          </cell>
          <cell r="BA35">
            <v>79.97</v>
          </cell>
          <cell r="BB35">
            <v>113.38200000000001</v>
          </cell>
          <cell r="BC35">
            <v>126</v>
          </cell>
          <cell r="BD35">
            <v>126.02800000000001</v>
          </cell>
          <cell r="BE35">
            <v>111.35</v>
          </cell>
          <cell r="BG35">
            <v>126.209</v>
          </cell>
          <cell r="BH35">
            <v>126.309</v>
          </cell>
          <cell r="BI35">
            <v>126.31100000000001</v>
          </cell>
          <cell r="BJ35">
            <v>126.33799999999999</v>
          </cell>
          <cell r="BK35">
            <v>126.29300000000001</v>
          </cell>
          <cell r="BM35">
            <v>126.464</v>
          </cell>
          <cell r="BN35">
            <v>126.578</v>
          </cell>
          <cell r="BO35">
            <v>126.6</v>
          </cell>
          <cell r="BP35">
            <v>126.74</v>
          </cell>
          <cell r="BQ35">
            <v>126.593</v>
          </cell>
          <cell r="BS35">
            <v>182.2</v>
          </cell>
          <cell r="BT35">
            <v>182.2</v>
          </cell>
          <cell r="BU35">
            <v>182.2</v>
          </cell>
          <cell r="BV35">
            <v>182.2</v>
          </cell>
          <cell r="BW35">
            <v>182.2</v>
          </cell>
          <cell r="BY35">
            <v>182.68199999999999</v>
          </cell>
          <cell r="BZ35">
            <v>182.83</v>
          </cell>
          <cell r="CA35">
            <v>183</v>
          </cell>
          <cell r="CB35">
            <v>197.017</v>
          </cell>
          <cell r="CC35">
            <v>197.017</v>
          </cell>
          <cell r="CD35">
            <v>183.238</v>
          </cell>
          <cell r="CE35">
            <v>202.631</v>
          </cell>
          <cell r="CF35">
            <v>182.952</v>
          </cell>
          <cell r="CG35">
            <v>191.47300000000001</v>
          </cell>
          <cell r="CH35">
            <v>191.50299999999999</v>
          </cell>
          <cell r="CJ35">
            <v>206.71</v>
          </cell>
          <cell r="CK35">
            <v>207.66300000000001</v>
          </cell>
          <cell r="CL35">
            <v>207.82</v>
          </cell>
          <cell r="CM35">
            <v>208.26</v>
          </cell>
          <cell r="CN35">
            <v>207.8</v>
          </cell>
          <cell r="CP35">
            <v>208.5</v>
          </cell>
          <cell r="CQ35">
            <v>209.4</v>
          </cell>
          <cell r="CR35">
            <v>209.3</v>
          </cell>
          <cell r="CS35">
            <v>210.13800000000001</v>
          </cell>
          <cell r="CT35">
            <v>209.477</v>
          </cell>
          <cell r="CV35">
            <v>210.7</v>
          </cell>
          <cell r="CW35">
            <v>210.5</v>
          </cell>
          <cell r="CX35">
            <v>209.5</v>
          </cell>
          <cell r="CY35">
            <v>209.5</v>
          </cell>
          <cell r="CZ35">
            <v>209.5</v>
          </cell>
          <cell r="DB35">
            <v>418</v>
          </cell>
          <cell r="DC35">
            <v>419.8</v>
          </cell>
          <cell r="DD35">
            <v>420.8</v>
          </cell>
          <cell r="DE35">
            <v>424.6</v>
          </cell>
          <cell r="DF35">
            <v>420.79999999999995</v>
          </cell>
          <cell r="DH35">
            <v>425.6</v>
          </cell>
          <cell r="DI35">
            <v>413.2</v>
          </cell>
          <cell r="DJ35">
            <v>402.2</v>
          </cell>
          <cell r="DK35">
            <v>397.4</v>
          </cell>
          <cell r="DL35">
            <v>409.6</v>
          </cell>
          <cell r="DN35">
            <v>396</v>
          </cell>
          <cell r="DO35">
            <v>389.2</v>
          </cell>
          <cell r="DP35">
            <v>385.8</v>
          </cell>
          <cell r="DQ35">
            <v>394.4</v>
          </cell>
          <cell r="DR35">
            <v>391.35</v>
          </cell>
          <cell r="DT35">
            <v>403.2</v>
          </cell>
          <cell r="DU35">
            <v>403</v>
          </cell>
          <cell r="DV35">
            <v>390</v>
          </cell>
          <cell r="DW35">
            <v>381.8</v>
          </cell>
          <cell r="DX35">
            <v>394.5</v>
          </cell>
          <cell r="DZ35">
            <v>378.4</v>
          </cell>
          <cell r="EA35">
            <v>371.2</v>
          </cell>
          <cell r="EB35">
            <v>365.2</v>
          </cell>
          <cell r="EC35">
            <v>360.8</v>
          </cell>
          <cell r="ED35">
            <v>368.8</v>
          </cell>
          <cell r="EF35">
            <v>361</v>
          </cell>
          <cell r="EG35">
            <v>358.2</v>
          </cell>
          <cell r="EH35">
            <v>344</v>
          </cell>
          <cell r="EI35">
            <v>337.4</v>
          </cell>
          <cell r="EJ35">
            <v>350.2</v>
          </cell>
          <cell r="EK35" t="str">
            <v>Average Basic Shares Outstanding</v>
          </cell>
          <cell r="EL35">
            <v>337.6</v>
          </cell>
          <cell r="EM35">
            <v>342.4</v>
          </cell>
          <cell r="EN35">
            <v>478.5</v>
          </cell>
          <cell r="EO35">
            <v>545.79999999999995</v>
          </cell>
          <cell r="EP35">
            <v>426</v>
          </cell>
          <cell r="ER35">
            <v>550.20000000000005</v>
          </cell>
          <cell r="ES35">
            <v>552.20000000000005</v>
          </cell>
          <cell r="ET35">
            <v>541.70000000000005</v>
          </cell>
          <cell r="EU35">
            <v>516</v>
          </cell>
          <cell r="EV35">
            <v>540</v>
          </cell>
          <cell r="EX35">
            <v>468.2</v>
          </cell>
          <cell r="EY35">
            <v>451.9</v>
          </cell>
          <cell r="EZ35">
            <v>434.2</v>
          </cell>
          <cell r="FA35">
            <v>432.1</v>
          </cell>
          <cell r="FB35">
            <v>446.6</v>
          </cell>
          <cell r="FD35">
            <v>420.9</v>
          </cell>
          <cell r="FE35">
            <v>421.1</v>
          </cell>
          <cell r="FF35">
            <v>421.3</v>
          </cell>
          <cell r="FG35">
            <v>421.4</v>
          </cell>
          <cell r="FH35">
            <v>421.17499999999995</v>
          </cell>
          <cell r="FJ35">
            <v>421.4</v>
          </cell>
          <cell r="FK35">
            <v>421.5</v>
          </cell>
          <cell r="FL35">
            <v>421.8</v>
          </cell>
          <cell r="FM35">
            <v>422.2</v>
          </cell>
          <cell r="FN35">
            <v>421.72500000000002</v>
          </cell>
          <cell r="FP35">
            <v>422.6</v>
          </cell>
          <cell r="FQ35">
            <v>423</v>
          </cell>
          <cell r="FR35">
            <v>423.5</v>
          </cell>
          <cell r="FS35">
            <v>423.3</v>
          </cell>
          <cell r="FT35">
            <v>424.3</v>
          </cell>
          <cell r="FV35">
            <v>425.1</v>
          </cell>
          <cell r="FW35">
            <v>427.5</v>
          </cell>
          <cell r="FX35">
            <v>425.3</v>
          </cell>
          <cell r="FY35">
            <v>420</v>
          </cell>
          <cell r="FZ35">
            <v>424.5</v>
          </cell>
          <cell r="GB35">
            <v>417.1</v>
          </cell>
          <cell r="GC35">
            <v>411.2</v>
          </cell>
          <cell r="GD35">
            <v>400.35263157894735</v>
          </cell>
          <cell r="GE35">
            <v>391.64335839598999</v>
          </cell>
          <cell r="GF35">
            <v>405.07399749373434</v>
          </cell>
          <cell r="GS35" t="str">
            <v>mstag:averageBasicSharesOutstanding</v>
          </cell>
          <cell r="GT35">
            <v>6</v>
          </cell>
          <cell r="GU35" t="str">
            <v>ms_eqr_gcim_Decimal:ms_eqr_gcim_decimal</v>
          </cell>
          <cell r="GV35" t="b">
            <v>0</v>
          </cell>
          <cell r="GW35" t="b">
            <v>0</v>
          </cell>
        </row>
        <row r="36">
          <cell r="A36" t="str">
            <v>Average Fully Diluted Shares Outstanding</v>
          </cell>
          <cell r="K36">
            <v>182.2</v>
          </cell>
          <cell r="L36">
            <v>182.952</v>
          </cell>
          <cell r="N36">
            <v>386.67200000000003</v>
          </cell>
          <cell r="O36">
            <v>444.8</v>
          </cell>
          <cell r="P36">
            <v>454.26799999999997</v>
          </cell>
          <cell r="Q36">
            <v>451.8</v>
          </cell>
          <cell r="R36">
            <v>439.2</v>
          </cell>
          <cell r="S36">
            <v>413.75</v>
          </cell>
          <cell r="T36">
            <v>399.2</v>
          </cell>
          <cell r="U36">
            <v>397.45</v>
          </cell>
          <cell r="V36">
            <v>373.2</v>
          </cell>
          <cell r="W36">
            <v>356.4</v>
          </cell>
          <cell r="X36">
            <v>434.6</v>
          </cell>
          <cell r="Y36">
            <v>547.70000000000005</v>
          </cell>
          <cell r="Z36">
            <v>451.75000000000006</v>
          </cell>
          <cell r="AA36">
            <v>421.42499999999995</v>
          </cell>
          <cell r="AB36">
            <v>422.35</v>
          </cell>
          <cell r="AC36">
            <v>429.1</v>
          </cell>
          <cell r="AD36">
            <v>430.4</v>
          </cell>
          <cell r="AE36">
            <v>411.14899749373433</v>
          </cell>
          <cell r="AF36">
            <v>373.64202644803152</v>
          </cell>
          <cell r="AG36">
            <v>337.3604871948508</v>
          </cell>
          <cell r="AH36">
            <v>309.89060185423176</v>
          </cell>
          <cell r="AI36">
            <v>295.55697579053918</v>
          </cell>
          <cell r="AJ36">
            <v>284.06441741993751</v>
          </cell>
          <cell r="AK36">
            <v>264.91015346893465</v>
          </cell>
          <cell r="AL36">
            <v>244.22354840185159</v>
          </cell>
          <cell r="AN36" t="str">
            <v>Average Fully Diluted Shares Outstanding</v>
          </cell>
          <cell r="AO36">
            <v>80</v>
          </cell>
          <cell r="AP36">
            <v>80</v>
          </cell>
          <cell r="AQ36">
            <v>80</v>
          </cell>
          <cell r="AR36">
            <v>80</v>
          </cell>
          <cell r="AS36">
            <v>80</v>
          </cell>
          <cell r="AU36">
            <v>79.97</v>
          </cell>
          <cell r="AV36">
            <v>79.97</v>
          </cell>
          <cell r="AW36">
            <v>79.97</v>
          </cell>
          <cell r="AX36">
            <v>79.97</v>
          </cell>
          <cell r="AY36">
            <v>79.97</v>
          </cell>
          <cell r="BA36">
            <v>79.97</v>
          </cell>
          <cell r="BB36">
            <v>113.38200000000001</v>
          </cell>
          <cell r="BC36">
            <v>126</v>
          </cell>
          <cell r="BD36">
            <v>126.02800000000001</v>
          </cell>
          <cell r="BE36">
            <v>111.35</v>
          </cell>
          <cell r="BG36">
            <v>126.209</v>
          </cell>
          <cell r="BH36">
            <v>126.309</v>
          </cell>
          <cell r="BI36">
            <v>126.31100000000001</v>
          </cell>
          <cell r="BJ36">
            <v>126.33799999999999</v>
          </cell>
          <cell r="BK36">
            <v>126.29300000000001</v>
          </cell>
          <cell r="BM36">
            <v>126.464</v>
          </cell>
          <cell r="BN36">
            <v>126.578</v>
          </cell>
          <cell r="BO36">
            <v>126.6</v>
          </cell>
          <cell r="BP36">
            <v>126.74</v>
          </cell>
          <cell r="BQ36">
            <v>126.593</v>
          </cell>
          <cell r="BS36">
            <v>182.2</v>
          </cell>
          <cell r="BT36">
            <v>182.2</v>
          </cell>
          <cell r="BU36">
            <v>182.2</v>
          </cell>
          <cell r="BV36">
            <v>182.2</v>
          </cell>
          <cell r="BW36">
            <v>182.2</v>
          </cell>
          <cell r="BY36">
            <v>182.68199999999999</v>
          </cell>
          <cell r="BZ36">
            <v>182.83</v>
          </cell>
          <cell r="CA36">
            <v>183</v>
          </cell>
          <cell r="CB36">
            <v>197.017</v>
          </cell>
          <cell r="CC36">
            <v>197.017</v>
          </cell>
          <cell r="CD36">
            <v>183.238</v>
          </cell>
          <cell r="CE36">
            <v>202.631</v>
          </cell>
          <cell r="CF36">
            <v>182.952</v>
          </cell>
          <cell r="CG36">
            <v>191.47300000000001</v>
          </cell>
          <cell r="CH36">
            <v>191.50299999999999</v>
          </cell>
          <cell r="CJ36">
            <v>206.71</v>
          </cell>
          <cell r="CK36">
            <v>207.66300000000001</v>
          </cell>
          <cell r="CL36">
            <v>212.751</v>
          </cell>
          <cell r="CM36">
            <v>223.2</v>
          </cell>
          <cell r="CN36">
            <v>222.4</v>
          </cell>
          <cell r="CP36">
            <v>213.6</v>
          </cell>
          <cell r="CQ36">
            <v>226</v>
          </cell>
          <cell r="CR36">
            <v>226.3</v>
          </cell>
          <cell r="CS36">
            <v>229.68</v>
          </cell>
          <cell r="CT36">
            <v>227.13399999999999</v>
          </cell>
          <cell r="CV36">
            <v>231.6</v>
          </cell>
          <cell r="CW36">
            <v>232.4</v>
          </cell>
          <cell r="CX36">
            <v>228.8</v>
          </cell>
          <cell r="CY36">
            <v>217.1</v>
          </cell>
          <cell r="CZ36">
            <v>225.9</v>
          </cell>
          <cell r="DB36">
            <v>432.8</v>
          </cell>
          <cell r="DC36">
            <v>443.8</v>
          </cell>
          <cell r="DD36">
            <v>439.8</v>
          </cell>
          <cell r="DE36">
            <v>439.8</v>
          </cell>
          <cell r="DF36">
            <v>439.15000000000003</v>
          </cell>
          <cell r="DH36">
            <v>432.6</v>
          </cell>
          <cell r="DI36">
            <v>417</v>
          </cell>
          <cell r="DJ36">
            <v>402.2</v>
          </cell>
          <cell r="DK36">
            <v>403.2</v>
          </cell>
          <cell r="DL36">
            <v>413.75</v>
          </cell>
          <cell r="DN36">
            <v>408.2</v>
          </cell>
          <cell r="DO36">
            <v>399.2</v>
          </cell>
          <cell r="DP36">
            <v>389.2</v>
          </cell>
          <cell r="DQ36">
            <v>400.2</v>
          </cell>
          <cell r="DR36">
            <v>399.2</v>
          </cell>
          <cell r="DT36">
            <v>408</v>
          </cell>
          <cell r="DU36">
            <v>407</v>
          </cell>
          <cell r="DV36">
            <v>391.8</v>
          </cell>
          <cell r="DW36">
            <v>383</v>
          </cell>
          <cell r="DX36">
            <v>397.45</v>
          </cell>
          <cell r="DZ36">
            <v>379</v>
          </cell>
          <cell r="EA36">
            <v>374.4</v>
          </cell>
          <cell r="EB36">
            <v>371.4</v>
          </cell>
          <cell r="EC36">
            <v>367.8</v>
          </cell>
          <cell r="ED36">
            <v>373.2</v>
          </cell>
          <cell r="EF36">
            <v>368.4</v>
          </cell>
          <cell r="EG36">
            <v>364</v>
          </cell>
          <cell r="EH36">
            <v>348.8</v>
          </cell>
          <cell r="EI36">
            <v>344.8</v>
          </cell>
          <cell r="EJ36">
            <v>356.4</v>
          </cell>
          <cell r="EK36" t="str">
            <v>Average Fully Diluted Shares Outstanding</v>
          </cell>
          <cell r="EL36">
            <v>345.6</v>
          </cell>
          <cell r="EM36">
            <v>351.4</v>
          </cell>
          <cell r="EN36">
            <v>486.9</v>
          </cell>
          <cell r="EO36">
            <v>554.20000000000005</v>
          </cell>
          <cell r="EP36">
            <v>434.6</v>
          </cell>
          <cell r="ER36">
            <v>558</v>
          </cell>
          <cell r="ES36">
            <v>559.20000000000005</v>
          </cell>
          <cell r="ET36">
            <v>549.9</v>
          </cell>
          <cell r="EU36">
            <v>523.70000000000005</v>
          </cell>
          <cell r="EV36">
            <v>547.70000000000005</v>
          </cell>
          <cell r="EX36">
            <v>476.4</v>
          </cell>
          <cell r="EY36">
            <v>457.8</v>
          </cell>
          <cell r="EZ36">
            <v>438.1</v>
          </cell>
          <cell r="FA36">
            <v>434.7</v>
          </cell>
          <cell r="FB36">
            <v>451.75000000000006</v>
          </cell>
          <cell r="FD36">
            <v>420.9</v>
          </cell>
          <cell r="FE36">
            <v>422.1</v>
          </cell>
          <cell r="FF36">
            <v>421.3</v>
          </cell>
          <cell r="FG36">
            <v>421.4</v>
          </cell>
          <cell r="FH36">
            <v>421.42499999999995</v>
          </cell>
          <cell r="FJ36">
            <v>421.4</v>
          </cell>
          <cell r="FK36">
            <v>422.1</v>
          </cell>
          <cell r="FL36">
            <v>421.8</v>
          </cell>
          <cell r="FM36">
            <v>424.1</v>
          </cell>
          <cell r="FN36">
            <v>422.35</v>
          </cell>
          <cell r="FP36">
            <v>426.2</v>
          </cell>
          <cell r="FQ36">
            <v>426.5</v>
          </cell>
          <cell r="FR36">
            <v>427.6</v>
          </cell>
          <cell r="FS36">
            <v>429</v>
          </cell>
          <cell r="FT36">
            <v>429.1</v>
          </cell>
          <cell r="FV36">
            <v>430</v>
          </cell>
          <cell r="FW36">
            <v>434.6</v>
          </cell>
          <cell r="FX36">
            <v>431.8</v>
          </cell>
          <cell r="FY36">
            <v>427.3</v>
          </cell>
          <cell r="FZ36">
            <v>430.4</v>
          </cell>
          <cell r="GB36">
            <v>423.7</v>
          </cell>
          <cell r="GC36">
            <v>417.1</v>
          </cell>
          <cell r="GD36">
            <v>406.25263157894739</v>
          </cell>
          <cell r="GE36">
            <v>397.54335839599003</v>
          </cell>
          <cell r="GF36">
            <v>411.14899749373433</v>
          </cell>
          <cell r="GS36" t="str">
            <v>mstag:averageDilutedSharesOutstanding</v>
          </cell>
          <cell r="GT36">
            <v>6</v>
          </cell>
          <cell r="GU36" t="str">
            <v>ms_eqr_gcim_Decimal:ms_eqr_gcim_decimal</v>
          </cell>
          <cell r="GV36" t="b">
            <v>0</v>
          </cell>
          <cell r="GW36" t="b">
            <v>0</v>
          </cell>
        </row>
        <row r="37">
          <cell r="A37" t="str">
            <v>Period End Basic Shares Outstanding</v>
          </cell>
          <cell r="N37">
            <v>414.918274</v>
          </cell>
          <cell r="O37">
            <v>416.75912199999999</v>
          </cell>
          <cell r="P37">
            <v>421.21032200000002</v>
          </cell>
          <cell r="Q37">
            <v>417.15312399999999</v>
          </cell>
          <cell r="R37">
            <v>423.09761800000001</v>
          </cell>
          <cell r="S37">
            <v>395.34445399999998</v>
          </cell>
          <cell r="T37">
            <v>402.252748</v>
          </cell>
          <cell r="U37">
            <v>374.65489600000001</v>
          </cell>
          <cell r="V37">
            <v>357</v>
          </cell>
          <cell r="W37">
            <v>335.19655599999999</v>
          </cell>
          <cell r="X37">
            <v>546.79999999999995</v>
          </cell>
          <cell r="Y37">
            <v>496.9</v>
          </cell>
          <cell r="Z37">
            <v>419.7</v>
          </cell>
          <cell r="AA37">
            <v>420.57529799999998</v>
          </cell>
          <cell r="AB37">
            <v>421.53</v>
          </cell>
          <cell r="AC37">
            <v>423.3</v>
          </cell>
          <cell r="AD37">
            <v>414.2</v>
          </cell>
          <cell r="AE37">
            <v>386.88145363408523</v>
          </cell>
          <cell r="AF37">
            <v>348.25259926197782</v>
          </cell>
          <cell r="AG37">
            <v>314.31837512772381</v>
          </cell>
          <cell r="AH37">
            <v>293.31282858073979</v>
          </cell>
          <cell r="AI37">
            <v>285.65112300033866</v>
          </cell>
          <cell r="AJ37">
            <v>270.32771183953639</v>
          </cell>
          <cell r="AK37">
            <v>247.34259509833296</v>
          </cell>
          <cell r="AL37">
            <v>228.95450170537021</v>
          </cell>
          <cell r="AN37" t="str">
            <v>Period End Basic Shares Outstanding</v>
          </cell>
          <cell r="CN37">
            <v>208.379561</v>
          </cell>
          <cell r="CT37">
            <v>210.60516100000001</v>
          </cell>
          <cell r="CZ37">
            <v>208.576562</v>
          </cell>
          <cell r="DH37">
            <v>415.872772</v>
          </cell>
          <cell r="DI37">
            <v>403.836004</v>
          </cell>
          <cell r="DJ37">
            <v>397.47889600000002</v>
          </cell>
          <cell r="DK37">
            <v>395.34445399999998</v>
          </cell>
          <cell r="DL37">
            <v>395.34445399999998</v>
          </cell>
          <cell r="DN37">
            <v>389.8</v>
          </cell>
          <cell r="DO37">
            <v>385.4</v>
          </cell>
          <cell r="DP37">
            <v>383.4</v>
          </cell>
          <cell r="DQ37">
            <v>402.252748</v>
          </cell>
          <cell r="DR37">
            <v>402.252748</v>
          </cell>
          <cell r="DT37">
            <v>403</v>
          </cell>
          <cell r="DU37">
            <v>392.4</v>
          </cell>
          <cell r="DV37">
            <v>380.4</v>
          </cell>
          <cell r="DW37">
            <v>374.65489600000001</v>
          </cell>
          <cell r="DX37">
            <v>374.65489600000001</v>
          </cell>
          <cell r="DZ37">
            <v>370.72</v>
          </cell>
          <cell r="EA37">
            <v>365.62</v>
          </cell>
          <cell r="EB37">
            <v>361.58</v>
          </cell>
          <cell r="EC37">
            <v>357</v>
          </cell>
          <cell r="ED37">
            <v>357</v>
          </cell>
          <cell r="EF37">
            <v>359.61200000000002</v>
          </cell>
          <cell r="EG37">
            <v>345.39600000000002</v>
          </cell>
          <cell r="EH37">
            <v>338.4</v>
          </cell>
          <cell r="EI37">
            <v>335.19655599999999</v>
          </cell>
          <cell r="EJ37">
            <v>335.19655599999999</v>
          </cell>
          <cell r="EK37" t="str">
            <v>Period End Basic Shares Outstanding</v>
          </cell>
          <cell r="EL37">
            <v>340.8</v>
          </cell>
          <cell r="EM37">
            <v>340.85399999999998</v>
          </cell>
          <cell r="EN37">
            <v>544.43164000000002</v>
          </cell>
          <cell r="EO37">
            <v>546.79999999999995</v>
          </cell>
          <cell r="EP37">
            <v>546.79999999999995</v>
          </cell>
          <cell r="ER37">
            <v>553.21778400000005</v>
          </cell>
          <cell r="ES37">
            <v>545</v>
          </cell>
          <cell r="ET37">
            <v>530</v>
          </cell>
          <cell r="EU37">
            <v>496.9</v>
          </cell>
          <cell r="EV37">
            <v>496.9</v>
          </cell>
          <cell r="EX37">
            <v>459.62333699999999</v>
          </cell>
          <cell r="EY37">
            <v>435.6</v>
          </cell>
          <cell r="EZ37">
            <v>432.98764799999998</v>
          </cell>
          <cell r="FA37">
            <v>419.7</v>
          </cell>
          <cell r="FB37">
            <v>419.7</v>
          </cell>
          <cell r="FD37">
            <v>420.477236</v>
          </cell>
          <cell r="FE37">
            <v>420.54819300000003</v>
          </cell>
          <cell r="FF37">
            <v>420.56348700000001</v>
          </cell>
          <cell r="FG37">
            <v>420.57529799999998</v>
          </cell>
          <cell r="FH37">
            <v>420.57529799999998</v>
          </cell>
          <cell r="FJ37">
            <v>420.56635599999998</v>
          </cell>
          <cell r="FK37">
            <v>420.5</v>
          </cell>
          <cell r="FL37">
            <v>421</v>
          </cell>
          <cell r="FM37">
            <v>421.53</v>
          </cell>
          <cell r="FN37">
            <v>421.53</v>
          </cell>
          <cell r="FP37">
            <v>422.10645299999999</v>
          </cell>
          <cell r="FQ37">
            <v>422.67482899999999</v>
          </cell>
          <cell r="FR37">
            <v>423</v>
          </cell>
          <cell r="FS37">
            <v>423.3</v>
          </cell>
          <cell r="FT37">
            <v>423.3</v>
          </cell>
          <cell r="FV37">
            <v>425.2</v>
          </cell>
          <cell r="FW37">
            <v>427.5</v>
          </cell>
          <cell r="FX37">
            <v>420.6</v>
          </cell>
          <cell r="FY37">
            <v>414.2</v>
          </cell>
          <cell r="FZ37">
            <v>414.2</v>
          </cell>
          <cell r="GB37">
            <v>414.6</v>
          </cell>
          <cell r="GC37">
            <v>404.3</v>
          </cell>
          <cell r="GD37">
            <v>396.40526315789475</v>
          </cell>
          <cell r="GE37">
            <v>386.88145363408523</v>
          </cell>
          <cell r="GF37">
            <v>386.88145363408523</v>
          </cell>
          <cell r="GS37" t="str">
            <v>mstag:periodEndBasicSharesOutstanding</v>
          </cell>
          <cell r="GT37">
            <v>6</v>
          </cell>
          <cell r="GU37" t="str">
            <v>ms_eqr_gcim_Decimal:ms_eqr_gcim_decimal</v>
          </cell>
          <cell r="GV37" t="b">
            <v>0</v>
          </cell>
          <cell r="GW37" t="b">
            <v>0</v>
          </cell>
        </row>
        <row r="38">
          <cell r="A38" t="str">
            <v>Average Repurchase Price</v>
          </cell>
          <cell r="Y38">
            <v>38.059090830879164</v>
          </cell>
          <cell r="Z38">
            <v>34.721403433168142</v>
          </cell>
          <cell r="AD38">
            <v>0</v>
          </cell>
          <cell r="AE38">
            <v>38.72816212438854</v>
          </cell>
          <cell r="AF38">
            <v>44.008553389238294</v>
          </cell>
          <cell r="AG38">
            <v>50.096916707872467</v>
          </cell>
          <cell r="AH38">
            <v>57.127768483238825</v>
          </cell>
          <cell r="AI38">
            <v>65.259620687985446</v>
          </cell>
          <cell r="AJ38">
            <v>65.259620687985446</v>
          </cell>
          <cell r="AK38">
            <v>65.259620687985446</v>
          </cell>
          <cell r="AL38">
            <v>65.259620687985446</v>
          </cell>
          <cell r="AN38" t="str">
            <v>Average Repurchase Price</v>
          </cell>
          <cell r="ER38">
            <v>33.869</v>
          </cell>
          <cell r="ES38">
            <v>35.432098765432102</v>
          </cell>
          <cell r="ET38">
            <v>41.758793969849251</v>
          </cell>
          <cell r="EU38">
            <v>41.176470588235297</v>
          </cell>
          <cell r="EV38">
            <v>38.059090830879164</v>
          </cell>
          <cell r="EX38">
            <v>44.244444444444447</v>
          </cell>
          <cell r="EY38">
            <v>38.991596638655459</v>
          </cell>
          <cell r="EZ38">
            <v>31.111111111111111</v>
          </cell>
          <cell r="FA38">
            <v>24.53846153846154</v>
          </cell>
          <cell r="FB38">
            <v>34.721403433168142</v>
          </cell>
          <cell r="GB38">
            <v>39.629629629629626</v>
          </cell>
          <cell r="GC38">
            <v>35.283018867924532</v>
          </cell>
          <cell r="GD38">
            <v>38</v>
          </cell>
          <cell r="GE38">
            <v>42</v>
          </cell>
          <cell r="GF38">
            <v>38.72816212438854</v>
          </cell>
        </row>
        <row r="40">
          <cell r="A40" t="str">
            <v>Depreciation &amp; Amortization (Reported)</v>
          </cell>
          <cell r="C40">
            <v>235.45400000000001</v>
          </cell>
          <cell r="D40">
            <v>212.18600000000001</v>
          </cell>
          <cell r="E40">
            <v>212.18600000000001</v>
          </cell>
          <cell r="F40">
            <v>212.18600000000001</v>
          </cell>
          <cell r="G40">
            <v>205.554</v>
          </cell>
          <cell r="H40">
            <v>207.91399999999999</v>
          </cell>
          <cell r="I40">
            <v>251.40600000000001</v>
          </cell>
          <cell r="K40">
            <v>551.07000000000005</v>
          </cell>
          <cell r="L40">
            <v>474.94499999999999</v>
          </cell>
          <cell r="N40">
            <v>497</v>
          </cell>
          <cell r="O40">
            <v>533</v>
          </cell>
          <cell r="P40">
            <v>590</v>
          </cell>
          <cell r="Q40">
            <v>624</v>
          </cell>
          <cell r="R40">
            <v>665</v>
          </cell>
          <cell r="S40">
            <v>651</v>
          </cell>
          <cell r="T40">
            <v>689</v>
          </cell>
          <cell r="U40">
            <v>680</v>
          </cell>
          <cell r="V40">
            <v>710</v>
          </cell>
          <cell r="W40">
            <v>737</v>
          </cell>
          <cell r="X40">
            <v>978</v>
          </cell>
          <cell r="Y40">
            <v>1265</v>
          </cell>
          <cell r="Z40">
            <v>1304</v>
          </cell>
          <cell r="AA40">
            <v>1278</v>
          </cell>
          <cell r="AB40">
            <v>1210</v>
          </cell>
          <cell r="AC40">
            <v>1150</v>
          </cell>
          <cell r="AD40">
            <v>1085</v>
          </cell>
          <cell r="AE40">
            <v>1058.1233144856478</v>
          </cell>
          <cell r="AF40">
            <v>1083.3778550448592</v>
          </cell>
          <cell r="AG40">
            <v>1104.2560836491582</v>
          </cell>
          <cell r="AH40">
            <v>1115.6972553764319</v>
          </cell>
          <cell r="AI40">
            <v>1126.8542279301962</v>
          </cell>
          <cell r="AJ40">
            <v>1138.1227702094982</v>
          </cell>
          <cell r="AK40">
            <v>1149.5039979115932</v>
          </cell>
          <cell r="AL40">
            <v>1160.9990378907089</v>
          </cell>
          <cell r="AN40" t="str">
            <v>Depreciation &amp; Amortization (Reported)</v>
          </cell>
          <cell r="DH40">
            <v>175</v>
          </cell>
          <cell r="DI40">
            <v>174</v>
          </cell>
          <cell r="DJ40">
            <v>177</v>
          </cell>
          <cell r="DK40">
            <v>166</v>
          </cell>
          <cell r="DL40">
            <v>651</v>
          </cell>
          <cell r="DN40">
            <v>169</v>
          </cell>
          <cell r="DO40">
            <v>168</v>
          </cell>
          <cell r="DP40">
            <v>174</v>
          </cell>
          <cell r="DQ40">
            <v>178</v>
          </cell>
          <cell r="DR40">
            <v>689</v>
          </cell>
          <cell r="DT40">
            <v>165</v>
          </cell>
          <cell r="DU40">
            <v>168</v>
          </cell>
          <cell r="DV40">
            <v>167</v>
          </cell>
          <cell r="DW40">
            <v>180</v>
          </cell>
          <cell r="DX40">
            <v>680</v>
          </cell>
          <cell r="DZ40">
            <v>180</v>
          </cell>
          <cell r="EA40">
            <v>173</v>
          </cell>
          <cell r="EB40">
            <v>176</v>
          </cell>
          <cell r="EC40">
            <v>181</v>
          </cell>
          <cell r="ED40">
            <v>710</v>
          </cell>
          <cell r="EF40">
            <v>177</v>
          </cell>
          <cell r="EG40">
            <v>178</v>
          </cell>
          <cell r="EH40">
            <v>178</v>
          </cell>
          <cell r="EI40">
            <v>204</v>
          </cell>
          <cell r="EJ40">
            <v>737</v>
          </cell>
          <cell r="EK40" t="str">
            <v>Depreciation &amp; Amortization (Reported)</v>
          </cell>
          <cell r="EL40">
            <v>177</v>
          </cell>
          <cell r="EM40">
            <v>178</v>
          </cell>
          <cell r="EN40">
            <v>295</v>
          </cell>
          <cell r="EO40">
            <v>328</v>
          </cell>
          <cell r="EP40">
            <v>978</v>
          </cell>
          <cell r="ER40">
            <v>316</v>
          </cell>
          <cell r="ES40">
            <v>314</v>
          </cell>
          <cell r="ET40">
            <v>315</v>
          </cell>
          <cell r="EU40">
            <v>320</v>
          </cell>
          <cell r="EV40">
            <v>1265</v>
          </cell>
          <cell r="EX40">
            <v>329</v>
          </cell>
          <cell r="EY40">
            <v>327</v>
          </cell>
          <cell r="EZ40">
            <v>321</v>
          </cell>
          <cell r="FA40">
            <v>327</v>
          </cell>
          <cell r="FB40">
            <v>1304</v>
          </cell>
          <cell r="FD40">
            <v>315</v>
          </cell>
          <cell r="FE40">
            <v>315</v>
          </cell>
          <cell r="FF40">
            <v>320</v>
          </cell>
          <cell r="FG40">
            <v>328</v>
          </cell>
          <cell r="FH40">
            <v>1278</v>
          </cell>
          <cell r="FJ40">
            <v>303</v>
          </cell>
          <cell r="FK40">
            <v>301</v>
          </cell>
          <cell r="FL40">
            <v>301</v>
          </cell>
          <cell r="FM40">
            <v>305</v>
          </cell>
          <cell r="FN40">
            <v>1210</v>
          </cell>
          <cell r="FP40">
            <v>287</v>
          </cell>
          <cell r="FQ40">
            <v>288</v>
          </cell>
          <cell r="FR40">
            <v>290</v>
          </cell>
          <cell r="FS40">
            <v>285</v>
          </cell>
          <cell r="FT40">
            <v>1150</v>
          </cell>
          <cell r="FV40">
            <v>268</v>
          </cell>
          <cell r="FW40">
            <v>268</v>
          </cell>
          <cell r="FX40">
            <v>282</v>
          </cell>
          <cell r="FY40">
            <v>267</v>
          </cell>
          <cell r="FZ40">
            <v>1085</v>
          </cell>
          <cell r="GB40">
            <v>256</v>
          </cell>
          <cell r="GC40">
            <v>257</v>
          </cell>
          <cell r="GD40">
            <v>275.44005372214991</v>
          </cell>
          <cell r="GE40">
            <v>269.68326076349791</v>
          </cell>
          <cell r="GF40">
            <v>1058.1233144856478</v>
          </cell>
        </row>
        <row r="41">
          <cell r="A41" t="str">
            <v>% of Sales</v>
          </cell>
          <cell r="N41">
            <v>3.4008485014369781E-2</v>
          </cell>
          <cell r="O41">
            <v>3.5933391761612622E-2</v>
          </cell>
          <cell r="P41">
            <v>3.8764783180026283E-2</v>
          </cell>
          <cell r="Q41">
            <v>4.0611780019524896E-2</v>
          </cell>
          <cell r="R41">
            <v>4.148730426102689E-2</v>
          </cell>
          <cell r="S41">
            <v>3.9127298954201223E-2</v>
          </cell>
          <cell r="T41">
            <v>4.3649033892936333E-2</v>
          </cell>
          <cell r="U41">
            <v>4.3670926722753835E-2</v>
          </cell>
          <cell r="V41">
            <v>4.6067998961847913E-2</v>
          </cell>
          <cell r="W41">
            <v>4.6716531440162273E-2</v>
          </cell>
          <cell r="X41">
            <v>4.3680214381420279E-2</v>
          </cell>
          <cell r="Y41">
            <v>4.6903967371153134E-2</v>
          </cell>
          <cell r="Z41">
            <v>4.9557253068825295E-2</v>
          </cell>
          <cell r="AA41">
            <v>5.134179656114414E-2</v>
          </cell>
          <cell r="AB41">
            <v>5.0638208830299229E-2</v>
          </cell>
          <cell r="AC41">
            <v>4.5994480662320522E-2</v>
          </cell>
          <cell r="AD41">
            <v>4.1090702518462412E-2</v>
          </cell>
          <cell r="AE41">
            <v>3.8202403342907414E-2</v>
          </cell>
          <cell r="AF41">
            <v>3.8202403342907414E-2</v>
          </cell>
          <cell r="AG41">
            <v>3.8202403342907414E-2</v>
          </cell>
          <cell r="AH41">
            <v>3.8202403342907414E-2</v>
          </cell>
          <cell r="AI41">
            <v>3.8202403342907414E-2</v>
          </cell>
          <cell r="AJ41">
            <v>3.8202403342907407E-2</v>
          </cell>
          <cell r="AK41">
            <v>3.8202403342907407E-2</v>
          </cell>
          <cell r="AL41">
            <v>3.8202403342907407E-2</v>
          </cell>
          <cell r="AN41" t="str">
            <v>% of Sales</v>
          </cell>
          <cell r="DH41">
            <v>4.897844948222782E-2</v>
          </cell>
          <cell r="DI41">
            <v>4.7295460723022563E-2</v>
          </cell>
          <cell r="DJ41">
            <v>4.6800634584875725E-2</v>
          </cell>
          <cell r="DK41">
            <v>2.9621698786581014E-2</v>
          </cell>
          <cell r="DL41">
            <v>3.9127298954201223E-2</v>
          </cell>
          <cell r="DN41">
            <v>4.7525309336332956E-2</v>
          </cell>
          <cell r="DO41">
            <v>4.8165137614678902E-2</v>
          </cell>
          <cell r="DP41">
            <v>5.0071942446043169E-2</v>
          </cell>
          <cell r="DQ41">
            <v>3.4684333593141076E-2</v>
          </cell>
          <cell r="DR41">
            <v>4.3649033892936333E-2</v>
          </cell>
          <cell r="DT41">
            <v>4.778453518679409E-2</v>
          </cell>
          <cell r="DU41">
            <v>4.8192771084337352E-2</v>
          </cell>
          <cell r="DV41">
            <v>4.8002299511353839E-2</v>
          </cell>
          <cell r="DW41">
            <v>3.5878014749850508E-2</v>
          </cell>
          <cell r="DX41">
            <v>4.3670926722753835E-2</v>
          </cell>
          <cell r="DZ41">
            <v>5.4694621695533276E-2</v>
          </cell>
          <cell r="EA41">
            <v>5.0378567268491554E-2</v>
          </cell>
          <cell r="EB41">
            <v>5.0487664945496273E-2</v>
          </cell>
          <cell r="EC41">
            <v>3.5820304769443895E-2</v>
          </cell>
          <cell r="ED41">
            <v>4.6067998961847913E-2</v>
          </cell>
          <cell r="EF41">
            <v>4.9859154929577466E-2</v>
          </cell>
          <cell r="EG41">
            <v>4.9706785814018432E-2</v>
          </cell>
          <cell r="EH41">
            <v>5.0496453900709219E-2</v>
          </cell>
          <cell r="EI41">
            <v>3.9843749999999997E-2</v>
          </cell>
          <cell r="EJ41">
            <v>4.6716531440162273E-2</v>
          </cell>
          <cell r="EK41" t="str">
            <v>% of Sales</v>
          </cell>
          <cell r="EL41">
            <v>4.861301840153804E-2</v>
          </cell>
          <cell r="EM41">
            <v>4.9130554788849021E-2</v>
          </cell>
          <cell r="EN41">
            <v>5.3105310531053107E-2</v>
          </cell>
          <cell r="EO41">
            <v>3.4270191202591158E-2</v>
          </cell>
          <cell r="EP41">
            <v>4.3680214381420279E-2</v>
          </cell>
          <cell r="ER41">
            <v>5.3288364249578418E-2</v>
          </cell>
          <cell r="ES41">
            <v>5.237698081734779E-2</v>
          </cell>
          <cell r="ET41">
            <v>5.3516819571865444E-2</v>
          </cell>
          <cell r="EU41">
            <v>3.493831204279943E-2</v>
          </cell>
          <cell r="EV41">
            <v>4.6903967371153134E-2</v>
          </cell>
          <cell r="EX41">
            <v>5.5564938355007601E-2</v>
          </cell>
          <cell r="EY41">
            <v>5.54989816700611E-2</v>
          </cell>
          <cell r="EZ41">
            <v>5.4351506942092787E-2</v>
          </cell>
          <cell r="FA41">
            <v>3.8049802187572722E-2</v>
          </cell>
          <cell r="FB41">
            <v>4.9557253068825295E-2</v>
          </cell>
          <cell r="FD41">
            <v>5.4811205846528627E-2</v>
          </cell>
          <cell r="FE41">
            <v>5.5089192025183628E-2</v>
          </cell>
          <cell r="FF41">
            <v>5.8255962133624613E-2</v>
          </cell>
          <cell r="FG41">
            <v>4.1341063776153264E-2</v>
          </cell>
          <cell r="FH41">
            <v>5.134179656114414E-2</v>
          </cell>
          <cell r="FJ41">
            <v>5.7299546142208772E-2</v>
          </cell>
          <cell r="FK41">
            <v>5.6953642384105961E-2</v>
          </cell>
          <cell r="FL41">
            <v>5.5896007428040857E-2</v>
          </cell>
          <cell r="FM41">
            <v>3.8427617487715761E-2</v>
          </cell>
          <cell r="FN41">
            <v>5.0638208830299229E-2</v>
          </cell>
          <cell r="FP41">
            <v>5.1489056332974521E-2</v>
          </cell>
          <cell r="FQ41">
            <v>5.2013725844320027E-2</v>
          </cell>
          <cell r="FR41">
            <v>5.1573892939711895E-2</v>
          </cell>
          <cell r="FS41">
            <v>3.4466078123110415E-2</v>
          </cell>
          <cell r="FT41">
            <v>4.5994480662320522E-2</v>
          </cell>
          <cell r="FV41">
            <v>4.5508575309899817E-2</v>
          </cell>
          <cell r="FW41">
            <v>4.512544199360162E-2</v>
          </cell>
          <cell r="FX41">
            <v>4.8180420297283442E-2</v>
          </cell>
          <cell r="FY41">
            <v>3.0605226960110043E-2</v>
          </cell>
          <cell r="FZ41">
            <v>4.1090702518462412E-2</v>
          </cell>
          <cell r="GB41">
            <v>4.1673449454663843E-2</v>
          </cell>
          <cell r="GC41">
            <v>4.2007191892775415E-2</v>
          </cell>
          <cell r="GD41">
            <v>4.5379616732146563E-2</v>
          </cell>
          <cell r="GE41">
            <v>2.8790370881885484E-2</v>
          </cell>
          <cell r="GF41">
            <v>3.8202403342907414E-2</v>
          </cell>
        </row>
        <row r="42">
          <cell r="A42" t="str">
            <v>EBITDA (FIFO)</v>
          </cell>
          <cell r="C42" t="str">
            <v xml:space="preserve">NM </v>
          </cell>
          <cell r="D42" t="str">
            <v xml:space="preserve">NM </v>
          </cell>
          <cell r="E42">
            <v>479.15800000000024</v>
          </cell>
          <cell r="F42">
            <v>513.08899999999983</v>
          </cell>
          <cell r="G42">
            <v>643.98800000000062</v>
          </cell>
          <cell r="H42">
            <v>718.55699999999911</v>
          </cell>
          <cell r="I42">
            <v>892.50999999999885</v>
          </cell>
          <cell r="J42">
            <v>0.20265241838785197</v>
          </cell>
          <cell r="K42">
            <v>1233.8709999999996</v>
          </cell>
          <cell r="L42">
            <v>1469.5959999999989</v>
          </cell>
          <cell r="N42">
            <v>1160</v>
          </cell>
          <cell r="O42">
            <v>1426</v>
          </cell>
          <cell r="P42">
            <v>1931</v>
          </cell>
          <cell r="Q42">
            <v>2079</v>
          </cell>
          <cell r="R42">
            <v>2358</v>
          </cell>
          <cell r="S42">
            <v>2422</v>
          </cell>
          <cell r="T42">
            <v>2065</v>
          </cell>
          <cell r="U42">
            <v>2091</v>
          </cell>
          <cell r="V42">
            <v>2110</v>
          </cell>
          <cell r="W42">
            <v>2236</v>
          </cell>
          <cell r="X42">
            <v>3116</v>
          </cell>
          <cell r="Y42">
            <v>3538</v>
          </cell>
          <cell r="Z42">
            <v>3386</v>
          </cell>
          <cell r="AA42">
            <v>2703</v>
          </cell>
          <cell r="AB42">
            <v>2664</v>
          </cell>
          <cell r="AC42">
            <v>3069</v>
          </cell>
          <cell r="AD42">
            <v>3471</v>
          </cell>
          <cell r="AE42">
            <v>3729.419936712914</v>
          </cell>
          <cell r="AF42">
            <v>3860.9694388964058</v>
          </cell>
          <cell r="AG42">
            <v>4007.6393206478215</v>
          </cell>
          <cell r="AH42">
            <v>4049.1623789016467</v>
          </cell>
          <cell r="AI42">
            <v>4060.1570567049512</v>
          </cell>
          <cell r="AJ42">
            <v>4130.5505427175704</v>
          </cell>
          <cell r="AK42">
            <v>4201.9458827447743</v>
          </cell>
          <cell r="AL42">
            <v>4274.3560745182449</v>
          </cell>
          <cell r="AN42" t="str">
            <v>EBITDA (FIFO)</v>
          </cell>
          <cell r="DH42">
            <v>444</v>
          </cell>
          <cell r="DI42">
            <v>576</v>
          </cell>
          <cell r="DJ42">
            <v>446</v>
          </cell>
          <cell r="DK42">
            <v>997</v>
          </cell>
          <cell r="DL42">
            <v>2422</v>
          </cell>
          <cell r="DN42">
            <v>399</v>
          </cell>
          <cell r="DO42">
            <v>422</v>
          </cell>
          <cell r="DP42">
            <v>330</v>
          </cell>
          <cell r="DQ42">
            <v>914</v>
          </cell>
          <cell r="DR42">
            <v>2065</v>
          </cell>
          <cell r="DT42">
            <v>386</v>
          </cell>
          <cell r="DU42">
            <v>468</v>
          </cell>
          <cell r="DV42">
            <v>355</v>
          </cell>
          <cell r="DW42">
            <v>882</v>
          </cell>
          <cell r="DX42">
            <v>2091</v>
          </cell>
          <cell r="DZ42">
            <v>334</v>
          </cell>
          <cell r="EA42">
            <v>447</v>
          </cell>
          <cell r="EB42">
            <v>378</v>
          </cell>
          <cell r="EC42">
            <v>951</v>
          </cell>
          <cell r="ED42">
            <v>2110</v>
          </cell>
          <cell r="EF42">
            <v>413</v>
          </cell>
          <cell r="EG42">
            <v>454</v>
          </cell>
          <cell r="EH42">
            <v>389</v>
          </cell>
          <cell r="EI42">
            <v>980</v>
          </cell>
          <cell r="EJ42">
            <v>2236</v>
          </cell>
          <cell r="EK42" t="str">
            <v>EBITDA (FIFO)</v>
          </cell>
          <cell r="EL42">
            <v>429</v>
          </cell>
          <cell r="EM42">
            <v>469</v>
          </cell>
          <cell r="EN42">
            <v>565</v>
          </cell>
          <cell r="EO42">
            <v>1653</v>
          </cell>
          <cell r="EP42">
            <v>3116</v>
          </cell>
          <cell r="ER42">
            <v>465</v>
          </cell>
          <cell r="ES42">
            <v>722</v>
          </cell>
          <cell r="ET42">
            <v>594</v>
          </cell>
          <cell r="EU42">
            <v>1757</v>
          </cell>
          <cell r="EV42">
            <v>3538</v>
          </cell>
          <cell r="EX42">
            <v>573</v>
          </cell>
          <cell r="EY42">
            <v>674</v>
          </cell>
          <cell r="EZ42">
            <v>521</v>
          </cell>
          <cell r="FA42">
            <v>1618</v>
          </cell>
          <cell r="FB42">
            <v>3386</v>
          </cell>
          <cell r="FD42">
            <v>455</v>
          </cell>
          <cell r="FE42">
            <v>650</v>
          </cell>
          <cell r="FF42">
            <v>404</v>
          </cell>
          <cell r="FG42">
            <v>1194</v>
          </cell>
          <cell r="FH42">
            <v>2703</v>
          </cell>
          <cell r="FJ42">
            <v>327</v>
          </cell>
          <cell r="FK42">
            <v>583</v>
          </cell>
          <cell r="FL42">
            <v>389</v>
          </cell>
          <cell r="FM42">
            <v>1365</v>
          </cell>
          <cell r="FN42">
            <v>2664</v>
          </cell>
          <cell r="FP42">
            <v>490</v>
          </cell>
          <cell r="FQ42">
            <v>658</v>
          </cell>
          <cell r="FR42">
            <v>467</v>
          </cell>
          <cell r="FS42">
            <v>1454</v>
          </cell>
          <cell r="FT42">
            <v>3069</v>
          </cell>
          <cell r="FV42">
            <v>598</v>
          </cell>
          <cell r="FW42">
            <v>774</v>
          </cell>
          <cell r="FX42">
            <v>573</v>
          </cell>
          <cell r="FY42">
            <v>1526</v>
          </cell>
          <cell r="FZ42">
            <v>3471</v>
          </cell>
          <cell r="GB42">
            <v>647</v>
          </cell>
          <cell r="GC42">
            <v>811</v>
          </cell>
          <cell r="GD42">
            <v>557.01504824879794</v>
          </cell>
          <cell r="GE42">
            <v>1714.4048884641161</v>
          </cell>
          <cell r="GF42">
            <v>3729.419936712914</v>
          </cell>
          <cell r="GS42" t="str">
            <v>mstag:tag013</v>
          </cell>
          <cell r="GT42">
            <v>6</v>
          </cell>
          <cell r="GU42" t="str">
            <v>ISO4217:USD</v>
          </cell>
          <cell r="GV42" t="b">
            <v>0</v>
          </cell>
          <cell r="GW42" t="b">
            <v>0</v>
          </cell>
        </row>
        <row r="43">
          <cell r="A43" t="str">
            <v>EBITDA Margin</v>
          </cell>
          <cell r="E43">
            <v>6.9119399081664284E-2</v>
          </cell>
          <cell r="F43">
            <v>7.4014006560282869E-2</v>
          </cell>
          <cell r="G43">
            <v>9.0959515058105789E-2</v>
          </cell>
          <cell r="H43">
            <v>9.9393643129186429E-2</v>
          </cell>
          <cell r="I43">
            <v>0.11579794529390085</v>
          </cell>
          <cell r="K43">
            <v>9.0053716746341619E-2</v>
          </cell>
          <cell r="L43">
            <v>0.10498588587511638</v>
          </cell>
          <cell r="N43">
            <v>7.9375940878609552E-2</v>
          </cell>
          <cell r="O43">
            <v>9.6136991842513314E-2</v>
          </cell>
          <cell r="P43">
            <v>0.12687253613666227</v>
          </cell>
          <cell r="Q43">
            <v>0.13530751708428246</v>
          </cell>
          <cell r="R43">
            <v>0.14710836608646827</v>
          </cell>
          <cell r="S43">
            <v>0.14557038105541531</v>
          </cell>
          <cell r="T43">
            <v>0.13082039911308205</v>
          </cell>
          <cell r="U43">
            <v>0.13428809967246805</v>
          </cell>
          <cell r="V43">
            <v>0.13690630677394239</v>
          </cell>
          <cell r="W43">
            <v>0.14173427991886409</v>
          </cell>
          <cell r="X43">
            <v>0.13916927199642698</v>
          </cell>
          <cell r="Y43">
            <v>0.13118279569892474</v>
          </cell>
          <cell r="Z43">
            <v>0.12868164025386691</v>
          </cell>
          <cell r="AA43">
            <v>0.10858910493331191</v>
          </cell>
          <cell r="AB43">
            <v>0.11148775894538607</v>
          </cell>
          <cell r="AC43">
            <v>0.1227452705675319</v>
          </cell>
          <cell r="AD43">
            <v>0.13145237644385532</v>
          </cell>
          <cell r="AE43">
            <v>0.13464669259900278</v>
          </cell>
          <cell r="AF43">
            <v>0.13614669259900275</v>
          </cell>
          <cell r="AG43">
            <v>0.13864669259900278</v>
          </cell>
          <cell r="AH43">
            <v>0.13864669259900272</v>
          </cell>
          <cell r="AI43">
            <v>0.13764669259900278</v>
          </cell>
          <cell r="AJ43">
            <v>0.13864669259900272</v>
          </cell>
          <cell r="AK43">
            <v>0.13964669259900278</v>
          </cell>
          <cell r="AL43">
            <v>0.14064669259900264</v>
          </cell>
          <cell r="AN43" t="str">
            <v>EBITDA Margin</v>
          </cell>
          <cell r="DH43">
            <v>0.12426532325776658</v>
          </cell>
          <cell r="DI43">
            <v>0.15656428377276435</v>
          </cell>
          <cell r="DJ43">
            <v>0.11792702273929138</v>
          </cell>
          <cell r="DK43">
            <v>0.17790863668807994</v>
          </cell>
          <cell r="DL43">
            <v>0.14557038105541531</v>
          </cell>
          <cell r="DN43">
            <v>0.11220472440944881</v>
          </cell>
          <cell r="DO43">
            <v>0.12098623853211009</v>
          </cell>
          <cell r="DP43">
            <v>9.4964028776978418E-2</v>
          </cell>
          <cell r="DQ43">
            <v>0.17809820732657833</v>
          </cell>
          <cell r="DR43">
            <v>0.13082039911308205</v>
          </cell>
          <cell r="DT43">
            <v>0.11178685201274255</v>
          </cell>
          <cell r="DU43">
            <v>0.13425129087779691</v>
          </cell>
          <cell r="DV43">
            <v>0.10204081632653061</v>
          </cell>
          <cell r="DW43">
            <v>0.17580227227426748</v>
          </cell>
          <cell r="DX43">
            <v>0.13428809967246805</v>
          </cell>
          <cell r="DZ43">
            <v>0.10148890914615619</v>
          </cell>
          <cell r="EA43">
            <v>0.13016889924286545</v>
          </cell>
          <cell r="EB43">
            <v>0.10843373493975904</v>
          </cell>
          <cell r="EC43">
            <v>0.18820502671680189</v>
          </cell>
          <cell r="ED43">
            <v>0.13690630677394239</v>
          </cell>
          <cell r="EF43">
            <v>0.11633802816901409</v>
          </cell>
          <cell r="EG43">
            <v>0.12678022898631666</v>
          </cell>
          <cell r="EH43">
            <v>0.11035460992907802</v>
          </cell>
          <cell r="EI43">
            <v>0.19140625</v>
          </cell>
          <cell r="EJ43">
            <v>0.14173427991886409</v>
          </cell>
          <cell r="EK43" t="str">
            <v>EBITDA Margin</v>
          </cell>
          <cell r="EL43">
            <v>0.11782477341389729</v>
          </cell>
          <cell r="EM43">
            <v>0.12945073143803479</v>
          </cell>
          <cell r="EN43">
            <v>0.10171017101710171</v>
          </cell>
          <cell r="EO43">
            <v>0.17270922578622924</v>
          </cell>
          <cell r="EP43">
            <v>0.13916927199642698</v>
          </cell>
          <cell r="ER43">
            <v>7.8414839797639121E-2</v>
          </cell>
          <cell r="ES43">
            <v>0.12043369474562135</v>
          </cell>
          <cell r="ET43">
            <v>0.10091743119266056</v>
          </cell>
          <cell r="EU43">
            <v>0.19183316955999563</v>
          </cell>
          <cell r="EV43">
            <v>0.13118279569892474</v>
          </cell>
          <cell r="EX43">
            <v>9.6774193548387094E-2</v>
          </cell>
          <cell r="EY43">
            <v>0.11439239646978955</v>
          </cell>
          <cell r="EZ43">
            <v>8.8215374195733151E-2</v>
          </cell>
          <cell r="FA43">
            <v>0.18827088666511518</v>
          </cell>
          <cell r="FB43">
            <v>0.12868164025386691</v>
          </cell>
          <cell r="FD43">
            <v>7.9171741778319121E-2</v>
          </cell>
          <cell r="FE43">
            <v>0.1136761105281567</v>
          </cell>
          <cell r="FF43">
            <v>7.3548152193701075E-2</v>
          </cell>
          <cell r="FG43">
            <v>0.15049155533148476</v>
          </cell>
          <cell r="FH43">
            <v>0.10858910493331191</v>
          </cell>
          <cell r="FJ43">
            <v>6.1838124054462935E-2</v>
          </cell>
          <cell r="FK43">
            <v>0.11031220435193945</v>
          </cell>
          <cell r="FL43">
            <v>7.2237697307335189E-2</v>
          </cell>
          <cell r="FM43">
            <v>0.17197933728108858</v>
          </cell>
          <cell r="FN43">
            <v>0.11148775894538607</v>
          </cell>
          <cell r="FP43">
            <v>8.7908144958737E-2</v>
          </cell>
          <cell r="FQ43">
            <v>0.11883691529709228</v>
          </cell>
          <cell r="FR43">
            <v>8.3051751733949852E-2</v>
          </cell>
          <cell r="FS43">
            <v>0.17583746523158786</v>
          </cell>
          <cell r="FT43">
            <v>0.1227452705675319</v>
          </cell>
          <cell r="FV43">
            <v>0.10154525386313466</v>
          </cell>
          <cell r="FW43">
            <v>0.13032497053375988</v>
          </cell>
          <cell r="FX43">
            <v>9.7898513582778068E-2</v>
          </cell>
          <cell r="FY43">
            <v>0.17491976157725814</v>
          </cell>
          <cell r="FZ43">
            <v>0.13145237644385532</v>
          </cell>
          <cell r="GB43">
            <v>0.10532313202018558</v>
          </cell>
          <cell r="GC43">
            <v>0.13255966001961425</v>
          </cell>
          <cell r="GD43">
            <v>9.1769984292360302E-2</v>
          </cell>
          <cell r="GE43">
            <v>0.18302341955100002</v>
          </cell>
          <cell r="GF43">
            <v>0.13464669259900278</v>
          </cell>
        </row>
        <row r="44">
          <cell r="A44" t="str">
            <v>EBITDA (FIFO)/Share</v>
          </cell>
          <cell r="C44" t="str">
            <v xml:space="preserve">NM </v>
          </cell>
          <cell r="D44" t="str">
            <v xml:space="preserve">NM </v>
          </cell>
          <cell r="E44" t="str">
            <v xml:space="preserve">NM </v>
          </cell>
          <cell r="F44">
            <v>4.6078940278401426</v>
          </cell>
          <cell r="G44">
            <v>5.783457566232606</v>
          </cell>
          <cell r="H44">
            <v>5.8796370345149693</v>
          </cell>
          <cell r="I44">
            <v>6.8511292093559586</v>
          </cell>
          <cell r="K44">
            <v>6.7720691547749707</v>
          </cell>
          <cell r="L44">
            <v>8.0326861690497999</v>
          </cell>
          <cell r="N44">
            <v>2.9999586212603964</v>
          </cell>
          <cell r="O44">
            <v>3.2059352517985609</v>
          </cell>
          <cell r="P44">
            <v>4.2507946850757703</v>
          </cell>
          <cell r="Q44">
            <v>4.6015936254980074</v>
          </cell>
          <cell r="R44">
            <v>5.3688524590163933</v>
          </cell>
          <cell r="S44">
            <v>5.853776435045317</v>
          </cell>
          <cell r="T44">
            <v>5.1728456913827658</v>
          </cell>
          <cell r="U44">
            <v>5.2610391244181658</v>
          </cell>
          <cell r="V44">
            <v>5.6538049303322619</v>
          </cell>
          <cell r="W44">
            <v>6.2738496071829406</v>
          </cell>
          <cell r="X44">
            <v>7.1698113207547163</v>
          </cell>
          <cell r="Y44">
            <v>6.4597407339784549</v>
          </cell>
          <cell r="Z44">
            <v>7.4952960708356384</v>
          </cell>
          <cell r="AA44">
            <v>6.4139526606157684</v>
          </cell>
          <cell r="AB44">
            <v>6.3075648159109736</v>
          </cell>
          <cell r="AC44">
            <v>7.1521789792589132</v>
          </cell>
          <cell r="AD44">
            <v>8.0645910780669148</v>
          </cell>
          <cell r="AE44">
            <v>9.0707260857902199</v>
          </cell>
          <cell r="AF44">
            <v>10.333338237135949</v>
          </cell>
          <cell r="AG44">
            <v>11.879397477669373</v>
          </cell>
          <cell r="AH44">
            <v>13.066425230947521</v>
          </cell>
          <cell r="AI44">
            <v>13.737307488158827</v>
          </cell>
          <cell r="AJ44">
            <v>14.540893858632437</v>
          </cell>
          <cell r="AK44">
            <v>15.861777390263473</v>
          </cell>
          <cell r="AL44">
            <v>17.501817914319677</v>
          </cell>
          <cell r="AN44" t="str">
            <v>EBITDA (FIFO)/Share</v>
          </cell>
          <cell r="DH44">
            <v>1.0263522884882108</v>
          </cell>
          <cell r="DI44">
            <v>1.3812949640287771</v>
          </cell>
          <cell r="DJ44">
            <v>1.1089010442565888</v>
          </cell>
          <cell r="DK44">
            <v>2.472718253968254</v>
          </cell>
          <cell r="DL44">
            <v>5.853776435045317</v>
          </cell>
          <cell r="DN44">
            <v>0.97746202841744245</v>
          </cell>
          <cell r="DO44">
            <v>1.0571142284569139</v>
          </cell>
          <cell r="DP44">
            <v>0.84789311408016443</v>
          </cell>
          <cell r="DQ44">
            <v>2.2838580709645178</v>
          </cell>
          <cell r="DR44">
            <v>5.1728456913827658</v>
          </cell>
          <cell r="DT44">
            <v>0.94607843137254899</v>
          </cell>
          <cell r="DU44">
            <v>1.1498771498771498</v>
          </cell>
          <cell r="DV44">
            <v>0.9060745278203165</v>
          </cell>
          <cell r="DW44">
            <v>2.3028720626631856</v>
          </cell>
          <cell r="DX44">
            <v>5.2610391244181658</v>
          </cell>
          <cell r="DZ44">
            <v>0.8812664907651715</v>
          </cell>
          <cell r="EA44">
            <v>1.1939102564102564</v>
          </cell>
          <cell r="EB44">
            <v>1.0177705977382876</v>
          </cell>
          <cell r="EC44">
            <v>2.5856443719412723</v>
          </cell>
          <cell r="ED44">
            <v>5.6538049303322619</v>
          </cell>
          <cell r="EF44">
            <v>1.1210640608034745</v>
          </cell>
          <cell r="EG44">
            <v>1.2472527472527473</v>
          </cell>
          <cell r="EH44">
            <v>1.1152522935779816</v>
          </cell>
          <cell r="EI44">
            <v>2.8422273781902549</v>
          </cell>
          <cell r="EJ44">
            <v>6.2738496071829406</v>
          </cell>
          <cell r="EK44" t="str">
            <v>EBITDA (FIFO)/Share</v>
          </cell>
          <cell r="EL44">
            <v>1.2413194444444444</v>
          </cell>
          <cell r="EM44">
            <v>1.3346613545816735</v>
          </cell>
          <cell r="EN44">
            <v>1.1604025467241734</v>
          </cell>
          <cell r="EO44">
            <v>2.9826777336701551</v>
          </cell>
          <cell r="EP44">
            <v>7.1698113207547163</v>
          </cell>
          <cell r="ER44">
            <v>0.83333333333333337</v>
          </cell>
          <cell r="ES44">
            <v>1.2911301859799713</v>
          </cell>
          <cell r="ET44">
            <v>1.0801963993453356</v>
          </cell>
          <cell r="EU44">
            <v>3.354974221882757</v>
          </cell>
          <cell r="EV44">
            <v>6.4597407339784549</v>
          </cell>
          <cell r="EX44">
            <v>1.2027707808564232</v>
          </cell>
          <cell r="EY44">
            <v>1.472258628221931</v>
          </cell>
          <cell r="EZ44">
            <v>1.1892262040629993</v>
          </cell>
          <cell r="FA44">
            <v>3.72210720036807</v>
          </cell>
          <cell r="FB44">
            <v>7.4952960708356384</v>
          </cell>
          <cell r="FD44">
            <v>1.0810168686148729</v>
          </cell>
          <cell r="FE44">
            <v>1.5399194503672116</v>
          </cell>
          <cell r="FF44">
            <v>0.95893662473296937</v>
          </cell>
          <cell r="FG44">
            <v>2.8334124347413385</v>
          </cell>
          <cell r="FH44">
            <v>6.4139526606157684</v>
          </cell>
          <cell r="FJ44">
            <v>0.77598481252966311</v>
          </cell>
          <cell r="FK44">
            <v>1.3811892916370527</v>
          </cell>
          <cell r="FL44">
            <v>0.92223802750118533</v>
          </cell>
          <cell r="FM44">
            <v>3.2185805234614477</v>
          </cell>
          <cell r="FN44">
            <v>6.3075648159109736</v>
          </cell>
          <cell r="FP44">
            <v>1.1496949788831534</v>
          </cell>
          <cell r="FQ44">
            <v>1.5427901524032825</v>
          </cell>
          <cell r="FR44">
            <v>1.0921421889616463</v>
          </cell>
          <cell r="FS44">
            <v>3.3892773892773893</v>
          </cell>
          <cell r="FT44">
            <v>7.1521789792589132</v>
          </cell>
          <cell r="FV44">
            <v>1.3906976744186046</v>
          </cell>
          <cell r="FW44">
            <v>1.7809479981592269</v>
          </cell>
          <cell r="FX44">
            <v>1.3270032422417786</v>
          </cell>
          <cell r="FY44">
            <v>3.5712614088462438</v>
          </cell>
          <cell r="FZ44">
            <v>8.0645910780669148</v>
          </cell>
          <cell r="GB44">
            <v>1.5270238376209582</v>
          </cell>
          <cell r="GC44">
            <v>1.9443778470390793</v>
          </cell>
          <cell r="GD44">
            <v>1.3711050832677567</v>
          </cell>
          <cell r="GE44">
            <v>4.3124978754051018</v>
          </cell>
          <cell r="GF44">
            <v>9.0707260857902199</v>
          </cell>
        </row>
        <row r="46">
          <cell r="A46" t="str">
            <v>Pre-Tax Extraordinary Charges/(FYins)</v>
          </cell>
          <cell r="N46">
            <v>0</v>
          </cell>
          <cell r="O46">
            <v>0</v>
          </cell>
          <cell r="P46">
            <v>64.977391304347833</v>
          </cell>
          <cell r="Q46">
            <v>39.049635036496348</v>
          </cell>
          <cell r="R46">
            <v>0</v>
          </cell>
          <cell r="S46">
            <v>80</v>
          </cell>
          <cell r="T46">
            <v>194.65822784810126</v>
          </cell>
          <cell r="U46">
            <v>68</v>
          </cell>
          <cell r="V46">
            <v>-3.8885496183206101</v>
          </cell>
          <cell r="W46">
            <v>158</v>
          </cell>
          <cell r="X46">
            <v>-454.87025227165736</v>
          </cell>
          <cell r="Y46">
            <v>238.49507674485955</v>
          </cell>
          <cell r="Z46">
            <v>95.101083032490976</v>
          </cell>
          <cell r="AA46">
            <v>4548.1295336787571</v>
          </cell>
          <cell r="AB46">
            <v>391</v>
          </cell>
          <cell r="AC46">
            <v>89.519480519480524</v>
          </cell>
          <cell r="AD46">
            <v>-25</v>
          </cell>
          <cell r="AE46">
            <v>0</v>
          </cell>
          <cell r="AF46">
            <v>0</v>
          </cell>
          <cell r="AG46">
            <v>0</v>
          </cell>
          <cell r="AH46">
            <v>0</v>
          </cell>
          <cell r="AI46">
            <v>0</v>
          </cell>
          <cell r="AJ46">
            <v>0</v>
          </cell>
          <cell r="AK46">
            <v>0</v>
          </cell>
          <cell r="AL46">
            <v>0</v>
          </cell>
          <cell r="AN46" t="str">
            <v>Pre-Tax Extraordinary Charges/(FYins)</v>
          </cell>
          <cell r="FY46">
            <v>1151</v>
          </cell>
          <cell r="GS46" t="str">
            <v>mstag:incomeLossFromExtraordinaryItemsPretax</v>
          </cell>
          <cell r="GT46">
            <v>6</v>
          </cell>
          <cell r="GU46" t="str">
            <v>ISO4217:USD</v>
          </cell>
          <cell r="GV46" t="b">
            <v>1</v>
          </cell>
          <cell r="GW46" t="b">
            <v>0</v>
          </cell>
        </row>
        <row r="47">
          <cell r="A47" t="str">
            <v>Taxes (Benefit) on Extraordinary Charges</v>
          </cell>
          <cell r="N47">
            <v>0</v>
          </cell>
          <cell r="O47">
            <v>0</v>
          </cell>
          <cell r="P47">
            <v>-25.97739130434783</v>
          </cell>
          <cell r="Q47">
            <v>-16.049635036496348</v>
          </cell>
          <cell r="R47">
            <v>0</v>
          </cell>
          <cell r="S47">
            <v>0</v>
          </cell>
          <cell r="T47">
            <v>30.341772151898731</v>
          </cell>
          <cell r="U47">
            <v>0</v>
          </cell>
          <cell r="V47">
            <v>24.888549618320614</v>
          </cell>
          <cell r="W47">
            <v>0</v>
          </cell>
          <cell r="X47">
            <v>56.870252271657364</v>
          </cell>
          <cell r="Y47">
            <v>73.879923255140454</v>
          </cell>
          <cell r="Z47">
            <v>45.898916967509031</v>
          </cell>
          <cell r="AA47">
            <v>1254.8704663212436</v>
          </cell>
          <cell r="AB47">
            <v>0</v>
          </cell>
          <cell r="AC47">
            <v>-23.119480519480522</v>
          </cell>
          <cell r="AD47">
            <v>0</v>
          </cell>
          <cell r="AE47">
            <v>0</v>
          </cell>
          <cell r="AF47">
            <v>0</v>
          </cell>
          <cell r="AG47">
            <v>0</v>
          </cell>
          <cell r="AH47">
            <v>0</v>
          </cell>
          <cell r="AI47">
            <v>0</v>
          </cell>
          <cell r="AJ47">
            <v>0</v>
          </cell>
          <cell r="AK47">
            <v>0</v>
          </cell>
          <cell r="AL47">
            <v>0</v>
          </cell>
          <cell r="AN47" t="str">
            <v>Taxes (Benefit) on Extraordinary Charges</v>
          </cell>
          <cell r="FY47">
            <v>0.6329278887923544</v>
          </cell>
          <cell r="GS47" t="str">
            <v>mstag:taxOnIncomeLossFromExtraordinaryItems</v>
          </cell>
          <cell r="GT47">
            <v>6</v>
          </cell>
          <cell r="GU47" t="str">
            <v>ISO4217:USD</v>
          </cell>
          <cell r="GV47" t="b">
            <v>0</v>
          </cell>
        </row>
        <row r="48">
          <cell r="A48" t="str">
            <v>Post-Tax Extraordinary Charges/(FYins)</v>
          </cell>
          <cell r="N48">
            <v>0</v>
          </cell>
          <cell r="O48">
            <v>0</v>
          </cell>
          <cell r="P48">
            <v>39</v>
          </cell>
          <cell r="Q48">
            <v>23</v>
          </cell>
          <cell r="R48">
            <v>0</v>
          </cell>
          <cell r="S48">
            <v>80</v>
          </cell>
          <cell r="T48">
            <v>225</v>
          </cell>
          <cell r="U48">
            <v>68</v>
          </cell>
          <cell r="V48">
            <v>21.000000000000004</v>
          </cell>
          <cell r="W48">
            <v>158</v>
          </cell>
          <cell r="X48">
            <v>-398</v>
          </cell>
          <cell r="Y48">
            <v>312.375</v>
          </cell>
          <cell r="Z48">
            <v>141</v>
          </cell>
          <cell r="AA48">
            <v>5803.0000000000009</v>
          </cell>
          <cell r="AB48">
            <v>391</v>
          </cell>
          <cell r="AC48">
            <v>66.400000000000006</v>
          </cell>
          <cell r="AD48">
            <v>-25</v>
          </cell>
          <cell r="AE48">
            <v>0</v>
          </cell>
          <cell r="AF48">
            <v>0</v>
          </cell>
          <cell r="AG48">
            <v>0</v>
          </cell>
          <cell r="AH48">
            <v>0</v>
          </cell>
          <cell r="AI48">
            <v>0</v>
          </cell>
          <cell r="AJ48">
            <v>0</v>
          </cell>
          <cell r="AK48">
            <v>0</v>
          </cell>
          <cell r="AL48">
            <v>0</v>
          </cell>
          <cell r="AN48" t="str">
            <v>Post-Tax Extraordinary Charges/(FYins)</v>
          </cell>
        </row>
        <row r="50">
          <cell r="A50" t="str">
            <v>Extraordinary Charges (FYins)</v>
          </cell>
          <cell r="AN50" t="str">
            <v>Extraordinary Charges (FYins)</v>
          </cell>
          <cell r="FD50">
            <v>110</v>
          </cell>
          <cell r="FE50">
            <v>76</v>
          </cell>
          <cell r="FF50">
            <v>16</v>
          </cell>
          <cell r="FG50">
            <v>219</v>
          </cell>
          <cell r="FH50">
            <v>421</v>
          </cell>
          <cell r="FJ50">
            <v>138</v>
          </cell>
          <cell r="FK50">
            <v>34</v>
          </cell>
          <cell r="FL50">
            <v>33</v>
          </cell>
          <cell r="FM50">
            <v>186</v>
          </cell>
          <cell r="FN50">
            <v>391</v>
          </cell>
          <cell r="FP50">
            <v>0</v>
          </cell>
          <cell r="FQ50">
            <v>0</v>
          </cell>
          <cell r="FR50">
            <v>0</v>
          </cell>
          <cell r="FS50">
            <v>25</v>
          </cell>
          <cell r="FT50">
            <v>25</v>
          </cell>
          <cell r="FV50">
            <v>0</v>
          </cell>
          <cell r="FW50">
            <v>0</v>
          </cell>
          <cell r="FX50">
            <v>0</v>
          </cell>
          <cell r="FY50">
            <v>-25</v>
          </cell>
          <cell r="FZ50">
            <v>-25</v>
          </cell>
          <cell r="GB50">
            <v>0</v>
          </cell>
          <cell r="GC50">
            <v>0</v>
          </cell>
          <cell r="GD50">
            <v>0</v>
          </cell>
          <cell r="GE50">
            <v>0</v>
          </cell>
          <cell r="GF50">
            <v>0</v>
          </cell>
        </row>
        <row r="51">
          <cell r="A51" t="str">
            <v>Taxes on Extraordinary Charges (FYins)</v>
          </cell>
          <cell r="AN51" t="str">
            <v>Taxes on Extraordinary Charges (FYins)</v>
          </cell>
          <cell r="FD51">
            <v>41</v>
          </cell>
          <cell r="FE51">
            <v>28</v>
          </cell>
          <cell r="FF51">
            <v>6</v>
          </cell>
          <cell r="FG51">
            <v>81</v>
          </cell>
          <cell r="FH51">
            <v>156</v>
          </cell>
          <cell r="FJ51">
            <v>118</v>
          </cell>
          <cell r="FK51">
            <v>-43</v>
          </cell>
          <cell r="FL51">
            <v>10</v>
          </cell>
          <cell r="FM51">
            <v>59</v>
          </cell>
          <cell r="FN51">
            <v>144</v>
          </cell>
          <cell r="FP51">
            <v>0</v>
          </cell>
          <cell r="FQ51">
            <v>0</v>
          </cell>
          <cell r="FR51">
            <v>0</v>
          </cell>
          <cell r="FS51">
            <v>0</v>
          </cell>
          <cell r="FT51">
            <v>0</v>
          </cell>
          <cell r="FV51">
            <v>0</v>
          </cell>
          <cell r="FW51">
            <v>0</v>
          </cell>
          <cell r="FX51">
            <v>0</v>
          </cell>
          <cell r="FY51">
            <v>0</v>
          </cell>
          <cell r="FZ51">
            <v>0</v>
          </cell>
          <cell r="GB51">
            <v>0</v>
          </cell>
          <cell r="GC51">
            <v>0</v>
          </cell>
          <cell r="GD51">
            <v>0</v>
          </cell>
          <cell r="GE51">
            <v>0</v>
          </cell>
          <cell r="GF51">
            <v>0</v>
          </cell>
        </row>
        <row r="52">
          <cell r="A52" t="str">
            <v>Tax Rate on Extraordinary Charges (FYins)</v>
          </cell>
          <cell r="AN52" t="str">
            <v>Tax Rate on Extraordinary Charges (FYins)</v>
          </cell>
          <cell r="FD52">
            <v>0.37272727272727274</v>
          </cell>
          <cell r="FE52">
            <v>0.36842105263157893</v>
          </cell>
          <cell r="FF52">
            <v>0.375</v>
          </cell>
          <cell r="FG52">
            <v>0.36986301369863012</v>
          </cell>
          <cell r="FH52">
            <v>0.37054631828978624</v>
          </cell>
          <cell r="FJ52">
            <v>0.85507246376811596</v>
          </cell>
          <cell r="FK52">
            <v>-1.2647058823529411</v>
          </cell>
          <cell r="FL52">
            <v>0.30303030303030304</v>
          </cell>
          <cell r="FM52">
            <v>0.31720430107526881</v>
          </cell>
          <cell r="FN52">
            <v>0.36828644501278773</v>
          </cell>
          <cell r="FP52" t="str">
            <v>NM</v>
          </cell>
          <cell r="FQ52" t="str">
            <v>NM</v>
          </cell>
          <cell r="FR52" t="str">
            <v>NM</v>
          </cell>
          <cell r="FS52" t="str">
            <v>NM</v>
          </cell>
          <cell r="FT52" t="str">
            <v>NM</v>
          </cell>
          <cell r="FV52" t="str">
            <v>NM</v>
          </cell>
          <cell r="FW52" t="str">
            <v>NM</v>
          </cell>
          <cell r="FX52" t="str">
            <v>NM</v>
          </cell>
          <cell r="FY52" t="str">
            <v>NM</v>
          </cell>
          <cell r="FZ52" t="str">
            <v>NM</v>
          </cell>
          <cell r="GB52" t="str">
            <v>NM</v>
          </cell>
          <cell r="GC52" t="str">
            <v>NM</v>
          </cell>
          <cell r="GD52">
            <v>0.37</v>
          </cell>
          <cell r="GE52">
            <v>0.37</v>
          </cell>
          <cell r="GF52">
            <v>0.37</v>
          </cell>
        </row>
        <row r="54">
          <cell r="A54" t="str">
            <v>Continuing Pre-Tax Income</v>
          </cell>
          <cell r="FD54">
            <v>4</v>
          </cell>
          <cell r="FE54">
            <v>197</v>
          </cell>
          <cell r="FF54">
            <v>-59</v>
          </cell>
          <cell r="FG54">
            <v>723</v>
          </cell>
          <cell r="FH54">
            <v>865</v>
          </cell>
          <cell r="FJ54">
            <v>-117</v>
          </cell>
          <cell r="FK54">
            <v>143</v>
          </cell>
          <cell r="FL54">
            <v>-49</v>
          </cell>
          <cell r="FM54">
            <v>921</v>
          </cell>
          <cell r="FN54">
            <v>898</v>
          </cell>
          <cell r="FP54">
            <v>41</v>
          </cell>
          <cell r="FQ54">
            <v>240</v>
          </cell>
          <cell r="FR54">
            <v>13</v>
          </cell>
          <cell r="FS54">
            <v>1051</v>
          </cell>
          <cell r="FT54">
            <v>1345</v>
          </cell>
          <cell r="FV54">
            <v>214</v>
          </cell>
          <cell r="FW54">
            <v>395</v>
          </cell>
          <cell r="FX54">
            <v>183</v>
          </cell>
          <cell r="FY54">
            <v>1151</v>
          </cell>
          <cell r="FZ54">
            <v>1943</v>
          </cell>
          <cell r="GB54">
            <v>279</v>
          </cell>
          <cell r="GC54">
            <v>449</v>
          </cell>
          <cell r="GD54">
            <v>174.65499452664795</v>
          </cell>
          <cell r="GE54">
            <v>1330.6989484464721</v>
          </cell>
          <cell r="GF54">
            <v>2233.35394297312</v>
          </cell>
        </row>
        <row r="55">
          <cell r="A55" t="str">
            <v>Continuing Taxes</v>
          </cell>
          <cell r="FD55">
            <v>-6</v>
          </cell>
          <cell r="FE55">
            <v>76</v>
          </cell>
          <cell r="FF55">
            <v>-25</v>
          </cell>
          <cell r="FG55">
            <v>275</v>
          </cell>
          <cell r="FH55">
            <v>320</v>
          </cell>
          <cell r="FJ55">
            <v>-49</v>
          </cell>
          <cell r="FK55">
            <v>59</v>
          </cell>
          <cell r="FL55">
            <v>-37</v>
          </cell>
          <cell r="FM55">
            <v>349</v>
          </cell>
          <cell r="FN55">
            <v>322</v>
          </cell>
          <cell r="FP55">
            <v>18</v>
          </cell>
          <cell r="FQ55">
            <v>93</v>
          </cell>
          <cell r="FR55">
            <v>3</v>
          </cell>
          <cell r="FS55">
            <v>368</v>
          </cell>
          <cell r="FT55">
            <v>482</v>
          </cell>
          <cell r="FV55">
            <v>83</v>
          </cell>
          <cell r="FW55">
            <v>154</v>
          </cell>
          <cell r="FX55">
            <v>44</v>
          </cell>
          <cell r="FY55">
            <v>422.5</v>
          </cell>
          <cell r="FZ55">
            <v>703.5</v>
          </cell>
          <cell r="GB55">
            <v>98</v>
          </cell>
          <cell r="GC55">
            <v>170</v>
          </cell>
          <cell r="GD55">
            <v>64.622347974859736</v>
          </cell>
          <cell r="GE55">
            <v>492.35861092519468</v>
          </cell>
          <cell r="GF55">
            <v>824.98095890005447</v>
          </cell>
        </row>
        <row r="56">
          <cell r="A56" t="str">
            <v>Tax Rate on Continuing Operations</v>
          </cell>
          <cell r="N56">
            <v>0.62871287128712872</v>
          </cell>
          <cell r="O56">
            <v>0.3968253968253968</v>
          </cell>
          <cell r="P56">
            <v>0.39979123173277664</v>
          </cell>
          <cell r="Q56">
            <v>0.411006018916595</v>
          </cell>
          <cell r="R56">
            <v>0.40476190476190477</v>
          </cell>
          <cell r="S56">
            <v>0.40072992700729926</v>
          </cell>
          <cell r="T56">
            <v>0.3923076923076923</v>
          </cell>
          <cell r="U56">
            <v>0.39122137404580154</v>
          </cell>
          <cell r="V56">
            <v>0.39575645756457567</v>
          </cell>
          <cell r="W56">
            <v>0.38261648745519711</v>
          </cell>
          <cell r="X56">
            <v>0.37446604203916711</v>
          </cell>
          <cell r="Y56">
            <v>0.37218181818181817</v>
          </cell>
          <cell r="Z56">
            <v>0.37045454545454548</v>
          </cell>
          <cell r="AA56">
            <v>0.36994219653179189</v>
          </cell>
          <cell r="AB56">
            <v>0.35857461024498888</v>
          </cell>
          <cell r="AC56">
            <v>0.35836431226765797</v>
          </cell>
          <cell r="AD56">
            <v>0.36206896551724138</v>
          </cell>
          <cell r="AE56">
            <v>0.37</v>
          </cell>
          <cell r="AF56">
            <v>0.37</v>
          </cell>
          <cell r="AG56">
            <v>0.37</v>
          </cell>
          <cell r="AH56">
            <v>0.37</v>
          </cell>
          <cell r="AI56">
            <v>0.37</v>
          </cell>
          <cell r="AJ56">
            <v>0.37</v>
          </cell>
          <cell r="AK56">
            <v>0.37</v>
          </cell>
          <cell r="AL56">
            <v>0.37</v>
          </cell>
          <cell r="FE56">
            <v>0.38578680203045684</v>
          </cell>
          <cell r="FF56">
            <v>0.42372881355932202</v>
          </cell>
          <cell r="FG56">
            <v>0.38035961272475793</v>
          </cell>
          <cell r="FH56">
            <v>0.36994219653179189</v>
          </cell>
          <cell r="FJ56">
            <v>0.41880341880341881</v>
          </cell>
          <cell r="FK56">
            <v>0.41258741258741261</v>
          </cell>
          <cell r="FL56">
            <v>0.75510204081632648</v>
          </cell>
          <cell r="FM56">
            <v>0.37893593919652552</v>
          </cell>
          <cell r="FN56">
            <v>0.35857461024498888</v>
          </cell>
          <cell r="FP56">
            <v>0.43902439024390244</v>
          </cell>
          <cell r="FQ56">
            <v>0.38750000000000001</v>
          </cell>
          <cell r="FR56">
            <v>0.23076923076923078</v>
          </cell>
          <cell r="FS56">
            <v>0.35014272121788775</v>
          </cell>
          <cell r="FT56">
            <v>0.35836431226765797</v>
          </cell>
          <cell r="FV56">
            <v>0.38785046728971961</v>
          </cell>
          <cell r="FW56">
            <v>0.38987341772151901</v>
          </cell>
          <cell r="FX56">
            <v>0.24043715846994534</v>
          </cell>
          <cell r="FY56">
            <v>0.36707211120764555</v>
          </cell>
          <cell r="FZ56">
            <v>0.36206896551724138</v>
          </cell>
          <cell r="GB56">
            <v>0.35125448028673834</v>
          </cell>
          <cell r="GC56">
            <v>0.37861915367483295</v>
          </cell>
          <cell r="GD56">
            <v>0.37</v>
          </cell>
          <cell r="GE56">
            <v>0.37</v>
          </cell>
          <cell r="GF56">
            <v>0.36939105039562631</v>
          </cell>
          <cell r="GS56" t="str">
            <v>mstag:statutoryTaxRate</v>
          </cell>
          <cell r="GT56">
            <v>0</v>
          </cell>
          <cell r="GU56" t="str">
            <v>ms_eqr_gcim_Decimal:ms_eqr_gcim_decimal</v>
          </cell>
          <cell r="GV56" t="b">
            <v>0</v>
          </cell>
        </row>
        <row r="58">
          <cell r="A58" t="str">
            <v>Total Tax Expense</v>
          </cell>
          <cell r="FD58">
            <v>-47</v>
          </cell>
          <cell r="FE58">
            <v>48</v>
          </cell>
          <cell r="FF58">
            <v>-31</v>
          </cell>
          <cell r="FG58">
            <v>-105</v>
          </cell>
          <cell r="FH58">
            <v>-135</v>
          </cell>
          <cell r="FJ58">
            <v>-167</v>
          </cell>
          <cell r="FK58">
            <v>102</v>
          </cell>
          <cell r="FL58">
            <v>-47</v>
          </cell>
          <cell r="FM58">
            <v>290</v>
          </cell>
          <cell r="FN58">
            <v>178</v>
          </cell>
          <cell r="FP58">
            <v>18</v>
          </cell>
          <cell r="FQ58">
            <v>93</v>
          </cell>
          <cell r="FR58">
            <v>3</v>
          </cell>
          <cell r="FS58">
            <v>359</v>
          </cell>
          <cell r="FT58">
            <v>473</v>
          </cell>
          <cell r="FV58">
            <v>83</v>
          </cell>
          <cell r="FW58">
            <v>154</v>
          </cell>
          <cell r="FX58">
            <v>44</v>
          </cell>
          <cell r="FY58">
            <v>431</v>
          </cell>
          <cell r="FZ58">
            <v>712</v>
          </cell>
          <cell r="GB58">
            <v>98</v>
          </cell>
          <cell r="GC58">
            <v>170</v>
          </cell>
          <cell r="GD58">
            <v>64.622347974859736</v>
          </cell>
          <cell r="GE58">
            <v>492.35861092519468</v>
          </cell>
          <cell r="GF58">
            <v>824.98095890005447</v>
          </cell>
        </row>
        <row r="59">
          <cell r="A59" t="str">
            <v>Tax Rate</v>
          </cell>
          <cell r="FD59">
            <v>0.44339622641509435</v>
          </cell>
          <cell r="FE59">
            <v>0.39669421487603307</v>
          </cell>
          <cell r="FF59">
            <v>0.41333333333333333</v>
          </cell>
          <cell r="FG59">
            <v>-0.20833333333333334</v>
          </cell>
          <cell r="FH59">
            <v>-0.30405405405405406</v>
          </cell>
          <cell r="FJ59">
            <v>0.65490196078431373</v>
          </cell>
          <cell r="FK59">
            <v>0.93577981651376152</v>
          </cell>
          <cell r="FL59">
            <v>0.57317073170731703</v>
          </cell>
          <cell r="FM59">
            <v>0.39455782312925169</v>
          </cell>
          <cell r="FN59">
            <v>0.35108481262327418</v>
          </cell>
          <cell r="FP59">
            <v>0.43902439024390244</v>
          </cell>
          <cell r="FQ59">
            <v>0.38750000000000001</v>
          </cell>
          <cell r="FR59">
            <v>0.23076923076923078</v>
          </cell>
          <cell r="FS59">
            <v>0.34990253411306044</v>
          </cell>
          <cell r="FT59">
            <v>0.35833333333333334</v>
          </cell>
          <cell r="FV59">
            <v>0.38785046728971961</v>
          </cell>
          <cell r="FW59">
            <v>0.38987341772151901</v>
          </cell>
          <cell r="FX59">
            <v>0.24043715846994534</v>
          </cell>
          <cell r="FY59">
            <v>0.36649659863945577</v>
          </cell>
          <cell r="FZ59">
            <v>0.36178861788617889</v>
          </cell>
          <cell r="GB59">
            <v>0.35125448028673834</v>
          </cell>
          <cell r="GC59">
            <v>0.37861915367483295</v>
          </cell>
          <cell r="GD59">
            <v>0.36999999999999994</v>
          </cell>
          <cell r="GE59">
            <v>0.37</v>
          </cell>
          <cell r="GF59">
            <v>0.36939105039562631</v>
          </cell>
        </row>
        <row r="61">
          <cell r="A61" t="str">
            <v>As a % of Sales</v>
          </cell>
          <cell r="AN61" t="str">
            <v>As % of Sales</v>
          </cell>
        </row>
        <row r="62">
          <cell r="A62" t="str">
            <v>Cost of Goods Sold (FIFO)</v>
          </cell>
          <cell r="K62">
            <v>0.61379177462321644</v>
          </cell>
          <cell r="L62">
            <v>0.61286106320358991</v>
          </cell>
          <cell r="N62">
            <v>0.61844806350075265</v>
          </cell>
          <cell r="O62">
            <v>0.60796871839816624</v>
          </cell>
          <cell r="P62">
            <v>0.60446780551905388</v>
          </cell>
          <cell r="Q62">
            <v>0.59993491701919943</v>
          </cell>
          <cell r="R62">
            <v>0.59741718135878719</v>
          </cell>
          <cell r="S62">
            <v>0.5983291260968866</v>
          </cell>
          <cell r="T62">
            <v>0.60836236933797905</v>
          </cell>
          <cell r="U62">
            <v>0.59880547171023057</v>
          </cell>
          <cell r="V62">
            <v>0.59531533869711917</v>
          </cell>
          <cell r="W62">
            <v>0.59241886409736311</v>
          </cell>
          <cell r="X62">
            <v>0.59276462706565436</v>
          </cell>
          <cell r="Y62">
            <v>0.59395624768261035</v>
          </cell>
          <cell r="Z62">
            <v>0.59578915365028695</v>
          </cell>
          <cell r="AA62">
            <v>0.60296480797043228</v>
          </cell>
          <cell r="AB62">
            <v>0.59753086419753088</v>
          </cell>
          <cell r="AC62">
            <v>0.59288885333759944</v>
          </cell>
          <cell r="AD62">
            <v>0.59602348040143915</v>
          </cell>
          <cell r="AE62">
            <v>0.59474414748937621</v>
          </cell>
          <cell r="AF62">
            <v>0.5917441474893762</v>
          </cell>
          <cell r="AG62">
            <v>0.59024414748937615</v>
          </cell>
          <cell r="AH62">
            <v>0.59124414748937626</v>
          </cell>
          <cell r="AI62">
            <v>0.59324414748937615</v>
          </cell>
          <cell r="AJ62">
            <v>0.59324414748937626</v>
          </cell>
          <cell r="AK62">
            <v>0.59324414748937615</v>
          </cell>
          <cell r="AL62">
            <v>0.59324414748937626</v>
          </cell>
          <cell r="AN62" t="str">
            <v>Cost of Goods Sold (FIFO)</v>
          </cell>
          <cell r="AO62">
            <v>0.60057656275542926</v>
          </cell>
          <cell r="AP62">
            <v>0.6221511287992596</v>
          </cell>
          <cell r="AQ62">
            <v>0.60479300095568056</v>
          </cell>
          <cell r="AR62">
            <v>0.6294896976051404</v>
          </cell>
          <cell r="AS62">
            <v>0.6153719492191454</v>
          </cell>
          <cell r="AU62">
            <v>0.59872575888702217</v>
          </cell>
          <cell r="AV62">
            <v>0.59999010525203866</v>
          </cell>
          <cell r="AW62">
            <v>0.60363297815379591</v>
          </cell>
          <cell r="AX62">
            <v>0.6181168180071781</v>
          </cell>
          <cell r="AY62">
            <v>0.60617818875433238</v>
          </cell>
          <cell r="BA62">
            <v>0.58843971531933681</v>
          </cell>
          <cell r="BB62">
            <v>0.59550840920881798</v>
          </cell>
          <cell r="BC62">
            <v>0.59443029908354827</v>
          </cell>
          <cell r="BD62">
            <v>0.60333203951480918</v>
          </cell>
          <cell r="BE62">
            <v>0.59616640873137217</v>
          </cell>
          <cell r="BG62">
            <v>0.59604630440701789</v>
          </cell>
          <cell r="BH62">
            <v>0.59912879554386378</v>
          </cell>
          <cell r="BI62">
            <v>0.60210303943129073</v>
          </cell>
          <cell r="BJ62">
            <v>0.61593435522401285</v>
          </cell>
          <cell r="BK62">
            <v>0.60464400533045182</v>
          </cell>
          <cell r="BM62">
            <v>0.60650471598560973</v>
          </cell>
          <cell r="BN62">
            <v>0.61069795125618698</v>
          </cell>
          <cell r="BO62">
            <v>0.61373481882758607</v>
          </cell>
          <cell r="BP62">
            <v>0.62352648329569904</v>
          </cell>
          <cell r="BQ62">
            <v>0.61477004731898655</v>
          </cell>
          <cell r="BS62">
            <v>0.60652791014295437</v>
          </cell>
          <cell r="BT62">
            <v>0.6192234202265593</v>
          </cell>
          <cell r="BU62">
            <v>0.61024762870607896</v>
          </cell>
          <cell r="BV62">
            <v>0.61765424878908959</v>
          </cell>
          <cell r="BW62">
            <v>0.61379177462321644</v>
          </cell>
          <cell r="BY62">
            <v>0.60982474600117942</v>
          </cell>
          <cell r="BZ62">
            <v>0.61139317361339018</v>
          </cell>
          <cell r="CA62">
            <v>0.61184906801442795</v>
          </cell>
          <cell r="CB62">
            <v>0.69662729026036696</v>
          </cell>
          <cell r="CC62">
            <v>0.62122405771683631</v>
          </cell>
          <cell r="CD62">
            <v>0.61651560643698022</v>
          </cell>
          <cell r="CE62">
            <v>0.62762274687078579</v>
          </cell>
          <cell r="CF62">
            <v>0.61286106320358991</v>
          </cell>
          <cell r="CG62">
            <v>0.61701593761245654</v>
          </cell>
          <cell r="CH62">
            <v>0.61921040036990405</v>
          </cell>
          <cell r="CJ62">
            <v>0.61036992153179626</v>
          </cell>
          <cell r="CK62">
            <v>0.60762316136394912</v>
          </cell>
          <cell r="CL62">
            <v>0.60676453279278098</v>
          </cell>
          <cell r="CM62">
            <v>0.6134235876446239</v>
          </cell>
          <cell r="CN62">
            <v>0.60993271142476924</v>
          </cell>
          <cell r="CP62">
            <v>0.6121470503427453</v>
          </cell>
          <cell r="CQ62">
            <v>0.60781202891889508</v>
          </cell>
          <cell r="CR62">
            <v>0.61045128548991046</v>
          </cell>
          <cell r="CS62">
            <v>0.61427682685535268</v>
          </cell>
          <cell r="CT62">
            <v>0.61147410135820623</v>
          </cell>
          <cell r="CV62">
            <v>0.6023235031277927</v>
          </cell>
          <cell r="CW62">
            <v>0.58873321657910094</v>
          </cell>
          <cell r="CX62">
            <v>0.60456595264937996</v>
          </cell>
          <cell r="CY62">
            <v>0.60270162892332146</v>
          </cell>
          <cell r="CZ62">
            <v>0.59993491701919943</v>
          </cell>
          <cell r="DB62">
            <v>0.60388888888888892</v>
          </cell>
          <cell r="DC62">
            <v>0.57888167748377439</v>
          </cell>
          <cell r="DD62">
            <v>0.59318346627991303</v>
          </cell>
          <cell r="DE62">
            <v>0.5853005190021765</v>
          </cell>
          <cell r="DF62">
            <v>0.58946714834048319</v>
          </cell>
          <cell r="DH62">
            <v>0.6022949902043101</v>
          </cell>
          <cell r="DI62">
            <v>0.59064963305245988</v>
          </cell>
          <cell r="DJ62">
            <v>0.60682178741406667</v>
          </cell>
          <cell r="DK62">
            <v>0.59511063526052821</v>
          </cell>
          <cell r="DL62">
            <v>0.5983291260968866</v>
          </cell>
          <cell r="DN62">
            <v>0.60686164229471318</v>
          </cell>
          <cell r="DO62">
            <v>0.61009174311926606</v>
          </cell>
          <cell r="DP62">
            <v>0.61410071942446043</v>
          </cell>
          <cell r="DQ62">
            <v>0.60619641465315666</v>
          </cell>
          <cell r="DR62">
            <v>0.60836236933797905</v>
          </cell>
          <cell r="DT62">
            <v>0.60179554011004921</v>
          </cell>
          <cell r="DU62">
            <v>0.58835341365461846</v>
          </cell>
          <cell r="DV62">
            <v>0.60707099741304971</v>
          </cell>
          <cell r="DW62">
            <v>0.60075742475583016</v>
          </cell>
          <cell r="DX62">
            <v>0.59880547171023057</v>
          </cell>
          <cell r="DZ62">
            <v>0.60832573685809788</v>
          </cell>
          <cell r="EA62">
            <v>0.58969132207338382</v>
          </cell>
          <cell r="EB62">
            <v>0.59982788296041312</v>
          </cell>
          <cell r="EC62">
            <v>0.58994656639620024</v>
          </cell>
          <cell r="ED62">
            <v>0.59531533869711917</v>
          </cell>
          <cell r="EF62">
            <v>0.59690140845070427</v>
          </cell>
          <cell r="EG62">
            <v>0.58586986875174529</v>
          </cell>
          <cell r="EH62">
            <v>0.59773049645390075</v>
          </cell>
          <cell r="EI62">
            <v>0.59023437499999998</v>
          </cell>
          <cell r="EJ62">
            <v>0.59241886409736311</v>
          </cell>
          <cell r="EK62" t="str">
            <v>Cost of Goods Sold (FIFO)</v>
          </cell>
          <cell r="EL62">
            <v>0.5976380115352925</v>
          </cell>
          <cell r="EM62">
            <v>0.58680651393872485</v>
          </cell>
          <cell r="EN62">
            <v>0.59621962196219624</v>
          </cell>
          <cell r="EO62">
            <v>0.59116079824469747</v>
          </cell>
          <cell r="EP62">
            <v>0.59276462706565436</v>
          </cell>
          <cell r="ER62">
            <v>0.61163575042158513</v>
          </cell>
          <cell r="ES62">
            <v>0.57881567973311088</v>
          </cell>
          <cell r="ET62">
            <v>0.59683995922528033</v>
          </cell>
          <cell r="EU62">
            <v>0.59056665574844414</v>
          </cell>
          <cell r="EV62">
            <v>0.59395624768261035</v>
          </cell>
          <cell r="EX62">
            <v>0.60192535044755957</v>
          </cell>
          <cell r="EY62">
            <v>0.59521384928716903</v>
          </cell>
          <cell r="EZ62">
            <v>0.60700982052150354</v>
          </cell>
          <cell r="FA62">
            <v>0.58424482196881544</v>
          </cell>
          <cell r="FB62">
            <v>0.59578915365028695</v>
          </cell>
          <cell r="FD62">
            <v>0.61371150165303634</v>
          </cell>
          <cell r="FE62">
            <v>0.5851696397341728</v>
          </cell>
          <cell r="FF62">
            <v>0.60513380666302563</v>
          </cell>
          <cell r="FG62">
            <v>0.60650365515502902</v>
          </cell>
          <cell r="FH62">
            <v>0.60296480797043228</v>
          </cell>
          <cell r="FJ62">
            <v>0.62008320726172461</v>
          </cell>
          <cell r="FK62">
            <v>0.58978240302743612</v>
          </cell>
          <cell r="FL62">
            <v>0.6018570102135562</v>
          </cell>
          <cell r="FM62">
            <v>0.58472974675570111</v>
          </cell>
          <cell r="FN62">
            <v>0.59753086419753088</v>
          </cell>
          <cell r="FP62">
            <v>0.60602798708288486</v>
          </cell>
          <cell r="FQ62">
            <v>0.58045873216543253</v>
          </cell>
          <cell r="FR62">
            <v>0.60056909123243818</v>
          </cell>
          <cell r="FS62">
            <v>0.58713266416737209</v>
          </cell>
          <cell r="FT62">
            <v>0.59288885333759944</v>
          </cell>
          <cell r="FV62">
            <v>0.60893190694515198</v>
          </cell>
          <cell r="FW62">
            <v>0.58208452601448057</v>
          </cell>
          <cell r="FX62">
            <v>0.60550145224671104</v>
          </cell>
          <cell r="FY62">
            <v>0.59044016506189823</v>
          </cell>
          <cell r="FZ62">
            <v>0.59602348040143915</v>
          </cell>
          <cell r="GB62">
            <v>0.61159042812957842</v>
          </cell>
          <cell r="GC62">
            <v>0.58107224583197126</v>
          </cell>
          <cell r="GD62">
            <v>0.60400145224671109</v>
          </cell>
          <cell r="GE62">
            <v>0.58662736950345429</v>
          </cell>
          <cell r="GF62">
            <v>0.59474414748937621</v>
          </cell>
        </row>
        <row r="63">
          <cell r="A63" t="str">
            <v>Gross Margin (FIFO)</v>
          </cell>
          <cell r="K63">
            <v>0.38620822537678351</v>
          </cell>
          <cell r="L63">
            <v>0.38713893679641009</v>
          </cell>
          <cell r="N63">
            <v>0.38155193649924729</v>
          </cell>
          <cell r="O63">
            <v>0.39203128160183376</v>
          </cell>
          <cell r="P63">
            <v>0.39553219448094612</v>
          </cell>
          <cell r="Q63">
            <v>0.40006508298080051</v>
          </cell>
          <cell r="R63">
            <v>0.40258281864121281</v>
          </cell>
          <cell r="S63">
            <v>0.40167087390311335</v>
          </cell>
          <cell r="T63">
            <v>0.3916376306620209</v>
          </cell>
          <cell r="U63">
            <v>0.40119452828976943</v>
          </cell>
          <cell r="V63">
            <v>0.40468466130288089</v>
          </cell>
          <cell r="W63">
            <v>0.40758113590263689</v>
          </cell>
          <cell r="X63">
            <v>0.4072353729343457</v>
          </cell>
          <cell r="Y63">
            <v>0.40604375231738971</v>
          </cell>
          <cell r="Z63">
            <v>0.40421084634971305</v>
          </cell>
          <cell r="AA63">
            <v>0.39703519202956772</v>
          </cell>
          <cell r="AB63">
            <v>0.40246913580246912</v>
          </cell>
          <cell r="AC63">
            <v>0.4071111466624005</v>
          </cell>
          <cell r="AD63">
            <v>0.4039765195985609</v>
          </cell>
          <cell r="AE63">
            <v>0.40525585251062379</v>
          </cell>
          <cell r="AF63">
            <v>0.40825585251062385</v>
          </cell>
          <cell r="AG63">
            <v>0.4097558525106238</v>
          </cell>
          <cell r="AH63">
            <v>0.4087558525106238</v>
          </cell>
          <cell r="AI63">
            <v>0.40675585251062379</v>
          </cell>
          <cell r="AJ63">
            <v>0.40675585251062374</v>
          </cell>
          <cell r="AK63">
            <v>0.40675585251062385</v>
          </cell>
          <cell r="AL63">
            <v>0.40675585251062374</v>
          </cell>
          <cell r="AN63" t="str">
            <v>Gross Margin (FIFO)</v>
          </cell>
          <cell r="AO63">
            <v>0.3994234372445708</v>
          </cell>
          <cell r="AP63">
            <v>0.3778488712007404</v>
          </cell>
          <cell r="AQ63">
            <v>0.3952069990443195</v>
          </cell>
          <cell r="AR63">
            <v>0.3705103023948596</v>
          </cell>
          <cell r="AS63">
            <v>0.38462805078085455</v>
          </cell>
          <cell r="AU63">
            <v>0.40127424111297788</v>
          </cell>
          <cell r="AV63">
            <v>0.40000989474796134</v>
          </cell>
          <cell r="AW63">
            <v>0.39636702184620409</v>
          </cell>
          <cell r="AX63">
            <v>0.38188318199282195</v>
          </cell>
          <cell r="AY63">
            <v>0.39382181124566762</v>
          </cell>
          <cell r="BA63">
            <v>0.41156028468066325</v>
          </cell>
          <cell r="BB63">
            <v>0.40449159079118202</v>
          </cell>
          <cell r="BC63">
            <v>0.40556970091645167</v>
          </cell>
          <cell r="BD63">
            <v>0.39666796048519082</v>
          </cell>
          <cell r="BE63">
            <v>0.40383359126862778</v>
          </cell>
          <cell r="BG63">
            <v>0.40395369559298205</v>
          </cell>
          <cell r="BH63">
            <v>0.40087120445613617</v>
          </cell>
          <cell r="BI63">
            <v>0.39789696056870921</v>
          </cell>
          <cell r="BJ63">
            <v>0.38406564477598715</v>
          </cell>
          <cell r="BK63">
            <v>0.39535599466954813</v>
          </cell>
          <cell r="BM63">
            <v>0.39349528401439021</v>
          </cell>
          <cell r="BN63">
            <v>0.38930204874381302</v>
          </cell>
          <cell r="BO63">
            <v>0.38626518117241393</v>
          </cell>
          <cell r="BP63">
            <v>0.37647351670430096</v>
          </cell>
          <cell r="BQ63">
            <v>0.38522995268101345</v>
          </cell>
          <cell r="BS63">
            <v>0.39347208985704557</v>
          </cell>
          <cell r="BT63">
            <v>0.38077657977344076</v>
          </cell>
          <cell r="BU63">
            <v>0.3897523712939211</v>
          </cell>
          <cell r="BV63">
            <v>0.38234575121091047</v>
          </cell>
          <cell r="BW63">
            <v>0.38620822537678351</v>
          </cell>
          <cell r="BY63">
            <v>0.39017525399882058</v>
          </cell>
          <cell r="BZ63">
            <v>0.38860682638660982</v>
          </cell>
          <cell r="CA63">
            <v>0.38815093198557199</v>
          </cell>
          <cell r="CB63">
            <v>0.30337270973963298</v>
          </cell>
          <cell r="CC63">
            <v>0.37877594228316364</v>
          </cell>
          <cell r="CD63">
            <v>0.38348439356301972</v>
          </cell>
          <cell r="CE63">
            <v>0.37237725312921416</v>
          </cell>
          <cell r="CF63">
            <v>0.38713893679641009</v>
          </cell>
          <cell r="CG63">
            <v>0.38298406238754346</v>
          </cell>
          <cell r="CH63">
            <v>0.38078959963009601</v>
          </cell>
          <cell r="CJ63">
            <v>0.38963007846820369</v>
          </cell>
          <cell r="CK63">
            <v>0.39237683863605083</v>
          </cell>
          <cell r="CL63">
            <v>0.39323546720721908</v>
          </cell>
          <cell r="CM63">
            <v>0.38657641235537615</v>
          </cell>
          <cell r="CN63">
            <v>0.39006728857523071</v>
          </cell>
          <cell r="CP63">
            <v>0.3878529496572547</v>
          </cell>
          <cell r="CQ63">
            <v>0.39218797108110487</v>
          </cell>
          <cell r="CR63">
            <v>0.38954871451008949</v>
          </cell>
          <cell r="CS63">
            <v>0.38572317314464727</v>
          </cell>
          <cell r="CT63">
            <v>0.38852589864179371</v>
          </cell>
          <cell r="CV63">
            <v>0.39767649687220735</v>
          </cell>
          <cell r="CW63">
            <v>0.41126678342089901</v>
          </cell>
          <cell r="CX63">
            <v>0.39543404735062004</v>
          </cell>
          <cell r="CY63">
            <v>0.39729837107667859</v>
          </cell>
          <cell r="CZ63">
            <v>0.40006508298080051</v>
          </cell>
          <cell r="DB63">
            <v>0.39611111111111114</v>
          </cell>
          <cell r="DC63">
            <v>0.42111832251622566</v>
          </cell>
          <cell r="DD63">
            <v>0.40681653372008703</v>
          </cell>
          <cell r="DE63">
            <v>0.41469948099782356</v>
          </cell>
          <cell r="DF63">
            <v>0.41053285165951681</v>
          </cell>
          <cell r="DH63">
            <v>0.3977050097956899</v>
          </cell>
          <cell r="DI63">
            <v>0.40935036694754007</v>
          </cell>
          <cell r="DJ63">
            <v>0.39317821258593338</v>
          </cell>
          <cell r="DK63">
            <v>0.40488936473947179</v>
          </cell>
          <cell r="DL63">
            <v>0.40167087390311335</v>
          </cell>
          <cell r="DN63">
            <v>0.39313835770528682</v>
          </cell>
          <cell r="DO63">
            <v>0.38990825688073394</v>
          </cell>
          <cell r="DP63">
            <v>0.38589928057553957</v>
          </cell>
          <cell r="DQ63">
            <v>0.39380358534684334</v>
          </cell>
          <cell r="DR63">
            <v>0.3916376306620209</v>
          </cell>
          <cell r="DT63">
            <v>0.39820445988995079</v>
          </cell>
          <cell r="DU63">
            <v>0.41164658634538154</v>
          </cell>
          <cell r="DV63">
            <v>0.39292900258695029</v>
          </cell>
          <cell r="DW63">
            <v>0.39924257524416984</v>
          </cell>
          <cell r="DX63">
            <v>0.40119452828976943</v>
          </cell>
          <cell r="DZ63">
            <v>0.39167426314190218</v>
          </cell>
          <cell r="EA63">
            <v>0.41030867792661618</v>
          </cell>
          <cell r="EB63">
            <v>0.40017211703958694</v>
          </cell>
          <cell r="EC63">
            <v>0.4100534336037997</v>
          </cell>
          <cell r="ED63">
            <v>0.40468466130288089</v>
          </cell>
          <cell r="EF63">
            <v>0.40309859154929578</v>
          </cell>
          <cell r="EG63">
            <v>0.41413013124825465</v>
          </cell>
          <cell r="EH63">
            <v>0.40226950354609931</v>
          </cell>
          <cell r="EI63">
            <v>0.40976562500000002</v>
          </cell>
          <cell r="EJ63">
            <v>0.40758113590263689</v>
          </cell>
          <cell r="EK63" t="str">
            <v>Gross Margin (FIFO)</v>
          </cell>
          <cell r="EL63">
            <v>0.4023619884647075</v>
          </cell>
          <cell r="EM63">
            <v>0.41319348606127521</v>
          </cell>
          <cell r="EN63">
            <v>0.40378037803780376</v>
          </cell>
          <cell r="EO63">
            <v>0.40883920175530247</v>
          </cell>
          <cell r="EP63">
            <v>0.4072353729343457</v>
          </cell>
          <cell r="ER63">
            <v>0.38836424957841487</v>
          </cell>
          <cell r="ES63">
            <v>0.42118432026688907</v>
          </cell>
          <cell r="ET63">
            <v>0.40316004077471967</v>
          </cell>
          <cell r="EU63">
            <v>0.40943334425155586</v>
          </cell>
          <cell r="EV63">
            <v>0.40604375231738971</v>
          </cell>
          <cell r="EX63">
            <v>0.39807464955244048</v>
          </cell>
          <cell r="EY63">
            <v>0.40478615071283097</v>
          </cell>
          <cell r="EZ63">
            <v>0.39299017947849646</v>
          </cell>
          <cell r="FA63">
            <v>0.41575517803118456</v>
          </cell>
          <cell r="FB63">
            <v>0.40421084634971305</v>
          </cell>
          <cell r="FD63">
            <v>0.38628849834696366</v>
          </cell>
          <cell r="FE63">
            <v>0.4148303602658272</v>
          </cell>
          <cell r="FF63">
            <v>0.39486619333697431</v>
          </cell>
          <cell r="FG63">
            <v>0.39349634484497104</v>
          </cell>
          <cell r="FH63">
            <v>0.39703519202956772</v>
          </cell>
          <cell r="FJ63">
            <v>0.37991679273827533</v>
          </cell>
          <cell r="FK63">
            <v>0.41021759697256388</v>
          </cell>
          <cell r="FL63">
            <v>0.3981429897864438</v>
          </cell>
          <cell r="FM63">
            <v>0.41527025324429884</v>
          </cell>
          <cell r="FN63">
            <v>0.40246913580246912</v>
          </cell>
          <cell r="FP63">
            <v>0.3939720129171152</v>
          </cell>
          <cell r="FQ63">
            <v>0.41954126783456747</v>
          </cell>
          <cell r="FR63">
            <v>0.39943090876756182</v>
          </cell>
          <cell r="FS63">
            <v>0.41286733583262791</v>
          </cell>
          <cell r="FT63">
            <v>0.4071111466624005</v>
          </cell>
          <cell r="FV63">
            <v>0.39106809305484802</v>
          </cell>
          <cell r="FW63">
            <v>0.41791547398551943</v>
          </cell>
          <cell r="FX63">
            <v>0.39449854775328891</v>
          </cell>
          <cell r="FY63">
            <v>0.40955983493810177</v>
          </cell>
          <cell r="FZ63">
            <v>0.4039765195985609</v>
          </cell>
          <cell r="GB63">
            <v>0.38840957187042163</v>
          </cell>
          <cell r="GC63">
            <v>0.41892775416802874</v>
          </cell>
          <cell r="GD63">
            <v>0.39599854775328891</v>
          </cell>
          <cell r="GE63">
            <v>0.41337263049654577</v>
          </cell>
          <cell r="GF63">
            <v>0.40525585251062379</v>
          </cell>
        </row>
        <row r="64">
          <cell r="A64" t="str">
            <v>Y/Y ∆ bps</v>
          </cell>
          <cell r="O64">
            <v>104.79345102586468</v>
          </cell>
          <cell r="P64">
            <v>35.009128791123615</v>
          </cell>
          <cell r="Q64">
            <v>45.328884998543927</v>
          </cell>
          <cell r="R64">
            <v>25.177356604123013</v>
          </cell>
          <cell r="S64">
            <v>-9.1194473809946821</v>
          </cell>
          <cell r="T64">
            <v>-100.33243241092448</v>
          </cell>
          <cell r="U64">
            <v>95.568976277485291</v>
          </cell>
          <cell r="V64">
            <v>34.901330131114626</v>
          </cell>
          <cell r="W64">
            <v>28.964745997560048</v>
          </cell>
          <cell r="X64">
            <v>-3.4576296829119668</v>
          </cell>
          <cell r="Y64">
            <v>-11.916206169559906</v>
          </cell>
          <cell r="Z64">
            <v>-18.329059676766569</v>
          </cell>
          <cell r="AA64">
            <v>-71.756543201453297</v>
          </cell>
          <cell r="AB64">
            <v>54.339437729014065</v>
          </cell>
          <cell r="AC64">
            <v>46.420108599313778</v>
          </cell>
          <cell r="AD64">
            <v>-31.346270638396014</v>
          </cell>
          <cell r="AE64">
            <v>12.793329120628915</v>
          </cell>
          <cell r="AF64">
            <v>30.000000000000583</v>
          </cell>
          <cell r="AG64">
            <v>14.999999999999458</v>
          </cell>
          <cell r="AH64">
            <v>-10.000000000000009</v>
          </cell>
          <cell r="AI64">
            <v>-20.000000000000018</v>
          </cell>
          <cell r="AJ64">
            <v>-5.5511151231257827E-13</v>
          </cell>
          <cell r="AK64">
            <v>1.1102230246251565E-12</v>
          </cell>
          <cell r="AL64">
            <v>-1.1102230246251565E-12</v>
          </cell>
          <cell r="AN64" t="str">
            <v>Y/Y ∆ bps</v>
          </cell>
          <cell r="DH64">
            <v>15.93898684578765</v>
          </cell>
          <cell r="DI64">
            <v>-117.67955568685595</v>
          </cell>
          <cell r="DJ64">
            <v>-136.38321134153642</v>
          </cell>
          <cell r="DK64">
            <v>-98.101162583517649</v>
          </cell>
          <cell r="DL64">
            <v>-88.619777564034607</v>
          </cell>
          <cell r="DN64">
            <v>-45.666520904030783</v>
          </cell>
          <cell r="DO64">
            <v>-194.42110066806129</v>
          </cell>
          <cell r="DP64">
            <v>-72.789320103938124</v>
          </cell>
          <cell r="DQ64">
            <v>-110.85779392628447</v>
          </cell>
          <cell r="DR64">
            <v>-100.33243241092448</v>
          </cell>
          <cell r="DT64">
            <v>50.661021846639677</v>
          </cell>
          <cell r="DU64">
            <v>217.38329464647597</v>
          </cell>
          <cell r="DV64">
            <v>70.297220114107219</v>
          </cell>
          <cell r="DW64">
            <v>54.389898973264962</v>
          </cell>
          <cell r="DX64">
            <v>95.568976277485291</v>
          </cell>
          <cell r="DZ64">
            <v>-65.301967480486113</v>
          </cell>
          <cell r="EA64">
            <v>-13.379084187653545</v>
          </cell>
          <cell r="EB64">
            <v>72.431144526366452</v>
          </cell>
          <cell r="EC64">
            <v>108.1085835962986</v>
          </cell>
          <cell r="ED64">
            <v>34.901330131114626</v>
          </cell>
          <cell r="EF64">
            <v>114.24328407393602</v>
          </cell>
          <cell r="EG64">
            <v>38.21453321638468</v>
          </cell>
          <cell r="EH64">
            <v>20.973865065123665</v>
          </cell>
          <cell r="EI64">
            <v>-2.8780860379967743</v>
          </cell>
          <cell r="EJ64">
            <v>28.964745997560048</v>
          </cell>
          <cell r="EK64" t="str">
            <v>Y/Y ∆ bps</v>
          </cell>
          <cell r="EL64">
            <v>-7.3660308458828316</v>
          </cell>
          <cell r="EM64">
            <v>-9.3664518697944565</v>
          </cell>
          <cell r="EN64">
            <v>15.108744917044504</v>
          </cell>
          <cell r="EO64">
            <v>-9.2642324469754946</v>
          </cell>
          <cell r="EP64">
            <v>-3.4576296829119668</v>
          </cell>
          <cell r="ER64">
            <v>-139.97738886292632</v>
          </cell>
          <cell r="ES64">
            <v>79.908342056138622</v>
          </cell>
          <cell r="ET64">
            <v>-6.2033726308408088</v>
          </cell>
          <cell r="EU64">
            <v>5.9414249625339144</v>
          </cell>
          <cell r="EV64">
            <v>-11.916206169559906</v>
          </cell>
          <cell r="EX64">
            <v>97.103999740256185</v>
          </cell>
          <cell r="EY64">
            <v>-163.98169554058094</v>
          </cell>
          <cell r="EZ64">
            <v>-101.69861296223215</v>
          </cell>
          <cell r="FA64">
            <v>63.218337796286939</v>
          </cell>
          <cell r="FB64">
            <v>-18.329059676766569</v>
          </cell>
          <cell r="FD64">
            <v>-117.86151205476824</v>
          </cell>
          <cell r="FE64">
            <v>100.4420955299623</v>
          </cell>
          <cell r="FF64">
            <v>18.760138584778542</v>
          </cell>
          <cell r="FG64">
            <v>-222.58833186213522</v>
          </cell>
          <cell r="FH64">
            <v>-71.756543201453297</v>
          </cell>
          <cell r="FJ64">
            <v>-63.717056086883275</v>
          </cell>
          <cell r="FK64">
            <v>-46.127632932633219</v>
          </cell>
          <cell r="FL64">
            <v>32.76796449469488</v>
          </cell>
          <cell r="FM64">
            <v>217.73908399327803</v>
          </cell>
          <cell r="FN64">
            <v>54.339437729014065</v>
          </cell>
          <cell r="FP64">
            <v>140.55220178839866</v>
          </cell>
          <cell r="FQ64">
            <v>93.236708620035856</v>
          </cell>
          <cell r="FR64">
            <v>12.879189811180192</v>
          </cell>
          <cell r="FS64">
            <v>-24.029174116709239</v>
          </cell>
          <cell r="FT64">
            <v>46.420108599313778</v>
          </cell>
          <cell r="FV64">
            <v>-29.03919862267179</v>
          </cell>
          <cell r="FW64">
            <v>-16.257938490480406</v>
          </cell>
          <cell r="FX64">
            <v>-49.323610142729123</v>
          </cell>
          <cell r="FY64">
            <v>-33.075008945261388</v>
          </cell>
          <cell r="FZ64">
            <v>-31.346270638396014</v>
          </cell>
          <cell r="GB64">
            <v>-26.585211844263878</v>
          </cell>
          <cell r="GC64">
            <v>10.122801825093175</v>
          </cell>
          <cell r="GD64">
            <v>15.000000000000014</v>
          </cell>
          <cell r="GE64">
            <v>38.127955584439931</v>
          </cell>
          <cell r="GF64">
            <v>12.793329120628915</v>
          </cell>
        </row>
        <row r="65">
          <cell r="A65" t="str">
            <v>SG&amp;A Expense</v>
          </cell>
          <cell r="K65">
            <v>0.33637419260664891</v>
          </cell>
          <cell r="L65">
            <v>0.31608245843666333</v>
          </cell>
          <cell r="N65">
            <v>0.33618448063500755</v>
          </cell>
          <cell r="O65">
            <v>0.33182768152093306</v>
          </cell>
          <cell r="P65">
            <v>0.30742444152431014</v>
          </cell>
          <cell r="Q65">
            <v>0.30536934591604298</v>
          </cell>
          <cell r="R65">
            <v>0.29696175681577142</v>
          </cell>
          <cell r="S65">
            <v>0.29522779180189929</v>
          </cell>
          <cell r="T65">
            <v>0.30446626544187522</v>
          </cell>
          <cell r="U65">
            <v>0.31057735534005521</v>
          </cell>
          <cell r="V65">
            <v>0.31384635349078638</v>
          </cell>
          <cell r="W65">
            <v>0.31256338742393508</v>
          </cell>
          <cell r="X65">
            <v>0.311746315319339</v>
          </cell>
          <cell r="Y65">
            <v>0.32176492398961809</v>
          </cell>
          <cell r="Z65">
            <v>0.32508645916467144</v>
          </cell>
          <cell r="AA65">
            <v>0.33978788365739998</v>
          </cell>
          <cell r="AB65">
            <v>0.34161958568738232</v>
          </cell>
          <cell r="AC65">
            <v>0.33036035675718911</v>
          </cell>
          <cell r="AD65">
            <v>0.31361484567316794</v>
          </cell>
          <cell r="AE65">
            <v>0.30881156325452847</v>
          </cell>
          <cell r="AF65">
            <v>0.31031156325452852</v>
          </cell>
          <cell r="AG65">
            <v>0.30931156325452847</v>
          </cell>
          <cell r="AH65">
            <v>0.30831156325452846</v>
          </cell>
          <cell r="AI65">
            <v>0.30731156325452846</v>
          </cell>
          <cell r="AJ65">
            <v>0.30631156325452846</v>
          </cell>
          <cell r="AK65">
            <v>0.30531156325452846</v>
          </cell>
          <cell r="AL65">
            <v>0.30431156325452846</v>
          </cell>
          <cell r="AN65" t="str">
            <v>SG&amp;A Expense</v>
          </cell>
          <cell r="AO65">
            <v>0.38279428592985676</v>
          </cell>
          <cell r="AP65">
            <v>0.40410711991673287</v>
          </cell>
          <cell r="AQ65">
            <v>0.37126236401073487</v>
          </cell>
          <cell r="AR65">
            <v>0.32336892031185249</v>
          </cell>
          <cell r="AS65">
            <v>0.3657015145513508</v>
          </cell>
          <cell r="AU65">
            <v>0.37521706468919974</v>
          </cell>
          <cell r="AV65">
            <v>0.39432108323421872</v>
          </cell>
          <cell r="AW65">
            <v>0.36519669659038179</v>
          </cell>
          <cell r="AX65">
            <v>0.305193369130284</v>
          </cell>
          <cell r="AY65">
            <v>0.3553106224277201</v>
          </cell>
          <cell r="BA65">
            <v>0.35769529803540817</v>
          </cell>
          <cell r="BB65">
            <v>0.38275487712151696</v>
          </cell>
          <cell r="BC65">
            <v>0.34365233528884026</v>
          </cell>
          <cell r="BD65">
            <v>0.30324335842280281</v>
          </cell>
          <cell r="BE65">
            <v>0.34190736900208624</v>
          </cell>
          <cell r="BG65">
            <v>0.34938333944344918</v>
          </cell>
          <cell r="BH65">
            <v>0.35957752441609064</v>
          </cell>
          <cell r="BI65">
            <v>0.33788405060036941</v>
          </cell>
          <cell r="BJ65">
            <v>0.2756778999669442</v>
          </cell>
          <cell r="BK65">
            <v>0.32472183745109906</v>
          </cell>
          <cell r="BM65">
            <v>0.32781678621167598</v>
          </cell>
          <cell r="BN65">
            <v>0.3350610863980954</v>
          </cell>
          <cell r="BO65">
            <v>0.31739646493610429</v>
          </cell>
          <cell r="BP65">
            <v>0.25271490575617306</v>
          </cell>
          <cell r="BQ65">
            <v>0.30205046346554137</v>
          </cell>
          <cell r="BS65">
            <v>0.37287950987066032</v>
          </cell>
          <cell r="BT65">
            <v>0.36983212774669039</v>
          </cell>
          <cell r="BU65">
            <v>0.35274378094613129</v>
          </cell>
          <cell r="BV65">
            <v>0.27829695765719514</v>
          </cell>
          <cell r="BW65">
            <v>0.33637419260664891</v>
          </cell>
          <cell r="BY65">
            <v>0.35808462232003552</v>
          </cell>
          <cell r="BZ65">
            <v>0.35047161142106986</v>
          </cell>
          <cell r="CA65">
            <v>0.33217510097410313</v>
          </cell>
          <cell r="CB65">
            <v>0.40589440694310513</v>
          </cell>
          <cell r="CC65">
            <v>0.3403293539136622</v>
          </cell>
          <cell r="CD65">
            <v>0.25475148504158118</v>
          </cell>
          <cell r="CE65">
            <v>0.25352903189044429</v>
          </cell>
          <cell r="CF65">
            <v>0.31608245843666333</v>
          </cell>
          <cell r="CG65">
            <v>0.31297957813593175</v>
          </cell>
          <cell r="CH65">
            <v>0.31554074717338931</v>
          </cell>
          <cell r="CJ65">
            <v>0.34933953403823437</v>
          </cell>
          <cell r="CK65">
            <v>0.33919204147824084</v>
          </cell>
          <cell r="CL65">
            <v>0.32906076447959459</v>
          </cell>
          <cell r="CM65">
            <v>0.25497829376133824</v>
          </cell>
          <cell r="CN65">
            <v>0.31114796907013276</v>
          </cell>
          <cell r="CP65">
            <v>0.34442201748207951</v>
          </cell>
          <cell r="CQ65">
            <v>0.33082958930198975</v>
          </cell>
          <cell r="CR65">
            <v>0.31802141646798049</v>
          </cell>
          <cell r="CS65">
            <v>0.24483628438557536</v>
          </cell>
          <cell r="CT65">
            <v>0.30295286435450097</v>
          </cell>
          <cell r="CV65">
            <v>0.34375930890676198</v>
          </cell>
          <cell r="CW65">
            <v>0.33333333333333331</v>
          </cell>
          <cell r="CX65">
            <v>0.32299887260428412</v>
          </cell>
          <cell r="CY65">
            <v>0.24831148192292413</v>
          </cell>
          <cell r="CZ65">
            <v>0.30536934591604298</v>
          </cell>
          <cell r="DB65">
            <v>0.33361111111111114</v>
          </cell>
          <cell r="DC65">
            <v>0.34173739390913632</v>
          </cell>
          <cell r="DD65">
            <v>0.33381677544114091</v>
          </cell>
          <cell r="DE65">
            <v>0.27138791227189019</v>
          </cell>
          <cell r="DF65">
            <v>0.31451794987581849</v>
          </cell>
          <cell r="DH65">
            <v>0.32241813602015112</v>
          </cell>
          <cell r="DI65">
            <v>0.30008154389779834</v>
          </cell>
          <cell r="DJ65">
            <v>0.3220518244315177</v>
          </cell>
          <cell r="DK65">
            <v>0.25660242683797285</v>
          </cell>
          <cell r="DL65">
            <v>0.29522779180189929</v>
          </cell>
          <cell r="DN65">
            <v>0.32845894263217096</v>
          </cell>
          <cell r="DO65">
            <v>0.31708715596330272</v>
          </cell>
          <cell r="DP65">
            <v>0.34100719424460429</v>
          </cell>
          <cell r="DQ65">
            <v>0.25038971161340606</v>
          </cell>
          <cell r="DR65">
            <v>0.30446626544187522</v>
          </cell>
          <cell r="DT65">
            <v>0.33420214306400231</v>
          </cell>
          <cell r="DU65">
            <v>0.32558806655192196</v>
          </cell>
          <cell r="DV65">
            <v>0.3388904857717735</v>
          </cell>
          <cell r="DW65">
            <v>0.25931831771975283</v>
          </cell>
          <cell r="DX65">
            <v>0.31057735534005521</v>
          </cell>
          <cell r="DZ65">
            <v>0.34487997569127926</v>
          </cell>
          <cell r="EA65">
            <v>0.33051834595224228</v>
          </cell>
          <cell r="EB65">
            <v>0.34222604704532417</v>
          </cell>
          <cell r="EC65">
            <v>0.25766871165644173</v>
          </cell>
          <cell r="ED65">
            <v>0.31384635349078638</v>
          </cell>
          <cell r="EF65">
            <v>0.33661971830985915</v>
          </cell>
          <cell r="EG65">
            <v>0.33705668807595646</v>
          </cell>
          <cell r="EH65">
            <v>0.3424113475177305</v>
          </cell>
          <cell r="EI65">
            <v>0.25820312499999998</v>
          </cell>
          <cell r="EJ65">
            <v>0.31256338742393508</v>
          </cell>
          <cell r="EK65" t="str">
            <v>SG&amp;A Expense</v>
          </cell>
          <cell r="EL65">
            <v>0.33315023345234823</v>
          </cell>
          <cell r="EM65">
            <v>0.33287330941208942</v>
          </cell>
          <cell r="EN65">
            <v>0.35517551755175519</v>
          </cell>
          <cell r="EO65">
            <v>0.27040016717166443</v>
          </cell>
          <cell r="EP65">
            <v>0.311746315319339</v>
          </cell>
          <cell r="ER65">
            <v>0.36323777403035412</v>
          </cell>
          <cell r="ES65">
            <v>0.35312760633861551</v>
          </cell>
          <cell r="ET65">
            <v>0.35575942915392456</v>
          </cell>
          <cell r="EU65">
            <v>0.25253848673435964</v>
          </cell>
          <cell r="EV65">
            <v>0.32176492398961809</v>
          </cell>
          <cell r="EX65">
            <v>0.35686539435906095</v>
          </cell>
          <cell r="EY65">
            <v>0.34589273591310249</v>
          </cell>
          <cell r="EZ65">
            <v>0.35912631222485608</v>
          </cell>
          <cell r="FA65">
            <v>0.2655340935536421</v>
          </cell>
          <cell r="FB65">
            <v>0.32508645916467144</v>
          </cell>
          <cell r="FD65">
            <v>0.36192796241517311</v>
          </cell>
          <cell r="FE65">
            <v>0.35624344176285416</v>
          </cell>
          <cell r="FF65">
            <v>0.37957400327689789</v>
          </cell>
          <cell r="FG65">
            <v>0.28434585328963952</v>
          </cell>
          <cell r="FH65">
            <v>0.33978788365739998</v>
          </cell>
          <cell r="FJ65">
            <v>0.37537821482602118</v>
          </cell>
          <cell r="FK65">
            <v>0.35685903500473037</v>
          </cell>
          <cell r="FL65">
            <v>0.38180129990714951</v>
          </cell>
          <cell r="FM65">
            <v>0.28171853345092607</v>
          </cell>
          <cell r="FN65">
            <v>0.34161958568738232</v>
          </cell>
          <cell r="FP65">
            <v>0.35755292429135271</v>
          </cell>
          <cell r="FQ65">
            <v>0.3527180783817952</v>
          </cell>
          <cell r="FR65">
            <v>0.36795304997332384</v>
          </cell>
          <cell r="FS65">
            <v>0.27149594872415045</v>
          </cell>
          <cell r="FT65">
            <v>0.33036035675718911</v>
          </cell>
          <cell r="FV65">
            <v>0.33503141450161317</v>
          </cell>
          <cell r="FW65">
            <v>0.33271594544536115</v>
          </cell>
          <cell r="FX65">
            <v>0.34478045446779432</v>
          </cell>
          <cell r="FY65">
            <v>0.26524530032095367</v>
          </cell>
          <cell r="FZ65">
            <v>0.31361484567316794</v>
          </cell>
          <cell r="GB65">
            <v>0.32475988930489991</v>
          </cell>
          <cell r="GC65">
            <v>0.32837528604118993</v>
          </cell>
          <cell r="GD65">
            <v>0.34960818019307516</v>
          </cell>
          <cell r="GE65">
            <v>0.25913958182743124</v>
          </cell>
          <cell r="GF65">
            <v>0.30881156325452847</v>
          </cell>
        </row>
        <row r="66">
          <cell r="A66" t="str">
            <v>Y/Y ∆ bps</v>
          </cell>
          <cell r="O66">
            <v>-43.567991140744944</v>
          </cell>
          <cell r="P66">
            <v>-244.03239996622915</v>
          </cell>
          <cell r="Q66">
            <v>-20.550956082671657</v>
          </cell>
          <cell r="R66">
            <v>-84.075891002715622</v>
          </cell>
          <cell r="S66">
            <v>-17.339650138721296</v>
          </cell>
          <cell r="T66">
            <v>92.384736399759305</v>
          </cell>
          <cell r="U66">
            <v>61.110898981799892</v>
          </cell>
          <cell r="V66">
            <v>32.689981507311728</v>
          </cell>
          <cell r="W66">
            <v>-12.829660668512988</v>
          </cell>
          <cell r="X66">
            <v>-8.170721045960839</v>
          </cell>
          <cell r="Y66">
            <v>100.18608670279094</v>
          </cell>
          <cell r="Z66">
            <v>33.215351750533472</v>
          </cell>
          <cell r="AA66">
            <v>147.01424492728543</v>
          </cell>
          <cell r="AB66">
            <v>18.317020299823405</v>
          </cell>
          <cell r="AC66">
            <v>-112.5922893019321</v>
          </cell>
          <cell r="AD66">
            <v>-167.45511084021169</v>
          </cell>
          <cell r="AE66">
            <v>-48.032824186394762</v>
          </cell>
          <cell r="AF66">
            <v>15.000000000000568</v>
          </cell>
          <cell r="AG66">
            <v>-10.000000000000565</v>
          </cell>
          <cell r="AH66">
            <v>-10.000000000000009</v>
          </cell>
          <cell r="AI66">
            <v>-10.000000000000009</v>
          </cell>
          <cell r="AJ66">
            <v>-10.000000000000009</v>
          </cell>
          <cell r="AK66">
            <v>-10.000000000000009</v>
          </cell>
          <cell r="AL66">
            <v>-10.000000000000009</v>
          </cell>
          <cell r="AN66" t="str">
            <v>Y/Y ∆ bps</v>
          </cell>
          <cell r="DH66">
            <v>-111.92975090960012</v>
          </cell>
          <cell r="DI66">
            <v>-416.55850011337981</v>
          </cell>
          <cell r="DJ66">
            <v>-117.64951009623215</v>
          </cell>
          <cell r="DK66">
            <v>-147.85485433917333</v>
          </cell>
          <cell r="DL66">
            <v>-192.90158073919207</v>
          </cell>
          <cell r="DN66">
            <v>60.408066120198335</v>
          </cell>
          <cell r="DO66">
            <v>170.05612065504383</v>
          </cell>
          <cell r="DP66">
            <v>189.55369813086597</v>
          </cell>
          <cell r="DQ66">
            <v>-62.127152245667894</v>
          </cell>
          <cell r="DR66">
            <v>92.384736399759305</v>
          </cell>
          <cell r="DT66">
            <v>57.432004318313524</v>
          </cell>
          <cell r="DU66">
            <v>85.009105886192373</v>
          </cell>
          <cell r="DV66">
            <v>-21.167084728307973</v>
          </cell>
          <cell r="DW66">
            <v>89.286061063467699</v>
          </cell>
          <cell r="DX66">
            <v>61.110898981799892</v>
          </cell>
          <cell r="DZ66">
            <v>106.7783262727695</v>
          </cell>
          <cell r="EA66">
            <v>49.302794003203147</v>
          </cell>
          <cell r="EB66">
            <v>33.355612735506689</v>
          </cell>
          <cell r="EC66">
            <v>-16.496060633111043</v>
          </cell>
          <cell r="ED66">
            <v>32.689981507311728</v>
          </cell>
          <cell r="EF66">
            <v>-82.602573814201108</v>
          </cell>
          <cell r="EG66">
            <v>65.383421237141803</v>
          </cell>
          <cell r="EH66">
            <v>1.8530047240633563</v>
          </cell>
          <cell r="EI66">
            <v>5.3441334355824877</v>
          </cell>
          <cell r="EJ66">
            <v>-12.829660668512988</v>
          </cell>
          <cell r="EK66" t="str">
            <v>Y/Y ∆ bps</v>
          </cell>
          <cell r="EL66">
            <v>-34.694848575109184</v>
          </cell>
          <cell r="EM66">
            <v>-41.833786638670325</v>
          </cell>
          <cell r="EN66">
            <v>127.64170034024691</v>
          </cell>
          <cell r="EO66">
            <v>121.97042171664452</v>
          </cell>
          <cell r="EP66">
            <v>-8.170721045960839</v>
          </cell>
          <cell r="ER66">
            <v>300.87540578005888</v>
          </cell>
          <cell r="ES66">
            <v>202.54296926526084</v>
          </cell>
          <cell r="ET66">
            <v>5.8391160216936244</v>
          </cell>
          <cell r="EU66">
            <v>-178.61680437304796</v>
          </cell>
          <cell r="EV66">
            <v>100.18608670279094</v>
          </cell>
          <cell r="EX66">
            <v>-63.723796712931716</v>
          </cell>
          <cell r="EY66">
            <v>-72.348704255130187</v>
          </cell>
          <cell r="EZ66">
            <v>33.668830709315259</v>
          </cell>
          <cell r="FA66">
            <v>129.95606819282469</v>
          </cell>
          <cell r="FB66">
            <v>33.215351750533472</v>
          </cell>
          <cell r="FD66">
            <v>50.625680561121598</v>
          </cell>
          <cell r="FE66">
            <v>103.50705849751674</v>
          </cell>
          <cell r="FF66">
            <v>204.47691052041804</v>
          </cell>
          <cell r="FG66">
            <v>188.11759735997413</v>
          </cell>
          <cell r="FH66">
            <v>147.01424492728543</v>
          </cell>
          <cell r="FJ66">
            <v>134.50252410848074</v>
          </cell>
          <cell r="FK66">
            <v>6.1559324187621112</v>
          </cell>
          <cell r="FL66">
            <v>22.272966302516185</v>
          </cell>
          <cell r="FM66">
            <v>-26.273198387134489</v>
          </cell>
          <cell r="FN66">
            <v>18.317020299823405</v>
          </cell>
          <cell r="FP66">
            <v>-178.25290534668468</v>
          </cell>
          <cell r="FQ66">
            <v>-41.409566229351768</v>
          </cell>
          <cell r="FR66">
            <v>-138.48249933825662</v>
          </cell>
          <cell r="FS66">
            <v>-102.22584726775619</v>
          </cell>
          <cell r="FT66">
            <v>-112.5922893019321</v>
          </cell>
          <cell r="FV66">
            <v>-225.21509789739548</v>
          </cell>
          <cell r="FW66">
            <v>-200.02132936434046</v>
          </cell>
          <cell r="FX66">
            <v>-231.72595505529526</v>
          </cell>
          <cell r="FY66">
            <v>-62.506484031967787</v>
          </cell>
          <cell r="FZ66">
            <v>-167.45511084021169</v>
          </cell>
          <cell r="GB66">
            <v>-102.7152519671326</v>
          </cell>
          <cell r="GC66">
            <v>-43.406594041712211</v>
          </cell>
          <cell r="GD66">
            <v>48.277257252808404</v>
          </cell>
          <cell r="GE66">
            <v>-61.057184935224271</v>
          </cell>
          <cell r="GF66">
            <v>-48.032824186394762</v>
          </cell>
        </row>
        <row r="67">
          <cell r="A67" t="str">
            <v xml:space="preserve">     1H &amp; 2H</v>
          </cell>
          <cell r="AN67" t="str">
            <v xml:space="preserve">     1H &amp; 2H</v>
          </cell>
          <cell r="EK67" t="str">
            <v xml:space="preserve">     1H &amp; 2H</v>
          </cell>
          <cell r="EL67">
            <v>0.33301211453744495</v>
          </cell>
          <cell r="EN67">
            <v>0.3015337828903874</v>
          </cell>
          <cell r="ER67">
            <v>0.35815513626834383</v>
          </cell>
          <cell r="ET67">
            <v>0.2929212362911266</v>
          </cell>
        </row>
        <row r="68">
          <cell r="A68" t="str">
            <v>EBITDA</v>
          </cell>
          <cell r="K68">
            <v>9.0053716746341619E-2</v>
          </cell>
          <cell r="L68">
            <v>0.10498588587511638</v>
          </cell>
          <cell r="N68">
            <v>7.9375940878609552E-2</v>
          </cell>
          <cell r="O68">
            <v>9.6136991842513314E-2</v>
          </cell>
          <cell r="P68">
            <v>0.12687253613666227</v>
          </cell>
          <cell r="Q68">
            <v>0.13530751708428246</v>
          </cell>
          <cell r="R68">
            <v>0.14710836608646827</v>
          </cell>
          <cell r="S68">
            <v>0.14557038105541531</v>
          </cell>
          <cell r="T68">
            <v>0.13082039911308205</v>
          </cell>
          <cell r="U68">
            <v>0.13428809967246805</v>
          </cell>
          <cell r="V68">
            <v>0.13690630677394239</v>
          </cell>
          <cell r="W68">
            <v>0.14173427991886409</v>
          </cell>
          <cell r="X68">
            <v>0.13916927199642698</v>
          </cell>
          <cell r="Y68">
            <v>0.13118279569892474</v>
          </cell>
          <cell r="Z68">
            <v>0.12868164025386691</v>
          </cell>
          <cell r="AA68">
            <v>0.10858910493331191</v>
          </cell>
          <cell r="AB68">
            <v>0.11148775894538607</v>
          </cell>
          <cell r="AC68">
            <v>0.1227452705675319</v>
          </cell>
          <cell r="AD68">
            <v>0.13145237644385532</v>
          </cell>
          <cell r="AE68">
            <v>0.13464669259900278</v>
          </cell>
          <cell r="AF68">
            <v>0.13614669259900275</v>
          </cell>
          <cell r="AG68">
            <v>0.13864669259900278</v>
          </cell>
          <cell r="AH68">
            <v>0.13864669259900272</v>
          </cell>
          <cell r="AI68">
            <v>0.13764669259900278</v>
          </cell>
          <cell r="AJ68">
            <v>0.13864669259900272</v>
          </cell>
          <cell r="AK68">
            <v>0.13964669259900278</v>
          </cell>
          <cell r="AL68">
            <v>0.14064669259900264</v>
          </cell>
          <cell r="AN68" t="str">
            <v>EBITDA</v>
          </cell>
          <cell r="AO68">
            <v>0</v>
          </cell>
          <cell r="AP68">
            <v>0</v>
          </cell>
          <cell r="AQ68">
            <v>0</v>
          </cell>
          <cell r="AR68">
            <v>0</v>
          </cell>
          <cell r="AS68">
            <v>0</v>
          </cell>
          <cell r="AU68">
            <v>6.7943208911152742E-2</v>
          </cell>
          <cell r="AV68">
            <v>4.9845461419508498E-2</v>
          </cell>
          <cell r="AW68">
            <v>6.8649383434148642E-2</v>
          </cell>
          <cell r="AX68">
            <v>0.10669880895486035</v>
          </cell>
          <cell r="AY68">
            <v>7.6144172739787269E-2</v>
          </cell>
          <cell r="BA68">
            <v>9.0037958270080251E-2</v>
          </cell>
          <cell r="BB68">
            <v>6.1182587022341257E-2</v>
          </cell>
          <cell r="BC68">
            <v>9.4692741333676139E-2</v>
          </cell>
          <cell r="BD68">
            <v>0.11869075585821284</v>
          </cell>
          <cell r="BE68">
            <v>9.4429600472659303E-2</v>
          </cell>
          <cell r="BG68">
            <v>9.0051997819223198E-2</v>
          </cell>
          <cell r="BH68">
            <v>7.8816445315412209E-2</v>
          </cell>
          <cell r="BI68">
            <v>9.2409106278100797E-2</v>
          </cell>
          <cell r="BJ68">
            <v>0.13352806166785364</v>
          </cell>
          <cell r="BK68">
            <v>0.10241823463781106</v>
          </cell>
          <cell r="BM68">
            <v>0.10189758174586723</v>
          </cell>
          <cell r="BN68">
            <v>9.2698452477914833E-2</v>
          </cell>
          <cell r="BO68">
            <v>0.10149360783180084</v>
          </cell>
          <cell r="BP68">
            <v>0.15033732592895513</v>
          </cell>
          <cell r="BQ68">
            <v>0.11579794529390085</v>
          </cell>
          <cell r="BS68">
            <v>6.7008509189925111E-2</v>
          </cell>
          <cell r="BT68">
            <v>5.9258905418315827E-2</v>
          </cell>
          <cell r="BU68">
            <v>7.7574121577283314E-2</v>
          </cell>
          <cell r="BV68">
            <v>0.13465078904488742</v>
          </cell>
          <cell r="BW68">
            <v>9.0053716746341619E-2</v>
          </cell>
          <cell r="BY68">
            <v>7.0664182066568715E-2</v>
          </cell>
          <cell r="BZ68">
            <v>7.784640630127998E-2</v>
          </cell>
          <cell r="CA68">
            <v>9.2753683184901944E-2</v>
          </cell>
          <cell r="CB68">
            <v>0</v>
          </cell>
          <cell r="CC68">
            <v>7.4262165757960283E-2</v>
          </cell>
          <cell r="CD68">
            <v>0.15499146776109726</v>
          </cell>
          <cell r="CE68">
            <v>0.14389713004995339</v>
          </cell>
          <cell r="CF68">
            <v>0.10498588587511638</v>
          </cell>
          <cell r="CG68">
            <v>0.1039617221767631</v>
          </cell>
          <cell r="CH68">
            <v>9.8270069431402887E-2</v>
          </cell>
          <cell r="CJ68">
            <v>8.0683491380616187E-2</v>
          </cell>
          <cell r="CK68">
            <v>9.3772722234875303E-2</v>
          </cell>
          <cell r="CL68">
            <v>0.10165612493585756</v>
          </cell>
          <cell r="CM68">
            <v>0.15770796896418993</v>
          </cell>
          <cell r="CN68">
            <v>0.11394209245313917</v>
          </cell>
          <cell r="CP68">
            <v>8.6164904368935924E-2</v>
          </cell>
          <cell r="CQ68">
            <v>0.10346704108428201</v>
          </cell>
          <cell r="CR68">
            <v>0.11096806535343365</v>
          </cell>
          <cell r="CS68">
            <v>0.17081762552479032</v>
          </cell>
          <cell r="CT68">
            <v>0.12324697133935045</v>
          </cell>
          <cell r="CV68">
            <v>0.10008936550491511</v>
          </cell>
          <cell r="CW68">
            <v>0.1234676007005254</v>
          </cell>
          <cell r="CX68">
            <v>0.11668545659526494</v>
          </cell>
          <cell r="CY68">
            <v>0.1799761620977354</v>
          </cell>
          <cell r="CZ68">
            <v>0.13530751708428246</v>
          </cell>
          <cell r="DB68">
            <v>0.11055555555555556</v>
          </cell>
          <cell r="DC68">
            <v>0.12606090863704444</v>
          </cell>
          <cell r="DD68">
            <v>0.11916847957457094</v>
          </cell>
          <cell r="DE68">
            <v>0.17461911937050059</v>
          </cell>
          <cell r="DF68">
            <v>0.13767216075863625</v>
          </cell>
          <cell r="DH68">
            <v>0.12426532325776658</v>
          </cell>
          <cell r="DI68">
            <v>0.15656428377276435</v>
          </cell>
          <cell r="DJ68">
            <v>0.11792702273929138</v>
          </cell>
          <cell r="DK68">
            <v>0.17790863668807994</v>
          </cell>
          <cell r="DL68">
            <v>0.14557038105541531</v>
          </cell>
          <cell r="DN68">
            <v>0.11220472440944881</v>
          </cell>
          <cell r="DO68">
            <v>0.12098623853211009</v>
          </cell>
          <cell r="DP68">
            <v>9.4964028776978418E-2</v>
          </cell>
          <cell r="DQ68">
            <v>0.17809820732657833</v>
          </cell>
          <cell r="DR68">
            <v>0.13082039911308205</v>
          </cell>
          <cell r="DT68">
            <v>0.11178685201274255</v>
          </cell>
          <cell r="DU68">
            <v>0.13425129087779691</v>
          </cell>
          <cell r="DV68">
            <v>0.10204081632653061</v>
          </cell>
          <cell r="DW68">
            <v>0.17580227227426748</v>
          </cell>
          <cell r="DX68">
            <v>0.13428809967246805</v>
          </cell>
          <cell r="DZ68">
            <v>0.10148890914615619</v>
          </cell>
          <cell r="EA68">
            <v>0.13016889924286545</v>
          </cell>
          <cell r="EB68">
            <v>0.10843373493975904</v>
          </cell>
          <cell r="EC68">
            <v>0.18820502671680189</v>
          </cell>
          <cell r="ED68">
            <v>0.13690630677394239</v>
          </cell>
          <cell r="EF68">
            <v>0.11633802816901409</v>
          </cell>
          <cell r="EG68">
            <v>0.12678022898631666</v>
          </cell>
          <cell r="EH68">
            <v>0.11035460992907802</v>
          </cell>
          <cell r="EI68">
            <v>0.19140625</v>
          </cell>
          <cell r="EJ68">
            <v>0.14173427991886409</v>
          </cell>
          <cell r="EK68" t="str">
            <v>EBITDA</v>
          </cell>
          <cell r="EL68">
            <v>0.11782477341389729</v>
          </cell>
          <cell r="EM68">
            <v>0.12945073143803479</v>
          </cell>
          <cell r="EN68">
            <v>0.10171017101710171</v>
          </cell>
          <cell r="EO68">
            <v>0.17270922578622924</v>
          </cell>
          <cell r="EP68">
            <v>0.13916927199642698</v>
          </cell>
          <cell r="ER68">
            <v>7.8414839797639121E-2</v>
          </cell>
          <cell r="ES68">
            <v>0.12043369474562135</v>
          </cell>
          <cell r="ET68">
            <v>0.10091743119266056</v>
          </cell>
          <cell r="EU68">
            <v>0.19183316955999563</v>
          </cell>
          <cell r="EV68">
            <v>0.13118279569892474</v>
          </cell>
          <cell r="EX68">
            <v>9.6774193548387094E-2</v>
          </cell>
          <cell r="EY68">
            <v>0.11439239646978955</v>
          </cell>
          <cell r="EZ68">
            <v>8.8215374195733151E-2</v>
          </cell>
          <cell r="FA68">
            <v>0.18827088666511518</v>
          </cell>
          <cell r="FB68">
            <v>0.12868164025386691</v>
          </cell>
          <cell r="FD68">
            <v>7.9171741778319121E-2</v>
          </cell>
          <cell r="FE68">
            <v>0.1136761105281567</v>
          </cell>
          <cell r="FF68">
            <v>7.3548152193701075E-2</v>
          </cell>
          <cell r="FG68">
            <v>0.15049155533148476</v>
          </cell>
          <cell r="FH68">
            <v>0.10858910493331191</v>
          </cell>
          <cell r="FJ68">
            <v>6.1838124054462935E-2</v>
          </cell>
          <cell r="FK68">
            <v>0.11031220435193945</v>
          </cell>
          <cell r="FL68">
            <v>7.2237697307335189E-2</v>
          </cell>
          <cell r="FM68">
            <v>0.17197933728108858</v>
          </cell>
          <cell r="FN68">
            <v>0.11148775894538607</v>
          </cell>
          <cell r="FP68">
            <v>8.7908144958737E-2</v>
          </cell>
          <cell r="FQ68">
            <v>0.11883691529709228</v>
          </cell>
          <cell r="FR68">
            <v>8.3051751733949852E-2</v>
          </cell>
          <cell r="FS68">
            <v>0.17583746523158786</v>
          </cell>
          <cell r="FT68">
            <v>0.1227452705675319</v>
          </cell>
          <cell r="FV68">
            <v>0.10154525386313466</v>
          </cell>
          <cell r="FW68">
            <v>0.13032497053375988</v>
          </cell>
          <cell r="FX68">
            <v>9.7898513582778068E-2</v>
          </cell>
          <cell r="FY68">
            <v>0.17491976157725814</v>
          </cell>
          <cell r="FZ68">
            <v>0.13145237644385532</v>
          </cell>
          <cell r="GB68">
            <v>0.10532313202018558</v>
          </cell>
          <cell r="GC68">
            <v>0.13255966001961425</v>
          </cell>
          <cell r="GD68">
            <v>9.1769984292360302E-2</v>
          </cell>
          <cell r="GE68">
            <v>0.18302341955100002</v>
          </cell>
          <cell r="GF68">
            <v>0.13464669259900278</v>
          </cell>
        </row>
        <row r="69">
          <cell r="A69" t="str">
            <v>Operating Income</v>
          </cell>
          <cell r="K69">
            <v>4.9834032770134616E-2</v>
          </cell>
          <cell r="L69">
            <v>7.1056478359746725E-2</v>
          </cell>
          <cell r="N69">
            <v>4.5367455864239771E-2</v>
          </cell>
          <cell r="O69">
            <v>6.0203600080900692E-2</v>
          </cell>
          <cell r="P69">
            <v>8.8107752956636004E-2</v>
          </cell>
          <cell r="Q69">
            <v>9.4695737064757562E-2</v>
          </cell>
          <cell r="R69">
            <v>0.10562106182544138</v>
          </cell>
          <cell r="S69">
            <v>0.10644308210121409</v>
          </cell>
          <cell r="T69">
            <v>8.7171365220145708E-2</v>
          </cell>
          <cell r="U69">
            <v>9.0617172949714206E-2</v>
          </cell>
          <cell r="V69">
            <v>9.0838307812094468E-2</v>
          </cell>
          <cell r="W69">
            <v>9.5017748478701827E-2</v>
          </cell>
          <cell r="X69">
            <v>9.5489057615006701E-2</v>
          </cell>
          <cell r="Y69">
            <v>8.4278828327771602E-2</v>
          </cell>
          <cell r="Z69">
            <v>7.9124387185041611E-2</v>
          </cell>
          <cell r="AA69">
            <v>5.7247308372167766E-2</v>
          </cell>
          <cell r="AB69">
            <v>6.0849550115086838E-2</v>
          </cell>
          <cell r="AC69">
            <v>7.6750789905211378E-2</v>
          </cell>
          <cell r="AD69">
            <v>9.0361673925392919E-2</v>
          </cell>
          <cell r="AE69">
            <v>9.644428925609537E-2</v>
          </cell>
          <cell r="AF69">
            <v>9.7944289256095343E-2</v>
          </cell>
          <cell r="AG69">
            <v>0.10044428925609535</v>
          </cell>
          <cell r="AH69">
            <v>0.10044428925609533</v>
          </cell>
          <cell r="AI69">
            <v>9.9444289256095372E-2</v>
          </cell>
          <cell r="AJ69">
            <v>0.10044428925609532</v>
          </cell>
          <cell r="AK69">
            <v>0.10144428925609536</v>
          </cell>
          <cell r="AL69">
            <v>0.10244428925609525</v>
          </cell>
          <cell r="AN69" t="str">
            <v>Operating Income</v>
          </cell>
          <cell r="AO69">
            <v>1.6629151314714041E-2</v>
          </cell>
          <cell r="AP69">
            <v>-2.6258248715992489E-2</v>
          </cell>
          <cell r="AQ69">
            <v>2.3944635033584606E-2</v>
          </cell>
          <cell r="AR69">
            <v>4.7141382083007131E-2</v>
          </cell>
          <cell r="AS69">
            <v>1.8926536229503767E-2</v>
          </cell>
          <cell r="AU69">
            <v>2.6057176423778111E-2</v>
          </cell>
          <cell r="AV69">
            <v>5.6888115137426025E-3</v>
          </cell>
          <cell r="AW69">
            <v>3.1170325255822338E-2</v>
          </cell>
          <cell r="AX69">
            <v>7.6689812862537954E-2</v>
          </cell>
          <cell r="AY69">
            <v>3.8511188817947503E-2</v>
          </cell>
          <cell r="BA69">
            <v>5.3864986645255068E-2</v>
          </cell>
          <cell r="BB69">
            <v>2.1736713669665054E-2</v>
          </cell>
          <cell r="BC69">
            <v>6.1917365627611451E-2</v>
          </cell>
          <cell r="BD69">
            <v>9.3424602062388007E-2</v>
          </cell>
          <cell r="BE69">
            <v>6.1926222266541493E-2</v>
          </cell>
          <cell r="BG69">
            <v>5.4570356149532914E-2</v>
          </cell>
          <cell r="BH69">
            <v>4.1293680040045563E-2</v>
          </cell>
          <cell r="BI69">
            <v>6.0012909968339807E-2</v>
          </cell>
          <cell r="BJ69">
            <v>0.10838774480904291</v>
          </cell>
          <cell r="BK69">
            <v>7.0634157218449081E-2</v>
          </cell>
          <cell r="BM69">
            <v>6.5678497802714245E-2</v>
          </cell>
          <cell r="BN69">
            <v>5.424096234571759E-2</v>
          </cell>
          <cell r="BO69">
            <v>6.8868716236309635E-2</v>
          </cell>
          <cell r="BP69">
            <v>0.12375861094812787</v>
          </cell>
          <cell r="BQ69">
            <v>8.3179489215472066E-2</v>
          </cell>
          <cell r="BS69">
            <v>2.0592579986385289E-2</v>
          </cell>
          <cell r="BT69">
            <v>1.0944452026750382E-2</v>
          </cell>
          <cell r="BU69">
            <v>3.7008590347789791E-2</v>
          </cell>
          <cell r="BV69">
            <v>0.10404879355371534</v>
          </cell>
          <cell r="BW69">
            <v>4.9834032770134616E-2</v>
          </cell>
          <cell r="BY69">
            <v>3.2090631678785023E-2</v>
          </cell>
          <cell r="BZ69">
            <v>3.8135214965539906E-2</v>
          </cell>
          <cell r="CA69">
            <v>5.5975831011468857E-2</v>
          </cell>
          <cell r="CB69">
            <v>-0.10252169720347212</v>
          </cell>
          <cell r="CC69">
            <v>3.8446588369501468E-2</v>
          </cell>
          <cell r="CD69">
            <v>0.12873290852143857</v>
          </cell>
          <cell r="CE69">
            <v>0.11884822123876988</v>
          </cell>
          <cell r="CF69">
            <v>7.1056478359746725E-2</v>
          </cell>
          <cell r="CG69">
            <v>7.0004484251611696E-2</v>
          </cell>
          <cell r="CH69">
            <v>6.524885245670671E-2</v>
          </cell>
          <cell r="CJ69">
            <v>4.0290544429969356E-2</v>
          </cell>
          <cell r="CK69">
            <v>5.3184797157810007E-2</v>
          </cell>
          <cell r="CL69">
            <v>6.4174702727624475E-2</v>
          </cell>
          <cell r="CM69">
            <v>0.13159811859403786</v>
          </cell>
          <cell r="CN69">
            <v>7.8919319505097951E-2</v>
          </cell>
          <cell r="CP69">
            <v>4.3430932175175192E-2</v>
          </cell>
          <cell r="CQ69">
            <v>6.1358381779115137E-2</v>
          </cell>
          <cell r="CR69">
            <v>7.1527298042109028E-2</v>
          </cell>
          <cell r="CS69">
            <v>0.14088688875907193</v>
          </cell>
          <cell r="CT69">
            <v>8.5573034287292751E-2</v>
          </cell>
          <cell r="CV69">
            <v>5.391718796544534E-2</v>
          </cell>
          <cell r="CW69">
            <v>7.7933450087565678E-2</v>
          </cell>
          <cell r="CX69">
            <v>7.243517474633597E-2</v>
          </cell>
          <cell r="CY69">
            <v>0.14898688915375446</v>
          </cell>
          <cell r="CZ69">
            <v>9.4695737064757562E-2</v>
          </cell>
          <cell r="DB69">
            <v>6.25E-2</v>
          </cell>
          <cell r="DC69">
            <v>7.9380928607089368E-2</v>
          </cell>
          <cell r="DD69">
            <v>7.29997582789461E-2</v>
          </cell>
          <cell r="DE69">
            <v>0.14331156872593337</v>
          </cell>
          <cell r="DF69">
            <v>9.6014901783698356E-2</v>
          </cell>
          <cell r="DH69">
            <v>7.5286873775538762E-2</v>
          </cell>
          <cell r="DI69">
            <v>0.10926882304974178</v>
          </cell>
          <cell r="DJ69">
            <v>7.112638815441566E-2</v>
          </cell>
          <cell r="DK69">
            <v>0.14828693790149894</v>
          </cell>
          <cell r="DL69">
            <v>0.10644308210121409</v>
          </cell>
          <cell r="DN69">
            <v>6.4679415073115865E-2</v>
          </cell>
          <cell r="DO69">
            <v>7.2821100917431186E-2</v>
          </cell>
          <cell r="DP69">
            <v>4.4892086330935249E-2</v>
          </cell>
          <cell r="DQ69">
            <v>0.14341387373343725</v>
          </cell>
          <cell r="DR69">
            <v>8.7171365220145708E-2</v>
          </cell>
          <cell r="DT69">
            <v>6.4002316825948452E-2</v>
          </cell>
          <cell r="DU69">
            <v>8.6058519793459548E-2</v>
          </cell>
          <cell r="DV69">
            <v>5.4038516815176775E-2</v>
          </cell>
          <cell r="DW69">
            <v>0.13992425752441698</v>
          </cell>
          <cell r="DX69">
            <v>9.0617172949714206E-2</v>
          </cell>
          <cell r="DZ69">
            <v>4.6794287450622911E-2</v>
          </cell>
          <cell r="EA69">
            <v>7.9790331974373907E-2</v>
          </cell>
          <cell r="EB69">
            <v>5.7946069994262765E-2</v>
          </cell>
          <cell r="EC69">
            <v>0.152384721947358</v>
          </cell>
          <cell r="ED69">
            <v>9.0838307812094468E-2</v>
          </cell>
          <cell r="EF69">
            <v>6.6478873239436617E-2</v>
          </cell>
          <cell r="EG69">
            <v>7.7073443172298237E-2</v>
          </cell>
          <cell r="EH69">
            <v>5.9858156028368796E-2</v>
          </cell>
          <cell r="EI69">
            <v>0.15156249999999999</v>
          </cell>
          <cell r="EJ69">
            <v>9.5017748478701827E-2</v>
          </cell>
          <cell r="EK69" t="str">
            <v>Operating Income</v>
          </cell>
          <cell r="EL69">
            <v>6.9211755012359238E-2</v>
          </cell>
          <cell r="EM69">
            <v>8.0320176649185754E-2</v>
          </cell>
          <cell r="EN69">
            <v>4.8604860486048604E-2</v>
          </cell>
          <cell r="EO69">
            <v>0.13843903458363807</v>
          </cell>
          <cell r="EP69">
            <v>9.5489057615006701E-2</v>
          </cell>
          <cell r="ER69">
            <v>2.5126475548060707E-2</v>
          </cell>
          <cell r="ES69">
            <v>6.805671392827356E-2</v>
          </cell>
          <cell r="ET69">
            <v>4.7400611620795105E-2</v>
          </cell>
          <cell r="EU69">
            <v>0.1568948575171962</v>
          </cell>
          <cell r="EV69">
            <v>8.4278828327771602E-2</v>
          </cell>
          <cell r="EX69">
            <v>4.12092551933795E-2</v>
          </cell>
          <cell r="EY69">
            <v>5.8893414799728448E-2</v>
          </cell>
          <cell r="EZ69">
            <v>3.3863867253640365E-2</v>
          </cell>
          <cell r="FA69">
            <v>0.15022108447754248</v>
          </cell>
          <cell r="FB69">
            <v>7.9124387185041611E-2</v>
          </cell>
          <cell r="FD69">
            <v>2.4360535931790498E-2</v>
          </cell>
          <cell r="FE69">
            <v>5.8586918502973068E-2</v>
          </cell>
          <cell r="FF69">
            <v>1.5292190060076462E-2</v>
          </cell>
          <cell r="FG69">
            <v>0.10915049155533149</v>
          </cell>
          <cell r="FH69">
            <v>5.7247308372167766E-2</v>
          </cell>
          <cell r="FJ69">
            <v>4.5385779122541605E-3</v>
          </cell>
          <cell r="FK69">
            <v>5.3358561967833493E-2</v>
          </cell>
          <cell r="FL69">
            <v>1.6341689879294335E-2</v>
          </cell>
          <cell r="FM69">
            <v>0.1335517197933728</v>
          </cell>
          <cell r="FN69">
            <v>6.0849550115086838E-2</v>
          </cell>
          <cell r="FP69">
            <v>3.6419088625762472E-2</v>
          </cell>
          <cell r="FQ69">
            <v>6.6823189452772255E-2</v>
          </cell>
          <cell r="FR69">
            <v>3.1477858794237951E-2</v>
          </cell>
          <cell r="FS69">
            <v>0.14137138710847744</v>
          </cell>
          <cell r="FT69">
            <v>7.6750789905211378E-2</v>
          </cell>
          <cell r="FV69">
            <v>5.6036678553234846E-2</v>
          </cell>
          <cell r="FW69">
            <v>8.5199528540158276E-2</v>
          </cell>
          <cell r="FX69">
            <v>4.9718093285494619E-2</v>
          </cell>
          <cell r="FY69">
            <v>0.1443145346171481</v>
          </cell>
          <cell r="FZ69">
            <v>9.0361673925392919E-2</v>
          </cell>
          <cell r="GB69">
            <v>6.3649682565521726E-2</v>
          </cell>
          <cell r="GC69">
            <v>9.0552468126838842E-2</v>
          </cell>
          <cell r="GD69">
            <v>4.6390367560213731E-2</v>
          </cell>
          <cell r="GE69">
            <v>0.15423304866911453</v>
          </cell>
          <cell r="GF69">
            <v>9.644428925609537E-2</v>
          </cell>
        </row>
        <row r="70">
          <cell r="A70" t="str">
            <v>Y/Y ∆ bps</v>
          </cell>
          <cell r="O70">
            <v>148.36144216660921</v>
          </cell>
          <cell r="P70">
            <v>279.04152875735315</v>
          </cell>
          <cell r="Q70">
            <v>65.879841081215588</v>
          </cell>
          <cell r="R70">
            <v>109.25324760683822</v>
          </cell>
          <cell r="S70">
            <v>8.22020275772703</v>
          </cell>
          <cell r="T70">
            <v>-192.7171688106838</v>
          </cell>
          <cell r="U70">
            <v>34.45807729568498</v>
          </cell>
          <cell r="V70">
            <v>2.2113486238026225</v>
          </cell>
          <cell r="W70">
            <v>41.794406666073591</v>
          </cell>
          <cell r="X70">
            <v>4.7130913630487328</v>
          </cell>
          <cell r="Y70">
            <v>-112.10229287235099</v>
          </cell>
          <cell r="Z70">
            <v>-51.544411427299899</v>
          </cell>
          <cell r="AA70">
            <v>-218.77078812873845</v>
          </cell>
          <cell r="AB70">
            <v>36.022417429190725</v>
          </cell>
          <cell r="AC70">
            <v>159.01239790124541</v>
          </cell>
          <cell r="AD70">
            <v>136.10884020181541</v>
          </cell>
          <cell r="AE70">
            <v>60.826153307024512</v>
          </cell>
          <cell r="AF70">
            <v>14.999999999999735</v>
          </cell>
          <cell r="AG70">
            <v>25.000000000000021</v>
          </cell>
          <cell r="AH70">
            <v>-1.3877787807814457E-13</v>
          </cell>
          <cell r="AI70">
            <v>-9.9999999999995932</v>
          </cell>
          <cell r="AJ70">
            <v>9.9999999999994529</v>
          </cell>
          <cell r="AK70">
            <v>10.000000000000425</v>
          </cell>
          <cell r="AL70">
            <v>9.9999999999988987</v>
          </cell>
          <cell r="AN70" t="str">
            <v>Y/Y ∆ bps</v>
          </cell>
          <cell r="DH70">
            <v>127.86873775538763</v>
          </cell>
          <cell r="DI70">
            <v>298.87894442652413</v>
          </cell>
          <cell r="DJ70">
            <v>-18.733701245304406</v>
          </cell>
          <cell r="DK70">
            <v>49.753691755655694</v>
          </cell>
          <cell r="DL70">
            <v>104.28180317515731</v>
          </cell>
          <cell r="DN70">
            <v>-106.07458702422898</v>
          </cell>
          <cell r="DO70">
            <v>-364.47722132310594</v>
          </cell>
          <cell r="DP70">
            <v>-262.34301823480411</v>
          </cell>
          <cell r="DQ70">
            <v>-48.730641680616863</v>
          </cell>
          <cell r="DR70">
            <v>-192.7171688106838</v>
          </cell>
          <cell r="DT70">
            <v>-6.7709824716741256</v>
          </cell>
          <cell r="DU70">
            <v>132.37418876028363</v>
          </cell>
          <cell r="DV70">
            <v>91.46430484241526</v>
          </cell>
          <cell r="DW70">
            <v>-34.896162090202743</v>
          </cell>
          <cell r="DX70">
            <v>34.45807729568498</v>
          </cell>
          <cell r="DZ70">
            <v>-172.0802937532554</v>
          </cell>
          <cell r="EA70">
            <v>-62.681878190856409</v>
          </cell>
          <cell r="EB70">
            <v>39.075531790859905</v>
          </cell>
          <cell r="EC70">
            <v>124.6046442294102</v>
          </cell>
          <cell r="ED70">
            <v>2.2113486238026225</v>
          </cell>
          <cell r="EF70">
            <v>196.84585788813706</v>
          </cell>
          <cell r="EG70">
            <v>-27.168888020756704</v>
          </cell>
          <cell r="EH70">
            <v>19.120860341060308</v>
          </cell>
          <cell r="EI70">
            <v>-8.2222194735800951</v>
          </cell>
          <cell r="EJ70">
            <v>41.794406666073591</v>
          </cell>
          <cell r="EK70" t="str">
            <v>Y/Y ∆ bps</v>
          </cell>
          <cell r="EL70">
            <v>27.328817729226213</v>
          </cell>
          <cell r="EM70">
            <v>32.467334768875169</v>
          </cell>
          <cell r="EN70">
            <v>-112.53295542320193</v>
          </cell>
          <cell r="EO70">
            <v>-131.23465416361918</v>
          </cell>
          <cell r="EP70">
            <v>4.7130913630487328</v>
          </cell>
          <cell r="ER70">
            <v>-440.85279464298537</v>
          </cell>
          <cell r="ES70">
            <v>-122.63462720912194</v>
          </cell>
          <cell r="ET70">
            <v>-12.042488652534988</v>
          </cell>
          <cell r="EU70">
            <v>184.5582293355813</v>
          </cell>
          <cell r="EV70">
            <v>-112.10229287235099</v>
          </cell>
          <cell r="EX70">
            <v>160.82779645318794</v>
          </cell>
          <cell r="EY70">
            <v>-91.632991285451112</v>
          </cell>
          <cell r="EZ70">
            <v>-135.36744367154739</v>
          </cell>
          <cell r="FA70">
            <v>-66.737730396537188</v>
          </cell>
          <cell r="FB70">
            <v>-51.544411427299899</v>
          </cell>
          <cell r="FD70">
            <v>-168.48719261589002</v>
          </cell>
          <cell r="FE70">
            <v>-3.0649629675538055</v>
          </cell>
          <cell r="FF70">
            <v>-185.71677193563903</v>
          </cell>
          <cell r="FG70">
            <v>-410.70592922210989</v>
          </cell>
          <cell r="FH70">
            <v>-218.77078812873845</v>
          </cell>
          <cell r="FJ70">
            <v>-198.21958019536339</v>
          </cell>
          <cell r="FK70">
            <v>-52.283565351395751</v>
          </cell>
          <cell r="FL70">
            <v>10.494998192178731</v>
          </cell>
          <cell r="FM70">
            <v>244.01228238041307</v>
          </cell>
          <cell r="FN70">
            <v>36.022417429190725</v>
          </cell>
          <cell r="FP70">
            <v>318.80510713508306</v>
          </cell>
          <cell r="FQ70">
            <v>134.64627484938762</v>
          </cell>
          <cell r="FR70">
            <v>151.36168914943616</v>
          </cell>
          <cell r="FS70">
            <v>78.196673151046397</v>
          </cell>
          <cell r="FT70">
            <v>159.01239790124541</v>
          </cell>
          <cell r="FV70">
            <v>196.17589927472375</v>
          </cell>
          <cell r="FW70">
            <v>183.7633908738602</v>
          </cell>
          <cell r="FX70">
            <v>182.40234491256669</v>
          </cell>
          <cell r="FY70">
            <v>29.431475086706683</v>
          </cell>
          <cell r="FZ70">
            <v>136.10884020181541</v>
          </cell>
          <cell r="GB70">
            <v>76.130040122868792</v>
          </cell>
          <cell r="GC70">
            <v>53.529395866805665</v>
          </cell>
          <cell r="GD70">
            <v>-33.277257252808873</v>
          </cell>
          <cell r="GE70">
            <v>99.185140519664202</v>
          </cell>
          <cell r="GF70">
            <v>60.826153307024512</v>
          </cell>
        </row>
        <row r="71">
          <cell r="A71" t="str">
            <v>Interest Expense, net</v>
          </cell>
          <cell r="K71">
            <v>3.2697149947086085E-2</v>
          </cell>
          <cell r="L71">
            <v>2.9523074454598411E-2</v>
          </cell>
          <cell r="N71">
            <v>3.1545093745723278E-2</v>
          </cell>
          <cell r="O71">
            <v>3.0472594889772803E-2</v>
          </cell>
          <cell r="P71">
            <v>2.5164257555847568E-2</v>
          </cell>
          <cell r="Q71">
            <v>1.9004230393752035E-2</v>
          </cell>
          <cell r="R71">
            <v>1.9152785576143239E-2</v>
          </cell>
          <cell r="S71">
            <v>1.9293184276956366E-2</v>
          </cell>
          <cell r="T71">
            <v>2.0525815647766867E-2</v>
          </cell>
          <cell r="U71">
            <v>1.8945475563547622E-2</v>
          </cell>
          <cell r="V71">
            <v>1.6675317934077342E-2</v>
          </cell>
          <cell r="W71">
            <v>1.4262170385395538E-2</v>
          </cell>
          <cell r="X71">
            <v>1.7731129968736044E-2</v>
          </cell>
          <cell r="Y71">
            <v>1.7093066370040787E-2</v>
          </cell>
          <cell r="Z71">
            <v>2.0636187435868203E-2</v>
          </cell>
          <cell r="AA71">
            <v>2.2497187851518559E-2</v>
          </cell>
          <cell r="AB71">
            <v>2.3268466206319314E-2</v>
          </cell>
          <cell r="AC71">
            <v>2.2957245130584329E-2</v>
          </cell>
          <cell r="AD71">
            <v>1.677712554440447E-2</v>
          </cell>
          <cell r="AE71">
            <v>1.5811449048425012E-2</v>
          </cell>
          <cell r="AF71">
            <v>1.5432439405946033E-2</v>
          </cell>
          <cell r="AG71">
            <v>1.1551362026190394E-2</v>
          </cell>
          <cell r="AH71">
            <v>1.1247354128091228E-2</v>
          </cell>
          <cell r="AI71">
            <v>8.8517788743727871E-3</v>
          </cell>
          <cell r="AJ71">
            <v>7.3060870294808875E-3</v>
          </cell>
          <cell r="AK71">
            <v>6.4151370536479606E-3</v>
          </cell>
          <cell r="AL71">
            <v>6.1009977063129633E-3</v>
          </cell>
          <cell r="AN71" t="str">
            <v>Interest Expense, net</v>
          </cell>
          <cell r="AO71">
            <v>9.4412937137683436E-2</v>
          </cell>
          <cell r="AP71">
            <v>8.9822192159361131E-2</v>
          </cell>
          <cell r="AQ71">
            <v>7.6101932466374367E-2</v>
          </cell>
          <cell r="AR71">
            <v>5.9439345690775844E-2</v>
          </cell>
          <cell r="AS71">
            <v>7.7841406231294583E-2</v>
          </cell>
          <cell r="AU71">
            <v>7.2724750991421602E-2</v>
          </cell>
          <cell r="AV71">
            <v>7.3799442818719529E-2</v>
          </cell>
          <cell r="AW71">
            <v>6.4135371212258638E-2</v>
          </cell>
          <cell r="AX71">
            <v>4.7384105029377857E-2</v>
          </cell>
          <cell r="AY71">
            <v>6.303759937325483E-2</v>
          </cell>
          <cell r="BA71">
            <v>3.6447192449574548E-2</v>
          </cell>
          <cell r="BB71">
            <v>3.4143281828587738E-2</v>
          </cell>
          <cell r="BC71">
            <v>2.4557775026342047E-2</v>
          </cell>
          <cell r="BD71">
            <v>2.0725558102914272E-2</v>
          </cell>
          <cell r="BE71">
            <v>2.7945713106931256E-2</v>
          </cell>
          <cell r="BG71">
            <v>2.7210661911047193E-2</v>
          </cell>
          <cell r="BH71">
            <v>2.6805113267229716E-2</v>
          </cell>
          <cell r="BI71">
            <v>2.2350452547483253E-2</v>
          </cell>
          <cell r="BJ71">
            <v>1.729722637786555E-2</v>
          </cell>
          <cell r="BK71">
            <v>2.2704354963602815E-2</v>
          </cell>
          <cell r="BM71">
            <v>2.7417845940236968E-2</v>
          </cell>
          <cell r="BN71">
            <v>3.0510619635361193E-2</v>
          </cell>
          <cell r="BO71">
            <v>2.6461339487889576E-2</v>
          </cell>
          <cell r="BP71">
            <v>2.1503910610110491E-2</v>
          </cell>
          <cell r="BQ71">
            <v>2.587720988333796E-2</v>
          </cell>
          <cell r="BS71">
            <v>3.5071477195371001E-2</v>
          </cell>
          <cell r="BT71">
            <v>3.7450525453801002E-2</v>
          </cell>
          <cell r="BU71">
            <v>3.4075046232774568E-2</v>
          </cell>
          <cell r="BV71">
            <v>2.6999397334880916E-2</v>
          </cell>
          <cell r="BW71">
            <v>3.2697149947086085E-2</v>
          </cell>
          <cell r="BY71">
            <v>3.2647859475516454E-2</v>
          </cell>
          <cell r="BZ71">
            <v>3.3874630784378072E-2</v>
          </cell>
          <cell r="CA71">
            <v>3.1383267217194519E-2</v>
          </cell>
          <cell r="CB71">
            <v>6.1890067502410759E-2</v>
          </cell>
          <cell r="CC71">
            <v>3.4758851116312182E-2</v>
          </cell>
          <cell r="CD71">
            <v>2.3302732476509342E-2</v>
          </cell>
          <cell r="CE71">
            <v>2.4686318828467779E-2</v>
          </cell>
          <cell r="CF71">
            <v>2.9523074454598411E-2</v>
          </cell>
          <cell r="CG71">
            <v>2.9750774835216397E-2</v>
          </cell>
          <cell r="CH71">
            <v>3.0636684676753432E-2</v>
          </cell>
          <cell r="CJ71">
            <v>3.4017329657345413E-2</v>
          </cell>
          <cell r="CK71">
            <v>3.5202793472316786E-2</v>
          </cell>
          <cell r="CL71">
            <v>3.140935201327294E-2</v>
          </cell>
          <cell r="CM71">
            <v>2.1948147333105857E-2</v>
          </cell>
          <cell r="CN71">
            <v>2.966465240014567E-2</v>
          </cell>
          <cell r="CP71">
            <v>3.0617252516873267E-2</v>
          </cell>
          <cell r="CQ71">
            <v>2.8748310443407421E-2</v>
          </cell>
          <cell r="CR71">
            <v>2.4525155114038584E-2</v>
          </cell>
          <cell r="CS71">
            <v>1.7188736384699484E-2</v>
          </cell>
          <cell r="CT71">
            <v>2.4412010687558432E-2</v>
          </cell>
          <cell r="CV71">
            <v>2.2937146261543043E-2</v>
          </cell>
          <cell r="CW71">
            <v>2.1599532983070636E-2</v>
          </cell>
          <cell r="CX71">
            <v>2.0293122886133032E-2</v>
          </cell>
          <cell r="CY71">
            <v>1.3706793802145411E-2</v>
          </cell>
          <cell r="CZ71">
            <v>1.9004230393752035E-2</v>
          </cell>
          <cell r="DB71">
            <v>2.0833333333333332E-2</v>
          </cell>
          <cell r="DC71">
            <v>2.1218172740888667E-2</v>
          </cell>
          <cell r="DD71">
            <v>2.1996615905245348E-2</v>
          </cell>
          <cell r="DE71">
            <v>1.7411685919973212E-2</v>
          </cell>
          <cell r="DF71">
            <v>2.003838338225333E-2</v>
          </cell>
          <cell r="DH71">
            <v>1.9311502938706968E-2</v>
          </cell>
          <cell r="DI71">
            <v>2.1201413427561839E-2</v>
          </cell>
          <cell r="DJ71">
            <v>2.2210470650449499E-2</v>
          </cell>
          <cell r="DK71">
            <v>1.6059957173447537E-2</v>
          </cell>
          <cell r="DL71">
            <v>1.9293184276956366E-2</v>
          </cell>
          <cell r="DN71">
            <v>2.1934758155230598E-2</v>
          </cell>
          <cell r="DO71">
            <v>2.2362385321100919E-2</v>
          </cell>
          <cell r="DP71">
            <v>2.302158273381295E-2</v>
          </cell>
          <cell r="DQ71">
            <v>1.7147310989867499E-2</v>
          </cell>
          <cell r="DR71">
            <v>2.0525815647766867E-2</v>
          </cell>
          <cell r="DT71">
            <v>2.143064002316826E-2</v>
          </cell>
          <cell r="DU71">
            <v>2.2375215146299483E-2</v>
          </cell>
          <cell r="DV71">
            <v>2.0983041103765449E-2</v>
          </cell>
          <cell r="DW71">
            <v>1.3952561291608531E-2</v>
          </cell>
          <cell r="DX71">
            <v>1.8945475563547622E-2</v>
          </cell>
          <cell r="DZ71">
            <v>2.127013065937405E-2</v>
          </cell>
          <cell r="EA71">
            <v>1.8928363424577752E-2</v>
          </cell>
          <cell r="EB71">
            <v>1.7498565691336777E-2</v>
          </cell>
          <cell r="EC71">
            <v>1.2072036414011479E-2</v>
          </cell>
          <cell r="ED71">
            <v>1.6675317934077342E-2</v>
          </cell>
          <cell r="EF71">
            <v>1.6901408450704224E-2</v>
          </cell>
          <cell r="EG71">
            <v>1.6755096341803964E-2</v>
          </cell>
          <cell r="EH71">
            <v>1.5602836879432624E-2</v>
          </cell>
          <cell r="EI71">
            <v>9.765625E-3</v>
          </cell>
          <cell r="EJ71">
            <v>1.4262170385395538E-2</v>
          </cell>
          <cell r="EK71" t="str">
            <v>Interest Expense, net</v>
          </cell>
          <cell r="EL71">
            <v>1.4831090359791266E-2</v>
          </cell>
          <cell r="EM71">
            <v>1.4904775048302512E-2</v>
          </cell>
          <cell r="EN71">
            <v>2.6102610261026102E-2</v>
          </cell>
          <cell r="EO71">
            <v>1.5045449796259535E-2</v>
          </cell>
          <cell r="EP71">
            <v>1.7731129968736044E-2</v>
          </cell>
          <cell r="ER71">
            <v>2.3271500843170319E-2</v>
          </cell>
          <cell r="ES71">
            <v>1.9349457881567972E-2</v>
          </cell>
          <cell r="ET71">
            <v>1.7669045191980971E-2</v>
          </cell>
          <cell r="EU71">
            <v>1.1245769188776067E-2</v>
          </cell>
          <cell r="EV71">
            <v>1.7093066370040787E-2</v>
          </cell>
          <cell r="EX71">
            <v>2.1111298767100151E-2</v>
          </cell>
          <cell r="EY71">
            <v>2.3251866938221316E-2</v>
          </cell>
          <cell r="EZ71">
            <v>2.4551303758889264E-2</v>
          </cell>
          <cell r="FA71">
            <v>1.5824994181987434E-2</v>
          </cell>
          <cell r="FB71">
            <v>2.0636187435868203E-2</v>
          </cell>
          <cell r="FD71">
            <v>2.3664520619453629E-2</v>
          </cell>
          <cell r="FE71">
            <v>2.4134312696747113E-2</v>
          </cell>
          <cell r="FF71">
            <v>2.60331330784635E-2</v>
          </cell>
          <cell r="FG71">
            <v>1.8023695487774136E-2</v>
          </cell>
          <cell r="FH71">
            <v>2.2497187851518559E-2</v>
          </cell>
          <cell r="FJ71">
            <v>2.6664145234493192E-2</v>
          </cell>
          <cell r="FK71">
            <v>2.6300851466414379E-2</v>
          </cell>
          <cell r="FL71">
            <v>2.544103992571959E-2</v>
          </cell>
          <cell r="FM71">
            <v>1.7512914199319642E-2</v>
          </cell>
          <cell r="FN71">
            <v>2.3268466206319314E-2</v>
          </cell>
          <cell r="FP71">
            <v>2.9063509149623249E-2</v>
          </cell>
          <cell r="FQ71">
            <v>2.3478417915838903E-2</v>
          </cell>
          <cell r="FR71">
            <v>2.9165925662457761E-2</v>
          </cell>
          <cell r="FS71">
            <v>1.4270165679042206E-2</v>
          </cell>
          <cell r="FT71">
            <v>2.2957245130584329E-2</v>
          </cell>
          <cell r="FV71">
            <v>1.9697741552046188E-2</v>
          </cell>
          <cell r="FW71">
            <v>1.869001515406634E-2</v>
          </cell>
          <cell r="FX71">
            <v>1.8452075858534086E-2</v>
          </cell>
          <cell r="FY71">
            <v>1.2379642365887207E-2</v>
          </cell>
          <cell r="FZ71">
            <v>1.677712554440447E-2</v>
          </cell>
          <cell r="GB71">
            <v>1.8232134136415432E-2</v>
          </cell>
          <cell r="GC71">
            <v>1.7162471395881007E-2</v>
          </cell>
          <cell r="GD71">
            <v>1.7615406893202082E-2</v>
          </cell>
          <cell r="GE71">
            <v>1.2172632499990378E-2</v>
          </cell>
          <cell r="GF71">
            <v>1.5811449048425012E-2</v>
          </cell>
        </row>
        <row r="72">
          <cell r="A72" t="str">
            <v>Pretax Income</v>
          </cell>
          <cell r="K72">
            <v>6.7361237820676165E-3</v>
          </cell>
          <cell r="L72">
            <v>2.1767271032489204E-2</v>
          </cell>
          <cell r="N72">
            <v>1.3822362118516491E-2</v>
          </cell>
          <cell r="O72">
            <v>2.9731005191127889E-2</v>
          </cell>
          <cell r="P72">
            <v>6.2943495400788432E-2</v>
          </cell>
          <cell r="Q72">
            <v>7.5691506671005535E-2</v>
          </cell>
          <cell r="R72">
            <v>8.6468276249298148E-2</v>
          </cell>
          <cell r="S72">
            <v>8.2341627599471084E-2</v>
          </cell>
          <cell r="T72">
            <v>4.9414000633512832E-2</v>
          </cell>
          <cell r="U72">
            <v>6.7304604713891214E-2</v>
          </cell>
          <cell r="V72">
            <v>7.0334804048793151E-2</v>
          </cell>
          <cell r="W72">
            <v>7.074036511156187E-2</v>
          </cell>
          <cell r="X72">
            <v>9.1290754801250554E-2</v>
          </cell>
          <cell r="Y72">
            <v>5.0982573229514272E-2</v>
          </cell>
          <cell r="Z72">
            <v>5.0165317523657507E-2</v>
          </cell>
          <cell r="AA72">
            <v>1.783705608227543E-2</v>
          </cell>
          <cell r="AB72">
            <v>2.1217827997489013E-2</v>
          </cell>
          <cell r="AC72">
            <v>5.2793664760228773E-2</v>
          </cell>
          <cell r="AD72">
            <v>7.4531338761598176E-2</v>
          </cell>
          <cell r="AE72">
            <v>8.063284020767035E-2</v>
          </cell>
          <cell r="AF72">
            <v>8.251184985014931E-2</v>
          </cell>
          <cell r="AG72">
            <v>8.8892927229904967E-2</v>
          </cell>
          <cell r="AH72">
            <v>8.9196935128004098E-2</v>
          </cell>
          <cell r="AI72">
            <v>9.0592510381722585E-2</v>
          </cell>
          <cell r="AJ72">
            <v>9.3138202226614425E-2</v>
          </cell>
          <cell r="AK72">
            <v>9.5029152202447398E-2</v>
          </cell>
          <cell r="AL72">
            <v>9.6343291549782287E-2</v>
          </cell>
          <cell r="AN72" t="str">
            <v>Pretax Income</v>
          </cell>
          <cell r="AO72">
            <v>-9.0163223218439878E-2</v>
          </cell>
          <cell r="AP72">
            <v>-0.12220487490266711</v>
          </cell>
          <cell r="AQ72">
            <v>-6.8728084842250486E-2</v>
          </cell>
          <cell r="AR72">
            <v>-4.2722085061616032E-2</v>
          </cell>
          <cell r="AS72">
            <v>-7.6701526732841571E-2</v>
          </cell>
          <cell r="AU72">
            <v>-5.3355708699343932E-2</v>
          </cell>
          <cell r="AV72">
            <v>-0.14065250514292904</v>
          </cell>
          <cell r="AW72">
            <v>-4.6809031067335062E-2</v>
          </cell>
          <cell r="AX72">
            <v>-0.69561674772520654</v>
          </cell>
          <cell r="AY72">
            <v>-0.27021375085956034</v>
          </cell>
          <cell r="BA72">
            <v>1.4618324059028203E-2</v>
          </cell>
          <cell r="BB72">
            <v>-1.5426032725505995E-2</v>
          </cell>
          <cell r="BC72">
            <v>3.1043089160492192E-2</v>
          </cell>
          <cell r="BD72">
            <v>7.7794891155674686E-2</v>
          </cell>
          <cell r="BE72">
            <v>3.2769623362680571E-2</v>
          </cell>
          <cell r="BG72">
            <v>2.4938704953092587E-2</v>
          </cell>
          <cell r="BH72">
            <v>1.204229814789173E-2</v>
          </cell>
          <cell r="BI72">
            <v>3.5217387659523307E-2</v>
          </cell>
          <cell r="BJ72">
            <v>0.10522273490933497</v>
          </cell>
          <cell r="BK72">
            <v>5.0872782632487255E-2</v>
          </cell>
          <cell r="BM72">
            <v>3.5115451996243524E-2</v>
          </cell>
          <cell r="BN72">
            <v>6.4325543512310261E-3</v>
          </cell>
          <cell r="BO72">
            <v>4.065577786300785E-2</v>
          </cell>
          <cell r="BP72">
            <v>0.11104631292387993</v>
          </cell>
          <cell r="BQ72">
            <v>5.5494424440059829E-2</v>
          </cell>
          <cell r="BS72">
            <v>-1.7950987066031328E-2</v>
          </cell>
          <cell r="BT72">
            <v>-2.984338747099767E-2</v>
          </cell>
          <cell r="BU72">
            <v>-2.2680904372725637E-2</v>
          </cell>
          <cell r="BV72">
            <v>6.8868998459855821E-2</v>
          </cell>
          <cell r="BW72">
            <v>6.7361237820676122E-3</v>
          </cell>
          <cell r="BY72">
            <v>-2.9032070216726567E-2</v>
          </cell>
          <cell r="BZ72">
            <v>-3.3351493272070855E-2</v>
          </cell>
          <cell r="CA72">
            <v>1.2893247034373114E-2</v>
          </cell>
          <cell r="CB72">
            <v>-0.16441176470588287</v>
          </cell>
          <cell r="CC72">
            <v>-6.752536903383885E-3</v>
          </cell>
          <cell r="CD72">
            <v>9.7221946214493968E-2</v>
          </cell>
          <cell r="CE72">
            <v>7.8835875325267243E-2</v>
          </cell>
          <cell r="CF72">
            <v>2.17672710324892E-2</v>
          </cell>
          <cell r="CG72">
            <v>1.8428552040484762E-2</v>
          </cell>
          <cell r="CH72">
            <v>1.3388614238720465E-2</v>
          </cell>
          <cell r="CJ72">
            <v>-1.7267246341685142E-2</v>
          </cell>
          <cell r="CK72">
            <v>-1.2136794400388754E-2</v>
          </cell>
          <cell r="CL72">
            <v>2.0489877389345192E-2</v>
          </cell>
          <cell r="CM72">
            <v>9.2227383028815668E-2</v>
          </cell>
          <cell r="CN72">
            <v>2.8987918734701083E-2</v>
          </cell>
          <cell r="CP72">
            <v>1.2813679658301928E-2</v>
          </cell>
          <cell r="CQ72">
            <v>3.2610071335707716E-2</v>
          </cell>
          <cell r="CR72">
            <v>4.7002142928070444E-2</v>
          </cell>
          <cell r="CS72">
            <v>0.12369815237437246</v>
          </cell>
          <cell r="CT72">
            <v>6.1161023599734327E-2</v>
          </cell>
          <cell r="CV72">
            <v>3.0980041703902294E-2</v>
          </cell>
          <cell r="CW72">
            <v>5.6333917104495035E-2</v>
          </cell>
          <cell r="CX72">
            <v>5.2142051860202931E-2</v>
          </cell>
          <cell r="CY72">
            <v>0.13528009535160906</v>
          </cell>
          <cell r="CZ72">
            <v>7.5691506671005535E-2</v>
          </cell>
          <cell r="DB72">
            <v>4.1666666666666664E-2</v>
          </cell>
          <cell r="DC72">
            <v>5.8162755866200698E-2</v>
          </cell>
          <cell r="DD72">
            <v>5.1003142373700752E-2</v>
          </cell>
          <cell r="DE72">
            <v>0.12589988280596015</v>
          </cell>
          <cell r="DF72">
            <v>7.5976518401445023E-2</v>
          </cell>
          <cell r="DH72">
            <v>5.5975370836831795E-2</v>
          </cell>
          <cell r="DI72">
            <v>8.8067409622179946E-2</v>
          </cell>
          <cell r="DJ72">
            <v>4.8915917503966157E-2</v>
          </cell>
          <cell r="DK72">
            <v>0.11795146324054247</v>
          </cell>
          <cell r="DL72">
            <v>8.2341627599471084E-2</v>
          </cell>
          <cell r="DN72">
            <v>2.81214848143982E-2</v>
          </cell>
          <cell r="DO72">
            <v>3.8704128440366969E-2</v>
          </cell>
          <cell r="DP72">
            <v>1.3237410071942447E-2</v>
          </cell>
          <cell r="DQ72">
            <v>9.7233047544816834E-2</v>
          </cell>
          <cell r="DR72">
            <v>4.9414000633512832E-2</v>
          </cell>
          <cell r="DT72">
            <v>4.2571676802780192E-2</v>
          </cell>
          <cell r="DU72">
            <v>6.3683304647160072E-2</v>
          </cell>
          <cell r="DV72">
            <v>3.3055475711411327E-2</v>
          </cell>
          <cell r="DW72">
            <v>0.1124177795495316</v>
          </cell>
          <cell r="DX72">
            <v>6.7304604713891214E-2</v>
          </cell>
          <cell r="DZ72">
            <v>2.3093284715891827E-2</v>
          </cell>
          <cell r="EA72">
            <v>5.7949912638322658E-2</v>
          </cell>
          <cell r="EB72">
            <v>3.2128514056224897E-2</v>
          </cell>
          <cell r="EC72">
            <v>0.13793785869780328</v>
          </cell>
          <cell r="ED72">
            <v>7.0334804048793151E-2</v>
          </cell>
          <cell r="EF72">
            <v>4.4225352112676058E-2</v>
          </cell>
          <cell r="EG72">
            <v>3.518570231778833E-2</v>
          </cell>
          <cell r="EH72">
            <v>3.4042553191489362E-2</v>
          </cell>
          <cell r="EI72">
            <v>0.13925781249999999</v>
          </cell>
          <cell r="EJ72">
            <v>7.074036511156187E-2</v>
          </cell>
          <cell r="EK72" t="str">
            <v>Pretax Income</v>
          </cell>
          <cell r="EL72">
            <v>5.4380664652567974E-2</v>
          </cell>
          <cell r="EM72">
            <v>6.5415401600883244E-2</v>
          </cell>
          <cell r="EN72">
            <v>9.7569756975697572E-2</v>
          </cell>
          <cell r="EO72">
            <v>0.11148260369867308</v>
          </cell>
          <cell r="EP72">
            <v>9.1290754801250554E-2</v>
          </cell>
          <cell r="ER72">
            <v>-1.9898819561551432E-2</v>
          </cell>
          <cell r="ES72">
            <v>5.104253544620517E-2</v>
          </cell>
          <cell r="ET72">
            <v>5.0968399592252805E-3</v>
          </cell>
          <cell r="EU72">
            <v>0.12632383447974671</v>
          </cell>
          <cell r="EV72">
            <v>5.0982573229514272E-2</v>
          </cell>
          <cell r="EX72">
            <v>1.4017902381354501E-2</v>
          </cell>
          <cell r="EY72">
            <v>1.9178547182620503E-2</v>
          </cell>
          <cell r="EZ72">
            <v>6.4341347781916693E-3</v>
          </cell>
          <cell r="FA72">
            <v>0.12636723295322319</v>
          </cell>
          <cell r="FB72">
            <v>5.0165317523657507E-2</v>
          </cell>
          <cell r="FD72">
            <v>-1.8444405776927093E-2</v>
          </cell>
          <cell r="FE72">
            <v>2.1161245190626093E-2</v>
          </cell>
          <cell r="FF72">
            <v>-1.3653741125068269E-2</v>
          </cell>
          <cell r="FG72">
            <v>6.3524073607259895E-2</v>
          </cell>
          <cell r="FH72">
            <v>1.783705608227543E-2</v>
          </cell>
          <cell r="FJ72">
            <v>-4.8222390317700453E-2</v>
          </cell>
          <cell r="FK72">
            <v>2.0624408703878903E-2</v>
          </cell>
          <cell r="FL72">
            <v>-1.5227483751160632E-2</v>
          </cell>
          <cell r="FM72">
            <v>9.2604258535970777E-2</v>
          </cell>
          <cell r="FN72">
            <v>2.1217827997489013E-2</v>
          </cell>
          <cell r="FP72">
            <v>7.3555794761392176E-3</v>
          </cell>
          <cell r="FQ72">
            <v>4.3344771536933356E-2</v>
          </cell>
          <cell r="FR72">
            <v>2.3119331317801887E-3</v>
          </cell>
          <cell r="FS72">
            <v>0.12407788124319749</v>
          </cell>
          <cell r="FT72">
            <v>5.2793664760228773E-2</v>
          </cell>
          <cell r="FV72">
            <v>3.6338937001188655E-2</v>
          </cell>
          <cell r="FW72">
            <v>6.6509513386091929E-2</v>
          </cell>
          <cell r="FX72">
            <v>3.1266017426960536E-2</v>
          </cell>
          <cell r="FY72">
            <v>0.13480055020632736</v>
          </cell>
          <cell r="FZ72">
            <v>7.4531338761598176E-2</v>
          </cell>
          <cell r="GB72">
            <v>4.5417548429106301E-2</v>
          </cell>
          <cell r="GC72">
            <v>7.3389996730957835E-2</v>
          </cell>
          <cell r="GD72">
            <v>2.877496066701165E-2</v>
          </cell>
          <cell r="GE72">
            <v>0.14206041616912413</v>
          </cell>
          <cell r="GF72">
            <v>8.063284020767035E-2</v>
          </cell>
        </row>
        <row r="73">
          <cell r="A73" t="str">
            <v>Tax Rate</v>
          </cell>
          <cell r="K73">
            <v>0.60127905086949873</v>
          </cell>
          <cell r="L73">
            <v>0.51102235320759348</v>
          </cell>
          <cell r="N73">
            <v>0.62871287128712872</v>
          </cell>
          <cell r="O73">
            <v>0.3968253968253968</v>
          </cell>
          <cell r="P73">
            <v>0.39979123173277664</v>
          </cell>
          <cell r="Q73">
            <v>0.411006018916595</v>
          </cell>
          <cell r="R73">
            <v>0.40476190476190477</v>
          </cell>
          <cell r="S73">
            <v>0.40072992700729926</v>
          </cell>
          <cell r="T73">
            <v>0.3923076923076923</v>
          </cell>
          <cell r="U73">
            <v>0.39122137404580154</v>
          </cell>
          <cell r="V73">
            <v>0.39575645756457567</v>
          </cell>
          <cell r="W73">
            <v>0.38261648745519711</v>
          </cell>
          <cell r="X73">
            <v>0.37446604203916711</v>
          </cell>
          <cell r="Y73">
            <v>0.37218181818181817</v>
          </cell>
          <cell r="Z73">
            <v>0.37045454545454548</v>
          </cell>
          <cell r="AA73">
            <v>-0.30405405405405406</v>
          </cell>
          <cell r="AB73">
            <v>0.35108481262327418</v>
          </cell>
          <cell r="AC73">
            <v>0.35833333333333334</v>
          </cell>
          <cell r="AD73">
            <v>0.36178861788617889</v>
          </cell>
          <cell r="AE73">
            <v>0.36939105039562631</v>
          </cell>
          <cell r="AF73">
            <v>0.37</v>
          </cell>
          <cell r="AG73">
            <v>0.37</v>
          </cell>
          <cell r="AH73">
            <v>0.37</v>
          </cell>
          <cell r="AI73">
            <v>0.37</v>
          </cell>
          <cell r="AJ73">
            <v>0.37</v>
          </cell>
          <cell r="AK73">
            <v>0.37</v>
          </cell>
          <cell r="AL73">
            <v>0.37000000000000005</v>
          </cell>
          <cell r="AN73" t="str">
            <v>Tax Rate</v>
          </cell>
          <cell r="AO73">
            <v>0.30655992636034635</v>
          </cell>
          <cell r="AP73">
            <v>0.32220952871325365</v>
          </cell>
          <cell r="AQ73">
            <v>0.28537438768369477</v>
          </cell>
          <cell r="AR73">
            <v>1.4266644556836074</v>
          </cell>
          <cell r="AS73">
            <v>0.50448064169287754</v>
          </cell>
          <cell r="AU73">
            <v>0.24532451951351503</v>
          </cell>
          <cell r="AV73">
            <v>0.31634185759102562</v>
          </cell>
          <cell r="AW73">
            <v>0.23748624862486259</v>
          </cell>
          <cell r="AX73">
            <v>0.34189261006299915</v>
          </cell>
          <cell r="AY73">
            <v>0.32777388961936449</v>
          </cell>
          <cell r="BA73">
            <v>0.48589832869080435</v>
          </cell>
          <cell r="BB73">
            <v>0.29761110369678312</v>
          </cell>
          <cell r="BC73">
            <v>0.43131358602683062</v>
          </cell>
          <cell r="BD73">
            <v>0.40273902542974843</v>
          </cell>
          <cell r="BE73">
            <v>0.42800001724085901</v>
          </cell>
          <cell r="BG73">
            <v>0.45283542197231325</v>
          </cell>
          <cell r="BH73">
            <v>0.51064065004698544</v>
          </cell>
          <cell r="BI73">
            <v>0.4521304451321117</v>
          </cell>
          <cell r="BJ73">
            <v>0.40911280691456015</v>
          </cell>
          <cell r="BK73">
            <v>0.42619228886834615</v>
          </cell>
          <cell r="BM73">
            <v>0.44509884962457674</v>
          </cell>
          <cell r="BN73">
            <v>0.63260933086589088</v>
          </cell>
          <cell r="BO73">
            <v>0.43393841911764702</v>
          </cell>
          <cell r="BP73">
            <v>0.4075239013559816</v>
          </cell>
          <cell r="BQ73">
            <v>0.42286578665581953</v>
          </cell>
          <cell r="BS73">
            <v>0.29756541524459623</v>
          </cell>
          <cell r="BT73">
            <v>0.3342634196535757</v>
          </cell>
          <cell r="BU73">
            <v>0.32588900578642815</v>
          </cell>
          <cell r="BV73">
            <v>0.40580022039281777</v>
          </cell>
          <cell r="BW73">
            <v>0.60127905086949907</v>
          </cell>
          <cell r="BY73">
            <v>0.34293586019274108</v>
          </cell>
          <cell r="BZ73">
            <v>0.33897187616854652</v>
          </cell>
          <cell r="CA73">
            <v>0.49055374592834178</v>
          </cell>
          <cell r="CB73">
            <v>0</v>
          </cell>
          <cell r="CC73">
            <v>-0.83299751096360775</v>
          </cell>
          <cell r="CD73">
            <v>0.44173485688386088</v>
          </cell>
          <cell r="CE73">
            <v>0.41058345359620158</v>
          </cell>
          <cell r="CF73">
            <v>0.51102235320759359</v>
          </cell>
          <cell r="CG73">
            <v>0.47207543951378311</v>
          </cell>
          <cell r="CH73">
            <v>0.63186995905199972</v>
          </cell>
          <cell r="CJ73">
            <v>0.33461416991262155</v>
          </cell>
          <cell r="CK73">
            <v>0.31778725539387892</v>
          </cell>
          <cell r="CL73">
            <v>0.43474733269326737</v>
          </cell>
          <cell r="CM73">
            <v>0.3772043733216186</v>
          </cell>
          <cell r="CN73">
            <v>0.39770714314838579</v>
          </cell>
          <cell r="CP73">
            <v>0.44923654510907951</v>
          </cell>
          <cell r="CQ73">
            <v>0.41055267902341852</v>
          </cell>
          <cell r="CR73">
            <v>0.40304288318577025</v>
          </cell>
          <cell r="CS73">
            <v>0.394370270015513</v>
          </cell>
          <cell r="CT73">
            <v>0.40036627743167497</v>
          </cell>
          <cell r="CV73">
            <v>0.42082692307692304</v>
          </cell>
          <cell r="CW73">
            <v>0.44559585492227977</v>
          </cell>
          <cell r="CX73">
            <v>0.40540540540540543</v>
          </cell>
          <cell r="CY73">
            <v>0.40088105726872247</v>
          </cell>
          <cell r="CZ73">
            <v>0.41080481513327599</v>
          </cell>
          <cell r="DB73">
            <v>0.42</v>
          </cell>
          <cell r="DC73">
            <v>0.41201716738197425</v>
          </cell>
          <cell r="DD73">
            <v>0.41706161137440756</v>
          </cell>
          <cell r="DE73">
            <v>0.40425531914893614</v>
          </cell>
          <cell r="DF73">
            <v>0.40936106983655274</v>
          </cell>
          <cell r="DH73">
            <v>0.41</v>
          </cell>
          <cell r="DI73">
            <v>0.40123456790123457</v>
          </cell>
          <cell r="DJ73">
            <v>0.41081081081081083</v>
          </cell>
          <cell r="DK73">
            <v>0.39485627836611198</v>
          </cell>
          <cell r="DL73">
            <v>0.40072992700729926</v>
          </cell>
          <cell r="DN73">
            <v>0.42</v>
          </cell>
          <cell r="DO73">
            <v>0.40740740740740738</v>
          </cell>
          <cell r="DP73">
            <v>0.43478260869565216</v>
          </cell>
          <cell r="DQ73">
            <v>0.37875751503006011</v>
          </cell>
          <cell r="DR73">
            <v>0.3923076923076923</v>
          </cell>
          <cell r="DT73">
            <v>0.39455782312925169</v>
          </cell>
          <cell r="DU73">
            <v>0.40090090090090091</v>
          </cell>
          <cell r="DV73">
            <v>0.34782608695652173</v>
          </cell>
          <cell r="DW73">
            <v>0.3953900709219858</v>
          </cell>
          <cell r="DX73">
            <v>0.39122137404580154</v>
          </cell>
          <cell r="DZ73">
            <v>0.39473684210526316</v>
          </cell>
          <cell r="EA73">
            <v>0.39698492462311558</v>
          </cell>
          <cell r="EB73">
            <v>0.4017857142857143</v>
          </cell>
          <cell r="EC73">
            <v>0.39454806312769009</v>
          </cell>
          <cell r="ED73">
            <v>0.39575645756457567</v>
          </cell>
          <cell r="EF73">
            <v>0.38216560509554143</v>
          </cell>
          <cell r="EG73">
            <v>0.38095238095238093</v>
          </cell>
          <cell r="EH73">
            <v>0.38333333333333336</v>
          </cell>
          <cell r="EI73">
            <v>0.38288920056100983</v>
          </cell>
          <cell r="EJ73">
            <v>0.38261648745519711</v>
          </cell>
          <cell r="EK73" t="str">
            <v>Tax Rate</v>
          </cell>
          <cell r="EL73">
            <v>0.377</v>
          </cell>
          <cell r="EM73">
            <v>0.37552742616033757</v>
          </cell>
          <cell r="EN73">
            <v>0.37410071942446044</v>
          </cell>
          <cell r="EO73">
            <v>0.37394564198687907</v>
          </cell>
          <cell r="EP73">
            <v>0.37446604203916711</v>
          </cell>
          <cell r="ER73">
            <v>0.3728813559322034</v>
          </cell>
          <cell r="ES73">
            <v>0.375</v>
          </cell>
          <cell r="ET73">
            <v>0.33333333333333331</v>
          </cell>
          <cell r="EU73">
            <v>0.37251512532411407</v>
          </cell>
          <cell r="EV73">
            <v>0.37218181818181817</v>
          </cell>
          <cell r="EX73">
            <v>0.37349397590361444</v>
          </cell>
          <cell r="EY73">
            <v>0.34513274336283184</v>
          </cell>
          <cell r="EZ73">
            <v>0.13157894736842105</v>
          </cell>
          <cell r="FA73">
            <v>0.38121546961325969</v>
          </cell>
          <cell r="FB73">
            <v>0.375</v>
          </cell>
          <cell r="FD73">
            <v>0.44339622641509435</v>
          </cell>
          <cell r="FE73">
            <v>0.39669421487603307</v>
          </cell>
          <cell r="FF73">
            <v>0.41333333333333333</v>
          </cell>
          <cell r="FG73">
            <v>-0.20833333333333334</v>
          </cell>
          <cell r="FH73">
            <v>-0.30405405405405406</v>
          </cell>
          <cell r="FJ73">
            <v>0.65490196078431373</v>
          </cell>
          <cell r="FK73">
            <v>0.93577981651376152</v>
          </cell>
          <cell r="FL73">
            <v>0.57317073170731703</v>
          </cell>
          <cell r="FM73">
            <v>0.39455782312925169</v>
          </cell>
          <cell r="FN73">
            <v>0.35108481262327418</v>
          </cell>
          <cell r="FP73">
            <v>0.43902439024390244</v>
          </cell>
          <cell r="FQ73">
            <v>0.38750000000000001</v>
          </cell>
          <cell r="FR73">
            <v>0.23076923076923078</v>
          </cell>
          <cell r="FS73">
            <v>0.34990253411306044</v>
          </cell>
          <cell r="FT73">
            <v>0.35833333333333334</v>
          </cell>
          <cell r="FV73">
            <v>0.38785046728971961</v>
          </cell>
          <cell r="FW73">
            <v>0.38987341772151901</v>
          </cell>
          <cell r="FX73">
            <v>0.24043715846994534</v>
          </cell>
          <cell r="FY73">
            <v>0.36649659863945577</v>
          </cell>
          <cell r="FZ73">
            <v>0.36178861788617889</v>
          </cell>
          <cell r="GB73">
            <v>0.35125448028673834</v>
          </cell>
          <cell r="GC73">
            <v>0.37861915367483295</v>
          </cell>
          <cell r="GD73">
            <v>0.36999999999999994</v>
          </cell>
          <cell r="GE73">
            <v>0.37</v>
          </cell>
          <cell r="GF73">
            <v>0.36939105039562631</v>
          </cell>
        </row>
        <row r="74">
          <cell r="A74" t="str">
            <v>Effective Tax rate</v>
          </cell>
          <cell r="N74">
            <v>0.62871287128712872</v>
          </cell>
          <cell r="O74">
            <v>0.3968253968253968</v>
          </cell>
          <cell r="P74">
            <v>0.39979123173277664</v>
          </cell>
          <cell r="Q74">
            <v>0.411006018916595</v>
          </cell>
          <cell r="R74">
            <v>0.40476190476190477</v>
          </cell>
          <cell r="S74">
            <v>0.40072992700729926</v>
          </cell>
          <cell r="T74">
            <v>0.3923076923076923</v>
          </cell>
          <cell r="U74">
            <v>0.39122137404580154</v>
          </cell>
          <cell r="V74">
            <v>0.39575645756457567</v>
          </cell>
          <cell r="W74">
            <v>0.38261648745519711</v>
          </cell>
          <cell r="X74">
            <v>0.37446604203916711</v>
          </cell>
          <cell r="Y74">
            <v>0.37218181818181817</v>
          </cell>
          <cell r="Z74">
            <v>0.37045454545454548</v>
          </cell>
          <cell r="AA74">
            <v>-0.30405405405405406</v>
          </cell>
          <cell r="AB74">
            <v>0.35108481262327418</v>
          </cell>
          <cell r="AC74">
            <v>0.35833333333333334</v>
          </cell>
          <cell r="AD74">
            <v>0.36178861788617889</v>
          </cell>
          <cell r="AE74">
            <v>0.36939105039562631</v>
          </cell>
          <cell r="AF74">
            <v>0.37</v>
          </cell>
          <cell r="AG74">
            <v>0.37</v>
          </cell>
          <cell r="AH74">
            <v>0.37</v>
          </cell>
          <cell r="AI74">
            <v>0.37</v>
          </cell>
          <cell r="AJ74">
            <v>0.37</v>
          </cell>
          <cell r="AK74">
            <v>0.37</v>
          </cell>
          <cell r="AL74">
            <v>0.37000000000000005</v>
          </cell>
          <cell r="AN74" t="str">
            <v>Effective Tax rate</v>
          </cell>
          <cell r="EF74">
            <v>0.38216560509554143</v>
          </cell>
          <cell r="EG74">
            <v>0.38095238095238093</v>
          </cell>
          <cell r="EH74">
            <v>0.38333333333333336</v>
          </cell>
          <cell r="EI74">
            <v>0.38288920056100983</v>
          </cell>
          <cell r="EK74" t="str">
            <v>Effective Tax rate</v>
          </cell>
          <cell r="EL74">
            <v>0.377</v>
          </cell>
          <cell r="EM74">
            <v>0.37552742616033757</v>
          </cell>
          <cell r="EN74">
            <v>0.37410071942446044</v>
          </cell>
          <cell r="EO74">
            <v>0.37394564198687907</v>
          </cell>
          <cell r="EP74">
            <v>0.37446604203916711</v>
          </cell>
          <cell r="ER74">
            <v>0.3728813559322034</v>
          </cell>
          <cell r="ES74">
            <v>0.375</v>
          </cell>
          <cell r="ET74">
            <v>0.33333333333333331</v>
          </cell>
          <cell r="EU74">
            <v>0.37251512532411407</v>
          </cell>
          <cell r="EV74">
            <v>0.37218181818181817</v>
          </cell>
          <cell r="EX74">
            <v>0.37815126050420167</v>
          </cell>
          <cell r="EY74">
            <v>0.3619047619047619</v>
          </cell>
          <cell r="EZ74">
            <v>0.4</v>
          </cell>
          <cell r="FA74">
            <v>0.375</v>
          </cell>
          <cell r="FB74">
            <v>0.37483263750443169</v>
          </cell>
          <cell r="FD74">
            <v>0.37</v>
          </cell>
          <cell r="FE74">
            <v>0.37</v>
          </cell>
          <cell r="FF74">
            <v>0.37</v>
          </cell>
          <cell r="FG74">
            <v>0.37</v>
          </cell>
          <cell r="FH74">
            <v>0.37</v>
          </cell>
          <cell r="FJ74">
            <v>0.37</v>
          </cell>
          <cell r="FK74">
            <v>0.37</v>
          </cell>
          <cell r="FL74">
            <v>0.37</v>
          </cell>
          <cell r="FM74">
            <v>0.37</v>
          </cell>
          <cell r="FN74">
            <v>0.37</v>
          </cell>
          <cell r="FP74">
            <v>0.37</v>
          </cell>
          <cell r="FQ74">
            <v>0.37</v>
          </cell>
          <cell r="FR74">
            <v>0.37</v>
          </cell>
          <cell r="FS74">
            <v>0.37</v>
          </cell>
          <cell r="FT74">
            <v>0.37</v>
          </cell>
          <cell r="FV74">
            <v>0.37</v>
          </cell>
          <cell r="FW74">
            <v>0.37</v>
          </cell>
          <cell r="FX74">
            <v>0.37</v>
          </cell>
          <cell r="FY74">
            <v>0.38</v>
          </cell>
          <cell r="FZ74">
            <v>0.38</v>
          </cell>
          <cell r="GB74">
            <v>0.37</v>
          </cell>
          <cell r="GC74">
            <v>0.37</v>
          </cell>
          <cell r="GD74">
            <v>0.37</v>
          </cell>
          <cell r="GE74">
            <v>0.37</v>
          </cell>
          <cell r="GF74">
            <v>0.37</v>
          </cell>
        </row>
        <row r="75">
          <cell r="A75" t="str">
            <v>Statutory Tax Rate</v>
          </cell>
          <cell r="N75">
            <v>0.35</v>
          </cell>
          <cell r="O75">
            <v>0.35</v>
          </cell>
          <cell r="P75">
            <v>0.35</v>
          </cell>
          <cell r="Q75">
            <v>0.35</v>
          </cell>
          <cell r="R75">
            <v>0.35</v>
          </cell>
          <cell r="S75">
            <v>0.35</v>
          </cell>
          <cell r="T75">
            <v>0.35</v>
          </cell>
          <cell r="U75">
            <v>0.35</v>
          </cell>
          <cell r="V75">
            <v>0.35</v>
          </cell>
          <cell r="W75">
            <v>0.35</v>
          </cell>
          <cell r="X75">
            <v>0.35</v>
          </cell>
          <cell r="Y75">
            <v>0.35</v>
          </cell>
          <cell r="Z75">
            <v>0.35</v>
          </cell>
          <cell r="AA75">
            <v>0.35</v>
          </cell>
          <cell r="AB75">
            <v>0.35</v>
          </cell>
          <cell r="AC75">
            <v>0.35</v>
          </cell>
          <cell r="AD75">
            <v>0.35</v>
          </cell>
          <cell r="AE75">
            <v>0.35</v>
          </cell>
          <cell r="AF75">
            <v>0.35</v>
          </cell>
          <cell r="AG75">
            <v>0.35</v>
          </cell>
          <cell r="AH75">
            <v>0.35</v>
          </cell>
          <cell r="AI75">
            <v>0.35</v>
          </cell>
          <cell r="AJ75">
            <v>0.35</v>
          </cell>
          <cell r="AK75">
            <v>0.35</v>
          </cell>
          <cell r="AL75">
            <v>0.35</v>
          </cell>
          <cell r="AN75" t="str">
            <v>Statutory Tax Rate</v>
          </cell>
          <cell r="DH75">
            <v>0.35</v>
          </cell>
          <cell r="DI75">
            <v>0.35</v>
          </cell>
          <cell r="DJ75">
            <v>0.35</v>
          </cell>
          <cell r="DK75">
            <v>0.35</v>
          </cell>
          <cell r="DL75">
            <v>0.35</v>
          </cell>
          <cell r="DN75">
            <v>0.35</v>
          </cell>
          <cell r="DO75">
            <v>0.35</v>
          </cell>
          <cell r="DP75">
            <v>0.35</v>
          </cell>
          <cell r="DQ75">
            <v>0.35</v>
          </cell>
          <cell r="DR75">
            <v>0.35</v>
          </cell>
          <cell r="DT75">
            <v>0.35</v>
          </cell>
          <cell r="DU75">
            <v>0.35</v>
          </cell>
          <cell r="DV75">
            <v>0.35</v>
          </cell>
          <cell r="DW75">
            <v>0.35</v>
          </cell>
          <cell r="DX75">
            <v>0.35</v>
          </cell>
          <cell r="DZ75">
            <v>0.35</v>
          </cell>
          <cell r="EA75">
            <v>0.35</v>
          </cell>
          <cell r="EB75">
            <v>0.35</v>
          </cell>
          <cell r="EC75">
            <v>0.35</v>
          </cell>
          <cell r="ED75">
            <v>0.35</v>
          </cell>
          <cell r="EF75">
            <v>0.35</v>
          </cell>
          <cell r="EG75">
            <v>0.35</v>
          </cell>
          <cell r="EH75">
            <v>0.35</v>
          </cell>
          <cell r="EI75">
            <v>0.35</v>
          </cell>
          <cell r="EJ75">
            <v>0.35</v>
          </cell>
          <cell r="EK75" t="str">
            <v>Statutory Tax Rate</v>
          </cell>
          <cell r="EL75">
            <v>0.35</v>
          </cell>
          <cell r="EM75">
            <v>0.35</v>
          </cell>
          <cell r="EN75">
            <v>0.35</v>
          </cell>
          <cell r="EO75">
            <v>0.35</v>
          </cell>
          <cell r="EP75">
            <v>0.35</v>
          </cell>
          <cell r="ER75">
            <v>0.35</v>
          </cell>
          <cell r="ES75">
            <v>0.35</v>
          </cell>
          <cell r="ET75">
            <v>0.35</v>
          </cell>
          <cell r="EU75">
            <v>0.35</v>
          </cell>
          <cell r="EV75">
            <v>0.35</v>
          </cell>
          <cell r="EX75">
            <v>0.35</v>
          </cell>
          <cell r="EY75">
            <v>0.35</v>
          </cell>
          <cell r="EZ75">
            <v>0.35</v>
          </cell>
          <cell r="FA75">
            <v>0.35</v>
          </cell>
          <cell r="FB75">
            <v>0.35</v>
          </cell>
          <cell r="FD75">
            <v>0.35</v>
          </cell>
          <cell r="FE75">
            <v>0.35</v>
          </cell>
          <cell r="FF75">
            <v>0.35</v>
          </cell>
          <cell r="FG75">
            <v>0.35</v>
          </cell>
          <cell r="FH75">
            <v>0.35</v>
          </cell>
          <cell r="FJ75">
            <v>0.35</v>
          </cell>
          <cell r="FK75">
            <v>0.35</v>
          </cell>
          <cell r="FL75">
            <v>0.35</v>
          </cell>
          <cell r="FM75">
            <v>0.35</v>
          </cell>
          <cell r="FN75">
            <v>0.35</v>
          </cell>
          <cell r="FP75">
            <v>0.35</v>
          </cell>
          <cell r="FQ75">
            <v>0.35</v>
          </cell>
          <cell r="FR75">
            <v>0.35</v>
          </cell>
          <cell r="FS75">
            <v>0.35</v>
          </cell>
          <cell r="FT75">
            <v>0.35</v>
          </cell>
          <cell r="FV75">
            <v>0.35</v>
          </cell>
          <cell r="FW75">
            <v>0.35</v>
          </cell>
          <cell r="FX75">
            <v>0.35</v>
          </cell>
          <cell r="FY75">
            <v>0.35</v>
          </cell>
          <cell r="FZ75">
            <v>0.35</v>
          </cell>
          <cell r="GB75">
            <v>0.35</v>
          </cell>
          <cell r="GC75">
            <v>0.35</v>
          </cell>
          <cell r="GD75">
            <v>0.35</v>
          </cell>
          <cell r="GE75">
            <v>0.35</v>
          </cell>
          <cell r="GF75">
            <v>0.35</v>
          </cell>
        </row>
        <row r="76">
          <cell r="A76" t="str">
            <v>Net Income, Reported</v>
          </cell>
          <cell r="K76">
            <v>2.6858336678465423E-3</v>
          </cell>
          <cell r="L76">
            <v>1.064370896655909E-2</v>
          </cell>
          <cell r="N76">
            <v>5.1320651430135488E-3</v>
          </cell>
          <cell r="O76">
            <v>1.7932987258140631E-2</v>
          </cell>
          <cell r="P76">
            <v>3.521681997371879E-2</v>
          </cell>
          <cell r="Q76">
            <v>4.3084933289944678E-2</v>
          </cell>
          <cell r="R76">
            <v>4.959760434212989E-2</v>
          </cell>
          <cell r="S76">
            <v>-1.1059021517009255E-2</v>
          </cell>
          <cell r="T76">
            <v>-1.7484954070319924E-2</v>
          </cell>
          <cell r="U76">
            <v>5.2533555969430351E-2</v>
          </cell>
          <cell r="V76">
            <v>4.4964962366986765E-2</v>
          </cell>
          <cell r="W76">
            <v>4.3673935091277892E-2</v>
          </cell>
          <cell r="X76">
            <v>6.2822305050109079E-2</v>
          </cell>
          <cell r="Y76">
            <v>3.6888209121245831E-2</v>
          </cell>
          <cell r="Z76">
            <v>3.3937597385322843E-2</v>
          </cell>
          <cell r="AA76">
            <v>-0.19295355937650652</v>
          </cell>
          <cell r="AB76">
            <v>1.3768570830717723E-2</v>
          </cell>
          <cell r="AC76">
            <v>3.2220133583969926E-2</v>
          </cell>
          <cell r="AD76">
            <v>4.7566748721832988E-2</v>
          </cell>
          <cell r="AE76">
            <v>5.0847790666976311E-2</v>
          </cell>
          <cell r="AF76">
            <v>5.1982465405594071E-2</v>
          </cell>
          <cell r="AG76">
            <v>5.6002544154840128E-2</v>
          </cell>
          <cell r="AH76">
            <v>5.6194069130642586E-2</v>
          </cell>
          <cell r="AI76">
            <v>5.707328154048523E-2</v>
          </cell>
          <cell r="AJ76">
            <v>5.867706740276709E-2</v>
          </cell>
          <cell r="AK76">
            <v>5.9868365887541859E-2</v>
          </cell>
          <cell r="AL76">
            <v>6.0696273676362836E-2</v>
          </cell>
          <cell r="AN76" t="str">
            <v>Net Income, Reported</v>
          </cell>
          <cell r="AO76">
            <v>-6.2522792148183473E-2</v>
          </cell>
          <cell r="AP76">
            <v>-8.2829299753816629E-2</v>
          </cell>
          <cell r="AQ76">
            <v>-4.9114849713720231E-2</v>
          </cell>
          <cell r="AR76">
            <v>1.8227995168483186E-2</v>
          </cell>
          <cell r="AS76">
            <v>-3.8007091307834251E-2</v>
          </cell>
          <cell r="AU76">
            <v>-4.0266245099374307E-2</v>
          </cell>
          <cell r="AV76">
            <v>-9.6158230391183569E-2</v>
          </cell>
          <cell r="AW76">
            <v>-3.5692529877389009E-2</v>
          </cell>
          <cell r="AX76">
            <v>-0.45779052224190087</v>
          </cell>
          <cell r="AY76">
            <v>-0.17974176910106457</v>
          </cell>
          <cell r="BA76">
            <v>7.5153048304858238E-3</v>
          </cell>
          <cell r="BB76">
            <v>-1.083507410040546E-2</v>
          </cell>
          <cell r="BC76">
            <v>1.765378305332967E-2</v>
          </cell>
          <cell r="BD76">
            <v>4.6463852508224907E-2</v>
          </cell>
          <cell r="BE76">
            <v>1.8744223998476833E-2</v>
          </cell>
          <cell r="BG76">
            <v>1.3645575972215886E-2</v>
          </cell>
          <cell r="BH76">
            <v>5.8930111935926888E-3</v>
          </cell>
          <cell r="BI76">
            <v>1.9294534500632898E-2</v>
          </cell>
          <cell r="BJ76">
            <v>6.2174766479350253E-2</v>
          </cell>
          <cell r="BK76">
            <v>2.9191194961245663E-2</v>
          </cell>
          <cell r="BM76">
            <v>1.9485604708668485E-2</v>
          </cell>
          <cell r="BN76">
            <v>2.3632604473402918E-3</v>
          </cell>
          <cell r="BO76">
            <v>2.3013673889135992E-2</v>
          </cell>
          <cell r="BP76">
            <v>6.5792286249943224E-2</v>
          </cell>
          <cell r="BQ76">
            <v>3.2027730994201996E-2</v>
          </cell>
          <cell r="BS76">
            <v>-1.2609394145677338E-2</v>
          </cell>
          <cell r="BT76">
            <v>-1.9867834720895313E-2</v>
          </cell>
          <cell r="BU76">
            <v>-1.5289446996361027E-2</v>
          </cell>
          <cell r="BV76">
            <v>4.09219437066137E-2</v>
          </cell>
          <cell r="BW76">
            <v>2.6858336678465379E-3</v>
          </cell>
          <cell r="BY76">
            <v>-1.9075932243777384E-2</v>
          </cell>
          <cell r="BZ76">
            <v>-2.2046275024614342E-2</v>
          </cell>
          <cell r="CA76">
            <v>6.568416404481899E-3</v>
          </cell>
          <cell r="CB76">
            <v>-0.16441176470588287</v>
          </cell>
          <cell r="CC76">
            <v>-1.2377383336592569E-2</v>
          </cell>
          <cell r="CD76">
            <v>5.4275623717464055E-2</v>
          </cell>
          <cell r="CE76">
            <v>4.6467169366939447E-2</v>
          </cell>
          <cell r="CF76">
            <v>1.0643708966559084E-2</v>
          </cell>
          <cell r="CG76">
            <v>9.7288852363702893E-3</v>
          </cell>
          <cell r="CH76">
            <v>4.9287511079372367E-3</v>
          </cell>
          <cell r="CJ76">
            <v>-1.1489381040385417E-2</v>
          </cell>
          <cell r="CK76">
            <v>-8.2798758186094137E-3</v>
          </cell>
          <cell r="CL76">
            <v>1.1581957847115281E-2</v>
          </cell>
          <cell r="CM76">
            <v>5.7438810810338373E-2</v>
          </cell>
          <cell r="CN76">
            <v>1.7459216388905543E-2</v>
          </cell>
          <cell r="CP76">
            <v>7.0573064784718795E-3</v>
          </cell>
          <cell r="CQ76">
            <v>1.9221919185688125E-2</v>
          </cell>
          <cell r="CR76">
            <v>2.8058263726431273E-2</v>
          </cell>
          <cell r="CS76">
            <v>7.4915278622071119E-2</v>
          </cell>
          <cell r="CT76">
            <v>3.6674212257197879E-2</v>
          </cell>
          <cell r="CV76">
            <v>1.7942806076854334E-2</v>
          </cell>
          <cell r="CW76">
            <v>3.1231757151196731E-2</v>
          </cell>
          <cell r="CX76">
            <v>3.1003382187147689E-2</v>
          </cell>
          <cell r="CY76">
            <v>8.1048867699642438E-2</v>
          </cell>
          <cell r="CZ76">
            <v>4.4597071265863979E-2</v>
          </cell>
          <cell r="DB76">
            <v>2.4166666666666666E-2</v>
          </cell>
          <cell r="DC76">
            <v>3.4198701947079378E-2</v>
          </cell>
          <cell r="DD76">
            <v>2.9731689630166789E-2</v>
          </cell>
          <cell r="DE76">
            <v>7.5004185501423071E-2</v>
          </cell>
          <cell r="DF76">
            <v>4.4874689546172949E-2</v>
          </cell>
          <cell r="DH76">
            <v>2.4909040022390149E-2</v>
          </cell>
          <cell r="DI76">
            <v>1.7124218537646098E-2</v>
          </cell>
          <cell r="DJ76">
            <v>-0.17662612374405076</v>
          </cell>
          <cell r="DK76">
            <v>5.9243397573162028E-2</v>
          </cell>
          <cell r="DL76">
            <v>-1.1059021517009255E-2</v>
          </cell>
          <cell r="DN76">
            <v>1.6310461192350956E-2</v>
          </cell>
          <cell r="DO76">
            <v>3.153669724770642E-2</v>
          </cell>
          <cell r="DP76">
            <v>8.6330935251798565E-4</v>
          </cell>
          <cell r="DQ76">
            <v>-8.7100545596258766E-2</v>
          </cell>
          <cell r="DR76">
            <v>-1.7484954070319924E-2</v>
          </cell>
          <cell r="DT76">
            <v>2.5774688676513176E-2</v>
          </cell>
          <cell r="DU76">
            <v>8.0895008605851984E-2</v>
          </cell>
          <cell r="DV76">
            <v>3.046852543834435E-2</v>
          </cell>
          <cell r="DW76">
            <v>6.796890572055013E-2</v>
          </cell>
          <cell r="DX76">
            <v>5.2533555969430351E-2</v>
          </cell>
          <cell r="DZ76">
            <v>1.3977514433302947E-2</v>
          </cell>
          <cell r="EA76">
            <v>3.4944670937682006E-2</v>
          </cell>
          <cell r="EB76">
            <v>1.9219736087205966E-2</v>
          </cell>
          <cell r="EC76">
            <v>9.1035028695824263E-2</v>
          </cell>
          <cell r="ED76">
            <v>4.4964962366986765E-2</v>
          </cell>
          <cell r="EF76">
            <v>2.7323943661971831E-2</v>
          </cell>
          <cell r="EG76">
            <v>2.1781625244345154E-2</v>
          </cell>
          <cell r="EH76">
            <v>2.099290780141844E-2</v>
          </cell>
          <cell r="EI76">
            <v>8.59375E-2</v>
          </cell>
          <cell r="EJ76">
            <v>4.3673935091277892E-2</v>
          </cell>
          <cell r="EK76" t="str">
            <v>Net Income, Reported</v>
          </cell>
          <cell r="EL76">
            <v>3.3879154078549849E-2</v>
          </cell>
          <cell r="EM76">
            <v>4.0850124206458734E-2</v>
          </cell>
          <cell r="EN76">
            <v>7.8530586871636804E-2</v>
          </cell>
          <cell r="EO76">
            <v>7.3033120886009828E-2</v>
          </cell>
          <cell r="EP76">
            <v>6.2822305050109079E-2</v>
          </cell>
          <cell r="ER76">
            <v>-8.7689713322091061E-3</v>
          </cell>
          <cell r="ES76">
            <v>5.2856547122602168E-2</v>
          </cell>
          <cell r="ET76">
            <v>-5.0968399592252807E-4</v>
          </cell>
          <cell r="EU76">
            <v>8.0030571023037456E-2</v>
          </cell>
          <cell r="EV76">
            <v>3.6888209121245831E-2</v>
          </cell>
          <cell r="EX76">
            <v>6.0800540449248439E-3</v>
          </cell>
          <cell r="EY76">
            <v>1.2559402579769178E-2</v>
          </cell>
          <cell r="EZ76">
            <v>5.5875380968506607E-3</v>
          </cell>
          <cell r="FA76">
            <v>8.7270188503607168E-2</v>
          </cell>
          <cell r="FB76">
            <v>3.3937597385322843E-2</v>
          </cell>
          <cell r="FD76">
            <v>-1.0266225856968854E-2</v>
          </cell>
          <cell r="FE76">
            <v>1.2766701643931445E-2</v>
          </cell>
          <cell r="FF76">
            <v>-8.0101947933733843E-3</v>
          </cell>
          <cell r="FG76">
            <v>-0.60158810184018152</v>
          </cell>
          <cell r="FH76">
            <v>-0.19295355937650652</v>
          </cell>
          <cell r="FJ76">
            <v>-1.6641452344931921E-2</v>
          </cell>
          <cell r="FK76">
            <v>1.3245033112582781E-3</v>
          </cell>
          <cell r="FL76">
            <v>-6.4995357474466105E-3</v>
          </cell>
          <cell r="FM76">
            <v>5.6066523875519719E-2</v>
          </cell>
          <cell r="FN76">
            <v>1.3768570830717723E-2</v>
          </cell>
          <cell r="FP76">
            <v>4.1263006817366344E-3</v>
          </cell>
          <cell r="FQ76">
            <v>2.6548672566371681E-2</v>
          </cell>
          <cell r="FR76">
            <v>1.7784101013693758E-3</v>
          </cell>
          <cell r="FS76">
            <v>8.0662716168823312E-2</v>
          </cell>
          <cell r="FT76">
            <v>3.3875934887813465E-2</v>
          </cell>
          <cell r="FV76">
            <v>2.2244863304465953E-2</v>
          </cell>
          <cell r="FW76">
            <v>4.0579222091261156E-2</v>
          </cell>
          <cell r="FX76">
            <v>2.3748505040150351E-2</v>
          </cell>
          <cell r="FY76">
            <v>8.5396607060981206E-2</v>
          </cell>
          <cell r="FZ76">
            <v>4.7566748721832988E-2</v>
          </cell>
          <cell r="GB76">
            <v>2.9464431059742797E-2</v>
          </cell>
          <cell r="GC76">
            <v>4.5603138280483818E-2</v>
          </cell>
          <cell r="GD76">
            <v>1.8128225220217339E-2</v>
          </cell>
          <cell r="GE76">
            <v>8.9498062186548211E-2</v>
          </cell>
          <cell r="GF76">
            <v>5.0847790666976311E-2</v>
          </cell>
        </row>
        <row r="78">
          <cell r="A78" t="str">
            <v>% Change</v>
          </cell>
          <cell r="AN78" t="str">
            <v>% Change</v>
          </cell>
        </row>
        <row r="79">
          <cell r="A79" t="str">
            <v>Sales</v>
          </cell>
          <cell r="C79" t="str">
            <v>--</v>
          </cell>
          <cell r="D79" t="str">
            <v>--</v>
          </cell>
          <cell r="E79" t="str">
            <v>--</v>
          </cell>
          <cell r="F79">
            <v>-2.935599258637267E-2</v>
          </cell>
          <cell r="G79">
            <v>2.1294160701975429E-2</v>
          </cell>
          <cell r="H79">
            <v>2.1111051631644839E-2</v>
          </cell>
          <cell r="I79">
            <v>6.6128669492348191E-2</v>
          </cell>
          <cell r="K79" t="str">
            <v xml:space="preserve">--  </v>
          </cell>
          <cell r="L79">
            <v>2.164244790716352E-2</v>
          </cell>
          <cell r="N79" t="str">
            <v>NA</v>
          </cell>
          <cell r="O79">
            <v>1.4985630217599466E-2</v>
          </cell>
          <cell r="P79">
            <v>2.6090473943234604E-2</v>
          </cell>
          <cell r="Q79">
            <v>9.5269382391589552E-3</v>
          </cell>
          <cell r="R79">
            <v>4.3215099251545652E-2</v>
          </cell>
          <cell r="S79">
            <v>3.7993636533782515E-2</v>
          </cell>
          <cell r="T79">
            <v>-5.126818127178745E-2</v>
          </cell>
          <cell r="U79">
            <v>-1.3557174532784266E-2</v>
          </cell>
          <cell r="V79">
            <v>-1.0211290218996805E-2</v>
          </cell>
          <cell r="W79">
            <v>2.361796003114458E-2</v>
          </cell>
          <cell r="X79">
            <v>0.41924442190669375</v>
          </cell>
          <cell r="Y79">
            <v>0.20455560518088434</v>
          </cell>
          <cell r="Z79">
            <v>-2.4360400444938812E-2</v>
          </cell>
          <cell r="AA79">
            <v>-5.4003724394785846E-2</v>
          </cell>
          <cell r="AB79">
            <v>-4.0053029085650005E-2</v>
          </cell>
          <cell r="AC79">
            <v>4.6369533375183014E-2</v>
          </cell>
          <cell r="AD79">
            <v>5.60732712074552E-2</v>
          </cell>
          <cell r="AE79">
            <v>4.8961204520547419E-2</v>
          </cell>
          <cell r="AF79">
            <v>2.3867294306323394E-2</v>
          </cell>
          <cell r="AG79">
            <v>1.9271419022529823E-2</v>
          </cell>
          <cell r="AH79">
            <v>1.0360976857347159E-2</v>
          </cell>
          <cell r="AI79">
            <v>1.0000000000000009E-2</v>
          </cell>
          <cell r="AJ79">
            <v>1.0000000000000009E-2</v>
          </cell>
          <cell r="AK79">
            <v>1.0000000000000009E-2</v>
          </cell>
          <cell r="AL79">
            <v>1.0000000000000009E-2</v>
          </cell>
          <cell r="AN79" t="str">
            <v>Sales</v>
          </cell>
          <cell r="AU79">
            <v>1.86046804069262E-3</v>
          </cell>
          <cell r="AV79">
            <v>-1.9629781109162359E-2</v>
          </cell>
          <cell r="AW79">
            <v>-3.3058964187159479E-2</v>
          </cell>
          <cell r="AX79">
            <v>-5.5011636021012E-2</v>
          </cell>
          <cell r="AY79">
            <v>-2.935599258637267E-2</v>
          </cell>
          <cell r="BA79">
            <v>-1.3614121583839567E-2</v>
          </cell>
          <cell r="BB79">
            <v>-2.5760441466214368E-2</v>
          </cell>
          <cell r="BC79">
            <v>4.6851163408529795E-2</v>
          </cell>
          <cell r="BD79">
            <v>5.9869931498505169E-2</v>
          </cell>
          <cell r="BE79">
            <v>2.1294160701975429E-2</v>
          </cell>
          <cell r="BG79">
            <v>1.1791495464221979E-2</v>
          </cell>
          <cell r="BH79">
            <v>3.0933042000752087E-2</v>
          </cell>
          <cell r="BI79">
            <v>1.9564384993575601E-4</v>
          </cell>
          <cell r="BJ79">
            <v>3.7800425987538633E-2</v>
          </cell>
          <cell r="BK79">
            <v>2.1111051631644839E-2</v>
          </cell>
          <cell r="BM79">
            <v>3.9850112465956933E-2</v>
          </cell>
          <cell r="BN79">
            <v>6.2446082242552547E-2</v>
          </cell>
          <cell r="BO79">
            <v>7.6842814149548744E-2</v>
          </cell>
          <cell r="BP79">
            <v>7.8120367498969223E-2</v>
          </cell>
          <cell r="BQ79">
            <v>6.6128669492348191E-2</v>
          </cell>
          <cell r="BS79" t="str">
            <v xml:space="preserve"> --  </v>
          </cell>
          <cell r="BT79" t="str">
            <v xml:space="preserve"> --  </v>
          </cell>
          <cell r="BU79" t="str">
            <v xml:space="preserve"> --  </v>
          </cell>
          <cell r="BV79" t="str">
            <v xml:space="preserve"> --  </v>
          </cell>
          <cell r="BW79" t="str">
            <v xml:space="preserve"> --  </v>
          </cell>
          <cell r="BY79">
            <v>1.7020422055820328E-2</v>
          </cell>
          <cell r="BZ79">
            <v>3.9647877712569946E-2</v>
          </cell>
          <cell r="CA79">
            <v>-5.6887192030066203E-3</v>
          </cell>
          <cell r="CC79">
            <v>0.11804838036151044</v>
          </cell>
          <cell r="CD79">
            <v>3.3347469922546225E-2</v>
          </cell>
          <cell r="CE79">
            <v>0.1751746612798819</v>
          </cell>
          <cell r="CF79">
            <v>2.164244790716352E-2</v>
          </cell>
          <cell r="CG79">
            <v>6.8016932452651169E-2</v>
          </cell>
          <cell r="CH79">
            <v>9.8290990037587012E-2</v>
          </cell>
          <cell r="CJ79">
            <v>0.10464972292558983</v>
          </cell>
          <cell r="CK79">
            <v>7.7856252051197838E-2</v>
          </cell>
          <cell r="CL79">
            <v>-3.7141754186954423E-2</v>
          </cell>
          <cell r="CM79">
            <v>-4.3674523732644466E-2</v>
          </cell>
          <cell r="CN79">
            <v>1.2014698867654605E-2</v>
          </cell>
          <cell r="CP79">
            <v>3.2838791771442555E-2</v>
          </cell>
          <cell r="CQ79">
            <v>5.1336569811840205E-2</v>
          </cell>
          <cell r="CR79">
            <v>3.799456270565793E-2</v>
          </cell>
          <cell r="CS79">
            <v>4.9966653147852647E-3</v>
          </cell>
          <cell r="CT79">
            <v>2.8844771112862544E-2</v>
          </cell>
          <cell r="CZ79">
            <v>-1.9358307391376894E-2</v>
          </cell>
          <cell r="DF79">
            <v>4.3215099251545652E-2</v>
          </cell>
          <cell r="DH79">
            <v>-7.4999999999999512E-3</v>
          </cell>
          <cell r="DI79">
            <v>-8.1627558662006994E-2</v>
          </cell>
          <cell r="DJ79">
            <v>-8.5810974135847262E-2</v>
          </cell>
          <cell r="DK79">
            <v>-6.1778001004520355E-2</v>
          </cell>
          <cell r="DL79">
            <v>-6.0848950101603072E-2</v>
          </cell>
          <cell r="DN79">
            <v>-4.7579065211307281E-3</v>
          </cell>
          <cell r="DO79">
            <v>-5.191628159826045E-2</v>
          </cell>
          <cell r="DP79">
            <v>-8.1173982020095181E-2</v>
          </cell>
          <cell r="DQ79">
            <v>-8.4225553176302648E-2</v>
          </cell>
          <cell r="DR79">
            <v>-5.126818127178745E-2</v>
          </cell>
          <cell r="DT79">
            <v>-2.8965129358830111E-2</v>
          </cell>
          <cell r="DU79">
            <v>-5.7339449541282672E-4</v>
          </cell>
          <cell r="DV79">
            <v>1.1510791366906581E-3</v>
          </cell>
          <cell r="DW79">
            <v>-2.2408417770849565E-2</v>
          </cell>
          <cell r="DX79">
            <v>-1.3557174532784266E-2</v>
          </cell>
          <cell r="DZ79">
            <v>-4.6915725456125101E-2</v>
          </cell>
          <cell r="EA79">
            <v>-1.4916810097532984E-2</v>
          </cell>
          <cell r="EB79">
            <v>2.012072434607548E-3</v>
          </cell>
          <cell r="EC79">
            <v>7.1756029499701057E-3</v>
          </cell>
          <cell r="ED79">
            <v>-1.0211290218996805E-2</v>
          </cell>
          <cell r="EF79">
            <v>7.8699483439683915E-2</v>
          </cell>
          <cell r="EG79">
            <v>4.2807221898660375E-2</v>
          </cell>
          <cell r="EH79">
            <v>1.1187607573149849E-2</v>
          </cell>
          <cell r="EI79">
            <v>1.3259449831783066E-2</v>
          </cell>
          <cell r="EJ79">
            <v>2.361796003114458E-2</v>
          </cell>
          <cell r="EK79" t="str">
            <v>Sales</v>
          </cell>
          <cell r="EL79">
            <v>2.5633802816901419E-2</v>
          </cell>
          <cell r="EM79">
            <v>1.1728567439262871E-2</v>
          </cell>
          <cell r="EN79">
            <v>0.57588652482269498</v>
          </cell>
          <cell r="EO79">
            <v>0.86933593750000004</v>
          </cell>
          <cell r="EP79">
            <v>0.41924442190669375</v>
          </cell>
          <cell r="ER79">
            <v>0.62867344136226322</v>
          </cell>
          <cell r="ES79">
            <v>0.65470604471432514</v>
          </cell>
          <cell r="ET79">
            <v>5.9585958595859578E-2</v>
          </cell>
          <cell r="EU79">
            <v>-4.3046703583742518E-2</v>
          </cell>
          <cell r="EV79">
            <v>0.20455560518088434</v>
          </cell>
          <cell r="EX79">
            <v>-1.5177065767284503E-3</v>
          </cell>
          <cell r="EY79">
            <v>-1.7180984153461254E-2</v>
          </cell>
          <cell r="EZ79">
            <v>3.397893306150257E-3</v>
          </cell>
          <cell r="FA79">
            <v>-6.1687957200567745E-2</v>
          </cell>
          <cell r="FB79">
            <v>-2.4360400444938812E-2</v>
          </cell>
          <cell r="FD79">
            <v>-2.9386927883803371E-2</v>
          </cell>
          <cell r="FE79">
            <v>-2.9531568228105876E-2</v>
          </cell>
          <cell r="FF79">
            <v>-6.9928885878767333E-2</v>
          </cell>
          <cell r="FG79">
            <v>-7.6797765883174329E-2</v>
          </cell>
          <cell r="FH79">
            <v>-5.4003724394785846E-2</v>
          </cell>
          <cell r="FJ79">
            <v>-7.9867757090655966E-2</v>
          </cell>
          <cell r="FK79">
            <v>-7.5725778244141284E-2</v>
          </cell>
          <cell r="FL79">
            <v>-1.9661387220098359E-2</v>
          </cell>
          <cell r="FM79">
            <v>3.7811948575749987E-4</v>
          </cell>
          <cell r="FN79">
            <v>-4.0053029085650005E-2</v>
          </cell>
          <cell r="FP79">
            <v>5.4084720121028829E-2</v>
          </cell>
          <cell r="FQ79">
            <v>4.7682119205298079E-2</v>
          </cell>
          <cell r="FR79">
            <v>4.4196843082636939E-2</v>
          </cell>
          <cell r="FS79">
            <v>4.182940657679235E-2</v>
          </cell>
          <cell r="FT79">
            <v>4.6369533375183014E-2</v>
          </cell>
          <cell r="FV79">
            <v>5.6512378902045191E-2</v>
          </cell>
          <cell r="FW79">
            <v>7.2602492324363332E-2</v>
          </cell>
          <cell r="FX79">
            <v>4.0903432331495626E-2</v>
          </cell>
          <cell r="FY79">
            <v>5.5024791389527206E-2</v>
          </cell>
          <cell r="FZ79">
            <v>5.60732712074552E-2</v>
          </cell>
          <cell r="GB79">
            <v>4.313126167430803E-2</v>
          </cell>
          <cell r="GC79">
            <v>3.0139754167368249E-2</v>
          </cell>
          <cell r="GD79">
            <v>3.7021467099822347E-2</v>
          </cell>
          <cell r="GE79">
            <v>7.372007776590972E-2</v>
          </cell>
          <cell r="GF79">
            <v>4.8961204520547419E-2</v>
          </cell>
        </row>
        <row r="80">
          <cell r="A80" t="str">
            <v>Gross Profit</v>
          </cell>
          <cell r="C80" t="str">
            <v>--</v>
          </cell>
          <cell r="D80" t="str">
            <v>--</v>
          </cell>
          <cell r="E80" t="str">
            <v>--</v>
          </cell>
          <cell r="F80">
            <v>4.3771275428128309E-3</v>
          </cell>
          <cell r="G80">
            <v>3.6276141877347623E-2</v>
          </cell>
          <cell r="H80">
            <v>-3.2492537908579422E-4</v>
          </cell>
          <cell r="I80">
            <v>3.8822485147063324E-2</v>
          </cell>
          <cell r="K80" t="str">
            <v xml:space="preserve">--  </v>
          </cell>
          <cell r="L80">
            <v>2.4104472873397009E-2</v>
          </cell>
          <cell r="N80" t="str">
            <v>NA</v>
          </cell>
          <cell r="O80">
            <v>4.2862266857962794E-2</v>
          </cell>
          <cell r="P80">
            <v>3.5253654342218388E-2</v>
          </cell>
          <cell r="Q80">
            <v>2.109634551495021E-2</v>
          </cell>
          <cell r="R80">
            <v>4.9780380673499325E-2</v>
          </cell>
          <cell r="S80">
            <v>3.5642336897567128E-2</v>
          </cell>
          <cell r="T80">
            <v>-7.4966332485410736E-2</v>
          </cell>
          <cell r="U80">
            <v>1.0514396635393108E-2</v>
          </cell>
          <cell r="V80">
            <v>-1.6007683688170626E-3</v>
          </cell>
          <cell r="W80">
            <v>3.0944364277697645E-2</v>
          </cell>
          <cell r="X80">
            <v>0.418040435458787</v>
          </cell>
          <cell r="Y80">
            <v>0.2010309278350515</v>
          </cell>
          <cell r="Z80">
            <v>-2.8764496393023475E-2</v>
          </cell>
          <cell r="AA80">
            <v>-7.0797292215118435E-2</v>
          </cell>
          <cell r="AB80">
            <v>-2.6914904381260762E-2</v>
          </cell>
          <cell r="AC80">
            <v>5.843818238535925E-2</v>
          </cell>
          <cell r="AD80">
            <v>4.7941841045289424E-2</v>
          </cell>
          <cell r="AE80">
            <v>5.2283106976051208E-2</v>
          </cell>
          <cell r="AF80">
            <v>3.1446708308341842E-2</v>
          </cell>
          <cell r="AG80">
            <v>2.3016391982823015E-2</v>
          </cell>
          <cell r="AH80">
            <v>7.895213474916396E-3</v>
          </cell>
          <cell r="AI80">
            <v>5.0581747329294657E-3</v>
          </cell>
          <cell r="AJ80">
            <v>1.0000000000000009E-2</v>
          </cell>
          <cell r="AK80">
            <v>1.0000000000000231E-2</v>
          </cell>
          <cell r="AL80">
            <v>9.9999999999997868E-3</v>
          </cell>
          <cell r="AN80" t="str">
            <v>Gross Profit</v>
          </cell>
          <cell r="AU80">
            <v>6.5027775722650283E-3</v>
          </cell>
          <cell r="AV80">
            <v>3.7869418072755012E-2</v>
          </cell>
          <cell r="AW80">
            <v>-3.0220771411390679E-2</v>
          </cell>
          <cell r="AX80">
            <v>-2.6005050197239421E-2</v>
          </cell>
          <cell r="AY80">
            <v>-6.1546985500945395E-3</v>
          </cell>
          <cell r="BA80">
            <v>1.1670352425249941E-2</v>
          </cell>
          <cell r="BB80">
            <v>-1.4845097541082208E-2</v>
          </cell>
          <cell r="BC80">
            <v>7.1156503560925177E-2</v>
          </cell>
          <cell r="BD80">
            <v>0.10090327076774308</v>
          </cell>
          <cell r="BE80">
            <v>4.7257609611369489E-2</v>
          </cell>
          <cell r="BG80">
            <v>-6.9087592369292405E-3</v>
          </cell>
          <cell r="BH80">
            <v>2.1705715691430649E-2</v>
          </cell>
          <cell r="BI80">
            <v>-1.8726483357452972E-2</v>
          </cell>
          <cell r="BJ80">
            <v>4.8290496367902058E-3</v>
          </cell>
          <cell r="BK80">
            <v>-3.249253790856832E-4</v>
          </cell>
          <cell r="BM80">
            <v>1.2928263316267063E-2</v>
          </cell>
          <cell r="BN80">
            <v>3.1783854512606569E-2</v>
          </cell>
          <cell r="BO80">
            <v>4.5363312419325119E-2</v>
          </cell>
          <cell r="BP80">
            <v>5.6808313119516063E-2</v>
          </cell>
          <cell r="BQ80">
            <v>3.8822485147063324E-2</v>
          </cell>
          <cell r="BS80" t="str">
            <v xml:space="preserve"> --  </v>
          </cell>
          <cell r="BT80" t="str">
            <v xml:space="preserve"> --  </v>
          </cell>
          <cell r="BU80" t="str">
            <v xml:space="preserve"> --  </v>
          </cell>
          <cell r="BV80" t="str">
            <v xml:space="preserve"> --  </v>
          </cell>
          <cell r="BW80" t="str">
            <v xml:space="preserve"> --  </v>
          </cell>
          <cell r="BY80">
            <v>8.4989805548514319E-3</v>
          </cell>
          <cell r="BZ80">
            <v>6.1027079338339174E-2</v>
          </cell>
          <cell r="CA80">
            <v>-9.7742085728773631E-3</v>
          </cell>
          <cell r="CC80">
            <v>8.6561262946705408E-2</v>
          </cell>
          <cell r="CD80">
            <v>3.642482383578427E-2</v>
          </cell>
          <cell r="CE80">
            <v>0.1941411403085509</v>
          </cell>
          <cell r="CF80">
            <v>2.4104472873397009E-2</v>
          </cell>
          <cell r="CG80">
            <v>5.9100859621379565E-2</v>
          </cell>
          <cell r="CH80">
            <v>8.2881613838603707E-2</v>
          </cell>
          <cell r="CJ80">
            <v>0.1031062421623441</v>
          </cell>
          <cell r="CK80">
            <v>8.8312916724728296E-2</v>
          </cell>
          <cell r="CL80">
            <v>-3.8526770118407772E-4</v>
          </cell>
          <cell r="CM80">
            <v>-7.2087686537662954E-3</v>
          </cell>
          <cell r="CN80">
            <v>3.6671773517589878E-2</v>
          </cell>
          <cell r="CP80">
            <v>2.8127945059764459E-2</v>
          </cell>
          <cell r="CQ80">
            <v>5.0830517089523797E-2</v>
          </cell>
          <cell r="CR80">
            <v>2.8262914436901099E-2</v>
          </cell>
          <cell r="CS80">
            <v>2.7784685130880504E-3</v>
          </cell>
          <cell r="CT80">
            <v>2.4779188020634502E-2</v>
          </cell>
          <cell r="CV80">
            <v>9.6609808005589937E-3</v>
          </cell>
          <cell r="CW80">
            <v>4.0498966885695431E-2</v>
          </cell>
          <cell r="CX80">
            <v>-3.8617692586529473E-2</v>
          </cell>
          <cell r="CY80">
            <v>2.4693053195915082E-2</v>
          </cell>
          <cell r="CZ80">
            <v>9.7666629158388307E-3</v>
          </cell>
          <cell r="DB80">
            <v>6.8164794007490537E-2</v>
          </cell>
          <cell r="DC80">
            <v>0.19730305180979424</v>
          </cell>
          <cell r="DD80">
            <v>0.1995723449750535</v>
          </cell>
          <cell r="DE80">
            <v>0.23849999999999993</v>
          </cell>
          <cell r="DF80">
            <v>0.18317878639986995</v>
          </cell>
          <cell r="DH80">
            <v>-3.5063113604487661E-3</v>
          </cell>
          <cell r="DI80">
            <v>-0.10729104919976284</v>
          </cell>
          <cell r="DJ80">
            <v>-0.11645870469399877</v>
          </cell>
          <cell r="DK80">
            <v>-8.3972547436415024E-2</v>
          </cell>
          <cell r="DL80">
            <v>-8.1121957926577726E-2</v>
          </cell>
          <cell r="DN80">
            <v>-1.6185784658691027E-2</v>
          </cell>
          <cell r="DO80">
            <v>-9.6945551128818086E-2</v>
          </cell>
          <cell r="DP80">
            <v>-9.8184263618022904E-2</v>
          </cell>
          <cell r="DQ80">
            <v>-0.1092992507712649</v>
          </cell>
          <cell r="DR80">
            <v>-7.4966332485410736E-2</v>
          </cell>
          <cell r="DT80">
            <v>-1.6452074391988591E-2</v>
          </cell>
          <cell r="DU80">
            <v>5.5147058823529438E-2</v>
          </cell>
          <cell r="DV80">
            <v>1.9388516032811332E-2</v>
          </cell>
          <cell r="DW80">
            <v>-8.9064819396338368E-3</v>
          </cell>
          <cell r="DX80">
            <v>1.0514396635393108E-2</v>
          </cell>
          <cell r="DZ80">
            <v>-6.2545454545454571E-2</v>
          </cell>
          <cell r="EA80">
            <v>-1.8118466898954688E-2</v>
          </cell>
          <cell r="EB80">
            <v>2.0482809070958341E-2</v>
          </cell>
          <cell r="EC80">
            <v>3.4448327508736831E-2</v>
          </cell>
          <cell r="ED80">
            <v>-1.6007683688170626E-3</v>
          </cell>
          <cell r="EF80">
            <v>0.11016291698991476</v>
          </cell>
          <cell r="EG80">
            <v>5.2519517388218695E-2</v>
          </cell>
          <cell r="EH80">
            <v>1.6487455197132572E-2</v>
          </cell>
          <cell r="EI80">
            <v>1.2548262548262468E-2</v>
          </cell>
          <cell r="EJ80">
            <v>3.0944364277697645E-2</v>
          </cell>
          <cell r="EK80" t="str">
            <v>Gross Profit</v>
          </cell>
          <cell r="EL80">
            <v>2.3759608665268939E-2</v>
          </cell>
          <cell r="EM80">
            <v>9.4403236682401026E-3</v>
          </cell>
          <cell r="EN80">
            <v>0.58180535966149516</v>
          </cell>
          <cell r="EO80">
            <v>0.86510962821734982</v>
          </cell>
          <cell r="EP80">
            <v>0.418040435458787</v>
          </cell>
          <cell r="ER80">
            <v>0.57201365187713304</v>
          </cell>
          <cell r="ES80">
            <v>0.6867067468269874</v>
          </cell>
          <cell r="ET80">
            <v>5.7958091841284087E-2</v>
          </cell>
          <cell r="EU80">
            <v>-4.1656018400204498E-2</v>
          </cell>
          <cell r="EV80">
            <v>0.2010309278350515</v>
          </cell>
          <cell r="EX80">
            <v>2.3447676943117779E-2</v>
          </cell>
          <cell r="EY80">
            <v>-5.5445544554455495E-2</v>
          </cell>
          <cell r="EZ80">
            <v>-2.1913190054782983E-2</v>
          </cell>
          <cell r="FA80">
            <v>-4.720000000000002E-2</v>
          </cell>
          <cell r="FB80">
            <v>-2.8764496393023475E-2</v>
          </cell>
          <cell r="FD80">
            <v>-5.8124734832414093E-2</v>
          </cell>
          <cell r="FE80">
            <v>-5.4507337526205069E-3</v>
          </cell>
          <cell r="FF80">
            <v>-6.5489013356311965E-2</v>
          </cell>
          <cell r="FG80">
            <v>-0.12622446123705566</v>
          </cell>
          <cell r="FH80">
            <v>-7.0797292215118435E-2</v>
          </cell>
          <cell r="FJ80">
            <v>-9.5045045045045073E-2</v>
          </cell>
          <cell r="FK80">
            <v>-8.6003372681281665E-2</v>
          </cell>
          <cell r="FL80">
            <v>-1.152604887044717E-2</v>
          </cell>
          <cell r="FM80">
            <v>5.5733504163997472E-2</v>
          </cell>
          <cell r="FN80">
            <v>-2.6914904381260762E-2</v>
          </cell>
          <cell r="FP80">
            <v>9.3081134892981643E-2</v>
          </cell>
          <cell r="FQ80">
            <v>7.1494464944649394E-2</v>
          </cell>
          <cell r="FR80">
            <v>4.7574626865671599E-2</v>
          </cell>
          <cell r="FS80">
            <v>3.5800970873786309E-2</v>
          </cell>
          <cell r="FT80">
            <v>5.843818238535925E-2</v>
          </cell>
          <cell r="FV80">
            <v>4.8724954462659342E-2</v>
          </cell>
          <cell r="FW80">
            <v>6.8445975032285888E-2</v>
          </cell>
          <cell r="FX80">
            <v>2.8049866429207482E-2</v>
          </cell>
          <cell r="FY80">
            <v>4.6572934973637903E-2</v>
          </cell>
          <cell r="FZ80">
            <v>4.7941841045289424E-2</v>
          </cell>
          <cell r="GB80">
            <v>3.6039947894051183E-2</v>
          </cell>
          <cell r="GC80">
            <v>3.2634971796937862E-2</v>
          </cell>
          <cell r="GD80">
            <v>4.0964529018576501E-2</v>
          </cell>
          <cell r="GE80">
            <v>8.3715870307765616E-2</v>
          </cell>
          <cell r="GF80">
            <v>5.2283106976051208E-2</v>
          </cell>
        </row>
        <row r="81">
          <cell r="A81" t="str">
            <v>SG&amp;A Expenses</v>
          </cell>
          <cell r="C81" t="str">
            <v>--</v>
          </cell>
          <cell r="D81" t="str">
            <v>--</v>
          </cell>
          <cell r="E81" t="str">
            <v>--</v>
          </cell>
          <cell r="F81">
            <v>-5.8849835020142849E-2</v>
          </cell>
          <cell r="G81">
            <v>-1.5232729947342261E-2</v>
          </cell>
          <cell r="H81">
            <v>-3.021377428858929E-2</v>
          </cell>
          <cell r="I81">
            <v>-8.3061205190442244E-3</v>
          </cell>
          <cell r="K81" t="str">
            <v xml:space="preserve">--  </v>
          </cell>
          <cell r="L81">
            <v>-3.9988014314258802E-2</v>
          </cell>
          <cell r="N81" t="str">
            <v>NA</v>
          </cell>
          <cell r="O81">
            <v>1.8318746183594303E-3</v>
          </cell>
          <cell r="P81">
            <v>-4.937017472572125E-2</v>
          </cell>
          <cell r="Q81">
            <v>2.7783714468903042E-3</v>
          </cell>
          <cell r="R81">
            <v>1.449275362318847E-2</v>
          </cell>
          <cell r="S81">
            <v>3.1932773109243806E-2</v>
          </cell>
          <cell r="T81">
            <v>-2.157980456026054E-2</v>
          </cell>
          <cell r="U81">
            <v>6.2421972534332237E-3</v>
          </cell>
          <cell r="V81">
            <v>2.0678246484706619E-4</v>
          </cell>
          <cell r="W81">
            <v>1.9433533181724139E-2</v>
          </cell>
          <cell r="X81">
            <v>0.41553437436625429</v>
          </cell>
          <cell r="Y81">
            <v>0.24326647564469916</v>
          </cell>
          <cell r="Z81">
            <v>-1.4289006683567695E-2</v>
          </cell>
          <cell r="AA81">
            <v>-1.1222819733458067E-2</v>
          </cell>
          <cell r="AB81">
            <v>-3.4878221801844411E-2</v>
          </cell>
          <cell r="AC81">
            <v>1.1882886193801401E-2</v>
          </cell>
          <cell r="AD81">
            <v>2.5423728813558366E-3</v>
          </cell>
          <cell r="AE81">
            <v>3.2895457056668631E-2</v>
          </cell>
          <cell r="AF81">
            <v>2.8840556723293442E-2</v>
          </cell>
          <cell r="AG81">
            <v>1.5986747937983381E-2</v>
          </cell>
          <cell r="AH81">
            <v>7.0944938127868173E-3</v>
          </cell>
          <cell r="AI81">
            <v>6.7240930267471466E-3</v>
          </cell>
          <cell r="AJ81">
            <v>6.7134331383311707E-3</v>
          </cell>
          <cell r="AK81">
            <v>6.7027036483089386E-3</v>
          </cell>
          <cell r="AL81">
            <v>6.691903872772631E-3</v>
          </cell>
          <cell r="AN81" t="str">
            <v>SG&amp;A Expenses</v>
          </cell>
          <cell r="AU81">
            <v>-1.7970858333921758E-2</v>
          </cell>
          <cell r="AV81">
            <v>-4.3370859777825732E-2</v>
          </cell>
          <cell r="AW81">
            <v>-4.885680233851819E-2</v>
          </cell>
          <cell r="AX81">
            <v>-0.10812646337956822</v>
          </cell>
          <cell r="AY81">
            <v>-5.6935471396727388E-2</v>
          </cell>
          <cell r="BA81">
            <v>-5.9676054312083893E-2</v>
          </cell>
          <cell r="BB81">
            <v>-5.4336787028889333E-2</v>
          </cell>
          <cell r="BC81">
            <v>-1.490662329650605E-2</v>
          </cell>
          <cell r="BD81">
            <v>5.3097970099575953E-2</v>
          </cell>
          <cell r="BE81">
            <v>-1.7231747598988156E-2</v>
          </cell>
          <cell r="BG81">
            <v>-1.1720049306384261E-2</v>
          </cell>
          <cell r="BH81">
            <v>-3.149411479950881E-2</v>
          </cell>
          <cell r="BI81">
            <v>-1.6592873571444899E-2</v>
          </cell>
          <cell r="BJ81">
            <v>-5.6537813361945743E-2</v>
          </cell>
          <cell r="BK81">
            <v>-3.021377428858929E-2</v>
          </cell>
          <cell r="BM81">
            <v>-2.4337214952934727E-2</v>
          </cell>
          <cell r="BN81">
            <v>-9.9927988167103354E-3</v>
          </cell>
          <cell r="BO81">
            <v>1.1548493915620961E-2</v>
          </cell>
          <cell r="BP81">
            <v>-1.1683246647691825E-2</v>
          </cell>
          <cell r="BQ81">
            <v>-8.3061205190442244E-3</v>
          </cell>
          <cell r="BS81" t="str">
            <v xml:space="preserve"> --  </v>
          </cell>
          <cell r="BT81" t="str">
            <v xml:space="preserve"> --  </v>
          </cell>
          <cell r="BU81" t="str">
            <v xml:space="preserve"> --  </v>
          </cell>
          <cell r="BV81" t="str">
            <v xml:space="preserve"> --  </v>
          </cell>
          <cell r="BW81" t="str">
            <v xml:space="preserve"> --  </v>
          </cell>
          <cell r="BY81">
            <v>-2.3332298817000052E-2</v>
          </cell>
          <cell r="BZ81">
            <v>-1.4777138934813694E-2</v>
          </cell>
          <cell r="CA81">
            <v>-6.3667545852863383E-2</v>
          </cell>
          <cell r="CC81">
            <v>7.8699904820596966E-2</v>
          </cell>
          <cell r="CD81">
            <v>-5.4079481346700597E-2</v>
          </cell>
          <cell r="CE81">
            <v>7.0586242424796719E-2</v>
          </cell>
          <cell r="CF81">
            <v>-3.9988014314258802E-2</v>
          </cell>
          <cell r="CG81">
            <v>-6.2629764467387883E-3</v>
          </cell>
          <cell r="CH81">
            <v>3.0267979016805002E-2</v>
          </cell>
          <cell r="CJ81">
            <v>7.7672135100503858E-2</v>
          </cell>
          <cell r="CK81">
            <v>4.3166552266297842E-2</v>
          </cell>
          <cell r="CL81">
            <v>-6.9022795685438454E-2</v>
          </cell>
          <cell r="CM81">
            <v>-3.8207828109723896E-2</v>
          </cell>
          <cell r="CN81">
            <v>-2.0739918931514945E-3</v>
          </cell>
          <cell r="CP81">
            <v>1.8299922380784928E-2</v>
          </cell>
          <cell r="CQ81">
            <v>2.5416882109617456E-2</v>
          </cell>
          <cell r="CR81">
            <v>3.1718659615083133E-3</v>
          </cell>
          <cell r="CS81">
            <v>-3.4978053520589136E-2</v>
          </cell>
          <cell r="CT81">
            <v>1.7467615690507365E-3</v>
          </cell>
          <cell r="CV81">
            <v>-1.7174743605248288E-2</v>
          </cell>
          <cell r="CW81">
            <v>-2.6087763438265021E-4</v>
          </cell>
          <cell r="CX81">
            <v>-3.8103199943595567E-2</v>
          </cell>
          <cell r="CY81">
            <v>8.9595609007990795E-3</v>
          </cell>
          <cell r="CZ81">
            <v>-1.1536290016769368E-2</v>
          </cell>
          <cell r="DB81">
            <v>4.0727902946273931E-2</v>
          </cell>
          <cell r="DC81">
            <v>0.19877408056042034</v>
          </cell>
          <cell r="DD81">
            <v>0.20506108202443274</v>
          </cell>
          <cell r="DE81">
            <v>0.29679999999999995</v>
          </cell>
          <cell r="DF81">
            <v>0.18755328218243816</v>
          </cell>
          <cell r="DH81">
            <v>-4.079933388842627E-2</v>
          </cell>
          <cell r="DI81">
            <v>-0.19357195032870711</v>
          </cell>
          <cell r="DJ81">
            <v>-0.11803041274438808</v>
          </cell>
          <cell r="DK81">
            <v>-0.1128932757557064</v>
          </cell>
          <cell r="DL81">
            <v>-0.1184493898061737</v>
          </cell>
          <cell r="DN81">
            <v>1.388888888888884E-2</v>
          </cell>
          <cell r="DO81">
            <v>1.8115942028984477E-3</v>
          </cell>
          <cell r="DP81">
            <v>-2.7093596059113323E-2</v>
          </cell>
          <cell r="DQ81">
            <v>-0.10639777468706535</v>
          </cell>
          <cell r="DR81">
            <v>-2.157980456026054E-2</v>
          </cell>
          <cell r="DT81">
            <v>-1.1986301369863006E-2</v>
          </cell>
          <cell r="DU81">
            <v>2.6220614828209809E-2</v>
          </cell>
          <cell r="DV81">
            <v>-5.0632911392405333E-3</v>
          </cell>
          <cell r="DW81">
            <v>1.2451361867704236E-2</v>
          </cell>
          <cell r="DX81">
            <v>6.2421972534332237E-3</v>
          </cell>
          <cell r="DZ81">
            <v>-1.6464471403812797E-2</v>
          </cell>
          <cell r="EA81">
            <v>0</v>
          </cell>
          <cell r="EB81">
            <v>1.187446988973706E-2</v>
          </cell>
          <cell r="EC81">
            <v>7.6863950807082304E-4</v>
          </cell>
          <cell r="ED81">
            <v>2.0678246484706619E-4</v>
          </cell>
          <cell r="EF81">
            <v>5.2863436123347984E-2</v>
          </cell>
          <cell r="EG81">
            <v>6.3436123348017626E-2</v>
          </cell>
          <cell r="EH81">
            <v>1.1735121542330251E-2</v>
          </cell>
          <cell r="EI81">
            <v>1.5360983102918668E-2</v>
          </cell>
          <cell r="EJ81">
            <v>1.9433533181724139E-2</v>
          </cell>
          <cell r="EK81" t="str">
            <v>SG&amp;A Expenses</v>
          </cell>
          <cell r="EL81">
            <v>1.5062761506276168E-2</v>
          </cell>
          <cell r="EM81">
            <v>-8.2850041425019949E-4</v>
          </cell>
          <cell r="EN81">
            <v>0.63463131731565858</v>
          </cell>
          <cell r="EO81">
            <v>0.95763993948562787</v>
          </cell>
          <cell r="EP81">
            <v>0.41553437436625429</v>
          </cell>
          <cell r="ER81">
            <v>0.77576257213520194</v>
          </cell>
          <cell r="ES81">
            <v>0.75538971807628519</v>
          </cell>
          <cell r="ET81">
            <v>6.1327927014698469E-2</v>
          </cell>
          <cell r="EU81">
            <v>-0.10625965996908815</v>
          </cell>
          <cell r="EV81">
            <v>0.24326647564469916</v>
          </cell>
          <cell r="EX81">
            <v>-1.9034354688950761E-2</v>
          </cell>
          <cell r="EY81">
            <v>-3.7316957959376507E-2</v>
          </cell>
          <cell r="EZ81">
            <v>1.2893982808023008E-2</v>
          </cell>
          <cell r="FA81">
            <v>-1.3402507565931643E-2</v>
          </cell>
          <cell r="FB81">
            <v>-1.4289006683567695E-2</v>
          </cell>
          <cell r="FD81">
            <v>-1.5617605300520587E-2</v>
          </cell>
          <cell r="FE81">
            <v>-4.906771344455052E-4</v>
          </cell>
          <cell r="FF81">
            <v>-1.6973125884017004E-2</v>
          </cell>
          <cell r="FG81">
            <v>-1.1393514460999121E-2</v>
          </cell>
          <cell r="FH81">
            <v>-1.1222819733458067E-2</v>
          </cell>
          <cell r="FJ81">
            <v>-4.5673076923076872E-2</v>
          </cell>
          <cell r="FK81">
            <v>-7.4128620520373056E-2</v>
          </cell>
          <cell r="FL81">
            <v>-1.3908872901678637E-2</v>
          </cell>
          <cell r="FM81">
            <v>-8.8652482269503396E-3</v>
          </cell>
          <cell r="FN81">
            <v>-3.4878221801844411E-2</v>
          </cell>
          <cell r="FP81">
            <v>4.0302267002518821E-3</v>
          </cell>
          <cell r="FQ81">
            <v>3.5524920466595944E-2</v>
          </cell>
          <cell r="FR81">
            <v>6.3229571984435573E-3</v>
          </cell>
          <cell r="FS81">
            <v>4.025044722719251E-3</v>
          </cell>
          <cell r="FT81">
            <v>1.1882886193801401E-2</v>
          </cell>
          <cell r="FV81">
            <v>-1.003512293025588E-2</v>
          </cell>
          <cell r="FW81">
            <v>1.177675371223752E-2</v>
          </cell>
          <cell r="FX81">
            <v>-2.4649589173513786E-2</v>
          </cell>
          <cell r="FY81">
            <v>3.0734966592427693E-2</v>
          </cell>
          <cell r="FZ81">
            <v>2.5423728813558366E-3</v>
          </cell>
          <cell r="GB81">
            <v>1.1150532184490691E-2</v>
          </cell>
          <cell r="GC81">
            <v>1.6700404858299489E-2</v>
          </cell>
          <cell r="GD81">
            <v>5.1542171941152182E-2</v>
          </cell>
          <cell r="GE81">
            <v>4.9003965820669126E-2</v>
          </cell>
          <cell r="GF81">
            <v>3.2895457056668631E-2</v>
          </cell>
        </row>
        <row r="82">
          <cell r="A82" t="str">
            <v>EBITDA</v>
          </cell>
          <cell r="C82" t="str">
            <v>--</v>
          </cell>
          <cell r="D82" t="str">
            <v>--</v>
          </cell>
          <cell r="E82" t="str">
            <v>--</v>
          </cell>
          <cell r="F82" t="str">
            <v>NM</v>
          </cell>
          <cell r="G82">
            <v>0.25511948219509839</v>
          </cell>
          <cell r="H82">
            <v>0.11579253029559311</v>
          </cell>
          <cell r="I82">
            <v>0.24208657072438222</v>
          </cell>
          <cell r="K82" t="str">
            <v xml:space="preserve">--  </v>
          </cell>
          <cell r="L82">
            <v>0.19104509304457218</v>
          </cell>
          <cell r="N82" t="str">
            <v>NA</v>
          </cell>
          <cell r="O82">
            <v>0.22931034482758617</v>
          </cell>
          <cell r="P82">
            <v>0.3541374474053296</v>
          </cell>
          <cell r="Q82">
            <v>7.6644225789746168E-2</v>
          </cell>
          <cell r="R82">
            <v>0.13419913419913421</v>
          </cell>
          <cell r="S82">
            <v>2.714164546225617E-2</v>
          </cell>
          <cell r="T82">
            <v>-0.14739884393063585</v>
          </cell>
          <cell r="U82">
            <v>1.2590799031477085E-2</v>
          </cell>
          <cell r="V82">
            <v>9.0865614538497841E-3</v>
          </cell>
          <cell r="W82">
            <v>5.9715639810426602E-2</v>
          </cell>
          <cell r="X82">
            <v>0.39355992844364929</v>
          </cell>
          <cell r="Y82">
            <v>0.13543003851091151</v>
          </cell>
          <cell r="Z82">
            <v>-4.2962125494629744E-2</v>
          </cell>
          <cell r="AA82">
            <v>-0.20171293561724746</v>
          </cell>
          <cell r="AB82">
            <v>-1.442841287458374E-2</v>
          </cell>
          <cell r="AC82">
            <v>0.15202702702702697</v>
          </cell>
          <cell r="AD82">
            <v>0.13098729227761496</v>
          </cell>
          <cell r="AE82">
            <v>7.4451148577618476E-2</v>
          </cell>
          <cell r="AF82">
            <v>3.5273448529756779E-2</v>
          </cell>
          <cell r="AG82">
            <v>3.7987838047570444E-2</v>
          </cell>
          <cell r="AH82">
            <v>1.0360976857346715E-2</v>
          </cell>
          <cell r="AI82">
            <v>2.7152968378332254E-3</v>
          </cell>
          <cell r="AJ82">
            <v>1.7337626360135916E-2</v>
          </cell>
          <cell r="AK82">
            <v>1.7284703162167681E-2</v>
          </cell>
          <cell r="AL82">
            <v>1.7232537922685198E-2</v>
          </cell>
          <cell r="AN82" t="str">
            <v>EBITDA</v>
          </cell>
          <cell r="AU82" t="str">
            <v xml:space="preserve">NM  </v>
          </cell>
          <cell r="AV82" t="str">
            <v xml:space="preserve">NM  </v>
          </cell>
          <cell r="AW82" t="str">
            <v xml:space="preserve">NM  </v>
          </cell>
          <cell r="AX82" t="str">
            <v xml:space="preserve">NM  </v>
          </cell>
          <cell r="AY82" t="str">
            <v xml:space="preserve">NM  </v>
          </cell>
          <cell r="BA82">
            <v>0.30715301767933378</v>
          </cell>
          <cell r="BB82">
            <v>0.19582595632813016</v>
          </cell>
          <cell r="BC82">
            <v>0.44399266930912384</v>
          </cell>
          <cell r="BD82">
            <v>0.17898938622800387</v>
          </cell>
          <cell r="BE82">
            <v>0.26654996817313736</v>
          </cell>
          <cell r="BG82">
            <v>1.1949263328975057E-2</v>
          </cell>
          <cell r="BH82">
            <v>0.32806541343263529</v>
          </cell>
          <cell r="BI82">
            <v>-2.3925337363195243E-2</v>
          </cell>
          <cell r="BJ82">
            <v>0.16753388482697118</v>
          </cell>
          <cell r="BK82">
            <v>0.10749585674199169</v>
          </cell>
          <cell r="BM82">
            <v>0.17663366060081342</v>
          </cell>
          <cell r="BN82">
            <v>0.24957560913812671</v>
          </cell>
          <cell r="BO82">
            <v>0.18270446147240116</v>
          </cell>
          <cell r="BP82">
            <v>0.21384022994739493</v>
          </cell>
          <cell r="BQ82">
            <v>0.20540555871441057</v>
          </cell>
          <cell r="BS82" t="str">
            <v xml:space="preserve"> --  </v>
          </cell>
          <cell r="BT82" t="str">
            <v xml:space="preserve"> --  </v>
          </cell>
          <cell r="BU82" t="str">
            <v xml:space="preserve"> --  </v>
          </cell>
          <cell r="BV82" t="str">
            <v xml:space="preserve"> --  </v>
          </cell>
          <cell r="BW82" t="str">
            <v xml:space="preserve"> --  </v>
          </cell>
          <cell r="BY82">
            <v>7.2504330246708326E-2</v>
          </cell>
          <cell r="BZ82">
            <v>0.36575001727354395</v>
          </cell>
          <cell r="CA82">
            <v>0.18887628568682002</v>
          </cell>
          <cell r="CC82">
            <v>7.0314332404113333E-2</v>
          </cell>
          <cell r="CD82">
            <v>0.18944747525482786</v>
          </cell>
          <cell r="CE82">
            <v>0.25587278221762366</v>
          </cell>
          <cell r="CF82">
            <v>0.19104509304457218</v>
          </cell>
          <cell r="CG82">
            <v>0.23296276515129999</v>
          </cell>
          <cell r="CH82">
            <v>0.19849724971248839</v>
          </cell>
          <cell r="CJ82">
            <v>0.26127542683937688</v>
          </cell>
          <cell r="CK82">
            <v>0.29837098120557481</v>
          </cell>
          <cell r="CL82">
            <v>0.31803910016453618</v>
          </cell>
          <cell r="CM82">
            <v>4.8110886426154353E-2</v>
          </cell>
          <cell r="CN82">
            <v>0.17340990038484327</v>
          </cell>
          <cell r="CP82">
            <v>0.1030069993090823</v>
          </cell>
          <cell r="CQ82">
            <v>0.16002480753058013</v>
          </cell>
          <cell r="CR82">
            <v>0.13307730885383018</v>
          </cell>
          <cell r="CS82">
            <v>8.8538170625890755E-2</v>
          </cell>
          <cell r="CT82">
            <v>0.11286355453001029</v>
          </cell>
          <cell r="CV82">
            <v>0.14385315104308449</v>
          </cell>
          <cell r="CW82">
            <v>0.18403152938805323</v>
          </cell>
          <cell r="CX82">
            <v>-4.1302135827978592E-3</v>
          </cell>
          <cell r="CY82">
            <v>4.8178009780680986E-2</v>
          </cell>
          <cell r="CZ82">
            <v>7.6604083120670463E-2</v>
          </cell>
          <cell r="DB82">
            <v>0.18452380952380953</v>
          </cell>
          <cell r="DC82">
            <v>0.19385342789598115</v>
          </cell>
          <cell r="DD82">
            <v>0.1908212560386473</v>
          </cell>
          <cell r="DE82">
            <v>0.15121412803532008</v>
          </cell>
          <cell r="DF82">
            <v>0.17316017316017307</v>
          </cell>
          <cell r="DH82" t="str">
            <v>NA</v>
          </cell>
          <cell r="DI82" t="str">
            <v>NA</v>
          </cell>
          <cell r="DJ82" t="str">
            <v>NA</v>
          </cell>
          <cell r="DK82" t="str">
            <v>NA</v>
          </cell>
          <cell r="DL82" t="str">
            <v>NA</v>
          </cell>
          <cell r="DN82">
            <v>-0.10135135135135132</v>
          </cell>
          <cell r="DO82">
            <v>-0.26736111111111116</v>
          </cell>
          <cell r="DP82">
            <v>-0.26008968609865468</v>
          </cell>
          <cell r="DQ82">
            <v>-8.3249749247743199E-2</v>
          </cell>
          <cell r="DR82">
            <v>-0.14739884393063585</v>
          </cell>
          <cell r="DT82">
            <v>-3.2581453634085267E-2</v>
          </cell>
          <cell r="DU82">
            <v>0.1090047393364928</v>
          </cell>
          <cell r="DV82">
            <v>7.575757575757569E-2</v>
          </cell>
          <cell r="DW82">
            <v>-3.5010940919037226E-2</v>
          </cell>
          <cell r="DX82">
            <v>1.2590799031477085E-2</v>
          </cell>
          <cell r="DZ82">
            <v>-0.13471502590673579</v>
          </cell>
          <cell r="EA82">
            <v>-4.4871794871794823E-2</v>
          </cell>
          <cell r="EB82">
            <v>6.4788732394366111E-2</v>
          </cell>
          <cell r="EC82">
            <v>7.8231292517006779E-2</v>
          </cell>
          <cell r="ED82">
            <v>9.0865614538497841E-3</v>
          </cell>
          <cell r="EF82">
            <v>0.23652694610778435</v>
          </cell>
          <cell r="EG82">
            <v>1.5659955257270708E-2</v>
          </cell>
          <cell r="EH82">
            <v>2.9100529100529071E-2</v>
          </cell>
          <cell r="EI82">
            <v>3.0494216614090464E-2</v>
          </cell>
          <cell r="EJ82">
            <v>5.9715639810426602E-2</v>
          </cell>
          <cell r="EK82" t="str">
            <v>EBITDA</v>
          </cell>
          <cell r="EL82">
            <v>3.874092009685226E-2</v>
          </cell>
          <cell r="EM82">
            <v>3.3039647577092435E-2</v>
          </cell>
          <cell r="EN82">
            <v>0.45244215938303345</v>
          </cell>
          <cell r="EO82">
            <v>0.68673469387755093</v>
          </cell>
          <cell r="EP82">
            <v>0.39355992844364929</v>
          </cell>
          <cell r="ER82">
            <v>8.3916083916083961E-2</v>
          </cell>
          <cell r="ES82">
            <v>0.53944562899786774</v>
          </cell>
          <cell r="ET82">
            <v>5.1327433628318486E-2</v>
          </cell>
          <cell r="EU82">
            <v>6.291591046581968E-2</v>
          </cell>
          <cell r="EV82">
            <v>0.13543003851091151</v>
          </cell>
          <cell r="EX82">
            <v>0.23225806451612896</v>
          </cell>
          <cell r="EY82">
            <v>-6.6481994459833826E-2</v>
          </cell>
          <cell r="EZ82">
            <v>-0.12289562289562295</v>
          </cell>
          <cell r="FA82">
            <v>-7.9112122936824125E-2</v>
          </cell>
          <cell r="FB82">
            <v>-4.2962125494629744E-2</v>
          </cell>
          <cell r="FD82">
            <v>-0.20593368237347298</v>
          </cell>
          <cell r="FE82">
            <v>-3.5608308605341255E-2</v>
          </cell>
          <cell r="FF82">
            <v>-0.22456813819577737</v>
          </cell>
          <cell r="FG82">
            <v>-0.26205191594561184</v>
          </cell>
          <cell r="FH82">
            <v>-0.20171293561724746</v>
          </cell>
          <cell r="FJ82">
            <v>-0.28131868131868132</v>
          </cell>
          <cell r="FK82">
            <v>-0.10307692307692307</v>
          </cell>
          <cell r="FL82">
            <v>-3.7128712871287162E-2</v>
          </cell>
          <cell r="FM82">
            <v>0.14321608040200995</v>
          </cell>
          <cell r="FN82">
            <v>-1.442841287458374E-2</v>
          </cell>
          <cell r="FP82">
            <v>0.49847094801223246</v>
          </cell>
          <cell r="FQ82">
            <v>0.12864493996569459</v>
          </cell>
          <cell r="FR82">
            <v>0.2005141388174807</v>
          </cell>
          <cell r="FS82">
            <v>6.5201465201465192E-2</v>
          </cell>
          <cell r="FT82">
            <v>0.15202702702702697</v>
          </cell>
          <cell r="FV82">
            <v>0.2204081632653061</v>
          </cell>
          <cell r="FW82">
            <v>0.17629179331306988</v>
          </cell>
          <cell r="FX82">
            <v>0.2269807280513918</v>
          </cell>
          <cell r="FY82">
            <v>4.9518569463548934E-2</v>
          </cell>
          <cell r="FZ82">
            <v>0.13098729227761496</v>
          </cell>
          <cell r="GB82">
            <v>8.1939799331103735E-2</v>
          </cell>
          <cell r="GC82">
            <v>4.7803617571059442E-2</v>
          </cell>
          <cell r="GD82">
            <v>-2.7896948954977407E-2</v>
          </cell>
          <cell r="GE82">
            <v>0.12346322966193712</v>
          </cell>
          <cell r="GF82">
            <v>7.4451148577618476E-2</v>
          </cell>
        </row>
        <row r="83">
          <cell r="A83" t="str">
            <v>Operating Income</v>
          </cell>
          <cell r="C83" t="str">
            <v>--</v>
          </cell>
          <cell r="D83" t="str">
            <v>--</v>
          </cell>
          <cell r="E83" t="str">
            <v>--</v>
          </cell>
          <cell r="F83">
            <v>1.2260584584199381</v>
          </cell>
          <cell r="G83">
            <v>0.45706091331758403</v>
          </cell>
          <cell r="H83">
            <v>0.16469753714355728</v>
          </cell>
          <cell r="I83">
            <v>0.25548377242026232</v>
          </cell>
          <cell r="K83" t="str">
            <v xml:space="preserve">--  </v>
          </cell>
          <cell r="L83">
            <v>0.4567216509641896</v>
          </cell>
          <cell r="N83" t="str">
            <v>NA</v>
          </cell>
          <cell r="O83">
            <v>0.3469079939668176</v>
          </cell>
          <cell r="P83">
            <v>0.50167973124300103</v>
          </cell>
          <cell r="Q83">
            <v>8.5011185682326573E-2</v>
          </cell>
          <cell r="R83">
            <v>0.16357388316151211</v>
          </cell>
          <cell r="S83">
            <v>4.6072061429415223E-2</v>
          </cell>
          <cell r="T83">
            <v>-0.2230378317334839</v>
          </cell>
          <cell r="U83">
            <v>2.5436046511627897E-2</v>
          </cell>
          <cell r="V83">
            <v>-7.795889440113446E-3</v>
          </cell>
          <cell r="W83">
            <v>7.071428571428573E-2</v>
          </cell>
          <cell r="X83">
            <v>0.42628418945963986</v>
          </cell>
          <cell r="Y83">
            <v>6.3143124415341534E-2</v>
          </cell>
          <cell r="Z83">
            <v>-8.4029916410030769E-2</v>
          </cell>
          <cell r="AA83">
            <v>-0.31556195965417866</v>
          </cell>
          <cell r="AB83">
            <v>2.0350877192982564E-2</v>
          </cell>
          <cell r="AC83">
            <v>0.31980742778541948</v>
          </cell>
          <cell r="AD83">
            <v>0.24335591453882222</v>
          </cell>
          <cell r="AE83">
            <v>0.11957109062333027</v>
          </cell>
          <cell r="AF83">
            <v>3.9791523239996573E-2</v>
          </cell>
          <cell r="AG83">
            <v>4.528803078121646E-2</v>
          </cell>
          <cell r="AH83">
            <v>1.0360976857346937E-2</v>
          </cell>
          <cell r="AI83">
            <v>-5.5325270158723683E-5</v>
          </cell>
          <cell r="AJ83">
            <v>2.0156440430671108E-2</v>
          </cell>
          <cell r="AK83">
            <v>2.005532527015963E-2</v>
          </cell>
          <cell r="AL83">
            <v>1.9956203620788981E-2</v>
          </cell>
          <cell r="AN83" t="str">
            <v>Operating Income</v>
          </cell>
          <cell r="AU83">
            <v>0.56987295825771134</v>
          </cell>
          <cell r="AV83" t="str">
            <v xml:space="preserve">NM  </v>
          </cell>
          <cell r="AW83">
            <v>0.258731509050524</v>
          </cell>
          <cell r="AX83">
            <v>0.53731133005851817</v>
          </cell>
          <cell r="AY83">
            <v>0.97503939396181427</v>
          </cell>
          <cell r="BA83">
            <v>1.039041425818882</v>
          </cell>
          <cell r="BB83">
            <v>2.7225290868492564</v>
          </cell>
          <cell r="BC83">
            <v>1.0794863611616914</v>
          </cell>
          <cell r="BD83">
            <v>0.29114836628460927</v>
          </cell>
          <cell r="BE83">
            <v>0.64224712703953801</v>
          </cell>
          <cell r="BG83">
            <v>2.5041046054262051E-2</v>
          </cell>
          <cell r="BH83">
            <v>0.95848460931334034</v>
          </cell>
          <cell r="BI83">
            <v>-3.0568395204390919E-2</v>
          </cell>
          <cell r="BJ83">
            <v>0.20401741352387148</v>
          </cell>
          <cell r="BK83">
            <v>0.16469753714355861</v>
          </cell>
          <cell r="BM83">
            <v>0.25151818946543703</v>
          </cell>
          <cell r="BN83">
            <v>0.39556701861852006</v>
          </cell>
          <cell r="BO83">
            <v>0.23574714570412225</v>
          </cell>
          <cell r="BP83">
            <v>0.23101259604236768</v>
          </cell>
          <cell r="BQ83">
            <v>0.25548377242026232</v>
          </cell>
          <cell r="BS83" t="str">
            <v xml:space="preserve"> --  </v>
          </cell>
          <cell r="BT83" t="str">
            <v xml:space="preserve"> --  </v>
          </cell>
          <cell r="BU83" t="str">
            <v xml:space="preserve"> --  </v>
          </cell>
          <cell r="BV83" t="str">
            <v xml:space="preserve"> --  </v>
          </cell>
          <cell r="BW83" t="str">
            <v xml:space="preserve"> --  </v>
          </cell>
          <cell r="BY83">
            <v>0.58488289449760744</v>
          </cell>
          <cell r="BZ83">
            <v>2.6225838633246044</v>
          </cell>
          <cell r="CA83">
            <v>0.5039048962321151</v>
          </cell>
          <cell r="CC83">
            <v>0.16149103364900097</v>
          </cell>
          <cell r="CD83">
            <v>0.2784946444162697</v>
          </cell>
          <cell r="CE83">
            <v>0.34232616609710487</v>
          </cell>
          <cell r="CF83">
            <v>0.4567216509641896</v>
          </cell>
          <cell r="CG83">
            <v>0.50029950161174308</v>
          </cell>
          <cell r="CH83">
            <v>0.43801781192470157</v>
          </cell>
          <cell r="CJ83">
            <v>0.38691376307528902</v>
          </cell>
          <cell r="CK83">
            <v>0.50321864403862304</v>
          </cell>
          <cell r="CL83">
            <v>0.60719440435217531</v>
          </cell>
          <cell r="CM83">
            <v>5.8918948290300976E-2</v>
          </cell>
          <cell r="CN83">
            <v>0.22404468977879466</v>
          </cell>
          <cell r="CP83">
            <v>0.11334190559979795</v>
          </cell>
          <cell r="CQ83">
            <v>0.21290884004786315</v>
          </cell>
          <cell r="CR83">
            <v>0.15691921110803886</v>
          </cell>
          <cell r="CS83">
            <v>7.5933720802124238E-2</v>
          </cell>
          <cell r="CT83">
            <v>0.11558702516505659</v>
          </cell>
          <cell r="CV83">
            <v>0.22247737403755097</v>
          </cell>
          <cell r="CW83">
            <v>0.26026621353723955</v>
          </cell>
          <cell r="CX83">
            <v>-4.090520635465611E-2</v>
          </cell>
          <cell r="CY83">
            <v>5.2035056613513264E-2</v>
          </cell>
          <cell r="CZ83">
            <v>8.5185171373485913E-2</v>
          </cell>
          <cell r="DB83">
            <v>0.24309392265193375</v>
          </cell>
          <cell r="DC83">
            <v>0.1910112359550562</v>
          </cell>
          <cell r="DD83">
            <v>0.17509727626459148</v>
          </cell>
          <cell r="DE83">
            <v>0.14133333333333331</v>
          </cell>
          <cell r="DF83">
            <v>0.16907216494845367</v>
          </cell>
          <cell r="DH83">
            <v>0.19555555555555548</v>
          </cell>
          <cell r="DI83">
            <v>0.26415094339622636</v>
          </cell>
          <cell r="DJ83">
            <v>-0.10927152317880795</v>
          </cell>
          <cell r="DK83">
            <v>-2.9205607476635476E-2</v>
          </cell>
          <cell r="DL83">
            <v>4.1152263374485631E-2</v>
          </cell>
          <cell r="DN83">
            <v>-0.14498141263940523</v>
          </cell>
          <cell r="DO83">
            <v>-0.36815920398009949</v>
          </cell>
          <cell r="DP83">
            <v>-0.4200743494423792</v>
          </cell>
          <cell r="DQ83">
            <v>-0.11432009626955475</v>
          </cell>
          <cell r="DR83">
            <v>-0.2230378317334839</v>
          </cell>
          <cell r="DT83">
            <v>-3.9130434782608692E-2</v>
          </cell>
          <cell r="DU83">
            <v>0.18110236220472431</v>
          </cell>
          <cell r="DV83">
            <v>0.20512820512820507</v>
          </cell>
          <cell r="DW83">
            <v>-4.6195652173913082E-2</v>
          </cell>
          <cell r="DX83">
            <v>2.5436046511627897E-2</v>
          </cell>
          <cell r="DZ83">
            <v>-0.30316742081447967</v>
          </cell>
          <cell r="EA83">
            <v>-8.666666666666667E-2</v>
          </cell>
          <cell r="EB83">
            <v>7.4468085106383031E-2</v>
          </cell>
          <cell r="EC83">
            <v>9.6866096866096818E-2</v>
          </cell>
          <cell r="ED83">
            <v>-7.795889440113446E-3</v>
          </cell>
          <cell r="EF83">
            <v>0.53246753246753253</v>
          </cell>
          <cell r="EG83">
            <v>7.2992700729928028E-3</v>
          </cell>
          <cell r="EH83">
            <v>4.4554455445544594E-2</v>
          </cell>
          <cell r="EI83">
            <v>7.7922077922076838E-3</v>
          </cell>
          <cell r="EJ83">
            <v>7.071428571428573E-2</v>
          </cell>
          <cell r="EK83" t="str">
            <v>Operating Income</v>
          </cell>
          <cell r="EL83">
            <v>6.7796610169491567E-2</v>
          </cell>
          <cell r="EM83">
            <v>5.4347826086956541E-2</v>
          </cell>
          <cell r="EN83">
            <v>0.27962085308056861</v>
          </cell>
          <cell r="EO83">
            <v>0.70747422680412364</v>
          </cell>
          <cell r="EP83">
            <v>0.42628418945963986</v>
          </cell>
          <cell r="ER83">
            <v>-0.40873015873015872</v>
          </cell>
          <cell r="ES83">
            <v>0.402061855670103</v>
          </cell>
          <cell r="ET83">
            <v>3.3333333333333437E-2</v>
          </cell>
          <cell r="EU83">
            <v>8.452830188679239E-2</v>
          </cell>
          <cell r="EV83">
            <v>6.3143124415341534E-2</v>
          </cell>
          <cell r="EX83">
            <v>0.63758389261744974</v>
          </cell>
          <cell r="EY83">
            <v>-0.14950980392156865</v>
          </cell>
          <cell r="EZ83">
            <v>-0.28315412186379929</v>
          </cell>
          <cell r="FA83">
            <v>-0.10160055671537926</v>
          </cell>
          <cell r="FB83">
            <v>-8.4029916410030769E-2</v>
          </cell>
          <cell r="FD83">
            <v>-0.42622950819672134</v>
          </cell>
          <cell r="FE83">
            <v>-3.458213256484155E-2</v>
          </cell>
          <cell r="FF83">
            <v>-0.58000000000000007</v>
          </cell>
          <cell r="FG83">
            <v>-0.32920216886134779</v>
          </cell>
          <cell r="FH83">
            <v>-0.31556195965417866</v>
          </cell>
          <cell r="FJ83">
            <v>-0.82857142857142851</v>
          </cell>
          <cell r="FK83">
            <v>-0.15820895522388057</v>
          </cell>
          <cell r="FL83">
            <v>4.7619047619047672E-2</v>
          </cell>
          <cell r="FM83">
            <v>0.22401847575057743</v>
          </cell>
          <cell r="FN83">
            <v>2.0350877192982564E-2</v>
          </cell>
          <cell r="FP83">
            <v>7.4583333333333339</v>
          </cell>
          <cell r="FQ83">
            <v>0.31205673758865249</v>
          </cell>
          <cell r="FR83">
            <v>1.0113636363636362</v>
          </cell>
          <cell r="FS83">
            <v>0.10283018867924532</v>
          </cell>
          <cell r="FT83">
            <v>0.31980742778541948</v>
          </cell>
          <cell r="FV83">
            <v>0.62561576354679804</v>
          </cell>
          <cell r="FW83">
            <v>0.36756756756756759</v>
          </cell>
          <cell r="FX83">
            <v>0.64406779661016955</v>
          </cell>
          <cell r="FY83">
            <v>7.6988879384088937E-2</v>
          </cell>
          <cell r="FZ83">
            <v>0.24335591453882222</v>
          </cell>
          <cell r="GB83">
            <v>0.18484848484848482</v>
          </cell>
          <cell r="GC83">
            <v>9.486166007905128E-2</v>
          </cell>
          <cell r="GD83">
            <v>-3.238833495997262E-2</v>
          </cell>
          <cell r="GE83">
            <v>0.14751519277253244</v>
          </cell>
          <cell r="GF83">
            <v>0.11957109062333027</v>
          </cell>
        </row>
        <row r="84">
          <cell r="A84" t="str">
            <v>Pretax Income</v>
          </cell>
          <cell r="C84" t="str">
            <v>--</v>
          </cell>
          <cell r="D84" t="str">
            <v>--</v>
          </cell>
          <cell r="E84" t="str">
            <v>--</v>
          </cell>
          <cell r="F84" t="str">
            <v>NM</v>
          </cell>
          <cell r="G84">
            <v>3.354567465605613</v>
          </cell>
          <cell r="H84">
            <v>0.5852107910537101</v>
          </cell>
          <cell r="I84">
            <v>0.16298330523682636</v>
          </cell>
          <cell r="K84" t="str">
            <v xml:space="preserve">--  </v>
          </cell>
          <cell r="L84">
            <v>2.3013597703017585</v>
          </cell>
          <cell r="N84" t="str">
            <v>NA</v>
          </cell>
          <cell r="O84">
            <v>1.1831683168316833</v>
          </cell>
          <cell r="P84">
            <v>1.1723356009070294</v>
          </cell>
          <cell r="Q84">
            <v>0.21398747390396666</v>
          </cell>
          <cell r="R84">
            <v>0.1917454858125538</v>
          </cell>
          <cell r="S84">
            <v>-1.1544011544011523E-2</v>
          </cell>
          <cell r="T84">
            <v>-0.43065693430656937</v>
          </cell>
          <cell r="U84">
            <v>0.34358974358974348</v>
          </cell>
          <cell r="V84">
            <v>3.4351145038167941E-2</v>
          </cell>
          <cell r="W84">
            <v>2.9520295202952074E-2</v>
          </cell>
          <cell r="X84">
            <v>0.83154121863799291</v>
          </cell>
          <cell r="Y84">
            <v>-0.3272994129158513</v>
          </cell>
          <cell r="Z84">
            <v>-4.0000000000000036E-2</v>
          </cell>
          <cell r="AA84">
            <v>-0.66363636363636358</v>
          </cell>
          <cell r="AB84">
            <v>0.14189189189189189</v>
          </cell>
          <cell r="AC84">
            <v>1.6035502958579881</v>
          </cell>
          <cell r="AD84">
            <v>0.49090909090909096</v>
          </cell>
          <cell r="AE84">
            <v>0.13483432061642264</v>
          </cell>
          <cell r="AF84">
            <v>4.7726760420446546E-2</v>
          </cell>
          <cell r="AG84">
            <v>9.8097064157964153E-2</v>
          </cell>
          <cell r="AH84">
            <v>1.3816344190469065E-2</v>
          </cell>
          <cell r="AI84">
            <v>2.5802460075930789E-2</v>
          </cell>
          <cell r="AJ84">
            <v>3.8381471630567709E-2</v>
          </cell>
          <cell r="AK84">
            <v>3.0505651064043793E-2</v>
          </cell>
          <cell r="AL84">
            <v>2.3967090203863339E-2</v>
          </cell>
          <cell r="AN84" t="str">
            <v>Pretax Income</v>
          </cell>
          <cell r="AU84" t="str">
            <v xml:space="preserve">NM  </v>
          </cell>
          <cell r="AV84" t="str">
            <v xml:space="preserve">NM  </v>
          </cell>
          <cell r="AW84" t="str">
            <v xml:space="preserve">NM  </v>
          </cell>
          <cell r="AX84" t="str">
            <v xml:space="preserve">NM  </v>
          </cell>
          <cell r="AY84" t="str">
            <v xml:space="preserve">NM  </v>
          </cell>
          <cell r="BA84" t="str">
            <v xml:space="preserve">NM  </v>
          </cell>
          <cell r="BB84" t="str">
            <v xml:space="preserve">NM  </v>
          </cell>
          <cell r="BC84" t="str">
            <v xml:space="preserve">NM  </v>
          </cell>
          <cell r="BD84" t="str">
            <v xml:space="preserve">NM  </v>
          </cell>
          <cell r="BE84" t="str">
            <v xml:space="preserve">NM  </v>
          </cell>
          <cell r="BG84">
            <v>0.72610550139274821</v>
          </cell>
          <cell r="BH84" t="str">
            <v xml:space="preserve">NM  </v>
          </cell>
          <cell r="BI84">
            <v>0.13468983523903932</v>
          </cell>
          <cell r="BJ84">
            <v>0.403693706492398</v>
          </cell>
          <cell r="BK84">
            <v>0.58521079105371432</v>
          </cell>
          <cell r="BM84">
            <v>0.46418215285307451</v>
          </cell>
          <cell r="BN84">
            <v>-0.43248023879277786</v>
          </cell>
          <cell r="BO84">
            <v>0.24313258747917277</v>
          </cell>
          <cell r="BP84">
            <v>0.137789203084834</v>
          </cell>
          <cell r="BQ84">
            <v>0.16298330523682614</v>
          </cell>
          <cell r="BS84" t="str">
            <v xml:space="preserve"> --  </v>
          </cell>
          <cell r="BT84" t="str">
            <v xml:space="preserve"> --  </v>
          </cell>
          <cell r="BU84" t="str">
            <v xml:space="preserve"> --  </v>
          </cell>
          <cell r="BV84" t="str">
            <v xml:space="preserve"> --  </v>
          </cell>
          <cell r="BW84" t="str">
            <v xml:space="preserve"> --  </v>
          </cell>
          <cell r="BY84" t="str">
            <v xml:space="preserve">NM </v>
          </cell>
          <cell r="BZ84" t="str">
            <v xml:space="preserve">NM </v>
          </cell>
          <cell r="CA84" t="str">
            <v xml:space="preserve">NM </v>
          </cell>
          <cell r="CC84" t="str">
            <v xml:space="preserve">NM </v>
          </cell>
          <cell r="CD84">
            <v>0.45877033771958153</v>
          </cell>
          <cell r="CE84">
            <v>0.34524859013417819</v>
          </cell>
          <cell r="CF84">
            <v>2.3013597703017599</v>
          </cell>
          <cell r="CG84">
            <v>1.9218592556476608</v>
          </cell>
          <cell r="CH84">
            <v>1.1829459884067255</v>
          </cell>
          <cell r="CJ84" t="str">
            <v xml:space="preserve">NM </v>
          </cell>
          <cell r="CK84" t="str">
            <v xml:space="preserve">NM </v>
          </cell>
          <cell r="CL84" t="str">
            <v xml:space="preserve">NM </v>
          </cell>
          <cell r="CM84">
            <v>0.11877233094735073</v>
          </cell>
          <cell r="CN84">
            <v>1.1911304132026577</v>
          </cell>
          <cell r="CP84">
            <v>-1.7664490999052544</v>
          </cell>
          <cell r="CQ84">
            <v>-3.8248118414450696</v>
          </cell>
          <cell r="CR84">
            <v>1.3810766588686971</v>
          </cell>
          <cell r="CS84">
            <v>0.34793188919827567</v>
          </cell>
          <cell r="CT84">
            <v>1.1707387792270185</v>
          </cell>
          <cell r="CV84">
            <v>1.3807888652336051</v>
          </cell>
          <cell r="CW84">
            <v>0.7140776397239661</v>
          </cell>
          <cell r="CX84">
            <v>5.0640890943475458E-2</v>
          </cell>
          <cell r="CY84">
            <v>8.7986298721735912E-2</v>
          </cell>
          <cell r="CZ84">
            <v>0.2136200941259947</v>
          </cell>
          <cell r="DB84">
            <v>0.44230769230769229</v>
          </cell>
          <cell r="DC84">
            <v>0.20725388601036276</v>
          </cell>
          <cell r="DD84">
            <v>0.14054054054054044</v>
          </cell>
          <cell r="DE84">
            <v>0.10425844346549185</v>
          </cell>
          <cell r="DF84">
            <v>0.15735167669819439</v>
          </cell>
          <cell r="DH84">
            <v>0.33333333333333326</v>
          </cell>
          <cell r="DI84">
            <v>0.39055793991416299</v>
          </cell>
          <cell r="DJ84">
            <v>-0.12322274881516593</v>
          </cell>
          <cell r="DK84">
            <v>-0.12101063829787229</v>
          </cell>
          <cell r="DL84">
            <v>1.7830609212481363E-2</v>
          </cell>
          <cell r="DN84">
            <v>-0.5</v>
          </cell>
          <cell r="DO84">
            <v>-0.58333333333333326</v>
          </cell>
          <cell r="DP84">
            <v>-0.75135135135135134</v>
          </cell>
          <cell r="DQ84">
            <v>-0.24508320726172461</v>
          </cell>
          <cell r="DR84">
            <v>-0.43065693430656937</v>
          </cell>
          <cell r="DT84">
            <v>0.47</v>
          </cell>
          <cell r="DU84">
            <v>0.64444444444444438</v>
          </cell>
          <cell r="DV84">
            <v>1.5</v>
          </cell>
          <cell r="DW84">
            <v>0.13026052104208419</v>
          </cell>
          <cell r="DX84">
            <v>0.34358974358974348</v>
          </cell>
          <cell r="DZ84">
            <v>-0.48299319727891155</v>
          </cell>
          <cell r="EA84">
            <v>-0.10360360360360366</v>
          </cell>
          <cell r="EB84">
            <v>-2.6086956521739091E-2</v>
          </cell>
          <cell r="EC84">
            <v>0.23581560283687941</v>
          </cell>
          <cell r="ED84">
            <v>3.4351145038167941E-2</v>
          </cell>
          <cell r="EF84">
            <v>1.0657894736842106</v>
          </cell>
          <cell r="EG84">
            <v>-0.36683417085427139</v>
          </cell>
          <cell r="EH84">
            <v>7.1428571428571397E-2</v>
          </cell>
          <cell r="EI84">
            <v>2.2955523672883782E-2</v>
          </cell>
          <cell r="EJ84">
            <v>2.9520295202952074E-2</v>
          </cell>
          <cell r="EK84" t="str">
            <v>Pretax Income</v>
          </cell>
          <cell r="EL84">
            <v>0.26114649681528657</v>
          </cell>
          <cell r="EM84">
            <v>0.88095238095238093</v>
          </cell>
          <cell r="EN84">
            <v>3.5166666666666666</v>
          </cell>
          <cell r="EO84">
            <v>0.49649368863955123</v>
          </cell>
          <cell r="EP84">
            <v>0.83154121863799291</v>
          </cell>
          <cell r="ER84">
            <v>-1.595959595959596</v>
          </cell>
          <cell r="ES84">
            <v>0.29113924050632911</v>
          </cell>
          <cell r="ET84">
            <v>-0.94464944649446492</v>
          </cell>
          <cell r="EU84">
            <v>8.434864104967188E-2</v>
          </cell>
          <cell r="EV84">
            <v>-0.3272994129158513</v>
          </cell>
          <cell r="EX84">
            <v>-1.7033898305084745</v>
          </cell>
          <cell r="EY84">
            <v>-0.63071895424836599</v>
          </cell>
          <cell r="EZ84">
            <v>0.26666666666666661</v>
          </cell>
          <cell r="FA84">
            <v>-6.1365600691443367E-2</v>
          </cell>
          <cell r="FB84">
            <v>-4.0000000000000036E-2</v>
          </cell>
          <cell r="FD84">
            <v>-2.2771084337349397</v>
          </cell>
          <cell r="FE84">
            <v>7.079646017699126E-2</v>
          </cell>
          <cell r="FF84">
            <v>-2.9736842105263159</v>
          </cell>
          <cell r="FG84">
            <v>-0.53591160220994483</v>
          </cell>
          <cell r="FH84">
            <v>-0.66363636363636358</v>
          </cell>
          <cell r="FJ84">
            <v>1.4056603773584904</v>
          </cell>
          <cell r="FK84">
            <v>-9.9173553719008267E-2</v>
          </cell>
          <cell r="FL84">
            <v>9.3333333333333268E-2</v>
          </cell>
          <cell r="FM84">
            <v>0.45833333333333326</v>
          </cell>
          <cell r="FN84">
            <v>0.14189189189189189</v>
          </cell>
          <cell r="FP84">
            <v>-1.1607843137254903</v>
          </cell>
          <cell r="FQ84">
            <v>1.2018348623853212</v>
          </cell>
          <cell r="FR84">
            <v>-1.1585365853658536</v>
          </cell>
          <cell r="FS84">
            <v>0.39591836734693886</v>
          </cell>
          <cell r="FT84">
            <v>1.6035502958579881</v>
          </cell>
          <cell r="FV84">
            <v>4.2195121951219514</v>
          </cell>
          <cell r="FW84">
            <v>0.64583333333333326</v>
          </cell>
          <cell r="FX84">
            <v>13.076923076923077</v>
          </cell>
          <cell r="FY84">
            <v>0.14619883040935666</v>
          </cell>
          <cell r="FZ84">
            <v>0.49090909090909096</v>
          </cell>
          <cell r="GB84">
            <v>0.30373831775700944</v>
          </cell>
          <cell r="GC84">
            <v>0.13670886075949373</v>
          </cell>
          <cell r="GD84">
            <v>-4.5601122805202454E-2</v>
          </cell>
          <cell r="GE84">
            <v>0.13154672486944907</v>
          </cell>
          <cell r="GF84">
            <v>0.13483432061642264</v>
          </cell>
        </row>
        <row r="85">
          <cell r="A85" t="str">
            <v>Net Income, Reported</v>
          </cell>
          <cell r="C85" t="str">
            <v>--</v>
          </cell>
          <cell r="D85" t="str">
            <v>--</v>
          </cell>
          <cell r="E85" t="str">
            <v>--</v>
          </cell>
          <cell r="F85" t="str">
            <v>NM</v>
          </cell>
          <cell r="G85">
            <v>4.2697454632093716</v>
          </cell>
          <cell r="H85">
            <v>0.59022063477709041</v>
          </cell>
          <cell r="I85">
            <v>0.16972540099983413</v>
          </cell>
          <cell r="K85" t="str">
            <v xml:space="preserve">--  </v>
          </cell>
          <cell r="L85">
            <v>3.0486739791766411</v>
          </cell>
          <cell r="N85" t="str">
            <v>NA</v>
          </cell>
          <cell r="O85">
            <v>2.5466666666666669</v>
          </cell>
          <cell r="P85">
            <v>1.0150375939849625</v>
          </cell>
          <cell r="Q85">
            <v>0.2350746268656716</v>
          </cell>
          <cell r="R85">
            <v>0.20090634441087607</v>
          </cell>
          <cell r="S85">
            <v>-1.2314465408805031</v>
          </cell>
          <cell r="T85">
            <v>0.5</v>
          </cell>
          <cell r="U85">
            <v>-3.9637681159420288</v>
          </cell>
          <cell r="V85">
            <v>-0.15281173594132025</v>
          </cell>
          <cell r="W85">
            <v>-5.7720057720057616E-3</v>
          </cell>
          <cell r="X85">
            <v>1.0414969667227032</v>
          </cell>
          <cell r="Y85">
            <v>-0.29270505075164965</v>
          </cell>
          <cell r="Z85">
            <v>-0.10239979896971985</v>
          </cell>
          <cell r="AA85">
            <v>-6.3784994400895858</v>
          </cell>
          <cell r="AB85">
            <v>-1.0684988548823653</v>
          </cell>
          <cell r="AC85">
            <v>1.4486322188449847</v>
          </cell>
          <cell r="AD85">
            <v>0.55908639523336645</v>
          </cell>
          <cell r="AE85">
            <v>0.1213160701218674</v>
          </cell>
          <cell r="AF85">
            <v>4.6715019631404564E-2</v>
          </cell>
          <cell r="AG85">
            <v>9.8097064157964153E-2</v>
          </cell>
          <cell r="AH85">
            <v>1.3816344190469065E-2</v>
          </cell>
          <cell r="AI85">
            <v>2.5802460075930789E-2</v>
          </cell>
          <cell r="AJ85">
            <v>3.8381471630567709E-2</v>
          </cell>
          <cell r="AK85">
            <v>3.0505651064043793E-2</v>
          </cell>
          <cell r="AL85">
            <v>2.3967090203863339E-2</v>
          </cell>
          <cell r="AN85" t="str">
            <v>Net Income, Reported</v>
          </cell>
          <cell r="AU85" t="str">
            <v xml:space="preserve">NM  </v>
          </cell>
          <cell r="AV85" t="str">
            <v xml:space="preserve">NM  </v>
          </cell>
          <cell r="AW85" t="str">
            <v xml:space="preserve">NM  </v>
          </cell>
          <cell r="AX85" t="str">
            <v xml:space="preserve">NM  </v>
          </cell>
          <cell r="AY85" t="str">
            <v xml:space="preserve">NM  </v>
          </cell>
          <cell r="BA85" t="str">
            <v xml:space="preserve">NM  </v>
          </cell>
          <cell r="BB85" t="str">
            <v xml:space="preserve">NM  </v>
          </cell>
          <cell r="BC85" t="str">
            <v xml:space="preserve">NM  </v>
          </cell>
          <cell r="BD85" t="str">
            <v xml:space="preserve">NM  </v>
          </cell>
          <cell r="BE85" t="str">
            <v xml:space="preserve">NM  </v>
          </cell>
          <cell r="BG85">
            <v>0.83711479850996984</v>
          </cell>
          <cell r="BH85" t="str">
            <v xml:space="preserve">NM  </v>
          </cell>
          <cell r="BI85">
            <v>9.3154328414921661E-2</v>
          </cell>
          <cell r="BJ85">
            <v>0.38871392824181727</v>
          </cell>
          <cell r="BK85">
            <v>0.5902206347770973</v>
          </cell>
          <cell r="BM85">
            <v>0.48488479262673212</v>
          </cell>
          <cell r="BN85">
            <v>-0.57392974133063923</v>
          </cell>
          <cell r="BO85">
            <v>0.28441084462982458</v>
          </cell>
          <cell r="BP85">
            <v>0.14084873730799452</v>
          </cell>
          <cell r="BQ85">
            <v>0.16972540099983369</v>
          </cell>
          <cell r="BS85" t="str">
            <v xml:space="preserve"> --  </v>
          </cell>
          <cell r="BT85" t="str">
            <v xml:space="preserve"> --  </v>
          </cell>
          <cell r="BU85" t="str">
            <v xml:space="preserve"> --  </v>
          </cell>
          <cell r="BV85" t="str">
            <v xml:space="preserve"> --  </v>
          </cell>
          <cell r="BW85" t="str">
            <v xml:space="preserve"> --  </v>
          </cell>
          <cell r="BY85" t="str">
            <v xml:space="preserve">NM </v>
          </cell>
          <cell r="BZ85" t="str">
            <v xml:space="preserve">NM </v>
          </cell>
          <cell r="CA85" t="str">
            <v xml:space="preserve">NM </v>
          </cell>
          <cell r="CC85" t="str">
            <v xml:space="preserve">NM </v>
          </cell>
          <cell r="CD85">
            <v>0.37055020770788127</v>
          </cell>
          <cell r="CE85">
            <v>0.33441950883194549</v>
          </cell>
          <cell r="CF85">
            <v>3.0486739791766455</v>
          </cell>
          <cell r="CG85">
            <v>2.8686737346110953</v>
          </cell>
          <cell r="CH85">
            <v>1.0154646949248605</v>
          </cell>
          <cell r="CJ85" t="str">
            <v xml:space="preserve">NM </v>
          </cell>
          <cell r="CK85" t="str">
            <v xml:space="preserve">NM </v>
          </cell>
          <cell r="CL85" t="str">
            <v xml:space="preserve">NM </v>
          </cell>
          <cell r="CM85">
            <v>0.1821292076273795</v>
          </cell>
          <cell r="CN85">
            <v>2.5848804756704831</v>
          </cell>
          <cell r="CP85">
            <v>-1.6344171083511347</v>
          </cell>
          <cell r="CQ85">
            <v>-3.440701651160242</v>
          </cell>
          <cell r="CR85">
            <v>1.5146288366306782</v>
          </cell>
          <cell r="CS85">
            <v>0.31077931687886151</v>
          </cell>
          <cell r="CT85">
            <v>1.1611549267169936</v>
          </cell>
          <cell r="CV85">
            <v>1.5035953281516088</v>
          </cell>
          <cell r="CW85">
            <v>0.61217417507909366</v>
          </cell>
          <cell r="CX85">
            <v>4.6482866221435382E-2</v>
          </cell>
          <cell r="CY85">
            <v>7.6289965178854002E-2</v>
          </cell>
          <cell r="CZ85">
            <v>0.19249316508388858</v>
          </cell>
          <cell r="DB85">
            <v>0.44436696882159565</v>
          </cell>
          <cell r="DC85">
            <v>0.28037383177570097</v>
          </cell>
          <cell r="DD85">
            <v>0.11818181818181817</v>
          </cell>
          <cell r="DE85">
            <v>9.8039215686274606E-2</v>
          </cell>
          <cell r="DF85">
            <v>0.1601876147418253</v>
          </cell>
          <cell r="DH85">
            <v>2.2988505747126409E-2</v>
          </cell>
          <cell r="DI85">
            <v>-0.54014598540145986</v>
          </cell>
          <cell r="DJ85">
            <v>-6.4308943089430892</v>
          </cell>
          <cell r="DK85">
            <v>-0.2589285714285714</v>
          </cell>
          <cell r="DL85">
            <v>-1.2314465408805031</v>
          </cell>
          <cell r="DN85">
            <v>-0.348314606741573</v>
          </cell>
          <cell r="DO85">
            <v>0.74603174603174605</v>
          </cell>
          <cell r="DP85">
            <v>-1.0044910179640718</v>
          </cell>
          <cell r="DQ85">
            <v>-2.346385542168675</v>
          </cell>
          <cell r="DR85">
            <v>0.5</v>
          </cell>
          <cell r="DT85">
            <v>0.53448275862068972</v>
          </cell>
          <cell r="DU85">
            <v>1.5636363636363635</v>
          </cell>
          <cell r="DV85">
            <v>34.333333333333336</v>
          </cell>
          <cell r="DW85">
            <v>-1.7628635346756152</v>
          </cell>
          <cell r="DX85">
            <v>-3.9637681159420288</v>
          </cell>
          <cell r="DZ85">
            <v>-0.4831460674157303</v>
          </cell>
          <cell r="EA85">
            <v>-0.57446808510638303</v>
          </cell>
          <cell r="EB85">
            <v>-0.36792452830188682</v>
          </cell>
          <cell r="EC85">
            <v>0.34897360703812308</v>
          </cell>
          <cell r="ED85">
            <v>-0.15281173594132025</v>
          </cell>
          <cell r="EF85">
            <v>1.1086956521739131</v>
          </cell>
          <cell r="EG85">
            <v>-0.35</v>
          </cell>
          <cell r="EH85">
            <v>0.10447761194029859</v>
          </cell>
          <cell r="EI85">
            <v>-4.3478260869565188E-2</v>
          </cell>
          <cell r="EJ85">
            <v>-5.7720057720057616E-3</v>
          </cell>
          <cell r="EK85" t="str">
            <v>Net Income, Reported</v>
          </cell>
          <cell r="EL85">
            <v>0.2716907216494846</v>
          </cell>
          <cell r="EM85">
            <v>0.89743589743589736</v>
          </cell>
          <cell r="EN85">
            <v>4.895100136107331</v>
          </cell>
          <cell r="EO85">
            <v>0.58863636363636362</v>
          </cell>
          <cell r="EP85">
            <v>1.0414969667227032</v>
          </cell>
          <cell r="ER85">
            <v>-1.4215509833487361</v>
          </cell>
          <cell r="ES85">
            <v>1.1410472972972974</v>
          </cell>
          <cell r="ET85">
            <v>-1.006876989296964</v>
          </cell>
          <cell r="EU85">
            <v>4.8640915593705314E-2</v>
          </cell>
          <cell r="EV85">
            <v>-0.29270505075164965</v>
          </cell>
          <cell r="EX85">
            <v>-1.6923076923076923</v>
          </cell>
          <cell r="EY85">
            <v>-0.76646942800788953</v>
          </cell>
          <cell r="EZ85">
            <v>-12</v>
          </cell>
          <cell r="FA85">
            <v>2.3192360163710735E-2</v>
          </cell>
          <cell r="FB85">
            <v>-0.10239979896971985</v>
          </cell>
          <cell r="FD85">
            <v>-2.6388888888888888</v>
          </cell>
          <cell r="FE85">
            <v>-1.3513513513513487E-2</v>
          </cell>
          <cell r="FF85">
            <v>-2.333333333333333</v>
          </cell>
          <cell r="FG85">
            <v>-7.3639999999999999</v>
          </cell>
          <cell r="FH85">
            <v>-6.3784994400895858</v>
          </cell>
          <cell r="FJ85">
            <v>0.49152542372881358</v>
          </cell>
          <cell r="FK85">
            <v>-0.90410958904109595</v>
          </cell>
          <cell r="FL85">
            <v>-0.20454545454545459</v>
          </cell>
          <cell r="FM85">
            <v>-1.0932327676513722</v>
          </cell>
          <cell r="FN85">
            <v>-1.0684988548823653</v>
          </cell>
          <cell r="FP85">
            <v>-1.2613636363636362</v>
          </cell>
          <cell r="FQ85">
            <v>20</v>
          </cell>
          <cell r="FR85">
            <v>-1.2857142857142856</v>
          </cell>
          <cell r="FS85">
            <v>0.49887640449438209</v>
          </cell>
          <cell r="FT85">
            <v>1.5744680851063828</v>
          </cell>
          <cell r="FV85">
            <v>4.6956521739130439</v>
          </cell>
          <cell r="FW85">
            <v>0.63945578231292521</v>
          </cell>
          <cell r="FX85">
            <v>12.9</v>
          </cell>
          <cell r="FY85">
            <v>0.11694152923538237</v>
          </cell>
          <cell r="FZ85">
            <v>0.48288075560802834</v>
          </cell>
          <cell r="GB85">
            <v>0.38167938931297707</v>
          </cell>
          <cell r="GC85">
            <v>0.15767634854771795</v>
          </cell>
          <cell r="GD85">
            <v>-0.20839822624612792</v>
          </cell>
          <cell r="GE85">
            <v>0.12528904365272142</v>
          </cell>
          <cell r="GF85">
            <v>0.1213160701218674</v>
          </cell>
        </row>
        <row r="86">
          <cell r="A86" t="str">
            <v>EPS, Before All Extraordinary Items</v>
          </cell>
          <cell r="C86" t="str">
            <v>--</v>
          </cell>
          <cell r="D86" t="str">
            <v>--</v>
          </cell>
          <cell r="E86" t="str">
            <v>--</v>
          </cell>
          <cell r="F86" t="str">
            <v>NM</v>
          </cell>
          <cell r="G86">
            <v>4.2697454632093716</v>
          </cell>
          <cell r="H86">
            <v>0.49352714229736749</v>
          </cell>
          <cell r="I86">
            <v>0.16715720920010613</v>
          </cell>
          <cell r="K86" t="str">
            <v xml:space="preserve">--  </v>
          </cell>
          <cell r="L86">
            <v>1.2429413062163106</v>
          </cell>
          <cell r="N86" t="str">
            <v>NA</v>
          </cell>
          <cell r="O86">
            <v>2.0831760191846533</v>
          </cell>
          <cell r="P86">
            <v>1.1166002434653026</v>
          </cell>
          <cell r="Q86">
            <v>0.19781195988990907</v>
          </cell>
          <cell r="R86">
            <v>0.23893143472537992</v>
          </cell>
          <cell r="S86">
            <v>0.11804933673070495</v>
          </cell>
          <cell r="T86">
            <v>-0.23747100765953244</v>
          </cell>
          <cell r="U86">
            <v>6.7412153054829504E-2</v>
          </cell>
          <cell r="V86">
            <v>8.2618698493725606E-2</v>
          </cell>
          <cell r="W86">
            <v>0.19253228900861408</v>
          </cell>
          <cell r="X86">
            <v>0.13546350508465377</v>
          </cell>
          <cell r="Y86">
            <v>-0.17112431238754444</v>
          </cell>
          <cell r="Z86">
            <v>2.511156865799169E-2</v>
          </cell>
          <cell r="AA86">
            <v>-0.3926266519774968</v>
          </cell>
          <cell r="AB86">
            <v>5.4566031260215864E-2</v>
          </cell>
          <cell r="AC86">
            <v>0.54543966376654018</v>
          </cell>
          <cell r="AD86">
            <v>0.36638230546571982</v>
          </cell>
          <cell r="AE86">
            <v>0.18944449755233173</v>
          </cell>
          <cell r="AF86">
            <v>0.15178647079450802</v>
          </cell>
          <cell r="AG86">
            <v>0.21619225683545951</v>
          </cell>
          <cell r="AH86">
            <v>0.10368489317104679</v>
          </cell>
          <cell r="AI86">
            <v>7.5550799930256041E-2</v>
          </cell>
          <cell r="AJ86">
            <v>8.0391871180272023E-2</v>
          </cell>
          <cell r="AK86">
            <v>0.1050161104972096</v>
          </cell>
          <cell r="AL86">
            <v>0.11070075260190304</v>
          </cell>
          <cell r="AN86" t="str">
            <v>EPS, Before All Extraordinary Items</v>
          </cell>
          <cell r="AU86" t="str">
            <v xml:space="preserve">NM  </v>
          </cell>
          <cell r="AV86" t="str">
            <v xml:space="preserve">NM  </v>
          </cell>
          <cell r="AW86" t="str">
            <v xml:space="preserve">NM  </v>
          </cell>
          <cell r="AX86" t="str">
            <v xml:space="preserve">NM  </v>
          </cell>
          <cell r="AY86" t="str">
            <v xml:space="preserve">NM  </v>
          </cell>
          <cell r="BA86" t="str">
            <v xml:space="preserve">NM  </v>
          </cell>
          <cell r="BB86" t="str">
            <v xml:space="preserve">NM  </v>
          </cell>
          <cell r="BC86" t="str">
            <v xml:space="preserve">NM  </v>
          </cell>
          <cell r="BD86" t="str">
            <v xml:space="preserve">NM  </v>
          </cell>
          <cell r="BE86" t="str">
            <v xml:space="preserve">NM  </v>
          </cell>
          <cell r="BG86">
            <v>0.15093972231627273</v>
          </cell>
          <cell r="BH86" t="str">
            <v xml:space="preserve">NM  </v>
          </cell>
          <cell r="BI86">
            <v>7.7195871065800059E-2</v>
          </cell>
          <cell r="BJ86">
            <v>0.24705403271076887</v>
          </cell>
          <cell r="BK86">
            <v>0.30893389999095677</v>
          </cell>
          <cell r="BM86">
            <v>0.47058823529411753</v>
          </cell>
          <cell r="BN86">
            <v>1.2483031355031047</v>
          </cell>
          <cell r="BO86">
            <v>0.29629629629629606</v>
          </cell>
          <cell r="BP86">
            <v>0.25961538461538458</v>
          </cell>
          <cell r="BQ86">
            <v>0.33175630280524948</v>
          </cell>
          <cell r="BS86" t="str">
            <v xml:space="preserve"> --  </v>
          </cell>
          <cell r="BT86" t="str">
            <v xml:space="preserve"> --  </v>
          </cell>
          <cell r="BU86" t="str">
            <v xml:space="preserve"> --  </v>
          </cell>
          <cell r="BV86" t="str">
            <v xml:space="preserve"> --  </v>
          </cell>
          <cell r="BW86" t="str">
            <v xml:space="preserve"> --  </v>
          </cell>
          <cell r="BY86" t="str">
            <v xml:space="preserve">NM </v>
          </cell>
          <cell r="BZ86" t="str">
            <v xml:space="preserve">NM </v>
          </cell>
          <cell r="CA86" t="str">
            <v xml:space="preserve">NM </v>
          </cell>
          <cell r="CC86" t="str">
            <v xml:space="preserve">NM </v>
          </cell>
          <cell r="CD86">
            <v>0.25642012991861307</v>
          </cell>
          <cell r="CE86">
            <v>0.21559931910688945</v>
          </cell>
          <cell r="CF86">
            <v>1.242941306216311</v>
          </cell>
          <cell r="CG86">
            <v>1.273034974194021</v>
          </cell>
          <cell r="CH86">
            <v>0.80871126553133621</v>
          </cell>
          <cell r="CJ86" t="str">
            <v xml:space="preserve">NM </v>
          </cell>
          <cell r="CK86" t="str">
            <v xml:space="preserve">NM </v>
          </cell>
          <cell r="CL86" t="str">
            <v xml:space="preserve">NM </v>
          </cell>
          <cell r="CM86">
            <v>0.13358996848546845</v>
          </cell>
          <cell r="CN86">
            <v>0.5557153119638325</v>
          </cell>
          <cell r="CP86">
            <v>1.8847721822542178</v>
          </cell>
          <cell r="CQ86">
            <v>0.98095749761223572</v>
          </cell>
          <cell r="CR86">
            <v>0.5218694349129136</v>
          </cell>
          <cell r="CS86">
            <v>9.3307514801961533E-2</v>
          </cell>
          <cell r="CT86">
            <v>0.25831729550304816</v>
          </cell>
          <cell r="CV86">
            <v>1.5034529101088574</v>
          </cell>
          <cell r="CW86">
            <v>0.60059447200373395</v>
          </cell>
          <cell r="CX86">
            <v>-0.17311732873453067</v>
          </cell>
          <cell r="CY86">
            <v>7.9567640585938015E-2</v>
          </cell>
          <cell r="CZ86">
            <v>0.15234039797565679</v>
          </cell>
          <cell r="DB86">
            <v>-0.26911815031362007</v>
          </cell>
          <cell r="DC86">
            <v>-0.35868875191480443</v>
          </cell>
          <cell r="DD86">
            <v>-0.29612724531270496</v>
          </cell>
          <cell r="DE86">
            <v>-0.45822134788913216</v>
          </cell>
          <cell r="DF86">
            <v>-0.40232656840273939</v>
          </cell>
          <cell r="DH86">
            <v>0.3569488949468862</v>
          </cell>
          <cell r="DI86">
            <v>0.50706646361742713</v>
          </cell>
          <cell r="DJ86">
            <v>-3.0975973608567631E-2</v>
          </cell>
          <cell r="DK86">
            <v>9.1775708959831892E-2</v>
          </cell>
          <cell r="DL86">
            <v>0.16010779214312887</v>
          </cell>
          <cell r="DN86">
            <v>-0.20822262267582348</v>
          </cell>
          <cell r="DO86">
            <v>-0.43841864714537893</v>
          </cell>
          <cell r="DP86">
            <v>-0.59273991713233776</v>
          </cell>
          <cell r="DQ86">
            <v>-9.5511908313649863E-2</v>
          </cell>
          <cell r="DR86">
            <v>-0.23747100765953244</v>
          </cell>
          <cell r="DT86">
            <v>1.0022997402227452E-2</v>
          </cell>
          <cell r="DU86">
            <v>0.25077409537636819</v>
          </cell>
          <cell r="DV86">
            <v>0.73436521566609403</v>
          </cell>
          <cell r="DW86">
            <v>-8.1762364367958806E-3</v>
          </cell>
          <cell r="DX86">
            <v>6.7412153054829504E-2</v>
          </cell>
          <cell r="DZ86">
            <v>-0.38502923283127022</v>
          </cell>
          <cell r="EA86">
            <v>3.0104736134886956E-2</v>
          </cell>
          <cell r="EB86">
            <v>0.18641645511193183</v>
          </cell>
          <cell r="EC86">
            <v>0.16982420675683696</v>
          </cell>
          <cell r="ED86">
            <v>8.2618698493725606E-2</v>
          </cell>
          <cell r="EF86">
            <v>1.2002944973744478</v>
          </cell>
          <cell r="EG86">
            <v>9.1284054291573158E-2</v>
          </cell>
          <cell r="EH86">
            <v>0.21440795242992539</v>
          </cell>
          <cell r="EI86">
            <v>0.11331568332715758</v>
          </cell>
          <cell r="EJ86">
            <v>0.19253228900861408</v>
          </cell>
          <cell r="EK86" t="str">
            <v>EPS, Before All Extraordinary Items</v>
          </cell>
          <cell r="EL86">
            <v>0.20924520779639133</v>
          </cell>
          <cell r="EM86">
            <v>0.14652501106684346</v>
          </cell>
          <cell r="EN86">
            <v>-0.41739246783196837</v>
          </cell>
          <cell r="EO86">
            <v>2.6745738601636537E-2</v>
          </cell>
          <cell r="EP86">
            <v>0.13546350508465377</v>
          </cell>
          <cell r="ER86">
            <v>-0.96536392307397523</v>
          </cell>
          <cell r="ES86">
            <v>-0.22511768742991911</v>
          </cell>
          <cell r="ET86">
            <v>0.27056097610725471</v>
          </cell>
          <cell r="EU86">
            <v>0.19806697860755884</v>
          </cell>
          <cell r="EV86">
            <v>-0.17112431238754444</v>
          </cell>
          <cell r="EX86">
            <v>11.942309582309582</v>
          </cell>
          <cell r="EY86">
            <v>4.1797260273972681E-2</v>
          </cell>
          <cell r="EZ86">
            <v>-0.60815006068840372</v>
          </cell>
          <cell r="FA86">
            <v>4.4816334601294416E-2</v>
          </cell>
          <cell r="FB86">
            <v>2.511156865799169E-2</v>
          </cell>
          <cell r="FD86">
            <v>-0.9375</v>
          </cell>
          <cell r="FE86">
            <v>-0.14705882352941191</v>
          </cell>
          <cell r="FF86">
            <v>-2</v>
          </cell>
          <cell r="FG86">
            <v>-0.3652694610778443</v>
          </cell>
          <cell r="FH86">
            <v>-0.3926266519774968</v>
          </cell>
          <cell r="FJ86">
            <v>-17</v>
          </cell>
          <cell r="FK86">
            <v>-0.31034482758620685</v>
          </cell>
          <cell r="FL86">
            <v>-0.625</v>
          </cell>
          <cell r="FM86">
            <v>0.27358490566037741</v>
          </cell>
          <cell r="FN86">
            <v>5.4566031260215864E-2</v>
          </cell>
          <cell r="FP86">
            <v>-1.5865790708587517</v>
          </cell>
          <cell r="FQ86">
            <v>0.74999999999999978</v>
          </cell>
          <cell r="FR86">
            <v>-3.6816339257873398</v>
          </cell>
          <cell r="FS86">
            <v>0.17777777777777781</v>
          </cell>
          <cell r="FT86">
            <v>0.54543966376654018</v>
          </cell>
          <cell r="FV86">
            <v>2.2460581395348833</v>
          </cell>
          <cell r="FW86">
            <v>0.58437972519886916</v>
          </cell>
          <cell r="FX86">
            <v>3.0013949179745154</v>
          </cell>
          <cell r="FY86">
            <v>7.2258601986732174E-2</v>
          </cell>
          <cell r="FZ86">
            <v>0.36638230546571982</v>
          </cell>
          <cell r="GB86">
            <v>0.40222359547930187</v>
          </cell>
          <cell r="GC86">
            <v>0.20624824041917611</v>
          </cell>
          <cell r="GD86">
            <v>-0.15861801416910437</v>
          </cell>
          <cell r="GE86">
            <v>0.23691312416154275</v>
          </cell>
          <cell r="GF86">
            <v>0.1894444975523315</v>
          </cell>
        </row>
        <row r="87">
          <cell r="A87" t="str">
            <v>EPS Diluted, Reported</v>
          </cell>
          <cell r="N87" t="str">
            <v>NA</v>
          </cell>
          <cell r="O87">
            <v>2.2064682872901682</v>
          </cell>
          <cell r="P87">
            <v>0.93578477247880953</v>
          </cell>
          <cell r="Q87">
            <v>0.22992133264419734</v>
          </cell>
          <cell r="R87">
            <v>0.22243255164301989</v>
          </cell>
          <cell r="S87">
            <v>-1.2456829504645728</v>
          </cell>
          <cell r="T87">
            <v>0.55467184368737477</v>
          </cell>
          <cell r="U87">
            <v>-3.976817793141421</v>
          </cell>
          <cell r="V87">
            <v>-9.7762659297635945E-2</v>
          </cell>
          <cell r="W87">
            <v>4.0016904008823184E-2</v>
          </cell>
          <cell r="X87">
            <v>0.67589282323900779</v>
          </cell>
          <cell r="Y87">
            <v>-0.43876139320187513</v>
          </cell>
          <cell r="Z87">
            <v>6.3775441193242965E-2</v>
          </cell>
          <cell r="AA87">
            <v>-6.8981600687855193</v>
          </cell>
          <cell r="AB87">
            <v>-1.0683488337132727</v>
          </cell>
          <cell r="AC87">
            <v>1.5289650455927051</v>
          </cell>
          <cell r="AD87">
            <v>0.48223350253807107</v>
          </cell>
          <cell r="AE87">
            <v>0.17465753424657549</v>
          </cell>
          <cell r="AF87">
            <v>0.15026075561396901</v>
          </cell>
          <cell r="AG87">
            <v>0.21619225683545951</v>
          </cell>
          <cell r="AH87">
            <v>0.10368489317104679</v>
          </cell>
          <cell r="AI87">
            <v>7.5550799930256041E-2</v>
          </cell>
          <cell r="AJ87">
            <v>8.0391871180272023E-2</v>
          </cell>
          <cell r="AK87">
            <v>0.1050161104972096</v>
          </cell>
          <cell r="AL87">
            <v>0.11070075260190304</v>
          </cell>
          <cell r="AN87" t="str">
            <v>EPS Diluted, Reported</v>
          </cell>
          <cell r="CP87">
            <v>2.0499765917603208</v>
          </cell>
          <cell r="CQ87">
            <v>0.90901548672567323</v>
          </cell>
          <cell r="CR87">
            <v>0.44316340604453752</v>
          </cell>
          <cell r="CS87">
            <v>7.3039696864150017E-3</v>
          </cell>
          <cell r="CT87">
            <v>0.1820266466798135</v>
          </cell>
          <cell r="CV87">
            <v>1.1399977372987853</v>
          </cell>
          <cell r="CW87">
            <v>0.50736428049067683</v>
          </cell>
          <cell r="CX87">
            <v>-0.2015756294478438</v>
          </cell>
          <cell r="CY87">
            <v>0.13072202033902447</v>
          </cell>
          <cell r="CZ87">
            <v>0.13765736493310232</v>
          </cell>
          <cell r="DB87">
            <v>-0.22622031593063341</v>
          </cell>
          <cell r="DC87">
            <v>-0.32952032783985374</v>
          </cell>
          <cell r="DD87">
            <v>-0.26449326496369807</v>
          </cell>
          <cell r="DE87">
            <v>-0.45797109202935382</v>
          </cell>
          <cell r="DF87">
            <v>-0.38246866698014048</v>
          </cell>
          <cell r="DH87">
            <v>2.3345318412651306E-2</v>
          </cell>
          <cell r="DI87">
            <v>-0.51059181851599011</v>
          </cell>
          <cell r="DJ87">
            <v>-6.938605959903458</v>
          </cell>
          <cell r="DK87">
            <v>-0.1916586947278911</v>
          </cell>
          <cell r="DL87">
            <v>-1.2456549810940736</v>
          </cell>
          <cell r="DN87">
            <v>-0.30786393354904007</v>
          </cell>
          <cell r="DO87">
            <v>0.82388586697203925</v>
          </cell>
          <cell r="DP87">
            <v>-1.0046410262722243</v>
          </cell>
          <cell r="DQ87">
            <v>-2.356478387312368</v>
          </cell>
          <cell r="DR87">
            <v>0.55467184368737477</v>
          </cell>
          <cell r="DT87">
            <v>0.51052810137926508</v>
          </cell>
          <cell r="DU87">
            <v>1.5145052490507034</v>
          </cell>
          <cell r="DV87">
            <v>34.098859962565932</v>
          </cell>
          <cell r="DW87">
            <v>-1.7971226803581755</v>
          </cell>
          <cell r="DX87">
            <v>-3.976817793141421</v>
          </cell>
          <cell r="DZ87">
            <v>-0.43844927744028617</v>
          </cell>
          <cell r="EA87">
            <v>-0.53741589379887245</v>
          </cell>
          <cell r="EB87">
            <v>-0.33320632791782234</v>
          </cell>
          <cell r="EC87">
            <v>0.40472238035780639</v>
          </cell>
          <cell r="ED87">
            <v>-9.7762659297635945E-2</v>
          </cell>
          <cell r="EF87">
            <v>1.1693693055752252</v>
          </cell>
          <cell r="EG87">
            <v>-0.33142857142857152</v>
          </cell>
          <cell r="EH87">
            <v>0.17604066821854025</v>
          </cell>
          <cell r="EI87">
            <v>2.0326843538787331E-2</v>
          </cell>
          <cell r="EJ87">
            <v>4.0016904008823184E-2</v>
          </cell>
          <cell r="EK87" t="str">
            <v>EPS Diluted, Reported</v>
          </cell>
          <cell r="EL87">
            <v>0.35558698453608217</v>
          </cell>
          <cell r="EM87">
            <v>0.96547144754316094</v>
          </cell>
          <cell r="EN87">
            <v>3.2230661891029717</v>
          </cell>
          <cell r="EO87">
            <v>-1.1617072930678152E-2</v>
          </cell>
          <cell r="EP87">
            <v>0.67589282323900779</v>
          </cell>
          <cell r="ER87">
            <v>-1.2610896412998625</v>
          </cell>
          <cell r="ES87">
            <v>0.34542922079805116</v>
          </cell>
          <cell r="ET87">
            <v>-1.0060891181827454</v>
          </cell>
          <cell r="EU87">
            <v>0.10971318583546186</v>
          </cell>
          <cell r="EV87">
            <v>-0.43876139320187513</v>
          </cell>
          <cell r="EX87">
            <v>-1.810889362526642</v>
          </cell>
          <cell r="EY87">
            <v>-0.71474378362169477</v>
          </cell>
          <cell r="EZ87">
            <v>-14.807121661721066</v>
          </cell>
          <cell r="FA87">
            <v>0.27023895272896103</v>
          </cell>
          <cell r="FB87">
            <v>6.3775441193242965E-2</v>
          </cell>
          <cell r="FD87">
            <v>-2.8526666666666669</v>
          </cell>
          <cell r="FE87">
            <v>5.170270270270283E-2</v>
          </cell>
          <cell r="FF87">
            <v>-2.3275757575757576</v>
          </cell>
          <cell r="FG87">
            <v>-7.3726942536051361</v>
          </cell>
          <cell r="FH87">
            <v>-6.8981600687855193</v>
          </cell>
          <cell r="FJ87">
            <v>0.49999999999999978</v>
          </cell>
          <cell r="FK87">
            <v>-0.88235294117647056</v>
          </cell>
          <cell r="FL87">
            <v>-0.20000000000000007</v>
          </cell>
          <cell r="FM87">
            <v>-1.092674315975287</v>
          </cell>
          <cell r="FN87">
            <v>-1.0683488337132727</v>
          </cell>
          <cell r="FP87">
            <v>-1.2380952380952381</v>
          </cell>
          <cell r="FQ87">
            <v>16.23329425556858</v>
          </cell>
          <cell r="FR87">
            <v>-1.25</v>
          </cell>
          <cell r="FS87">
            <v>0.47619047619047628</v>
          </cell>
          <cell r="FT87">
            <v>1.5289650455927051</v>
          </cell>
          <cell r="FV87">
            <v>4.9999999999999991</v>
          </cell>
          <cell r="FW87">
            <v>0.60889988761266101</v>
          </cell>
          <cell r="FX87">
            <v>15</v>
          </cell>
          <cell r="FY87">
            <v>0.1225806451612903</v>
          </cell>
          <cell r="FZ87">
            <v>0.48223350253807107</v>
          </cell>
          <cell r="GB87">
            <v>0.43333333333333335</v>
          </cell>
          <cell r="GC87">
            <v>0.20822406639004165</v>
          </cell>
          <cell r="GD87">
            <v>-0.15625</v>
          </cell>
          <cell r="GE87">
            <v>0.21264367816091956</v>
          </cell>
          <cell r="GF87">
            <v>0.17465753424657549</v>
          </cell>
        </row>
        <row r="89">
          <cell r="AR89">
            <v>68.3</v>
          </cell>
          <cell r="AU89">
            <v>66.742000000000004</v>
          </cell>
          <cell r="AV89">
            <v>66.046999999999997</v>
          </cell>
          <cell r="AW89">
            <v>64.048000000000002</v>
          </cell>
          <cell r="AX89">
            <v>64.046999999999997</v>
          </cell>
          <cell r="AY89">
            <v>260.88400000000001</v>
          </cell>
          <cell r="BA89">
            <v>56.853999999999999</v>
          </cell>
          <cell r="BB89">
            <v>57.481000000000002</v>
          </cell>
          <cell r="BC89">
            <v>58.634</v>
          </cell>
          <cell r="BD89">
            <v>57.152999999999999</v>
          </cell>
          <cell r="BE89">
            <v>230.12199999999999</v>
          </cell>
          <cell r="BG89">
            <v>56.424999999999997</v>
          </cell>
          <cell r="BH89">
            <v>56.37</v>
          </cell>
          <cell r="BI89">
            <v>57.966999999999999</v>
          </cell>
          <cell r="BJ89">
            <v>59.017999999999986</v>
          </cell>
          <cell r="BK89">
            <v>229.77999999999997</v>
          </cell>
          <cell r="BM89">
            <v>59.893000000000001</v>
          </cell>
          <cell r="BN89">
            <v>61.381999999999998</v>
          </cell>
          <cell r="BO89">
            <v>62.862000000000002</v>
          </cell>
          <cell r="BP89">
            <v>67.269000000000005</v>
          </cell>
          <cell r="BQ89">
            <v>251.40600000000001</v>
          </cell>
          <cell r="BS89">
            <v>136.37</v>
          </cell>
          <cell r="BT89">
            <v>141.60000000000002</v>
          </cell>
          <cell r="BU89">
            <v>136</v>
          </cell>
          <cell r="BV89">
            <v>137.10000000000002</v>
          </cell>
          <cell r="BW89">
            <v>551.07000000000005</v>
          </cell>
          <cell r="BY89">
            <v>115.258</v>
          </cell>
          <cell r="BZ89">
            <v>121</v>
          </cell>
          <cell r="CA89">
            <v>122.6</v>
          </cell>
          <cell r="CB89">
            <v>134.25</v>
          </cell>
          <cell r="CC89">
            <v>134.25</v>
          </cell>
          <cell r="CD89">
            <v>121.56399999999999</v>
          </cell>
          <cell r="CE89">
            <v>131.88</v>
          </cell>
          <cell r="CF89">
            <v>474.94499999999999</v>
          </cell>
          <cell r="CG89">
            <v>496.911</v>
          </cell>
          <cell r="CH89">
            <v>496.911</v>
          </cell>
          <cell r="CJ89">
            <v>133.32499999999999</v>
          </cell>
          <cell r="CK89">
            <v>133.30000000000001</v>
          </cell>
          <cell r="CL89">
            <v>135.27600000000001</v>
          </cell>
          <cell r="CM89">
            <v>131.46199999999999</v>
          </cell>
          <cell r="CN89">
            <v>533.36300000000006</v>
          </cell>
          <cell r="CP89">
            <v>145.684</v>
          </cell>
          <cell r="CQ89">
            <v>145.39400000000001</v>
          </cell>
          <cell r="CR89">
            <v>147.756</v>
          </cell>
          <cell r="CS89">
            <v>151.453</v>
          </cell>
          <cell r="CT89">
            <v>590.28699999999992</v>
          </cell>
          <cell r="CV89">
            <v>155</v>
          </cell>
          <cell r="CW89">
            <v>156</v>
          </cell>
          <cell r="CX89">
            <v>157</v>
          </cell>
          <cell r="CY89">
            <v>156</v>
          </cell>
          <cell r="CZ89">
            <v>624</v>
          </cell>
          <cell r="DB89">
            <v>173</v>
          </cell>
          <cell r="DC89">
            <v>187</v>
          </cell>
          <cell r="DD89">
            <v>191</v>
          </cell>
          <cell r="DE89">
            <v>187</v>
          </cell>
          <cell r="DF89">
            <v>738</v>
          </cell>
        </row>
        <row r="90">
          <cell r="A90" t="str">
            <v>∆ Sales - ∆ Expenses</v>
          </cell>
          <cell r="AN90" t="str">
            <v>∆ Sales - ∆ Expenses</v>
          </cell>
          <cell r="AU90">
            <v>108.2620000000001</v>
          </cell>
          <cell r="AV90">
            <v>74.555999999999898</v>
          </cell>
          <cell r="AW90">
            <v>117.31500000000005</v>
          </cell>
          <cell r="AX90">
            <v>227.72300000000027</v>
          </cell>
          <cell r="AY90">
            <v>527.85600000000034</v>
          </cell>
          <cell r="BA90">
            <v>141.51500000000016</v>
          </cell>
          <cell r="BB90">
            <v>89.155999999999949</v>
          </cell>
          <cell r="BC90">
            <v>169.40199999999993</v>
          </cell>
          <cell r="BD90">
            <v>268.48300000000006</v>
          </cell>
          <cell r="BE90">
            <v>668.55600000000004</v>
          </cell>
          <cell r="BG90">
            <v>143.20600000000007</v>
          </cell>
          <cell r="BH90">
            <v>118.40499999999997</v>
          </cell>
          <cell r="BI90">
            <v>165.34899999999993</v>
          </cell>
          <cell r="BJ90">
            <v>313.46299999999979</v>
          </cell>
          <cell r="BK90">
            <v>740.42299999999909</v>
          </cell>
          <cell r="BM90">
            <v>168.50100000000018</v>
          </cell>
          <cell r="BN90">
            <v>147.95599999999985</v>
          </cell>
          <cell r="BO90">
            <v>195.559</v>
          </cell>
          <cell r="BP90">
            <v>380.49400000000003</v>
          </cell>
          <cell r="BQ90">
            <v>892.50999999999885</v>
          </cell>
          <cell r="BS90">
            <v>196.87099999999998</v>
          </cell>
          <cell r="BT90">
            <v>173.67600000000004</v>
          </cell>
          <cell r="BU90">
            <v>260.07500000000005</v>
          </cell>
          <cell r="BV90">
            <v>603.24900000000014</v>
          </cell>
          <cell r="BW90">
            <v>1233.8709999999996</v>
          </cell>
          <cell r="BY90">
            <v>211.1449999999997</v>
          </cell>
          <cell r="BZ90">
            <v>237.19800000000009</v>
          </cell>
          <cell r="CA90">
            <v>309.19699999999978</v>
          </cell>
          <cell r="CC90">
            <v>278.36199999999985</v>
          </cell>
          <cell r="CD90">
            <v>717.53299999999979</v>
          </cell>
          <cell r="CE90">
            <v>757.60399999999947</v>
          </cell>
          <cell r="CF90">
            <v>1469.5959999999989</v>
          </cell>
          <cell r="CG90">
            <v>1521.3169999999991</v>
          </cell>
          <cell r="CH90">
            <v>1478.7909999999974</v>
          </cell>
          <cell r="CJ90">
            <v>266.31199999999984</v>
          </cell>
          <cell r="CK90">
            <v>307.97100000000006</v>
          </cell>
          <cell r="CL90">
            <v>366.89200000000045</v>
          </cell>
          <cell r="CM90">
            <v>794.05299999999966</v>
          </cell>
          <cell r="CN90">
            <v>1735.2279999999998</v>
          </cell>
          <cell r="CP90">
            <v>293.74400000000014</v>
          </cell>
          <cell r="CQ90">
            <v>357.25400000000036</v>
          </cell>
          <cell r="CR90">
            <v>415.71699999999998</v>
          </cell>
          <cell r="CS90">
            <v>864.35699999999997</v>
          </cell>
          <cell r="CT90">
            <v>1931.0720000000006</v>
          </cell>
          <cell r="CV90">
            <v>336</v>
          </cell>
          <cell r="CW90">
            <v>423</v>
          </cell>
          <cell r="CX90">
            <v>414</v>
          </cell>
          <cell r="CY90">
            <v>906</v>
          </cell>
          <cell r="CZ90">
            <v>2079</v>
          </cell>
          <cell r="DB90">
            <v>398</v>
          </cell>
          <cell r="DC90">
            <v>505</v>
          </cell>
          <cell r="DD90">
            <v>493</v>
          </cell>
          <cell r="DE90">
            <v>1043</v>
          </cell>
          <cell r="DF90">
            <v>2439</v>
          </cell>
          <cell r="FJ90">
            <v>-3.4194680167579095E-2</v>
          </cell>
          <cell r="FK90">
            <v>-1.5971577237682277E-3</v>
          </cell>
          <cell r="FL90">
            <v>-5.7525143184197214E-3</v>
          </cell>
          <cell r="FM90">
            <v>9.2433677127078395E-3</v>
          </cell>
          <cell r="FN90">
            <v>-5.1748072838055936E-3</v>
          </cell>
          <cell r="FP90">
            <v>5.0054493420776947E-2</v>
          </cell>
          <cell r="FQ90">
            <v>1.2157198738702135E-2</v>
          </cell>
          <cell r="FR90">
            <v>3.7873885884193381E-2</v>
          </cell>
          <cell r="FS90">
            <v>3.7804361854073099E-2</v>
          </cell>
          <cell r="FT90">
            <v>3.4486647181381613E-2</v>
          </cell>
          <cell r="FV90">
            <v>6.654750183230107E-2</v>
          </cell>
          <cell r="FW90">
            <v>6.0825738612125813E-2</v>
          </cell>
          <cell r="FX90">
            <v>6.5553021505009412E-2</v>
          </cell>
          <cell r="FY90">
            <v>2.4289824797099513E-2</v>
          </cell>
          <cell r="FZ90">
            <v>5.3530898326099363E-2</v>
          </cell>
          <cell r="GB90">
            <v>3.1980729489817339E-2</v>
          </cell>
          <cell r="GC90">
            <v>1.343934930906876E-2</v>
          </cell>
          <cell r="GD90">
            <v>-1.4520704841329835E-2</v>
          </cell>
          <cell r="GE90">
            <v>2.4716111945240593E-2</v>
          </cell>
          <cell r="GF90">
            <v>1.6065747463878788E-2</v>
          </cell>
        </row>
        <row r="91">
          <cell r="A91" t="str">
            <v>E = MorFYn Stanley Research Estimates</v>
          </cell>
        </row>
        <row r="92">
          <cell r="A92" t="str">
            <v>Macy's Inc.</v>
          </cell>
          <cell r="AN92" t="str">
            <v>Macy's Inc.</v>
          </cell>
        </row>
        <row r="93">
          <cell r="A93" t="str">
            <v>Annual Store Model</v>
          </cell>
          <cell r="F93" t="str">
            <v>Federated (Post-Bankruptcy)</v>
          </cell>
          <cell r="AN93" t="str">
            <v>Quarterly Store Model</v>
          </cell>
        </row>
        <row r="94">
          <cell r="A94" t="str">
            <v>($ Millions)</v>
          </cell>
          <cell r="J94" t="str">
            <v>91P-94E</v>
          </cell>
          <cell r="K94" t="str">
            <v>PFMA</v>
          </cell>
          <cell r="AN94" t="str">
            <v>($ Millions)</v>
          </cell>
          <cell r="EX94">
            <v>39447</v>
          </cell>
          <cell r="FD94">
            <v>39813</v>
          </cell>
          <cell r="FJ94">
            <v>40178</v>
          </cell>
          <cell r="FP94">
            <v>40543</v>
          </cell>
          <cell r="FV94">
            <v>40908</v>
          </cell>
          <cell r="GB94">
            <v>41274</v>
          </cell>
          <cell r="GG94" t="str">
            <v xml:space="preserve"> </v>
          </cell>
        </row>
        <row r="95">
          <cell r="A95">
            <v>41396.636050578702</v>
          </cell>
          <cell r="B95">
            <v>1987</v>
          </cell>
          <cell r="C95">
            <v>1988</v>
          </cell>
          <cell r="D95">
            <v>1989</v>
          </cell>
          <cell r="E95">
            <v>1990</v>
          </cell>
          <cell r="F95">
            <v>1991</v>
          </cell>
          <cell r="G95" t="str">
            <v>1992</v>
          </cell>
          <cell r="H95">
            <v>1993</v>
          </cell>
          <cell r="I95">
            <v>1994</v>
          </cell>
          <cell r="J95" t="str">
            <v>CAGR</v>
          </cell>
          <cell r="K95">
            <v>1994</v>
          </cell>
          <cell r="M95">
            <v>1994</v>
          </cell>
          <cell r="N95">
            <v>1995</v>
          </cell>
          <cell r="O95">
            <v>1996</v>
          </cell>
          <cell r="P95">
            <v>1997</v>
          </cell>
          <cell r="Q95">
            <v>1998</v>
          </cell>
          <cell r="R95">
            <v>1999</v>
          </cell>
          <cell r="S95">
            <v>2000</v>
          </cell>
          <cell r="T95">
            <v>2001</v>
          </cell>
          <cell r="U95">
            <v>2002</v>
          </cell>
          <cell r="V95">
            <v>2003</v>
          </cell>
          <cell r="W95">
            <v>2004</v>
          </cell>
          <cell r="X95">
            <v>2005</v>
          </cell>
          <cell r="Y95">
            <v>2006</v>
          </cell>
          <cell r="Z95">
            <v>2007</v>
          </cell>
          <cell r="AA95">
            <v>2008</v>
          </cell>
          <cell r="AB95">
            <v>2009</v>
          </cell>
          <cell r="AC95">
            <v>2010</v>
          </cell>
          <cell r="AD95">
            <v>2011</v>
          </cell>
          <cell r="AE95" t="str">
            <v>2012E</v>
          </cell>
          <cell r="AF95" t="str">
            <v>2013E</v>
          </cell>
          <cell r="AG95" t="str">
            <v>2014E</v>
          </cell>
          <cell r="AH95" t="str">
            <v>2015E</v>
          </cell>
          <cell r="AI95" t="str">
            <v>2016E</v>
          </cell>
          <cell r="AJ95" t="str">
            <v>2017E</v>
          </cell>
          <cell r="AK95" t="str">
            <v>2017E</v>
          </cell>
          <cell r="AL95" t="str">
            <v>2017E</v>
          </cell>
          <cell r="AN95">
            <v>41396.636050578702</v>
          </cell>
          <cell r="BS95" t="str">
            <v>1994 (Pro forma for Macy's)</v>
          </cell>
          <cell r="BY95" t="str">
            <v>1995E</v>
          </cell>
          <cell r="CJ95" t="str">
            <v>1996A</v>
          </cell>
          <cell r="CP95" t="str">
            <v>1997A</v>
          </cell>
          <cell r="CX95">
            <v>1998</v>
          </cell>
          <cell r="DD95">
            <v>1999</v>
          </cell>
          <cell r="DJ95">
            <v>2000</v>
          </cell>
          <cell r="DP95">
            <v>2001</v>
          </cell>
          <cell r="DV95">
            <v>2002</v>
          </cell>
          <cell r="EB95">
            <v>2003</v>
          </cell>
          <cell r="EH95">
            <v>2004</v>
          </cell>
          <cell r="EN95">
            <v>2005</v>
          </cell>
          <cell r="ET95">
            <v>2006</v>
          </cell>
          <cell r="EX95">
            <v>1</v>
          </cell>
          <cell r="EY95">
            <v>2</v>
          </cell>
          <cell r="EZ95">
            <v>3</v>
          </cell>
          <cell r="FA95">
            <v>4</v>
          </cell>
          <cell r="FB95" t="str">
            <v>Year</v>
          </cell>
          <cell r="FD95">
            <v>1</v>
          </cell>
          <cell r="FE95">
            <v>2</v>
          </cell>
          <cell r="FF95">
            <v>3</v>
          </cell>
          <cell r="FG95">
            <v>4</v>
          </cell>
          <cell r="FH95" t="str">
            <v>Year</v>
          </cell>
          <cell r="FJ95">
            <v>1</v>
          </cell>
          <cell r="FK95">
            <v>2</v>
          </cell>
          <cell r="FL95">
            <v>3</v>
          </cell>
          <cell r="FM95">
            <v>4</v>
          </cell>
          <cell r="FN95" t="str">
            <v>Year</v>
          </cell>
          <cell r="FP95">
            <v>1</v>
          </cell>
          <cell r="FQ95">
            <v>2</v>
          </cell>
          <cell r="FR95">
            <v>3</v>
          </cell>
          <cell r="FS95">
            <v>4</v>
          </cell>
          <cell r="FT95" t="str">
            <v>Year</v>
          </cell>
          <cell r="FV95">
            <v>1</v>
          </cell>
          <cell r="FW95">
            <v>2</v>
          </cell>
          <cell r="FX95">
            <v>3</v>
          </cell>
          <cell r="FY95">
            <v>4</v>
          </cell>
          <cell r="FZ95" t="str">
            <v>Year</v>
          </cell>
          <cell r="GB95">
            <v>1</v>
          </cell>
          <cell r="GC95">
            <v>2</v>
          </cell>
          <cell r="GD95">
            <v>3</v>
          </cell>
          <cell r="GE95">
            <v>4</v>
          </cell>
          <cell r="GF95" t="str">
            <v>Year</v>
          </cell>
        </row>
        <row r="96">
          <cell r="A96" t="str">
            <v>TOTAL RETAIL COMPANY (A)</v>
          </cell>
          <cell r="AN96" t="str">
            <v>TOTAL RETAIL COMPANY (A)</v>
          </cell>
        </row>
        <row r="97">
          <cell r="A97" t="str">
            <v>Sales</v>
          </cell>
          <cell r="N97">
            <v>14614</v>
          </cell>
          <cell r="O97">
            <v>14833</v>
          </cell>
          <cell r="P97">
            <v>15220</v>
          </cell>
          <cell r="Q97">
            <v>15365</v>
          </cell>
          <cell r="R97">
            <v>16029</v>
          </cell>
          <cell r="S97">
            <v>16638</v>
          </cell>
          <cell r="T97">
            <v>15785</v>
          </cell>
          <cell r="U97">
            <v>15571</v>
          </cell>
          <cell r="V97">
            <v>15412</v>
          </cell>
          <cell r="W97">
            <v>15776</v>
          </cell>
          <cell r="X97">
            <v>22390</v>
          </cell>
          <cell r="Y97">
            <v>26970</v>
          </cell>
          <cell r="Z97">
            <v>26313</v>
          </cell>
          <cell r="AA97">
            <v>24892</v>
          </cell>
          <cell r="AB97">
            <v>23895</v>
          </cell>
          <cell r="AC97">
            <v>25003</v>
          </cell>
          <cell r="AD97">
            <v>26405</v>
          </cell>
          <cell r="AE97">
            <v>27697.820605365057</v>
          </cell>
          <cell r="AF97">
            <v>28358.892641397051</v>
          </cell>
          <cell r="AG97">
            <v>28905.408744504351</v>
          </cell>
          <cell r="AH97">
            <v>29204.897015558319</v>
          </cell>
          <cell r="AI97">
            <v>29496.945985713905</v>
          </cell>
          <cell r="AJ97">
            <v>29791.915445571045</v>
          </cell>
          <cell r="AK97">
            <v>30089.834600026756</v>
          </cell>
          <cell r="AL97">
            <v>30390.732946027023</v>
          </cell>
          <cell r="AN97" t="str">
            <v>Sales</v>
          </cell>
          <cell r="DB97">
            <v>3470</v>
          </cell>
          <cell r="DC97">
            <v>3609</v>
          </cell>
          <cell r="DD97">
            <v>3691</v>
          </cell>
          <cell r="DE97">
            <v>5259</v>
          </cell>
          <cell r="DF97">
            <v>16029</v>
          </cell>
          <cell r="DH97">
            <v>3573</v>
          </cell>
          <cell r="DI97">
            <v>3679</v>
          </cell>
          <cell r="DJ97">
            <v>3782</v>
          </cell>
          <cell r="DK97">
            <v>5604</v>
          </cell>
          <cell r="DL97">
            <v>16638</v>
          </cell>
          <cell r="DN97">
            <v>3556</v>
          </cell>
          <cell r="DO97">
            <v>3488</v>
          </cell>
          <cell r="DP97">
            <v>3475</v>
          </cell>
          <cell r="DQ97">
            <v>5132</v>
          </cell>
          <cell r="DR97">
            <v>15785</v>
          </cell>
          <cell r="DT97">
            <v>3453</v>
          </cell>
          <cell r="DU97">
            <v>3486</v>
          </cell>
          <cell r="DV97">
            <v>3479</v>
          </cell>
          <cell r="DW97">
            <v>5017</v>
          </cell>
          <cell r="DX97">
            <v>15571</v>
          </cell>
          <cell r="DZ97">
            <v>3291</v>
          </cell>
          <cell r="EA97">
            <v>3434</v>
          </cell>
          <cell r="EB97">
            <v>3486</v>
          </cell>
          <cell r="EC97">
            <v>5053</v>
          </cell>
          <cell r="ED97">
            <v>15412</v>
          </cell>
          <cell r="EF97">
            <v>3550</v>
          </cell>
          <cell r="EG97">
            <v>3581</v>
          </cell>
          <cell r="EH97">
            <v>3525</v>
          </cell>
          <cell r="EI97">
            <v>5120</v>
          </cell>
          <cell r="EJ97">
            <v>15776</v>
          </cell>
          <cell r="EL97">
            <v>3641</v>
          </cell>
          <cell r="EM97">
            <v>3623</v>
          </cell>
          <cell r="EN97">
            <v>5555</v>
          </cell>
          <cell r="EO97">
            <v>9571</v>
          </cell>
          <cell r="EP97">
            <v>22390</v>
          </cell>
          <cell r="ER97">
            <v>5930</v>
          </cell>
          <cell r="ES97">
            <v>5995</v>
          </cell>
          <cell r="ET97">
            <v>5886</v>
          </cell>
          <cell r="EU97">
            <v>9159</v>
          </cell>
          <cell r="EV97">
            <v>26970</v>
          </cell>
          <cell r="EX97">
            <v>5921</v>
          </cell>
          <cell r="EY97">
            <v>5892</v>
          </cell>
          <cell r="EZ97">
            <v>5906</v>
          </cell>
          <cell r="FA97">
            <v>8594</v>
          </cell>
          <cell r="FB97">
            <v>26313</v>
          </cell>
          <cell r="FD97">
            <v>5747</v>
          </cell>
          <cell r="FE97">
            <v>5718</v>
          </cell>
          <cell r="FF97">
            <v>5493</v>
          </cell>
          <cell r="FG97">
            <v>7934</v>
          </cell>
          <cell r="FH97">
            <v>24892</v>
          </cell>
          <cell r="FJ97">
            <v>5288</v>
          </cell>
          <cell r="FK97">
            <v>5285</v>
          </cell>
          <cell r="FL97">
            <v>5385</v>
          </cell>
          <cell r="FM97">
            <v>7937</v>
          </cell>
          <cell r="FN97">
            <v>23895</v>
          </cell>
          <cell r="FP97">
            <v>5574</v>
          </cell>
          <cell r="FQ97">
            <v>5537</v>
          </cell>
          <cell r="FR97">
            <v>5623</v>
          </cell>
          <cell r="FS97">
            <v>8269</v>
          </cell>
          <cell r="FT97">
            <v>25003</v>
          </cell>
          <cell r="FV97">
            <v>5889</v>
          </cell>
          <cell r="FW97">
            <v>5939</v>
          </cell>
          <cell r="FX97">
            <v>5853</v>
          </cell>
          <cell r="FY97">
            <v>8724</v>
          </cell>
          <cell r="FZ97">
            <v>26405</v>
          </cell>
          <cell r="GB97">
            <v>6143</v>
          </cell>
          <cell r="GC97">
            <v>6118</v>
          </cell>
          <cell r="GD97">
            <v>6069.6866469352608</v>
          </cell>
          <cell r="GE97">
            <v>9367.1339584297966</v>
          </cell>
          <cell r="GF97">
            <v>27697.820605365057</v>
          </cell>
        </row>
        <row r="98">
          <cell r="A98" t="str">
            <v>% Change</v>
          </cell>
          <cell r="N98" t="str">
            <v>NA</v>
          </cell>
          <cell r="O98">
            <v>1.4985630217599466E-2</v>
          </cell>
          <cell r="P98">
            <v>2.6090473943234604E-2</v>
          </cell>
          <cell r="Q98">
            <v>9.5269382391589552E-3</v>
          </cell>
          <cell r="R98">
            <v>4.3215099251545652E-2</v>
          </cell>
          <cell r="S98">
            <v>3.7993636533782515E-2</v>
          </cell>
          <cell r="T98">
            <v>-5.126818127178745E-2</v>
          </cell>
          <cell r="U98">
            <v>-1.3557174532784266E-2</v>
          </cell>
          <cell r="V98">
            <v>-1.0211290218996805E-2</v>
          </cell>
          <cell r="W98">
            <v>2.361796003114458E-2</v>
          </cell>
          <cell r="X98">
            <v>0.41924442190669375</v>
          </cell>
          <cell r="Y98">
            <v>0.20455560518088434</v>
          </cell>
          <cell r="Z98">
            <v>-2.4360400444938812E-2</v>
          </cell>
          <cell r="AA98">
            <v>-5.4003724394785846E-2</v>
          </cell>
          <cell r="AB98">
            <v>-4.0053029085650005E-2</v>
          </cell>
          <cell r="AC98">
            <v>4.6369533375183014E-2</v>
          </cell>
          <cell r="AD98">
            <v>5.60732712074552E-2</v>
          </cell>
          <cell r="AE98">
            <v>4.8961204520547419E-2</v>
          </cell>
          <cell r="AF98">
            <v>2.3867294306323394E-2</v>
          </cell>
          <cell r="AG98">
            <v>1.9271419022529823E-2</v>
          </cell>
          <cell r="AH98">
            <v>1.0360976857347159E-2</v>
          </cell>
          <cell r="AI98">
            <v>1.0000000000000009E-2</v>
          </cell>
          <cell r="AJ98">
            <v>1.0000000000000009E-2</v>
          </cell>
          <cell r="AK98">
            <v>1.0000000000000009E-2</v>
          </cell>
          <cell r="AL98">
            <v>1.0000000000000009E-2</v>
          </cell>
          <cell r="AN98" t="str">
            <v>% Change</v>
          </cell>
          <cell r="DH98">
            <v>2.9682997118155585E-2</v>
          </cell>
          <cell r="DI98">
            <v>1.9395954558049322E-2</v>
          </cell>
          <cell r="DJ98">
            <v>2.4654565158493735E-2</v>
          </cell>
          <cell r="DK98">
            <v>6.560182544209936E-2</v>
          </cell>
          <cell r="DL98">
            <v>3.7993636533782515E-2</v>
          </cell>
          <cell r="DN98">
            <v>-4.7579065211307281E-3</v>
          </cell>
          <cell r="DO98">
            <v>-5.191628159826045E-2</v>
          </cell>
          <cell r="DP98">
            <v>-8.1173982020095181E-2</v>
          </cell>
          <cell r="DQ98">
            <v>-8.4225553176302648E-2</v>
          </cell>
          <cell r="DR98">
            <v>-5.126818127178745E-2</v>
          </cell>
          <cell r="DT98">
            <v>-2.8965129358830111E-2</v>
          </cell>
          <cell r="DU98">
            <v>-5.7339449541282672E-4</v>
          </cell>
          <cell r="DV98">
            <v>1.1510791366906581E-3</v>
          </cell>
          <cell r="DW98">
            <v>-2.2408417770849565E-2</v>
          </cell>
          <cell r="DX98">
            <v>-1.3557174532784266E-2</v>
          </cell>
          <cell r="DZ98">
            <v>-4.6915725456125101E-2</v>
          </cell>
          <cell r="EA98">
            <v>-1.4916810097532984E-2</v>
          </cell>
          <cell r="EB98">
            <v>2.012072434607548E-3</v>
          </cell>
          <cell r="EC98">
            <v>7.1756029499701057E-3</v>
          </cell>
          <cell r="ED98">
            <v>-1.0211290218996805E-2</v>
          </cell>
          <cell r="EF98">
            <v>7.8699483439683915E-2</v>
          </cell>
          <cell r="EG98">
            <v>4.2807221898660375E-2</v>
          </cell>
          <cell r="EH98">
            <v>1.1187607573149849E-2</v>
          </cell>
          <cell r="EI98">
            <v>1.3259449831783066E-2</v>
          </cell>
          <cell r="EJ98">
            <v>2.361796003114458E-2</v>
          </cell>
          <cell r="EL98">
            <v>2.5633802816901419E-2</v>
          </cell>
          <cell r="EM98">
            <v>1.1728567439262871E-2</v>
          </cell>
          <cell r="EN98">
            <v>0.57588652482269498</v>
          </cell>
          <cell r="EO98">
            <v>0.86933593750000004</v>
          </cell>
          <cell r="EP98">
            <v>0.41924442190669375</v>
          </cell>
          <cell r="ER98">
            <v>0.62867344136226322</v>
          </cell>
          <cell r="ES98">
            <v>0.65470604471432514</v>
          </cell>
          <cell r="ET98">
            <v>5.9585958595859578E-2</v>
          </cell>
          <cell r="EU98">
            <v>-4.3046703583742518E-2</v>
          </cell>
          <cell r="EV98">
            <v>0.20455560518088434</v>
          </cell>
          <cell r="EX98">
            <v>-1.5177065767284503E-3</v>
          </cell>
          <cell r="EY98">
            <v>-1.7180984153461254E-2</v>
          </cell>
          <cell r="EZ98">
            <v>3.397893306150257E-3</v>
          </cell>
          <cell r="FA98">
            <v>-6.1687957200567745E-2</v>
          </cell>
          <cell r="FB98">
            <v>-2.4360400444938812E-2</v>
          </cell>
          <cell r="FD98">
            <v>-2.9386927883803371E-2</v>
          </cell>
          <cell r="FE98">
            <v>-2.9531568228105876E-2</v>
          </cell>
          <cell r="FF98">
            <v>-6.9928885878767333E-2</v>
          </cell>
          <cell r="FG98">
            <v>-7.6797765883174329E-2</v>
          </cell>
          <cell r="FH98">
            <v>-5.4003724394785846E-2</v>
          </cell>
          <cell r="FJ98">
            <v>-7.9867757090655966E-2</v>
          </cell>
          <cell r="FK98">
            <v>-7.5725778244141284E-2</v>
          </cell>
          <cell r="FL98">
            <v>-1.9661387220098359E-2</v>
          </cell>
          <cell r="FM98">
            <v>3.7811948575749987E-4</v>
          </cell>
          <cell r="FN98">
            <v>-4.0053029085650005E-2</v>
          </cell>
          <cell r="FP98">
            <v>5.4084720121028829E-2</v>
          </cell>
          <cell r="FQ98">
            <v>4.7682119205298079E-2</v>
          </cell>
          <cell r="FR98">
            <v>4.4196843082636939E-2</v>
          </cell>
          <cell r="FS98">
            <v>4.182940657679235E-2</v>
          </cell>
          <cell r="FT98">
            <v>4.6369533375183014E-2</v>
          </cell>
          <cell r="FV98">
            <v>5.6512378902045191E-2</v>
          </cell>
          <cell r="FW98">
            <v>7.2602492324363332E-2</v>
          </cell>
          <cell r="FX98">
            <v>4.0903432331495626E-2</v>
          </cell>
          <cell r="FY98">
            <v>5.5024791389527206E-2</v>
          </cell>
          <cell r="FZ98">
            <v>5.60732712074552E-2</v>
          </cell>
          <cell r="GB98">
            <v>4.313126167430803E-2</v>
          </cell>
          <cell r="GC98">
            <v>3.0139754167368249E-2</v>
          </cell>
          <cell r="GD98">
            <v>3.7021467099822347E-2</v>
          </cell>
          <cell r="GE98">
            <v>7.372007776590972E-2</v>
          </cell>
          <cell r="GF98">
            <v>4.8961204520547419E-2</v>
          </cell>
        </row>
        <row r="99">
          <cell r="A99" t="str">
            <v>Sales/Ave. Sq. Ft.</v>
          </cell>
          <cell r="N99">
            <v>185.41332301426695</v>
          </cell>
          <cell r="O99">
            <v>178.15063475096383</v>
          </cell>
          <cell r="P99">
            <v>185.57015271131161</v>
          </cell>
          <cell r="Q99">
            <v>188.14093733737411</v>
          </cell>
          <cell r="R99">
            <v>195.1982853628686</v>
          </cell>
          <cell r="S99">
            <v>201.28966693685953</v>
          </cell>
          <cell r="T99">
            <v>188.59020310633213</v>
          </cell>
          <cell r="U99">
            <v>185.92238805970149</v>
          </cell>
          <cell r="V99">
            <v>184.02388059701494</v>
          </cell>
          <cell r="W99">
            <v>188.59533771667662</v>
          </cell>
          <cell r="X99">
            <v>185.19437551695614</v>
          </cell>
          <cell r="Y99">
            <v>171.29247380120674</v>
          </cell>
          <cell r="Z99">
            <v>169.01924133080252</v>
          </cell>
          <cell r="AA99">
            <v>161.08616025782067</v>
          </cell>
          <cell r="AB99">
            <v>154.91537840650133</v>
          </cell>
          <cell r="AC99">
            <v>162.05355551450691</v>
          </cell>
          <cell r="AD99">
            <v>172.31421812545884</v>
          </cell>
          <cell r="AE99">
            <v>181.86236863425094</v>
          </cell>
          <cell r="AF99">
            <v>186.01972201820288</v>
          </cell>
          <cell r="AG99">
            <v>189.48961276294534</v>
          </cell>
          <cell r="AH99">
            <v>191.48711704856575</v>
          </cell>
          <cell r="AI99">
            <v>193.36743935804478</v>
          </cell>
          <cell r="AJ99">
            <v>195.30111375162525</v>
          </cell>
          <cell r="AK99">
            <v>197.25412488914151</v>
          </cell>
          <cell r="AL99">
            <v>199.22666613803293</v>
          </cell>
          <cell r="AN99" t="str">
            <v>Sales/Ave. Sq. Ft.</v>
          </cell>
          <cell r="DN99">
            <v>42.637889688249395</v>
          </cell>
          <cell r="DO99" t="str">
            <v>NA</v>
          </cell>
          <cell r="DP99" t="str">
            <v>NA</v>
          </cell>
          <cell r="DQ99">
            <v>61.095238095238095</v>
          </cell>
          <cell r="DR99">
            <v>188.59020310633213</v>
          </cell>
          <cell r="DT99">
            <v>40.928309062964026</v>
          </cell>
          <cell r="DU99">
            <v>41.051569071497894</v>
          </cell>
          <cell r="DV99">
            <v>40.531173985405189</v>
          </cell>
          <cell r="DW99">
            <v>58.999502465059471</v>
          </cell>
          <cell r="DX99">
            <v>185.92238805970149</v>
          </cell>
          <cell r="DZ99">
            <v>39.370030102818724</v>
          </cell>
          <cell r="EA99">
            <v>40.857109529919512</v>
          </cell>
          <cell r="EB99">
            <v>41.073351045396791</v>
          </cell>
          <cell r="EC99">
            <v>59.682254173501882</v>
          </cell>
          <cell r="ED99">
            <v>184.02388059701494</v>
          </cell>
          <cell r="EF99">
            <v>42.261904761904759</v>
          </cell>
          <cell r="EG99">
            <v>42.723255711192614</v>
          </cell>
          <cell r="EH99">
            <v>42.055145596747828</v>
          </cell>
          <cell r="EI99">
            <v>61.207411835026896</v>
          </cell>
          <cell r="EJ99">
            <v>188.59533771667662</v>
          </cell>
          <cell r="EL99">
            <v>43.709483793517407</v>
          </cell>
          <cell r="EM99">
            <v>43.445778155702293</v>
          </cell>
          <cell r="EN99">
            <v>43.791542109400297</v>
          </cell>
          <cell r="EO99">
            <v>58.232044198895025</v>
          </cell>
          <cell r="EP99">
            <v>185.19437551695614</v>
          </cell>
          <cell r="ER99">
            <v>37.564453920983773</v>
          </cell>
          <cell r="ES99">
            <v>38.241149916138319</v>
          </cell>
          <cell r="ET99">
            <v>37.633373672820916</v>
          </cell>
          <cell r="EU99">
            <v>58.543624876054047</v>
          </cell>
          <cell r="EV99">
            <v>171.29247380120674</v>
          </cell>
          <cell r="EX99">
            <v>37.779911755416386</v>
          </cell>
          <cell r="EY99">
            <v>37.537030548211384</v>
          </cell>
          <cell r="EZ99">
            <v>37.569496571290443</v>
          </cell>
          <cell r="FA99">
            <v>55.004768274652626</v>
          </cell>
          <cell r="FB99">
            <v>169.01924133080252</v>
          </cell>
          <cell r="FD99">
            <v>37.076342944882242</v>
          </cell>
          <cell r="FE99">
            <v>36.812659743637617</v>
          </cell>
          <cell r="FF99">
            <v>35.32180589404102</v>
          </cell>
          <cell r="FG99">
            <v>51.267967858977556</v>
          </cell>
          <cell r="FH99">
            <v>161.08616025782067</v>
          </cell>
          <cell r="FJ99">
            <v>34.278231896646723</v>
          </cell>
          <cell r="FK99">
            <v>34.219744501207565</v>
          </cell>
          <cell r="FL99">
            <v>34.76615964672159</v>
          </cell>
          <cell r="FM99">
            <v>51.249269551011977</v>
          </cell>
          <cell r="FN99">
            <v>154.91537840650133</v>
          </cell>
          <cell r="FP99">
            <v>36.112145899807253</v>
          </cell>
          <cell r="FQ99">
            <v>35.883477528271925</v>
          </cell>
          <cell r="FR99">
            <v>36.398238022338667</v>
          </cell>
          <cell r="FS99">
            <v>53.540615176423742</v>
          </cell>
          <cell r="FT99">
            <v>162.05355551450691</v>
          </cell>
          <cell r="FV99">
            <v>38.175188396402241</v>
          </cell>
          <cell r="FW99">
            <v>38.484218165795113</v>
          </cell>
          <cell r="FX99">
            <v>37.934811492569239</v>
          </cell>
          <cell r="FY99">
            <v>56.911364659373348</v>
          </cell>
          <cell r="FZ99">
            <v>172.31421812545884</v>
          </cell>
          <cell r="GB99">
            <v>40.344225186845712</v>
          </cell>
          <cell r="GC99">
            <v>40.196844961596831</v>
          </cell>
          <cell r="GD99">
            <v>39.865531591519826</v>
          </cell>
          <cell r="GE99">
            <v>61.502875554350474</v>
          </cell>
          <cell r="GF99">
            <v>181.86236863425094</v>
          </cell>
        </row>
        <row r="100">
          <cell r="A100" t="str">
            <v>% Change</v>
          </cell>
          <cell r="N100" t="str">
            <v>NA</v>
          </cell>
          <cell r="O100">
            <v>-3.9170261042914767E-2</v>
          </cell>
          <cell r="P100">
            <v>4.16474404973044E-2</v>
          </cell>
          <cell r="Q100">
            <v>1.3853438112226168E-2</v>
          </cell>
          <cell r="R100">
            <v>3.751096452144953E-2</v>
          </cell>
          <cell r="S100">
            <v>3.1206122342044118E-2</v>
          </cell>
          <cell r="T100">
            <v>-6.3090490554147394E-2</v>
          </cell>
          <cell r="U100">
            <v>-1.4146095622615373E-2</v>
          </cell>
          <cell r="V100">
            <v>-1.0211290218996805E-2</v>
          </cell>
          <cell r="W100">
            <v>2.4841651555389754E-2</v>
          </cell>
          <cell r="X100">
            <v>-1.8033119168776479E-2</v>
          </cell>
          <cell r="Y100">
            <v>-7.5066543878253844E-2</v>
          </cell>
          <cell r="Z100">
            <v>-1.3271058675014658E-2</v>
          </cell>
          <cell r="AA100">
            <v>-4.6935964275542585E-2</v>
          </cell>
          <cell r="AB100">
            <v>-3.8307337150770171E-2</v>
          </cell>
          <cell r="AC100">
            <v>4.607791157618224E-2</v>
          </cell>
          <cell r="AD100">
            <v>6.3316491750984083E-2</v>
          </cell>
          <cell r="AE100">
            <v>5.5411274894566542E-2</v>
          </cell>
          <cell r="AF100">
            <v>2.2859888030563047E-2</v>
          </cell>
          <cell r="AG100">
            <v>1.8653348726125563E-2</v>
          </cell>
          <cell r="AH100">
            <v>1.0541497533795186E-2</v>
          </cell>
          <cell r="AI100">
            <v>9.8195760553547728E-3</v>
          </cell>
          <cell r="AJ100">
            <v>1.0000000000000231E-2</v>
          </cell>
          <cell r="AK100">
            <v>1.0000000000000009E-2</v>
          </cell>
          <cell r="AL100">
            <v>1.0000000000000009E-2</v>
          </cell>
          <cell r="AN100" t="str">
            <v>% Change</v>
          </cell>
          <cell r="DN100" t="str">
            <v>NA</v>
          </cell>
          <cell r="DO100" t="str">
            <v>NA</v>
          </cell>
          <cell r="DP100" t="str">
            <v>NA</v>
          </cell>
          <cell r="DQ100" t="str">
            <v>NA</v>
          </cell>
          <cell r="DR100" t="str">
            <v>NA</v>
          </cell>
          <cell r="DT100">
            <v>-4.0095338624521859E-2</v>
          </cell>
          <cell r="DU100" t="str">
            <v>NA</v>
          </cell>
          <cell r="DV100" t="str">
            <v>NA</v>
          </cell>
          <cell r="DW100">
            <v>-3.430276557579981E-2</v>
          </cell>
          <cell r="DX100">
            <v>-1.4146095622615373E-2</v>
          </cell>
          <cell r="DZ100">
            <v>-3.8073377469566294E-2</v>
          </cell>
          <cell r="EA100">
            <v>-4.736957587167967E-3</v>
          </cell>
          <cell r="EB100">
            <v>1.3376791409664968E-2</v>
          </cell>
          <cell r="EC100">
            <v>1.1572160440619816E-2</v>
          </cell>
          <cell r="ED100">
            <v>-1.0211290218996805E-2</v>
          </cell>
          <cell r="EF100">
            <v>7.3453707084643272E-2</v>
          </cell>
          <cell r="EG100">
            <v>4.5674943791766065E-2</v>
          </cell>
          <cell r="EH100">
            <v>2.3903444115526362E-2</v>
          </cell>
          <cell r="EI100">
            <v>2.5554625619388371E-2</v>
          </cell>
          <cell r="EJ100">
            <v>2.4841651555389754E-2</v>
          </cell>
          <cell r="EL100">
            <v>3.4252574269144409E-2</v>
          </cell>
          <cell r="EM100">
            <v>1.6911689722194811E-2</v>
          </cell>
          <cell r="EN100">
            <v>4.1288562624468561E-2</v>
          </cell>
          <cell r="EO100">
            <v>-4.8611231008287348E-2</v>
          </cell>
          <cell r="EP100">
            <v>-1.8033119168776479E-2</v>
          </cell>
          <cell r="ER100">
            <v>-0.14058802207691612</v>
          </cell>
          <cell r="ES100">
            <v>-0.11979594935350146</v>
          </cell>
          <cell r="ET100">
            <v>-0.14062460785680952</v>
          </cell>
          <cell r="EU100">
            <v>5.3506738677213672E-3</v>
          </cell>
          <cell r="EV100">
            <v>-7.5066543878253844E-2</v>
          </cell>
          <cell r="EX100">
            <v>5.7356839230466861E-3</v>
          </cell>
          <cell r="EY100">
            <v>-1.8412609701095484E-2</v>
          </cell>
          <cell r="EZ100">
            <v>-1.6973525170985715E-3</v>
          </cell>
          <cell r="FA100">
            <v>-6.0448197543177873E-2</v>
          </cell>
          <cell r="FB100">
            <v>-1.3271058675014658E-2</v>
          </cell>
          <cell r="FD100">
            <v>-1.8622828319160289E-2</v>
          </cell>
          <cell r="FE100">
            <v>-1.9297498869640384E-2</v>
          </cell>
          <cell r="FF100">
            <v>-5.9827543150180129E-2</v>
          </cell>
          <cell r="FG100">
            <v>-6.7935935972246786E-2</v>
          </cell>
          <cell r="FH100">
            <v>-4.6935964275542585E-2</v>
          </cell>
          <cell r="FJ100">
            <v>-7.5468906207799336E-2</v>
          </cell>
          <cell r="FK100">
            <v>-7.0435422501037515E-2</v>
          </cell>
          <cell r="FL100">
            <v>-1.5730969390021166E-2</v>
          </cell>
          <cell r="FM100">
            <v>-3.6471716641883756E-4</v>
          </cell>
          <cell r="FN100">
            <v>-3.8307337150770171E-2</v>
          </cell>
          <cell r="FP100">
            <v>5.3500834252187213E-2</v>
          </cell>
          <cell r="FQ100">
            <v>4.8619095534323753E-2</v>
          </cell>
          <cell r="FR100">
            <v>4.6944453807999942E-2</v>
          </cell>
          <cell r="FS100">
            <v>4.4709820168871373E-2</v>
          </cell>
          <cell r="FT100">
            <v>4.607791157618224E-2</v>
          </cell>
          <cell r="FV100">
            <v>5.7128770533849682E-2</v>
          </cell>
          <cell r="FW100">
            <v>7.2477385601050326E-2</v>
          </cell>
          <cell r="FX100">
            <v>4.2215600361960703E-2</v>
          </cell>
          <cell r="FY100">
            <v>6.2956868759212359E-2</v>
          </cell>
          <cell r="FZ100">
            <v>6.3316491750984083E-2</v>
          </cell>
          <cell r="GB100">
            <v>5.681797213207429E-2</v>
          </cell>
          <cell r="GC100">
            <v>4.4502055061206969E-2</v>
          </cell>
          <cell r="GD100">
            <v>5.0895734629623268E-2</v>
          </cell>
          <cell r="GE100">
            <v>8.0678277923193376E-2</v>
          </cell>
          <cell r="GF100">
            <v>5.5411274894566542E-2</v>
          </cell>
        </row>
        <row r="102">
          <cell r="A102" t="str">
            <v>Number of Stores</v>
          </cell>
          <cell r="M102">
            <v>355</v>
          </cell>
          <cell r="N102">
            <v>412</v>
          </cell>
          <cell r="O102">
            <v>411</v>
          </cell>
          <cell r="P102">
            <v>400</v>
          </cell>
          <cell r="Q102">
            <v>401</v>
          </cell>
          <cell r="R102">
            <v>403</v>
          </cell>
          <cell r="S102">
            <v>440</v>
          </cell>
          <cell r="T102">
            <v>459</v>
          </cell>
          <cell r="U102">
            <v>455</v>
          </cell>
          <cell r="V102">
            <v>459</v>
          </cell>
          <cell r="W102">
            <v>459</v>
          </cell>
          <cell r="X102">
            <v>868</v>
          </cell>
          <cell r="Y102">
            <v>858</v>
          </cell>
          <cell r="Z102">
            <v>853</v>
          </cell>
          <cell r="AA102">
            <v>847</v>
          </cell>
          <cell r="AB102">
            <v>850</v>
          </cell>
          <cell r="AC102">
            <v>850</v>
          </cell>
          <cell r="AD102">
            <v>842</v>
          </cell>
          <cell r="AE102">
            <v>844</v>
          </cell>
          <cell r="AF102">
            <v>848</v>
          </cell>
          <cell r="AG102">
            <v>848</v>
          </cell>
          <cell r="AH102">
            <v>848</v>
          </cell>
          <cell r="AI102">
            <v>848</v>
          </cell>
          <cell r="AJ102">
            <v>848</v>
          </cell>
          <cell r="AK102">
            <v>848</v>
          </cell>
          <cell r="AL102">
            <v>848</v>
          </cell>
          <cell r="AN102" t="str">
            <v>Number of Stores</v>
          </cell>
          <cell r="DK102">
            <v>440</v>
          </cell>
          <cell r="DL102">
            <v>440</v>
          </cell>
          <cell r="DN102" t="str">
            <v>NA</v>
          </cell>
          <cell r="DO102" t="str">
            <v>NA</v>
          </cell>
          <cell r="DP102" t="str">
            <v>NA</v>
          </cell>
          <cell r="DQ102">
            <v>459</v>
          </cell>
          <cell r="DR102">
            <v>459</v>
          </cell>
          <cell r="DT102">
            <v>463</v>
          </cell>
          <cell r="DU102">
            <v>465</v>
          </cell>
          <cell r="DV102">
            <v>473</v>
          </cell>
          <cell r="DW102">
            <v>455</v>
          </cell>
          <cell r="DX102">
            <v>455</v>
          </cell>
          <cell r="DZ102">
            <v>456</v>
          </cell>
          <cell r="EA102">
            <v>460</v>
          </cell>
          <cell r="EB102">
            <v>465</v>
          </cell>
          <cell r="EC102">
            <v>459</v>
          </cell>
          <cell r="ED102">
            <v>459</v>
          </cell>
          <cell r="EF102">
            <v>459</v>
          </cell>
          <cell r="EG102">
            <v>457</v>
          </cell>
          <cell r="EH102">
            <v>459</v>
          </cell>
          <cell r="EI102">
            <v>459</v>
          </cell>
          <cell r="EJ102">
            <v>459</v>
          </cell>
          <cell r="EL102">
            <v>459</v>
          </cell>
          <cell r="EM102">
            <v>460</v>
          </cell>
          <cell r="EN102">
            <v>935</v>
          </cell>
          <cell r="EO102">
            <v>868</v>
          </cell>
          <cell r="EP102">
            <v>868</v>
          </cell>
          <cell r="ER102">
            <v>861</v>
          </cell>
          <cell r="ES102">
            <v>856</v>
          </cell>
          <cell r="ET102">
            <v>857</v>
          </cell>
          <cell r="EU102">
            <v>858</v>
          </cell>
          <cell r="EV102">
            <v>858</v>
          </cell>
          <cell r="EX102">
            <v>863</v>
          </cell>
          <cell r="EY102">
            <v>863</v>
          </cell>
          <cell r="EZ102">
            <v>866</v>
          </cell>
          <cell r="FA102">
            <v>852</v>
          </cell>
          <cell r="FB102">
            <v>852</v>
          </cell>
          <cell r="FD102">
            <v>851</v>
          </cell>
          <cell r="FE102">
            <v>855</v>
          </cell>
          <cell r="FF102">
            <v>856</v>
          </cell>
          <cell r="FG102">
            <v>847</v>
          </cell>
          <cell r="FH102">
            <v>847</v>
          </cell>
          <cell r="FJ102">
            <v>848</v>
          </cell>
          <cell r="FK102">
            <v>848</v>
          </cell>
          <cell r="FL102">
            <v>854</v>
          </cell>
          <cell r="FM102">
            <v>850</v>
          </cell>
          <cell r="FN102">
            <v>850</v>
          </cell>
          <cell r="FP102">
            <v>849</v>
          </cell>
          <cell r="FQ102">
            <v>849</v>
          </cell>
          <cell r="FR102">
            <v>854</v>
          </cell>
          <cell r="FS102">
            <v>850</v>
          </cell>
          <cell r="FT102">
            <v>850</v>
          </cell>
          <cell r="FV102">
            <v>850</v>
          </cell>
          <cell r="FW102">
            <v>849</v>
          </cell>
          <cell r="FX102">
            <v>850</v>
          </cell>
          <cell r="FY102">
            <v>842</v>
          </cell>
          <cell r="FZ102">
            <v>842</v>
          </cell>
          <cell r="GB102">
            <v>844</v>
          </cell>
          <cell r="GC102">
            <v>845</v>
          </cell>
          <cell r="GD102">
            <v>847</v>
          </cell>
          <cell r="GE102">
            <v>844</v>
          </cell>
          <cell r="GF102">
            <v>844</v>
          </cell>
          <cell r="GS102" t="str">
            <v>mstag:numberOfStores</v>
          </cell>
          <cell r="GT102">
            <v>0</v>
          </cell>
          <cell r="GU102" t="str">
            <v>ms_eqr_gcim_Decimal:ms_eqr_gcim_decimal</v>
          </cell>
          <cell r="GV102" t="b">
            <v>0</v>
          </cell>
          <cell r="GW102" t="b">
            <v>0</v>
          </cell>
        </row>
        <row r="103">
          <cell r="A103" t="str">
            <v>% Change</v>
          </cell>
          <cell r="N103">
            <v>0.16056338028169015</v>
          </cell>
          <cell r="O103">
            <v>-2.4271844660194164E-3</v>
          </cell>
          <cell r="P103">
            <v>-2.676399026763987E-2</v>
          </cell>
          <cell r="Q103">
            <v>2.4999999999999467E-3</v>
          </cell>
          <cell r="R103">
            <v>4.9875311720697368E-3</v>
          </cell>
          <cell r="S103">
            <v>9.1811414392059643E-2</v>
          </cell>
          <cell r="T103">
            <v>4.318181818181821E-2</v>
          </cell>
          <cell r="U103">
            <v>-8.7145969498910736E-3</v>
          </cell>
          <cell r="V103">
            <v>8.79120879120876E-3</v>
          </cell>
          <cell r="W103">
            <v>0</v>
          </cell>
          <cell r="X103">
            <v>0.89106753812636175</v>
          </cell>
          <cell r="Y103">
            <v>-1.1520737327188946E-2</v>
          </cell>
          <cell r="Z103">
            <v>-5.8275058275057967E-3</v>
          </cell>
          <cell r="AA103">
            <v>-7.0339976553340788E-3</v>
          </cell>
          <cell r="AB103">
            <v>3.5419126328217754E-3</v>
          </cell>
          <cell r="AC103">
            <v>0</v>
          </cell>
          <cell r="AD103">
            <v>-9.4117647058823417E-3</v>
          </cell>
          <cell r="AE103">
            <v>2.3752969121140222E-3</v>
          </cell>
          <cell r="AF103">
            <v>4.7393364928909332E-3</v>
          </cell>
          <cell r="AG103">
            <v>0</v>
          </cell>
          <cell r="AH103">
            <v>0</v>
          </cell>
          <cell r="AI103">
            <v>0</v>
          </cell>
          <cell r="AJ103">
            <v>0</v>
          </cell>
          <cell r="AK103">
            <v>0</v>
          </cell>
          <cell r="AL103">
            <v>0</v>
          </cell>
          <cell r="AN103" t="str">
            <v>% Change</v>
          </cell>
          <cell r="DL103">
            <v>9.1811414392059643E-2</v>
          </cell>
          <cell r="DN103" t="str">
            <v>NA</v>
          </cell>
          <cell r="DO103" t="str">
            <v>NA</v>
          </cell>
          <cell r="DP103" t="str">
            <v>NA</v>
          </cell>
          <cell r="DQ103">
            <v>4.318181818181821E-2</v>
          </cell>
          <cell r="DR103">
            <v>4.318181818181821E-2</v>
          </cell>
          <cell r="DT103" t="str">
            <v>NA</v>
          </cell>
          <cell r="DU103" t="str">
            <v>NA</v>
          </cell>
          <cell r="DV103" t="str">
            <v>NA</v>
          </cell>
          <cell r="DW103">
            <v>-8.7145969498910736E-3</v>
          </cell>
          <cell r="DX103">
            <v>-8.7145969498910736E-3</v>
          </cell>
          <cell r="DZ103">
            <v>-1.5118790496760237E-2</v>
          </cell>
          <cell r="EA103">
            <v>-1.0752688172043001E-2</v>
          </cell>
          <cell r="EB103">
            <v>-1.6913319238900604E-2</v>
          </cell>
          <cell r="EC103">
            <v>8.79120879120876E-3</v>
          </cell>
          <cell r="ED103">
            <v>8.79120879120876E-3</v>
          </cell>
          <cell r="EF103">
            <v>6.5789473684210176E-3</v>
          </cell>
          <cell r="EG103">
            <v>-6.521739130434745E-3</v>
          </cell>
          <cell r="EH103">
            <v>-1.2903225806451646E-2</v>
          </cell>
          <cell r="EI103">
            <v>0</v>
          </cell>
          <cell r="EJ103">
            <v>0</v>
          </cell>
          <cell r="EL103">
            <v>0</v>
          </cell>
          <cell r="EM103">
            <v>6.5645514223193757E-3</v>
          </cell>
          <cell r="EN103">
            <v>1.0370370370370372</v>
          </cell>
          <cell r="EO103">
            <v>0.89106753812636175</v>
          </cell>
          <cell r="EP103">
            <v>0.89106753812636175</v>
          </cell>
          <cell r="ER103">
            <v>0.87581699346405228</v>
          </cell>
          <cell r="ES103">
            <v>0.86086956521739122</v>
          </cell>
          <cell r="ET103">
            <v>-8.3422459893048084E-2</v>
          </cell>
          <cell r="EU103">
            <v>-1.1520737327188946E-2</v>
          </cell>
          <cell r="EV103">
            <v>-1.1520737327188946E-2</v>
          </cell>
          <cell r="EX103">
            <v>2.3228803716608404E-3</v>
          </cell>
          <cell r="EY103">
            <v>8.1775700934578754E-3</v>
          </cell>
          <cell r="EZ103">
            <v>1.0501750291715295E-2</v>
          </cell>
          <cell r="FA103">
            <v>-6.9930069930069783E-3</v>
          </cell>
          <cell r="FB103">
            <v>-6.9930069930069783E-3</v>
          </cell>
          <cell r="FD103">
            <v>-1.3904982618771711E-2</v>
          </cell>
          <cell r="FE103">
            <v>-9.2699884125144738E-3</v>
          </cell>
          <cell r="FF103">
            <v>-1.1547344110854452E-2</v>
          </cell>
          <cell r="FG103">
            <v>-5.8685446009389963E-3</v>
          </cell>
          <cell r="FH103">
            <v>-5.8685446009389963E-3</v>
          </cell>
          <cell r="FJ103">
            <v>-3.5252643948295859E-3</v>
          </cell>
          <cell r="FK103">
            <v>-8.1871345029239651E-3</v>
          </cell>
          <cell r="FL103">
            <v>-2.3364485981308691E-3</v>
          </cell>
          <cell r="FM103">
            <v>3.5419126328217754E-3</v>
          </cell>
          <cell r="FN103">
            <v>3.5419126328217754E-3</v>
          </cell>
          <cell r="FP103">
            <v>1.179245283018826E-3</v>
          </cell>
          <cell r="FQ103">
            <v>1.179245283018826E-3</v>
          </cell>
          <cell r="FR103">
            <v>0</v>
          </cell>
          <cell r="FS103">
            <v>0</v>
          </cell>
          <cell r="FT103">
            <v>0</v>
          </cell>
          <cell r="FV103">
            <v>1.1778563015312216E-3</v>
          </cell>
          <cell r="FW103">
            <v>0</v>
          </cell>
          <cell r="FX103">
            <v>-4.6838407494145251E-3</v>
          </cell>
          <cell r="FY103">
            <v>-9.4117647058823417E-3</v>
          </cell>
          <cell r="FZ103">
            <v>-9.4117647058823417E-3</v>
          </cell>
          <cell r="GB103">
            <v>-7.058823529411784E-3</v>
          </cell>
          <cell r="GC103">
            <v>-4.7114252061248862E-3</v>
          </cell>
          <cell r="GD103">
            <v>-3.529411764705892E-3</v>
          </cell>
          <cell r="GE103">
            <v>2.3752969121140222E-3</v>
          </cell>
          <cell r="GF103">
            <v>2.3752969121140222E-3</v>
          </cell>
        </row>
        <row r="104">
          <cell r="A104" t="str">
            <v>EOP Gross Square Feet (MM)</v>
          </cell>
          <cell r="M104">
            <v>74.134</v>
          </cell>
          <cell r="N104">
            <v>83.503</v>
          </cell>
          <cell r="O104">
            <v>83.018999999999991</v>
          </cell>
          <cell r="P104">
            <v>81.016000000000005</v>
          </cell>
          <cell r="Q104">
            <v>82.319000000000003</v>
          </cell>
          <cell r="R104">
            <v>81.914000000000001</v>
          </cell>
          <cell r="S104">
            <v>83.4</v>
          </cell>
          <cell r="T104">
            <v>84</v>
          </cell>
          <cell r="U104">
            <v>83.5</v>
          </cell>
          <cell r="V104">
            <v>84</v>
          </cell>
          <cell r="W104">
            <v>83.3</v>
          </cell>
          <cell r="X104">
            <v>158.5</v>
          </cell>
          <cell r="Y104">
            <v>156.4</v>
          </cell>
          <cell r="Z104">
            <v>154.96100000000001</v>
          </cell>
          <cell r="AA104">
            <v>154.09100000000001</v>
          </cell>
          <cell r="AB104">
            <v>154.4</v>
          </cell>
          <cell r="AC104">
            <v>154.17699999999999</v>
          </cell>
          <cell r="AD104">
            <v>152.298</v>
          </cell>
          <cell r="AE104">
            <v>152.30400000000003</v>
          </cell>
          <cell r="AF104">
            <v>152.59800000000001</v>
          </cell>
          <cell r="AG104">
            <v>152.489</v>
          </cell>
          <cell r="AH104">
            <v>152.54349999999999</v>
          </cell>
          <cell r="AI104">
            <v>152.54349999999999</v>
          </cell>
          <cell r="AJ104">
            <v>152.54349999999999</v>
          </cell>
          <cell r="AK104">
            <v>152.54349999999999</v>
          </cell>
          <cell r="AL104">
            <v>152.54349999999999</v>
          </cell>
          <cell r="AN104" t="str">
            <v>EOP Gross Square Feet (MM)</v>
          </cell>
          <cell r="DK104">
            <v>83.4</v>
          </cell>
          <cell r="DL104">
            <v>83.4</v>
          </cell>
          <cell r="DN104" t="str">
            <v>NA</v>
          </cell>
          <cell r="DO104" t="str">
            <v>NA</v>
          </cell>
          <cell r="DP104" t="str">
            <v>NA</v>
          </cell>
          <cell r="DQ104">
            <v>84</v>
          </cell>
          <cell r="DR104">
            <v>84</v>
          </cell>
          <cell r="DT104">
            <v>84.734065934065939</v>
          </cell>
          <cell r="DU104">
            <v>85.101098901098908</v>
          </cell>
          <cell r="DV104">
            <v>86.569230769230771</v>
          </cell>
          <cell r="DW104">
            <v>83.5</v>
          </cell>
          <cell r="DX104">
            <v>83.5</v>
          </cell>
          <cell r="DZ104">
            <v>83.683006535947712</v>
          </cell>
          <cell r="EA104">
            <v>84.415032679738559</v>
          </cell>
          <cell r="EB104">
            <v>85.330065359477118</v>
          </cell>
          <cell r="EC104">
            <v>84</v>
          </cell>
          <cell r="ED104">
            <v>84</v>
          </cell>
          <cell r="EF104">
            <v>84</v>
          </cell>
          <cell r="EG104">
            <v>83.637037037037032</v>
          </cell>
          <cell r="EH104">
            <v>84</v>
          </cell>
          <cell r="EI104">
            <v>83.3</v>
          </cell>
          <cell r="EJ104">
            <v>83.3</v>
          </cell>
          <cell r="EL104">
            <v>83.3</v>
          </cell>
          <cell r="EM104">
            <v>83.48260368663594</v>
          </cell>
          <cell r="EN104">
            <v>170.21935483870968</v>
          </cell>
          <cell r="EO104">
            <v>158.5</v>
          </cell>
          <cell r="EP104">
            <v>158.5</v>
          </cell>
          <cell r="ER104">
            <v>157.22400932400933</v>
          </cell>
          <cell r="ES104">
            <v>156.31258741258742</v>
          </cell>
          <cell r="ET104">
            <v>156.49487179487181</v>
          </cell>
          <cell r="EU104">
            <v>156.4</v>
          </cell>
          <cell r="EV104">
            <v>156.4</v>
          </cell>
          <cell r="EX104">
            <v>157.047</v>
          </cell>
          <cell r="EY104">
            <v>156.88300000000001</v>
          </cell>
          <cell r="EZ104">
            <v>157.52099999999999</v>
          </cell>
          <cell r="FA104">
            <v>154.96100000000001</v>
          </cell>
          <cell r="FB104">
            <v>154.96100000000001</v>
          </cell>
          <cell r="FD104">
            <v>155.048</v>
          </cell>
          <cell r="FE104">
            <v>155.60599999999999</v>
          </cell>
          <cell r="FF104">
            <v>155.41999999999999</v>
          </cell>
          <cell r="FG104">
            <v>154.09100000000001</v>
          </cell>
          <cell r="FH104">
            <v>154.09100000000001</v>
          </cell>
          <cell r="FJ104">
            <v>154.44300000000001</v>
          </cell>
          <cell r="FK104">
            <v>154.44300000000001</v>
          </cell>
          <cell r="FL104">
            <v>155.34100000000001</v>
          </cell>
          <cell r="FM104">
            <v>154.4</v>
          </cell>
          <cell r="FN104">
            <v>154.4</v>
          </cell>
          <cell r="FP104">
            <v>154.30500000000001</v>
          </cell>
          <cell r="FQ104">
            <v>154.30500000000001</v>
          </cell>
          <cell r="FR104">
            <v>154.666</v>
          </cell>
          <cell r="FS104">
            <v>154.221</v>
          </cell>
          <cell r="FT104">
            <v>154.17699999999999</v>
          </cell>
          <cell r="FV104">
            <v>154.34800000000001</v>
          </cell>
          <cell r="FW104">
            <v>154.298</v>
          </cell>
          <cell r="FX104">
            <v>154.28399999999999</v>
          </cell>
          <cell r="FY104">
            <v>152.298</v>
          </cell>
          <cell r="FZ104">
            <v>152.298</v>
          </cell>
          <cell r="GB104">
            <v>152.19800000000001</v>
          </cell>
          <cell r="GC104">
            <v>152.20400000000001</v>
          </cell>
          <cell r="GD104">
            <v>152.30400000000003</v>
          </cell>
          <cell r="GE104">
            <v>152.30400000000003</v>
          </cell>
          <cell r="GF104">
            <v>152.30400000000003</v>
          </cell>
          <cell r="GS104" t="str">
            <v>mstag:floorspace</v>
          </cell>
          <cell r="GT104">
            <v>6</v>
          </cell>
          <cell r="GU104" t="str">
            <v>area:squareFeet</v>
          </cell>
          <cell r="GV104" t="b">
            <v>0</v>
          </cell>
          <cell r="GW104" t="b">
            <v>0</v>
          </cell>
        </row>
        <row r="105">
          <cell r="A105" t="str">
            <v>% Change</v>
          </cell>
          <cell r="N105">
            <v>0.12637925917932402</v>
          </cell>
          <cell r="O105">
            <v>-5.7961989389603286E-3</v>
          </cell>
          <cell r="P105">
            <v>-2.4127007070670392E-2</v>
          </cell>
          <cell r="Q105">
            <v>1.6083242816233856E-2</v>
          </cell>
          <cell r="R105">
            <v>-4.9198848382512317E-3</v>
          </cell>
          <cell r="S105">
            <v>1.8140977122347968E-2</v>
          </cell>
          <cell r="T105">
            <v>7.194244604316502E-3</v>
          </cell>
          <cell r="U105">
            <v>-5.9523809523809312E-3</v>
          </cell>
          <cell r="V105">
            <v>5.9880239520957446E-3</v>
          </cell>
          <cell r="W105">
            <v>-8.3333333333334147E-3</v>
          </cell>
          <cell r="X105">
            <v>0.90276110444177671</v>
          </cell>
          <cell r="Y105">
            <v>-1.3249211356466839E-2</v>
          </cell>
          <cell r="Z105">
            <v>-9.200767263427112E-3</v>
          </cell>
          <cell r="AA105">
            <v>-5.614315860119623E-3</v>
          </cell>
          <cell r="AB105">
            <v>2.0053085514404323E-3</v>
          </cell>
          <cell r="AC105">
            <v>-1.4443005181348223E-3</v>
          </cell>
          <cell r="AD105">
            <v>-1.2187291230209341E-2</v>
          </cell>
          <cell r="AE105">
            <v>3.9396446440687072E-5</v>
          </cell>
          <cell r="AF105">
            <v>1.930349826662292E-3</v>
          </cell>
          <cell r="AG105">
            <v>-7.1429507595122121E-4</v>
          </cell>
          <cell r="AH105">
            <v>3.5740282905649678E-4</v>
          </cell>
          <cell r="AI105">
            <v>0</v>
          </cell>
          <cell r="AJ105">
            <v>0</v>
          </cell>
          <cell r="AK105">
            <v>0</v>
          </cell>
          <cell r="AL105">
            <v>0</v>
          </cell>
          <cell r="AN105" t="str">
            <v>% Change</v>
          </cell>
          <cell r="DL105">
            <v>1.8140977122347968E-2</v>
          </cell>
          <cell r="DN105" t="str">
            <v>NA</v>
          </cell>
          <cell r="DO105" t="str">
            <v>NA</v>
          </cell>
          <cell r="DP105" t="str">
            <v>NA</v>
          </cell>
          <cell r="DQ105">
            <v>7.194244604316502E-3</v>
          </cell>
          <cell r="DR105">
            <v>7.194244604316502E-3</v>
          </cell>
          <cell r="DT105" t="str">
            <v>NA</v>
          </cell>
          <cell r="DU105" t="str">
            <v>NA</v>
          </cell>
          <cell r="DV105" t="str">
            <v>NA</v>
          </cell>
          <cell r="DW105">
            <v>-5.9523809523809312E-3</v>
          </cell>
          <cell r="DX105">
            <v>-5.9523809523809312E-3</v>
          </cell>
          <cell r="DZ105">
            <v>-1.2404212951802496E-2</v>
          </cell>
          <cell r="EA105">
            <v>-8.0617786399875824E-3</v>
          </cell>
          <cell r="EB105">
            <v>-1.4314155257506234E-2</v>
          </cell>
          <cell r="EC105">
            <v>5.9880239520957446E-3</v>
          </cell>
          <cell r="ED105">
            <v>5.9880239520957446E-3</v>
          </cell>
          <cell r="EF105">
            <v>3.7880267114460686E-3</v>
          </cell>
          <cell r="EG105">
            <v>-9.2163163124411307E-3</v>
          </cell>
          <cell r="EH105">
            <v>-1.558730037149092E-2</v>
          </cell>
          <cell r="EI105">
            <v>-8.3333333333334147E-3</v>
          </cell>
          <cell r="EJ105">
            <v>-8.3333333333334147E-3</v>
          </cell>
          <cell r="EL105">
            <v>-8.3333333333334147E-3</v>
          </cell>
          <cell r="EM105">
            <v>-1.8464708444023703E-3</v>
          </cell>
          <cell r="EN105">
            <v>1.02642089093702</v>
          </cell>
          <cell r="EO105">
            <v>0.90276110444177671</v>
          </cell>
          <cell r="EP105">
            <v>0.90276110444177671</v>
          </cell>
          <cell r="ER105">
            <v>0.88744308912376146</v>
          </cell>
          <cell r="ES105">
            <v>0.87239712838053518</v>
          </cell>
          <cell r="ET105">
            <v>-8.0628216790284646E-2</v>
          </cell>
          <cell r="EU105">
            <v>-1.3249211356466839E-2</v>
          </cell>
          <cell r="EV105">
            <v>-1.3249211356466839E-2</v>
          </cell>
          <cell r="EX105">
            <v>-1.1258415605249761E-3</v>
          </cell>
          <cell r="EY105">
            <v>3.649178846403256E-3</v>
          </cell>
          <cell r="EZ105">
            <v>6.5569446037387902E-3</v>
          </cell>
          <cell r="FA105">
            <v>-9.200767263427112E-3</v>
          </cell>
          <cell r="FB105">
            <v>-9.200767263427112E-3</v>
          </cell>
          <cell r="FD105">
            <v>-1.272867358179397E-2</v>
          </cell>
          <cell r="FE105">
            <v>-8.13982394523316E-3</v>
          </cell>
          <cell r="FF105">
            <v>-1.3337904152462166E-2</v>
          </cell>
          <cell r="FG105">
            <v>-5.614315860119623E-3</v>
          </cell>
          <cell r="FH105">
            <v>-5.614315860119623E-3</v>
          </cell>
          <cell r="FJ105">
            <v>-3.9020174397604857E-3</v>
          </cell>
          <cell r="FK105">
            <v>-7.4740048584244212E-3</v>
          </cell>
          <cell r="FL105">
            <v>-5.0830009007840626E-4</v>
          </cell>
          <cell r="FM105">
            <v>2.0053085514404323E-3</v>
          </cell>
          <cell r="FN105">
            <v>2.0053085514404323E-3</v>
          </cell>
          <cell r="FP105">
            <v>-8.9353353664467505E-4</v>
          </cell>
          <cell r="FQ105">
            <v>-8.9353353664467505E-4</v>
          </cell>
          <cell r="FR105">
            <v>-4.3452790956670651E-3</v>
          </cell>
          <cell r="FS105">
            <v>-1.1593264248704882E-3</v>
          </cell>
          <cell r="FT105">
            <v>-1.4443005181348223E-3</v>
          </cell>
          <cell r="FV105">
            <v>2.7866887009508901E-4</v>
          </cell>
          <cell r="FW105">
            <v>-4.5364699782890483E-5</v>
          </cell>
          <cell r="FX105">
            <v>-2.4698382320613721E-3</v>
          </cell>
          <cell r="FY105">
            <v>-1.2469118991576988E-2</v>
          </cell>
          <cell r="FZ105">
            <v>-1.2187291230209341E-2</v>
          </cell>
          <cell r="GB105">
            <v>-1.3929561769507881E-2</v>
          </cell>
          <cell r="GC105">
            <v>-1.3571141557246369E-2</v>
          </cell>
          <cell r="GD105">
            <v>-1.2833475927510052E-2</v>
          </cell>
          <cell r="GE105">
            <v>3.9396446440687072E-5</v>
          </cell>
          <cell r="GF105">
            <v>3.9396446440687072E-5</v>
          </cell>
        </row>
        <row r="106">
          <cell r="A106" t="str">
            <v>Ave. Square Feet (MM)</v>
          </cell>
          <cell r="N106">
            <v>78.8185</v>
          </cell>
          <cell r="O106">
            <v>83.260999999999996</v>
          </cell>
          <cell r="P106">
            <v>82.017499999999998</v>
          </cell>
          <cell r="Q106">
            <v>81.667500000000004</v>
          </cell>
          <cell r="R106">
            <v>82.116500000000002</v>
          </cell>
          <cell r="S106">
            <v>82.657000000000011</v>
          </cell>
          <cell r="T106">
            <v>83.7</v>
          </cell>
          <cell r="U106">
            <v>83.75</v>
          </cell>
          <cell r="V106">
            <v>83.75</v>
          </cell>
          <cell r="W106">
            <v>83.65</v>
          </cell>
          <cell r="X106">
            <v>120.9</v>
          </cell>
          <cell r="Y106">
            <v>157.44999999999999</v>
          </cell>
          <cell r="Z106">
            <v>155.68049999999999</v>
          </cell>
          <cell r="AA106">
            <v>154.52600000000001</v>
          </cell>
          <cell r="AB106">
            <v>154.24549999999999</v>
          </cell>
          <cell r="AC106">
            <v>154.2885</v>
          </cell>
          <cell r="AD106">
            <v>153.23750000000001</v>
          </cell>
          <cell r="AE106">
            <v>152.30100000000002</v>
          </cell>
          <cell r="AF106">
            <v>152.45100000000002</v>
          </cell>
          <cell r="AG106">
            <v>152.54349999999999</v>
          </cell>
          <cell r="AH106">
            <v>152.51625000000001</v>
          </cell>
          <cell r="AI106">
            <v>152.54349999999999</v>
          </cell>
          <cell r="AJ106">
            <v>152.54349999999999</v>
          </cell>
          <cell r="AK106">
            <v>152.54349999999999</v>
          </cell>
          <cell r="AL106">
            <v>152.54349999999999</v>
          </cell>
          <cell r="AN106" t="str">
            <v>Ave. Square Feet (MM)</v>
          </cell>
          <cell r="DL106">
            <v>82.657000000000011</v>
          </cell>
          <cell r="DN106">
            <v>83.4</v>
          </cell>
          <cell r="DO106" t="str">
            <v>NA</v>
          </cell>
          <cell r="DP106" t="str">
            <v>NA</v>
          </cell>
          <cell r="DQ106">
            <v>84</v>
          </cell>
          <cell r="DR106">
            <v>83.7</v>
          </cell>
          <cell r="DT106">
            <v>84.367032967032969</v>
          </cell>
          <cell r="DU106">
            <v>84.917582417582423</v>
          </cell>
          <cell r="DV106">
            <v>85.835164835164846</v>
          </cell>
          <cell r="DW106">
            <v>85.034615384615392</v>
          </cell>
          <cell r="DX106">
            <v>83.75</v>
          </cell>
          <cell r="DZ106">
            <v>83.591503267973849</v>
          </cell>
          <cell r="EA106">
            <v>84.049019607843135</v>
          </cell>
          <cell r="EB106">
            <v>84.872549019607845</v>
          </cell>
          <cell r="EC106">
            <v>84.665032679738559</v>
          </cell>
          <cell r="ED106">
            <v>83.75</v>
          </cell>
          <cell r="EF106">
            <v>84</v>
          </cell>
          <cell r="EG106">
            <v>83.818518518518516</v>
          </cell>
          <cell r="EH106">
            <v>83.818518518518516</v>
          </cell>
          <cell r="EI106">
            <v>83.65</v>
          </cell>
          <cell r="EJ106">
            <v>83.65</v>
          </cell>
          <cell r="EL106">
            <v>83.3</v>
          </cell>
          <cell r="EM106">
            <v>83.391301843317962</v>
          </cell>
          <cell r="EN106">
            <v>126.85097926267281</v>
          </cell>
          <cell r="EO106">
            <v>164.35967741935485</v>
          </cell>
          <cell r="EP106">
            <v>120.9</v>
          </cell>
          <cell r="ER106">
            <v>157.86200466200467</v>
          </cell>
          <cell r="ES106">
            <v>156.76829836829836</v>
          </cell>
          <cell r="ET106">
            <v>156.40372960372963</v>
          </cell>
          <cell r="EU106">
            <v>156.44743589743592</v>
          </cell>
          <cell r="EV106">
            <v>157.44999999999999</v>
          </cell>
          <cell r="EX106">
            <v>156.7235</v>
          </cell>
          <cell r="EY106">
            <v>156.965</v>
          </cell>
          <cell r="EZ106">
            <v>157.202</v>
          </cell>
          <cell r="FA106">
            <v>156.24099999999999</v>
          </cell>
          <cell r="FB106">
            <v>155.68049999999999</v>
          </cell>
          <cell r="FD106">
            <v>155.00450000000001</v>
          </cell>
          <cell r="FE106">
            <v>155.327</v>
          </cell>
          <cell r="FF106">
            <v>155.51299999999998</v>
          </cell>
          <cell r="FG106">
            <v>154.75549999999998</v>
          </cell>
          <cell r="FH106">
            <v>154.52600000000001</v>
          </cell>
          <cell r="FJ106">
            <v>154.267</v>
          </cell>
          <cell r="FK106">
            <v>154.44300000000001</v>
          </cell>
          <cell r="FL106">
            <v>154.892</v>
          </cell>
          <cell r="FM106">
            <v>154.87049999999999</v>
          </cell>
          <cell r="FN106">
            <v>154.24549999999999</v>
          </cell>
          <cell r="FP106">
            <v>154.35250000000002</v>
          </cell>
          <cell r="FQ106">
            <v>154.30500000000001</v>
          </cell>
          <cell r="FR106">
            <v>154.4855</v>
          </cell>
          <cell r="FS106">
            <v>154.4435</v>
          </cell>
          <cell r="FT106">
            <v>154.2885</v>
          </cell>
          <cell r="FV106">
            <v>154.26249999999999</v>
          </cell>
          <cell r="FW106">
            <v>154.32300000000001</v>
          </cell>
          <cell r="FX106">
            <v>154.291</v>
          </cell>
          <cell r="FY106">
            <v>153.291</v>
          </cell>
          <cell r="FZ106">
            <v>153.23750000000001</v>
          </cell>
          <cell r="GB106">
            <v>152.24799999999999</v>
          </cell>
          <cell r="GC106">
            <v>152.20100000000002</v>
          </cell>
          <cell r="GD106">
            <v>152.25400000000002</v>
          </cell>
          <cell r="GE106">
            <v>152.30400000000003</v>
          </cell>
          <cell r="GF106">
            <v>152.30100000000002</v>
          </cell>
        </row>
        <row r="107">
          <cell r="A107" t="str">
            <v>% Change</v>
          </cell>
          <cell r="N107" t="str">
            <v>NA</v>
          </cell>
          <cell r="O107">
            <v>5.6363670965572821E-2</v>
          </cell>
          <cell r="P107">
            <v>-1.4934963548359992E-2</v>
          </cell>
          <cell r="Q107">
            <v>-4.2673819611667163E-3</v>
          </cell>
          <cell r="R107">
            <v>5.4979030826216579E-3</v>
          </cell>
          <cell r="S107">
            <v>6.5821119994156074E-3</v>
          </cell>
          <cell r="T107">
            <v>1.2618411023869625E-2</v>
          </cell>
          <cell r="U107">
            <v>5.9737156511352474E-4</v>
          </cell>
          <cell r="V107">
            <v>0</v>
          </cell>
          <cell r="W107">
            <v>-1.1940298507462366E-3</v>
          </cell>
          <cell r="X107">
            <v>0.44530783024506881</v>
          </cell>
          <cell r="Y107">
            <v>0.30231596360628599</v>
          </cell>
          <cell r="Z107">
            <v>-1.1238488409018643E-2</v>
          </cell>
          <cell r="AA107">
            <v>-7.4158292143202686E-3</v>
          </cell>
          <cell r="AB107">
            <v>-1.8152285052355221E-3</v>
          </cell>
          <cell r="AC107">
            <v>2.7877636624729085E-4</v>
          </cell>
          <cell r="AD107">
            <v>-6.8119140441444959E-3</v>
          </cell>
          <cell r="AE107">
            <v>-6.1114283383636447E-3</v>
          </cell>
          <cell r="AF107">
            <v>9.8489176039562309E-4</v>
          </cell>
          <cell r="AG107">
            <v>6.0675233353646441E-4</v>
          </cell>
          <cell r="AH107">
            <v>-1.7863756895564187E-4</v>
          </cell>
          <cell r="AI107">
            <v>1.7866948603817434E-4</v>
          </cell>
          <cell r="AJ107">
            <v>0</v>
          </cell>
          <cell r="AK107">
            <v>0</v>
          </cell>
          <cell r="AL107">
            <v>0</v>
          </cell>
          <cell r="AN107" t="str">
            <v>% Change</v>
          </cell>
          <cell r="DL107">
            <v>6.5821119994156074E-3</v>
          </cell>
          <cell r="DN107" t="str">
            <v>NA</v>
          </cell>
          <cell r="DO107" t="str">
            <v>NA</v>
          </cell>
          <cell r="DP107" t="str">
            <v>NA</v>
          </cell>
          <cell r="DQ107" t="str">
            <v>NA</v>
          </cell>
          <cell r="DR107">
            <v>1.2618411023869625E-2</v>
          </cell>
          <cell r="DT107">
            <v>1.1595119508788443E-2</v>
          </cell>
          <cell r="DU107" t="str">
            <v>NA</v>
          </cell>
          <cell r="DV107" t="str">
            <v>NA</v>
          </cell>
          <cell r="DW107">
            <v>1.2316849816849995E-2</v>
          </cell>
          <cell r="DX107">
            <v>5.9737156511352474E-4</v>
          </cell>
          <cell r="DZ107">
            <v>-9.1923310774976175E-3</v>
          </cell>
          <cell r="EA107">
            <v>-1.0228303550472329E-2</v>
          </cell>
          <cell r="EB107">
            <v>-1.1214702242438479E-2</v>
          </cell>
          <cell r="EC107">
            <v>-4.3462618511908024E-3</v>
          </cell>
          <cell r="ED107">
            <v>0</v>
          </cell>
          <cell r="EF107">
            <v>4.8868212205326333E-3</v>
          </cell>
          <cell r="EG107">
            <v>-2.7424601785969172E-3</v>
          </cell>
          <cell r="EH107">
            <v>-1.2418980144520253E-2</v>
          </cell>
          <cell r="EI107">
            <v>-1.1988806330213153E-2</v>
          </cell>
          <cell r="EJ107">
            <v>-1.1940298507462366E-3</v>
          </cell>
          <cell r="EL107">
            <v>-8.3333333333334147E-3</v>
          </cell>
          <cell r="EM107">
            <v>-5.096924674302894E-3</v>
          </cell>
          <cell r="EN107">
            <v>0.51340039772531743</v>
          </cell>
          <cell r="EO107">
            <v>0.9648497001716061</v>
          </cell>
          <cell r="EP107">
            <v>0.44530783024506881</v>
          </cell>
          <cell r="ER107">
            <v>0.8951020967827692</v>
          </cell>
          <cell r="ES107">
            <v>0.87991187213801725</v>
          </cell>
          <cell r="ET107">
            <v>0.23297218920053719</v>
          </cell>
          <cell r="EU107">
            <v>-4.8139797097138781E-2</v>
          </cell>
          <cell r="EV107">
            <v>0.30231596360628599</v>
          </cell>
          <cell r="EX107">
            <v>-7.2120246061887494E-3</v>
          </cell>
          <cell r="EY107">
            <v>1.2547283714181567E-3</v>
          </cell>
          <cell r="EZ107">
            <v>5.1039089559621331E-3</v>
          </cell>
          <cell r="FA107">
            <v>-1.3195224086079982E-3</v>
          </cell>
          <cell r="FB107">
            <v>-1.1238488409018643E-2</v>
          </cell>
          <cell r="FD107">
            <v>-1.0968361477378896E-2</v>
          </cell>
          <cell r="FE107">
            <v>-1.0435447392730945E-2</v>
          </cell>
          <cell r="FF107">
            <v>-1.0744138115291291E-2</v>
          </cell>
          <cell r="FG107">
            <v>-9.5077476462643862E-3</v>
          </cell>
          <cell r="FH107">
            <v>-7.4158292143202686E-3</v>
          </cell>
          <cell r="FJ107">
            <v>-4.7579263827824958E-3</v>
          </cell>
          <cell r="FK107">
            <v>-5.6912191698802461E-3</v>
          </cell>
          <cell r="FL107">
            <v>-3.9932352922262826E-3</v>
          </cell>
          <cell r="FM107">
            <v>7.4310767630225705E-4</v>
          </cell>
          <cell r="FN107">
            <v>-1.8152285052355221E-3</v>
          </cell>
          <cell r="FP107">
            <v>5.5423389318542959E-4</v>
          </cell>
          <cell r="FQ107">
            <v>-8.9353353664467505E-4</v>
          </cell>
          <cell r="FR107">
            <v>-2.6244092658109786E-3</v>
          </cell>
          <cell r="FS107">
            <v>-2.7571422575635163E-3</v>
          </cell>
          <cell r="FT107">
            <v>2.7877636624729085E-4</v>
          </cell>
          <cell r="FV107">
            <v>-5.8308093487335899E-4</v>
          </cell>
          <cell r="FW107">
            <v>1.1665208515609926E-4</v>
          </cell>
          <cell r="FX107">
            <v>-1.25901783662552E-3</v>
          </cell>
          <cell r="FY107">
            <v>-7.4622758484494955E-3</v>
          </cell>
          <cell r="FZ107">
            <v>-6.8119140441444959E-3</v>
          </cell>
          <cell r="GB107">
            <v>-1.3058909326634782E-2</v>
          </cell>
          <cell r="GC107">
            <v>-1.3750380695035647E-2</v>
          </cell>
          <cell r="GD107">
            <v>-1.320232547588629E-2</v>
          </cell>
          <cell r="GE107">
            <v>-6.4387341722603741E-3</v>
          </cell>
          <cell r="GF107">
            <v>-6.1114283383636447E-3</v>
          </cell>
        </row>
        <row r="108">
          <cell r="A108" t="str">
            <v>Ave. Square Feet Per Store (000's)</v>
          </cell>
          <cell r="N108">
            <v>205.52411994784876</v>
          </cell>
          <cell r="O108">
            <v>202.33535844471447</v>
          </cell>
          <cell r="P108">
            <v>202.26263871763254</v>
          </cell>
          <cell r="Q108">
            <v>203.91385767790263</v>
          </cell>
          <cell r="R108">
            <v>204.26990049751242</v>
          </cell>
          <cell r="S108">
            <v>196.10201660735473</v>
          </cell>
          <cell r="T108">
            <v>186.20689655172413</v>
          </cell>
          <cell r="U108">
            <v>183.26039387308535</v>
          </cell>
          <cell r="V108">
            <v>183.26039387308535</v>
          </cell>
          <cell r="W108">
            <v>182.24400871459696</v>
          </cell>
          <cell r="X108">
            <v>182.21552373775432</v>
          </cell>
          <cell r="Y108">
            <v>182.44495944380068</v>
          </cell>
          <cell r="Z108">
            <v>181.97603740502629</v>
          </cell>
          <cell r="AA108">
            <v>181.79529411764705</v>
          </cell>
          <cell r="AB108">
            <v>181.78609310548026</v>
          </cell>
          <cell r="AC108">
            <v>181.51588235294119</v>
          </cell>
          <cell r="AD108">
            <v>181.13179669030734</v>
          </cell>
          <cell r="AE108">
            <v>180.6654804270463</v>
          </cell>
          <cell r="AF108">
            <v>180.2021276595745</v>
          </cell>
          <cell r="AG108">
            <v>179.88620283018867</v>
          </cell>
          <cell r="AH108">
            <v>179.88620283018867</v>
          </cell>
          <cell r="AI108">
            <v>179.88620283018867</v>
          </cell>
          <cell r="AJ108">
            <v>179.88620283018867</v>
          </cell>
          <cell r="AK108">
            <v>179.88620283018867</v>
          </cell>
          <cell r="AL108">
            <v>179.88620283018867</v>
          </cell>
          <cell r="AN108" t="str">
            <v>Ave. Square Feet Per Store (000's)</v>
          </cell>
          <cell r="DL108">
            <v>196.10201660735473</v>
          </cell>
          <cell r="DN108">
            <v>189.54545454545453</v>
          </cell>
          <cell r="DO108" t="str">
            <v>NA</v>
          </cell>
          <cell r="DP108" t="str">
            <v>NA</v>
          </cell>
          <cell r="DQ108">
            <v>183.00653594771242</v>
          </cell>
          <cell r="DR108">
            <v>186.20689655172413</v>
          </cell>
          <cell r="DT108">
            <v>183.00874830158995</v>
          </cell>
          <cell r="DU108">
            <v>183.01203107237592</v>
          </cell>
          <cell r="DV108">
            <v>183.01740903020223</v>
          </cell>
          <cell r="DW108">
            <v>183.26425729442971</v>
          </cell>
          <cell r="DX108">
            <v>183.26039387308535</v>
          </cell>
          <cell r="DZ108">
            <v>183.51592374966816</v>
          </cell>
          <cell r="EA108">
            <v>183.5131432485658</v>
          </cell>
          <cell r="EB108">
            <v>183.50821409644939</v>
          </cell>
          <cell r="EC108">
            <v>183.25764649294061</v>
          </cell>
          <cell r="ED108">
            <v>183.26039387308535</v>
          </cell>
          <cell r="EF108">
            <v>183.00653594771242</v>
          </cell>
          <cell r="EG108">
            <v>183.00986576095744</v>
          </cell>
          <cell r="EH108">
            <v>183.00986576095744</v>
          </cell>
          <cell r="EI108">
            <v>182.24400871459696</v>
          </cell>
          <cell r="EJ108">
            <v>182.24400871459696</v>
          </cell>
          <cell r="EL108">
            <v>181.4814814814815</v>
          </cell>
          <cell r="EM108">
            <v>181.48270259699231</v>
          </cell>
          <cell r="EN108">
            <v>181.86520324397534</v>
          </cell>
          <cell r="EO108">
            <v>182.31800046517455</v>
          </cell>
          <cell r="EP108">
            <v>182.21552373775432</v>
          </cell>
          <cell r="ER108">
            <v>182.60497936611299</v>
          </cell>
          <cell r="ES108">
            <v>182.60721999801788</v>
          </cell>
          <cell r="ET108">
            <v>182.60797385140646</v>
          </cell>
          <cell r="EU108">
            <v>182.44598938476494</v>
          </cell>
          <cell r="EV108">
            <v>182.44495944380068</v>
          </cell>
          <cell r="EX108">
            <v>182.13073794305637</v>
          </cell>
          <cell r="EY108">
            <v>181.88296639629201</v>
          </cell>
          <cell r="EZ108">
            <v>181.84152689415848</v>
          </cell>
          <cell r="FA108">
            <v>181.88707799767172</v>
          </cell>
          <cell r="FB108">
            <v>181.97603740502629</v>
          </cell>
          <cell r="FD108">
            <v>182.03699354081033</v>
          </cell>
          <cell r="FE108">
            <v>182.09495896834702</v>
          </cell>
          <cell r="FF108">
            <v>181.78024547048506</v>
          </cell>
          <cell r="FG108">
            <v>181.74456840869053</v>
          </cell>
          <cell r="FH108">
            <v>181.79529411764705</v>
          </cell>
          <cell r="FJ108">
            <v>182.02595870206488</v>
          </cell>
          <cell r="FK108">
            <v>182.12617924528303</v>
          </cell>
          <cell r="FL108">
            <v>182.01175088131609</v>
          </cell>
          <cell r="FM108">
            <v>181.77288732394365</v>
          </cell>
          <cell r="FN108">
            <v>179.88620283018867</v>
          </cell>
          <cell r="FP108">
            <v>181.69805768098885</v>
          </cell>
          <cell r="FQ108">
            <v>181.74911660777386</v>
          </cell>
          <cell r="FR108">
            <v>181.42748091603053</v>
          </cell>
          <cell r="FS108">
            <v>181.27171361502349</v>
          </cell>
          <cell r="FT108">
            <v>0</v>
          </cell>
          <cell r="FV108">
            <v>181.48529411764707</v>
          </cell>
          <cell r="FW108">
            <v>181.66333137139495</v>
          </cell>
          <cell r="FX108">
            <v>181.62566215420836</v>
          </cell>
          <cell r="FY108">
            <v>181.1950354609929</v>
          </cell>
          <cell r="FZ108">
            <v>181.13179669030734</v>
          </cell>
          <cell r="GB108">
            <v>180.60260972716489</v>
          </cell>
          <cell r="GC108">
            <v>180.22616933096509</v>
          </cell>
          <cell r="GD108">
            <v>179.96926713947994</v>
          </cell>
          <cell r="GE108">
            <v>180.13483146067418</v>
          </cell>
          <cell r="GF108">
            <v>180.6654804270463</v>
          </cell>
        </row>
        <row r="109">
          <cell r="A109" t="str">
            <v>% Change</v>
          </cell>
          <cell r="N109" t="str">
            <v>NA</v>
          </cell>
          <cell r="O109">
            <v>-1.5515266548488005E-2</v>
          </cell>
          <cell r="P109">
            <v>-3.5940197324335621E-4</v>
          </cell>
          <cell r="Q109">
            <v>8.1637368657849763E-3</v>
          </cell>
          <cell r="R109">
            <v>1.7460452352981992E-3</v>
          </cell>
          <cell r="S109">
            <v>-3.9985743715859723E-2</v>
          </cell>
          <cell r="T109">
            <v>-5.045904283301228E-2</v>
          </cell>
          <cell r="U109">
            <v>-1.5823810681578676E-2</v>
          </cell>
          <cell r="V109">
            <v>0</v>
          </cell>
          <cell r="W109">
            <v>-5.5461255812441212E-3</v>
          </cell>
          <cell r="X109">
            <v>-1.5630130748078841E-4</v>
          </cell>
          <cell r="Y109">
            <v>1.2591446729675049E-3</v>
          </cell>
          <cell r="Z109">
            <v>-2.570210984200072E-3</v>
          </cell>
          <cell r="AA109">
            <v>-9.9322575629534615E-4</v>
          </cell>
          <cell r="AB109">
            <v>-5.0611938067213202E-5</v>
          </cell>
          <cell r="AC109">
            <v>-1.4864214743989246E-3</v>
          </cell>
          <cell r="AD109">
            <v>-2.1159892878521713E-3</v>
          </cell>
          <cell r="AE109">
            <v>-2.5744583324501802E-3</v>
          </cell>
          <cell r="AF109">
            <v>-2.5647000543577159E-3</v>
          </cell>
          <cell r="AG109">
            <v>-1.7531692521558506E-3</v>
          </cell>
          <cell r="AH109">
            <v>0</v>
          </cell>
          <cell r="AI109">
            <v>0</v>
          </cell>
          <cell r="AJ109">
            <v>0</v>
          </cell>
          <cell r="AK109">
            <v>0</v>
          </cell>
          <cell r="AL109">
            <v>0</v>
          </cell>
          <cell r="AN109" t="str">
            <v>% Change</v>
          </cell>
          <cell r="DL109">
            <v>-3.9985743715859723E-2</v>
          </cell>
          <cell r="DN109" t="str">
            <v>NA</v>
          </cell>
          <cell r="DO109" t="str">
            <v>NA</v>
          </cell>
          <cell r="DP109" t="str">
            <v>NA</v>
          </cell>
          <cell r="DQ109" t="str">
            <v>NA</v>
          </cell>
          <cell r="DR109">
            <v>-5.045904283301228E-2</v>
          </cell>
          <cell r="DT109">
            <v>-3.4486219991611722E-2</v>
          </cell>
          <cell r="DU109" t="str">
            <v>NA</v>
          </cell>
          <cell r="DV109" t="str">
            <v>NA</v>
          </cell>
          <cell r="DW109">
            <v>1.4082630731337975E-3</v>
          </cell>
          <cell r="DX109">
            <v>-1.5823810681578676E-2</v>
          </cell>
          <cell r="DZ109">
            <v>2.7713180532900061E-3</v>
          </cell>
          <cell r="EA109">
            <v>2.7381378877309182E-3</v>
          </cell>
          <cell r="EB109">
            <v>2.681739780100223E-3</v>
          </cell>
          <cell r="EC109">
            <v>-3.6072508555085037E-5</v>
          </cell>
          <cell r="ED109">
            <v>0</v>
          </cell>
          <cell r="EF109">
            <v>-2.7757144532623013E-3</v>
          </cell>
          <cell r="EG109">
            <v>-2.7424601785970282E-3</v>
          </cell>
          <cell r="EH109">
            <v>-2.7156731808747336E-3</v>
          </cell>
          <cell r="EI109">
            <v>-5.5312168291035135E-3</v>
          </cell>
          <cell r="EJ109">
            <v>-5.5461255812441212E-3</v>
          </cell>
          <cell r="EL109">
            <v>-8.3333333333333037E-3</v>
          </cell>
          <cell r="EM109">
            <v>-8.3447040279230889E-3</v>
          </cell>
          <cell r="EN109">
            <v>-6.2546492355620709E-3</v>
          </cell>
          <cell r="EO109">
            <v>4.0600374793919869E-4</v>
          </cell>
          <cell r="EP109">
            <v>-1.5630130748078841E-4</v>
          </cell>
          <cell r="ER109">
            <v>6.1907026296021961E-3</v>
          </cell>
          <cell r="ES109">
            <v>6.1962786807441272E-3</v>
          </cell>
          <cell r="ET109">
            <v>4.0841820985109134E-3</v>
          </cell>
          <cell r="EU109">
            <v>7.0200923257068837E-4</v>
          </cell>
          <cell r="EV109">
            <v>1.2591446729675049E-3</v>
          </cell>
          <cell r="EX109">
            <v>-2.5970892179548732E-3</v>
          </cell>
          <cell r="EY109">
            <v>-3.9661827266946892E-3</v>
          </cell>
          <cell r="EZ109">
            <v>-4.1972261182398052E-3</v>
          </cell>
          <cell r="FA109">
            <v>-3.0634347676150586E-3</v>
          </cell>
          <cell r="FB109">
            <v>-2.570210984200072E-3</v>
          </cell>
          <cell r="FD109">
            <v>-5.147093966937355E-4</v>
          </cell>
          <cell r="FE109">
            <v>1.1655438453379574E-3</v>
          </cell>
          <cell r="FF109">
            <v>-3.3700455952001551E-4</v>
          </cell>
          <cell r="FG109">
            <v>-7.8350584631980968E-4</v>
          </cell>
          <cell r="FH109">
            <v>-9.9322575629534615E-4</v>
          </cell>
          <cell r="FJ109">
            <v>-6.061866069528854E-5</v>
          </cell>
          <cell r="FK109">
            <v>1.7145052841049946E-4</v>
          </cell>
          <cell r="FL109">
            <v>1.2735454847243588E-3</v>
          </cell>
          <cell r="FM109">
            <v>1.5581712015433347E-4</v>
          </cell>
          <cell r="FN109">
            <v>-1.0501324012396784E-2</v>
          </cell>
          <cell r="FP109">
            <v>-1.8013970282817482E-3</v>
          </cell>
          <cell r="FQ109">
            <v>-2.070337384069032E-3</v>
          </cell>
          <cell r="FR109">
            <v>-3.2100672756373294E-3</v>
          </cell>
          <cell r="FS109">
            <v>-2.7571422575634053E-3</v>
          </cell>
          <cell r="FT109">
            <v>-1</v>
          </cell>
          <cell r="FV109">
            <v>-1.1709732402056527E-3</v>
          </cell>
          <cell r="FW109">
            <v>-4.7199809264575343E-4</v>
          </cell>
          <cell r="FX109">
            <v>1.0923440990151523E-3</v>
          </cell>
          <cell r="FY109">
            <v>-4.2300120907690086E-4</v>
          </cell>
          <cell r="FZ109" t="str">
            <v>NA</v>
          </cell>
          <cell r="GB109">
            <v>-4.8636689533091415E-3</v>
          </cell>
          <cell r="GC109">
            <v>-7.9111289525550799E-3</v>
          </cell>
          <cell r="GD109">
            <v>-9.1198291864839076E-3</v>
          </cell>
          <cell r="GE109">
            <v>-5.8511757655024255E-3</v>
          </cell>
          <cell r="GF109">
            <v>-2.5744583324501802E-3</v>
          </cell>
        </row>
        <row r="110">
          <cell r="A110" t="str">
            <v>Productivity Factor</v>
          </cell>
          <cell r="N110" t="str">
            <v>NA</v>
          </cell>
          <cell r="O110">
            <v>0.99020658295615083</v>
          </cell>
          <cell r="P110">
            <v>1.0238160014396207</v>
          </cell>
          <cell r="Q110">
            <v>0.97215995399387289</v>
          </cell>
          <cell r="R110">
            <v>1.0032277258841547</v>
          </cell>
          <cell r="S110">
            <v>0.99950875467894218</v>
          </cell>
          <cell r="T110">
            <v>0.99467282247112343</v>
          </cell>
          <cell r="U110">
            <v>1.0230408956015324</v>
          </cell>
          <cell r="V110">
            <v>0.99283260375178717</v>
          </cell>
          <cell r="W110">
            <v>1.0060621750760674</v>
          </cell>
          <cell r="X110">
            <v>0.73631472463543401</v>
          </cell>
          <cell r="Y110">
            <v>1.1692809442164345</v>
          </cell>
          <cell r="Z110">
            <v>0.99766929211669775</v>
          </cell>
          <cell r="AA110">
            <v>0.99616480017746767</v>
          </cell>
          <cell r="AB110">
            <v>1.011642907621854</v>
          </cell>
          <cell r="AC110">
            <v>1.0017002547102301</v>
          </cell>
          <cell r="AD110">
            <v>1.0152922484576603</v>
          </cell>
          <cell r="AE110">
            <v>1.0083583012001358</v>
          </cell>
          <cell r="AF110">
            <v>1</v>
          </cell>
          <cell r="AG110">
            <v>1</v>
          </cell>
          <cell r="AH110">
            <v>1</v>
          </cell>
          <cell r="AI110">
            <v>1</v>
          </cell>
          <cell r="AJ110">
            <v>1</v>
          </cell>
          <cell r="AK110">
            <v>1</v>
          </cell>
          <cell r="AL110">
            <v>1</v>
          </cell>
        </row>
        <row r="111">
          <cell r="BS111" t="str">
            <v>Q1P</v>
          </cell>
          <cell r="BT111" t="str">
            <v>Q2P</v>
          </cell>
          <cell r="BU111" t="str">
            <v>Q3P</v>
          </cell>
          <cell r="BV111" t="str">
            <v>Q4P</v>
          </cell>
          <cell r="BW111" t="str">
            <v>Year P</v>
          </cell>
          <cell r="BY111" t="str">
            <v>Q1E</v>
          </cell>
          <cell r="BZ111" t="str">
            <v>Q2E</v>
          </cell>
          <cell r="CA111" t="str">
            <v>Q3E</v>
          </cell>
          <cell r="CB111" t="str">
            <v>Q4E</v>
          </cell>
          <cell r="CF111" t="str">
            <v>Year</v>
          </cell>
          <cell r="CJ111" t="str">
            <v>Q1A</v>
          </cell>
          <cell r="CK111" t="str">
            <v>Q2A</v>
          </cell>
          <cell r="CL111" t="str">
            <v>Q3A</v>
          </cell>
          <cell r="CM111" t="str">
            <v>Q4A</v>
          </cell>
          <cell r="CN111" t="str">
            <v>Year</v>
          </cell>
          <cell r="CP111" t="str">
            <v>Q1A</v>
          </cell>
          <cell r="CQ111" t="str">
            <v>Q2A</v>
          </cell>
          <cell r="CR111" t="str">
            <v>Q3A</v>
          </cell>
          <cell r="CS111" t="str">
            <v>Q4A</v>
          </cell>
          <cell r="CT111" t="str">
            <v>Year</v>
          </cell>
          <cell r="CV111" t="str">
            <v>Q1</v>
          </cell>
          <cell r="CW111" t="str">
            <v>Q2</v>
          </cell>
          <cell r="CX111" t="str">
            <v>Q3</v>
          </cell>
          <cell r="CY111" t="str">
            <v>Q4</v>
          </cell>
          <cell r="CZ111" t="str">
            <v>Year</v>
          </cell>
          <cell r="DB111" t="str">
            <v>Q1</v>
          </cell>
          <cell r="DC111" t="str">
            <v>Q2</v>
          </cell>
          <cell r="DD111" t="str">
            <v>Q3</v>
          </cell>
          <cell r="DE111" t="str">
            <v>Q4</v>
          </cell>
          <cell r="DF111" t="str">
            <v>Year</v>
          </cell>
          <cell r="DH111" t="str">
            <v>Q1</v>
          </cell>
          <cell r="DI111" t="str">
            <v>Q2</v>
          </cell>
          <cell r="DJ111" t="str">
            <v>Q3</v>
          </cell>
          <cell r="DK111" t="str">
            <v>Q4</v>
          </cell>
          <cell r="DL111">
            <v>2000</v>
          </cell>
          <cell r="DN111" t="str">
            <v>Q1A</v>
          </cell>
          <cell r="DO111" t="str">
            <v>Q2A</v>
          </cell>
          <cell r="DP111" t="str">
            <v>Q3A</v>
          </cell>
          <cell r="DQ111" t="str">
            <v>Q4A</v>
          </cell>
          <cell r="DR111">
            <v>2001</v>
          </cell>
          <cell r="DT111" t="str">
            <v>Q1A</v>
          </cell>
          <cell r="DU111" t="str">
            <v>Q2A</v>
          </cell>
          <cell r="DV111" t="str">
            <v>Q3A</v>
          </cell>
          <cell r="DW111" t="str">
            <v>Q4A</v>
          </cell>
          <cell r="DX111">
            <v>2002</v>
          </cell>
          <cell r="DZ111" t="str">
            <v>Q1A</v>
          </cell>
          <cell r="EA111" t="str">
            <v>Q2A</v>
          </cell>
          <cell r="EB111" t="str">
            <v>Q3A</v>
          </cell>
          <cell r="EC111" t="str">
            <v>Q4A</v>
          </cell>
          <cell r="ED111">
            <v>2003</v>
          </cell>
          <cell r="EF111" t="str">
            <v>Q1A</v>
          </cell>
          <cell r="EG111" t="str">
            <v>Q2A</v>
          </cell>
          <cell r="EH111" t="str">
            <v>Q3A</v>
          </cell>
          <cell r="EI111" t="str">
            <v>Q4A</v>
          </cell>
          <cell r="EJ111">
            <v>2004</v>
          </cell>
          <cell r="EL111" t="str">
            <v>Q1A</v>
          </cell>
          <cell r="EM111" t="str">
            <v>Q2A</v>
          </cell>
          <cell r="EN111" t="str">
            <v>Q3A</v>
          </cell>
          <cell r="EO111" t="str">
            <v>Q4A</v>
          </cell>
          <cell r="EP111">
            <v>2005</v>
          </cell>
          <cell r="ER111" t="str">
            <v>Q1A</v>
          </cell>
          <cell r="ES111" t="str">
            <v>Q2A</v>
          </cell>
          <cell r="ET111" t="str">
            <v>Q3A</v>
          </cell>
          <cell r="EU111" t="str">
            <v>Q4A</v>
          </cell>
          <cell r="EV111">
            <v>2006</v>
          </cell>
          <cell r="EX111">
            <v>1</v>
          </cell>
          <cell r="EY111">
            <v>2</v>
          </cell>
          <cell r="EZ111">
            <v>3</v>
          </cell>
          <cell r="FA111">
            <v>4</v>
          </cell>
          <cell r="FB111" t="str">
            <v>Year</v>
          </cell>
          <cell r="FD111">
            <v>1</v>
          </cell>
          <cell r="FE111">
            <v>2</v>
          </cell>
          <cell r="FF111">
            <v>3</v>
          </cell>
          <cell r="FG111">
            <v>4</v>
          </cell>
          <cell r="FH111" t="str">
            <v>Year</v>
          </cell>
          <cell r="FJ111">
            <v>1</v>
          </cell>
          <cell r="FK111">
            <v>2</v>
          </cell>
          <cell r="FL111">
            <v>3</v>
          </cell>
          <cell r="FM111">
            <v>4</v>
          </cell>
          <cell r="FN111" t="str">
            <v>Year</v>
          </cell>
          <cell r="FP111">
            <v>1</v>
          </cell>
          <cell r="FQ111">
            <v>2</v>
          </cell>
          <cell r="FR111">
            <v>3</v>
          </cell>
          <cell r="FS111">
            <v>4</v>
          </cell>
          <cell r="FT111" t="str">
            <v>Year</v>
          </cell>
          <cell r="FV111">
            <v>1</v>
          </cell>
          <cell r="FW111">
            <v>2</v>
          </cell>
          <cell r="FX111">
            <v>3</v>
          </cell>
          <cell r="FY111">
            <v>4</v>
          </cell>
          <cell r="FZ111" t="str">
            <v>Year</v>
          </cell>
          <cell r="GB111">
            <v>1</v>
          </cell>
          <cell r="GC111">
            <v>2</v>
          </cell>
          <cell r="GD111">
            <v>3</v>
          </cell>
          <cell r="GE111">
            <v>4</v>
          </cell>
          <cell r="GF111" t="str">
            <v>Year</v>
          </cell>
        </row>
        <row r="112">
          <cell r="A112" t="str">
            <v>Consolidated Stores Monthly Sales ($)</v>
          </cell>
          <cell r="AN112" t="str">
            <v>Consolidated Stores Monthly Sales ($)</v>
          </cell>
          <cell r="EU112">
            <v>356</v>
          </cell>
        </row>
        <row r="113">
          <cell r="A113" t="str">
            <v>Month 1</v>
          </cell>
          <cell r="AN113" t="str">
            <v>Month 1</v>
          </cell>
          <cell r="BS113">
            <v>876.8</v>
          </cell>
          <cell r="BT113">
            <v>954.9</v>
          </cell>
          <cell r="BU113">
            <v>1050.0999999999999</v>
          </cell>
          <cell r="BV113">
            <v>1322.7</v>
          </cell>
          <cell r="BY113">
            <v>912</v>
          </cell>
          <cell r="BZ113">
            <v>1021.7430000000001</v>
          </cell>
          <cell r="CA113">
            <v>1059.5508999999997</v>
          </cell>
          <cell r="CB113">
            <v>1354.4448</v>
          </cell>
          <cell r="CJ113">
            <v>1033.0999999999999</v>
          </cell>
          <cell r="CK113">
            <v>1111.8</v>
          </cell>
          <cell r="CL113">
            <v>1121.3</v>
          </cell>
          <cell r="CM113">
            <v>1550.7</v>
          </cell>
          <cell r="CP113">
            <v>1058.4000000000001</v>
          </cell>
          <cell r="CQ113">
            <v>1147</v>
          </cell>
          <cell r="CR113">
            <v>1168.5</v>
          </cell>
          <cell r="CS113">
            <v>1563.5</v>
          </cell>
          <cell r="CV113">
            <v>1058.4000000000001</v>
          </cell>
          <cell r="CW113">
            <v>1155.5</v>
          </cell>
          <cell r="CX113">
            <v>1127.6025</v>
          </cell>
          <cell r="CY113">
            <v>1539</v>
          </cell>
          <cell r="DB113">
            <v>1025</v>
          </cell>
          <cell r="DC113">
            <v>1147</v>
          </cell>
          <cell r="DD113">
            <v>1119</v>
          </cell>
          <cell r="DE113">
            <v>1499</v>
          </cell>
          <cell r="DN113">
            <v>1081</v>
          </cell>
          <cell r="DO113">
            <v>1161</v>
          </cell>
          <cell r="DP113">
            <v>1130</v>
          </cell>
          <cell r="DQ113">
            <v>1565</v>
          </cell>
          <cell r="DT113">
            <v>1048</v>
          </cell>
          <cell r="DU113">
            <v>1150</v>
          </cell>
          <cell r="DV113">
            <v>1086</v>
          </cell>
          <cell r="DW113">
            <v>1473</v>
          </cell>
          <cell r="DZ113">
            <v>985</v>
          </cell>
          <cell r="EA113">
            <v>1137</v>
          </cell>
          <cell r="EB113">
            <v>1078</v>
          </cell>
          <cell r="EC113">
            <v>1460</v>
          </cell>
          <cell r="EF113">
            <v>1080</v>
          </cell>
          <cell r="EG113">
            <v>1182</v>
          </cell>
          <cell r="EH113">
            <v>1056</v>
          </cell>
          <cell r="EI113">
            <v>1446</v>
          </cell>
          <cell r="EL113">
            <v>1097</v>
          </cell>
          <cell r="EM113">
            <v>1189</v>
          </cell>
          <cell r="EN113">
            <v>1068</v>
          </cell>
          <cell r="EO113">
            <v>2617</v>
          </cell>
          <cell r="ER113">
            <v>1800</v>
          </cell>
          <cell r="ES113">
            <v>2026</v>
          </cell>
          <cell r="ET113">
            <v>1727</v>
          </cell>
          <cell r="EU113">
            <v>2385</v>
          </cell>
          <cell r="EX113">
            <v>1802</v>
          </cell>
          <cell r="EY113">
            <v>1976</v>
          </cell>
          <cell r="EZ113">
            <v>1788</v>
          </cell>
          <cell r="FA113">
            <v>2707</v>
          </cell>
          <cell r="FD113">
            <v>1737</v>
          </cell>
          <cell r="FE113">
            <v>1926</v>
          </cell>
          <cell r="FF113">
            <v>1686</v>
          </cell>
          <cell r="FG113">
            <v>2324</v>
          </cell>
          <cell r="FJ113">
            <v>1602.5975291456411</v>
          </cell>
          <cell r="FK113">
            <v>1783.7565582371458</v>
          </cell>
          <cell r="FL113">
            <v>1576.1490988530857</v>
          </cell>
          <cell r="FM113">
            <v>2202.7766574237457</v>
          </cell>
          <cell r="FP113">
            <v>1667</v>
          </cell>
          <cell r="FQ113">
            <v>1789</v>
          </cell>
          <cell r="FR113">
            <v>1638</v>
          </cell>
          <cell r="FS113">
            <v>2341</v>
          </cell>
          <cell r="FV113">
            <v>1763</v>
          </cell>
          <cell r="FW113">
            <v>1937</v>
          </cell>
          <cell r="FX113">
            <v>1714</v>
          </cell>
          <cell r="FY113">
            <v>2465</v>
          </cell>
          <cell r="GB113">
            <v>1860</v>
          </cell>
          <cell r="GC113">
            <v>2015</v>
          </cell>
          <cell r="GD113">
            <v>1812</v>
          </cell>
          <cell r="GE113">
            <v>2539.5720461726355</v>
          </cell>
        </row>
        <row r="114">
          <cell r="A114" t="str">
            <v>Month 2</v>
          </cell>
          <cell r="AN114" t="str">
            <v>Month 2</v>
          </cell>
          <cell r="BS114">
            <v>1162.8</v>
          </cell>
          <cell r="BT114">
            <v>1162.4000000000001</v>
          </cell>
          <cell r="BU114">
            <v>1281.9000000000001</v>
          </cell>
          <cell r="BV114">
            <v>2551.6999999999998</v>
          </cell>
          <cell r="BY114">
            <v>1133.73</v>
          </cell>
          <cell r="BZ114">
            <v>1218.1952000000001</v>
          </cell>
          <cell r="CA114">
            <v>1344.7130999999999</v>
          </cell>
          <cell r="CB114">
            <v>2584.8720999999996</v>
          </cell>
          <cell r="CJ114">
            <v>1277.0999999999999</v>
          </cell>
          <cell r="CK114">
            <v>1278.2</v>
          </cell>
          <cell r="CL114">
            <v>1397.4</v>
          </cell>
          <cell r="CM114">
            <v>2742.6</v>
          </cell>
          <cell r="CP114">
            <v>1289.2</v>
          </cell>
          <cell r="CQ114">
            <v>1328</v>
          </cell>
          <cell r="CR114">
            <v>1446.2</v>
          </cell>
          <cell r="CS114">
            <v>2748.7</v>
          </cell>
          <cell r="CV114">
            <v>1288</v>
          </cell>
          <cell r="CW114">
            <v>1358.5</v>
          </cell>
          <cell r="CX114">
            <v>1417.2760000000001</v>
          </cell>
          <cell r="CY114">
            <v>2869.0930599999992</v>
          </cell>
          <cell r="DB114">
            <v>1343</v>
          </cell>
          <cell r="DC114">
            <v>1407</v>
          </cell>
          <cell r="DD114">
            <v>1423</v>
          </cell>
          <cell r="DE114">
            <v>2916</v>
          </cell>
          <cell r="DN114">
            <v>1317</v>
          </cell>
          <cell r="DO114">
            <v>1326</v>
          </cell>
          <cell r="DP114">
            <v>1289</v>
          </cell>
          <cell r="DQ114">
            <v>2795</v>
          </cell>
          <cell r="DT114">
            <v>1311</v>
          </cell>
          <cell r="DU114">
            <v>1367</v>
          </cell>
          <cell r="DV114">
            <v>1315</v>
          </cell>
          <cell r="DW114">
            <v>2772</v>
          </cell>
          <cell r="DZ114">
            <v>1233</v>
          </cell>
          <cell r="EA114">
            <v>1337</v>
          </cell>
          <cell r="EB114">
            <v>1352</v>
          </cell>
          <cell r="EC114">
            <v>2782</v>
          </cell>
          <cell r="EF114">
            <v>1326</v>
          </cell>
          <cell r="EG114">
            <v>1394</v>
          </cell>
          <cell r="EH114">
            <v>1361</v>
          </cell>
          <cell r="EI114">
            <v>2856</v>
          </cell>
          <cell r="EL114">
            <v>1371</v>
          </cell>
          <cell r="EM114">
            <v>1436</v>
          </cell>
          <cell r="EN114">
            <v>2464</v>
          </cell>
          <cell r="EO114">
            <v>5459</v>
          </cell>
          <cell r="ER114">
            <v>2255</v>
          </cell>
          <cell r="ES114">
            <v>2367</v>
          </cell>
          <cell r="ET114">
            <v>2303</v>
          </cell>
          <cell r="EU114">
            <v>4997</v>
          </cell>
          <cell r="EX114">
            <v>2288</v>
          </cell>
          <cell r="EY114">
            <v>2321</v>
          </cell>
          <cell r="EZ114">
            <v>2274</v>
          </cell>
          <cell r="FA114">
            <v>4624</v>
          </cell>
          <cell r="FD114">
            <v>2142</v>
          </cell>
          <cell r="FE114">
            <v>2249</v>
          </cell>
          <cell r="FF114">
            <v>2093</v>
          </cell>
          <cell r="FG114">
            <v>4397</v>
          </cell>
          <cell r="FJ114">
            <v>1963.7990255785628</v>
          </cell>
          <cell r="FK114">
            <v>2092.5916404337181</v>
          </cell>
          <cell r="FL114">
            <v>2084.1512834516657</v>
          </cell>
          <cell r="FM114">
            <v>4474.7693471136881</v>
          </cell>
          <cell r="FP114">
            <v>2172</v>
          </cell>
          <cell r="FQ114">
            <v>2229</v>
          </cell>
          <cell r="FR114">
            <v>2181</v>
          </cell>
          <cell r="FS114">
            <v>4619</v>
          </cell>
          <cell r="FV114">
            <v>2206</v>
          </cell>
          <cell r="FW114">
            <v>2392</v>
          </cell>
          <cell r="FX114">
            <v>2298</v>
          </cell>
          <cell r="FY114">
            <v>4925</v>
          </cell>
          <cell r="GB114">
            <v>2358</v>
          </cell>
          <cell r="GC114">
            <v>2412</v>
          </cell>
          <cell r="GD114">
            <v>2339.3160690399509</v>
          </cell>
          <cell r="GE114">
            <v>5073.9928305883286</v>
          </cell>
        </row>
        <row r="115">
          <cell r="A115" t="str">
            <v>Month 3</v>
          </cell>
          <cell r="AN115" t="str">
            <v>Month 3</v>
          </cell>
          <cell r="BS115">
            <v>898.4</v>
          </cell>
          <cell r="BT115">
            <v>813.5</v>
          </cell>
          <cell r="BU115">
            <v>1020.6</v>
          </cell>
          <cell r="BV115">
            <v>605.70000000000005</v>
          </cell>
          <cell r="CJ115">
            <v>990.5</v>
          </cell>
          <cell r="CK115">
            <v>894.2</v>
          </cell>
          <cell r="CL115">
            <v>1090.4000000000001</v>
          </cell>
          <cell r="CM115">
            <v>742.1</v>
          </cell>
          <cell r="CP115">
            <v>1061</v>
          </cell>
          <cell r="CQ115">
            <v>977.8</v>
          </cell>
          <cell r="CR115">
            <v>1131.4000000000001</v>
          </cell>
          <cell r="CS115">
            <v>749.2</v>
          </cell>
          <cell r="CV115">
            <v>1111</v>
          </cell>
          <cell r="CW115">
            <v>1010.5</v>
          </cell>
          <cell r="CX115">
            <v>1101.0784800000001</v>
          </cell>
          <cell r="CY115">
            <v>800</v>
          </cell>
          <cell r="DB115">
            <v>1077</v>
          </cell>
          <cell r="DC115">
            <v>1015</v>
          </cell>
          <cell r="DD115">
            <v>1105</v>
          </cell>
          <cell r="DE115">
            <v>783</v>
          </cell>
          <cell r="DN115">
            <v>1162</v>
          </cell>
          <cell r="DO115">
            <v>1005</v>
          </cell>
          <cell r="DP115">
            <v>1058</v>
          </cell>
          <cell r="DQ115">
            <v>774</v>
          </cell>
          <cell r="DT115">
            <v>1097</v>
          </cell>
          <cell r="DU115">
            <v>970</v>
          </cell>
          <cell r="DV115">
            <v>1083</v>
          </cell>
          <cell r="DW115">
            <v>775</v>
          </cell>
          <cell r="DZ115">
            <v>1076</v>
          </cell>
          <cell r="EA115">
            <v>963</v>
          </cell>
          <cell r="EB115">
            <v>1058</v>
          </cell>
          <cell r="EC115">
            <v>814</v>
          </cell>
          <cell r="EF115">
            <v>1144</v>
          </cell>
          <cell r="EG115">
            <v>1005</v>
          </cell>
          <cell r="EH115">
            <v>1108</v>
          </cell>
          <cell r="EI115">
            <v>818</v>
          </cell>
          <cell r="EL115">
            <v>1173</v>
          </cell>
          <cell r="EM115">
            <v>998</v>
          </cell>
          <cell r="EN115">
            <v>2023</v>
          </cell>
          <cell r="EO115">
            <v>1495</v>
          </cell>
          <cell r="ER115">
            <v>1878</v>
          </cell>
          <cell r="ES115">
            <v>1608</v>
          </cell>
          <cell r="ET115">
            <v>1863</v>
          </cell>
          <cell r="EU115">
            <v>1780</v>
          </cell>
          <cell r="EX115">
            <v>1837</v>
          </cell>
          <cell r="EY115">
            <v>1602</v>
          </cell>
          <cell r="EZ115">
            <v>1849</v>
          </cell>
          <cell r="FA115">
            <v>1273</v>
          </cell>
          <cell r="FD115">
            <v>1868</v>
          </cell>
          <cell r="FE115">
            <v>1543</v>
          </cell>
          <cell r="FF115">
            <v>1714</v>
          </cell>
          <cell r="FG115">
            <v>1213</v>
          </cell>
          <cell r="FJ115">
            <v>1720.603445275796</v>
          </cell>
          <cell r="FK115">
            <v>1409.6518013291361</v>
          </cell>
          <cell r="FL115">
            <v>1725.6996176952484</v>
          </cell>
          <cell r="FM115">
            <v>1268.4539954625661</v>
          </cell>
          <cell r="FP115">
            <v>1739</v>
          </cell>
          <cell r="FQ115">
            <v>1528</v>
          </cell>
          <cell r="FR115">
            <v>1806</v>
          </cell>
          <cell r="FS115">
            <v>1310</v>
          </cell>
          <cell r="FV115">
            <v>1920</v>
          </cell>
          <cell r="FW115">
            <v>1612</v>
          </cell>
          <cell r="FX115">
            <v>1842</v>
          </cell>
          <cell r="FY115">
            <v>1336</v>
          </cell>
          <cell r="GB115">
            <v>1928</v>
          </cell>
          <cell r="GC115">
            <v>1693</v>
          </cell>
          <cell r="GD115">
            <v>1918.3705778953104</v>
          </cell>
          <cell r="GE115">
            <v>1753.5690816688336</v>
          </cell>
        </row>
        <row r="116">
          <cell r="A116" t="str">
            <v>Total</v>
          </cell>
          <cell r="AN116" t="str">
            <v>Total</v>
          </cell>
          <cell r="BS116">
            <v>2938</v>
          </cell>
          <cell r="BT116">
            <v>2930.8</v>
          </cell>
          <cell r="BU116">
            <v>3352.6</v>
          </cell>
          <cell r="BV116">
            <v>4480.0999999999995</v>
          </cell>
          <cell r="BW116">
            <v>13701.5</v>
          </cell>
          <cell r="CJ116">
            <v>3300.7</v>
          </cell>
          <cell r="CK116">
            <v>3284.2</v>
          </cell>
          <cell r="CL116">
            <v>3609.1</v>
          </cell>
          <cell r="CM116">
            <v>5035.4000000000005</v>
          </cell>
          <cell r="CN116">
            <v>15229.400000000001</v>
          </cell>
          <cell r="CP116">
            <v>3408.6000000000004</v>
          </cell>
          <cell r="CQ116">
            <v>3452.8</v>
          </cell>
          <cell r="CR116">
            <v>3746.1</v>
          </cell>
          <cell r="CS116">
            <v>5061.3999999999996</v>
          </cell>
          <cell r="CT116">
            <v>15668.9</v>
          </cell>
          <cell r="CV116">
            <v>3357</v>
          </cell>
          <cell r="CW116">
            <v>3524.5</v>
          </cell>
          <cell r="CX116">
            <v>3645.9569799999999</v>
          </cell>
          <cell r="CY116">
            <v>5208.0930599999992</v>
          </cell>
          <cell r="CZ116">
            <v>15735.550039999998</v>
          </cell>
          <cell r="DB116">
            <v>3470</v>
          </cell>
          <cell r="DC116">
            <v>3609</v>
          </cell>
          <cell r="DD116">
            <v>3691</v>
          </cell>
          <cell r="DE116">
            <v>5259</v>
          </cell>
          <cell r="DF116">
            <v>16029</v>
          </cell>
          <cell r="DH116">
            <v>3573</v>
          </cell>
          <cell r="DI116">
            <v>3679</v>
          </cell>
          <cell r="DJ116">
            <v>3782</v>
          </cell>
          <cell r="DK116">
            <v>5604</v>
          </cell>
          <cell r="DL116">
            <v>16638</v>
          </cell>
          <cell r="DN116">
            <v>3556</v>
          </cell>
          <cell r="DO116">
            <v>3488</v>
          </cell>
          <cell r="DP116">
            <v>3475</v>
          </cell>
          <cell r="DQ116">
            <v>5132</v>
          </cell>
          <cell r="DR116">
            <v>15785</v>
          </cell>
          <cell r="DT116">
            <v>3453</v>
          </cell>
          <cell r="DU116">
            <v>3486</v>
          </cell>
          <cell r="DV116">
            <v>3479</v>
          </cell>
          <cell r="DW116">
            <v>5017</v>
          </cell>
          <cell r="DX116">
            <v>15571</v>
          </cell>
          <cell r="DZ116">
            <v>3291</v>
          </cell>
          <cell r="EA116">
            <v>3434</v>
          </cell>
          <cell r="EB116">
            <v>3486</v>
          </cell>
          <cell r="EC116">
            <v>5053</v>
          </cell>
          <cell r="ED116">
            <v>15412</v>
          </cell>
          <cell r="EF116">
            <v>3550</v>
          </cell>
          <cell r="EG116">
            <v>3581</v>
          </cell>
          <cell r="EH116">
            <v>3525</v>
          </cell>
          <cell r="EI116">
            <v>5120</v>
          </cell>
          <cell r="EJ116">
            <v>15776</v>
          </cell>
          <cell r="EL116">
            <v>3641</v>
          </cell>
          <cell r="EM116">
            <v>3623</v>
          </cell>
          <cell r="EN116">
            <v>5555</v>
          </cell>
          <cell r="EO116">
            <v>9571</v>
          </cell>
          <cell r="EP116">
            <v>22390</v>
          </cell>
          <cell r="ER116">
            <v>5930</v>
          </cell>
          <cell r="ES116">
            <v>5995</v>
          </cell>
          <cell r="ET116">
            <v>5886</v>
          </cell>
          <cell r="EU116">
            <v>9159</v>
          </cell>
          <cell r="EV116">
            <v>26970</v>
          </cell>
          <cell r="EX116">
            <v>5921</v>
          </cell>
          <cell r="EY116">
            <v>5892</v>
          </cell>
          <cell r="EZ116">
            <v>5906</v>
          </cell>
          <cell r="FA116">
            <v>8594</v>
          </cell>
          <cell r="FB116">
            <v>26313</v>
          </cell>
          <cell r="FD116">
            <v>5747</v>
          </cell>
          <cell r="FE116">
            <v>5718</v>
          </cell>
          <cell r="FF116">
            <v>5493</v>
          </cell>
          <cell r="FG116">
            <v>7934</v>
          </cell>
          <cell r="FH116">
            <v>24892</v>
          </cell>
          <cell r="FJ116">
            <v>5288</v>
          </cell>
          <cell r="FK116">
            <v>5285</v>
          </cell>
          <cell r="FL116">
            <v>5385</v>
          </cell>
          <cell r="FM116">
            <v>7937</v>
          </cell>
          <cell r="FN116">
            <v>23895</v>
          </cell>
          <cell r="FP116">
            <v>5574</v>
          </cell>
          <cell r="FQ116">
            <v>5537</v>
          </cell>
          <cell r="FR116">
            <v>5623</v>
          </cell>
          <cell r="FS116">
            <v>8269</v>
          </cell>
          <cell r="FT116">
            <v>25003</v>
          </cell>
          <cell r="FV116">
            <v>5889</v>
          </cell>
          <cell r="FW116">
            <v>5939</v>
          </cell>
          <cell r="FX116">
            <v>5853</v>
          </cell>
          <cell r="FY116">
            <v>8724</v>
          </cell>
          <cell r="FZ116">
            <v>26405</v>
          </cell>
          <cell r="GB116">
            <v>6143</v>
          </cell>
          <cell r="GC116">
            <v>6118</v>
          </cell>
          <cell r="GD116">
            <v>6069.6866469352608</v>
          </cell>
          <cell r="GE116">
            <v>9367.1339584297966</v>
          </cell>
          <cell r="GF116">
            <v>27697.820605365057</v>
          </cell>
        </row>
        <row r="117">
          <cell r="FJ117">
            <v>1255</v>
          </cell>
          <cell r="FK117">
            <v>4426</v>
          </cell>
          <cell r="FL117">
            <v>2177</v>
          </cell>
          <cell r="FM117">
            <v>7849</v>
          </cell>
        </row>
        <row r="118">
          <cell r="A118" t="str">
            <v>Consolidated Monthly Comps</v>
          </cell>
          <cell r="AN118" t="str">
            <v>Consolidated Monthly Comps</v>
          </cell>
        </row>
        <row r="119">
          <cell r="A119" t="str">
            <v>Month 1</v>
          </cell>
          <cell r="AN119" t="str">
            <v>Month 1</v>
          </cell>
          <cell r="BS119">
            <v>3.9E-2</v>
          </cell>
          <cell r="BT119">
            <v>8.9999999999999993E-3</v>
          </cell>
          <cell r="BU119">
            <v>4.7E-2</v>
          </cell>
          <cell r="BV119">
            <v>4.2999999999999997E-2</v>
          </cell>
          <cell r="BY119">
            <v>3.1E-2</v>
          </cell>
          <cell r="BZ119">
            <v>7.0000000000000007E-2</v>
          </cell>
          <cell r="CA119">
            <v>8.9999999999999993E-3</v>
          </cell>
          <cell r="CB119">
            <v>2.4E-2</v>
          </cell>
          <cell r="CJ119">
            <v>0.09</v>
          </cell>
          <cell r="CK119">
            <v>2.1000000000000001E-2</v>
          </cell>
          <cell r="CL119">
            <v>2.5000000000000001E-2</v>
          </cell>
          <cell r="CM119">
            <v>9.6000000000000002E-2</v>
          </cell>
          <cell r="CP119">
            <v>2.1999999999999999E-2</v>
          </cell>
          <cell r="CQ119">
            <v>2.5000000000000001E-2</v>
          </cell>
          <cell r="CR119">
            <v>3.5000000000000003E-2</v>
          </cell>
          <cell r="CS119">
            <v>0.02</v>
          </cell>
          <cell r="CV119">
            <v>1.4999999999999999E-2</v>
          </cell>
          <cell r="CW119">
            <v>1.7999999999999999E-2</v>
          </cell>
          <cell r="CX119">
            <v>-1.2999999999999999E-2</v>
          </cell>
          <cell r="CY119">
            <v>-2E-3</v>
          </cell>
          <cell r="DB119">
            <v>0.01</v>
          </cell>
          <cell r="DC119">
            <v>4.1000000000000002E-2</v>
          </cell>
          <cell r="DD119">
            <v>2.9000000000000001E-2</v>
          </cell>
          <cell r="DE119">
            <v>1.0999999999999999E-2</v>
          </cell>
          <cell r="DH119">
            <v>5.2999999999999999E-2</v>
          </cell>
          <cell r="DI119">
            <v>4.2000000000000003E-2</v>
          </cell>
          <cell r="DJ119">
            <v>1.0999999999999999E-2</v>
          </cell>
          <cell r="DK119">
            <v>1.4E-2</v>
          </cell>
          <cell r="DN119">
            <v>-1.6E-2</v>
          </cell>
          <cell r="DO119">
            <v>-3.3000000000000002E-2</v>
          </cell>
          <cell r="DP119">
            <v>-2.5999999999999999E-2</v>
          </cell>
          <cell r="DQ119">
            <v>8.9999999999999993E-3</v>
          </cell>
          <cell r="DT119">
            <v>-2.8000000000000001E-2</v>
          </cell>
          <cell r="DU119">
            <v>-3.4000000000000002E-2</v>
          </cell>
          <cell r="DV119">
            <v>-5.8000000000000003E-2</v>
          </cell>
          <cell r="DW119">
            <v>-7.3999999999999996E-2</v>
          </cell>
          <cell r="DZ119">
            <v>-6.8000000000000005E-2</v>
          </cell>
          <cell r="EA119">
            <v>-8.0000000000000002E-3</v>
          </cell>
          <cell r="EB119">
            <v>-8.0000000000000002E-3</v>
          </cell>
          <cell r="EC119">
            <v>-1E-3</v>
          </cell>
          <cell r="EF119">
            <v>0.09</v>
          </cell>
          <cell r="EG119">
            <v>2.9000000000000001E-2</v>
          </cell>
          <cell r="EH119">
            <v>-2.4E-2</v>
          </cell>
          <cell r="EI119">
            <v>-1.4E-2</v>
          </cell>
          <cell r="EL119">
            <v>1.7999999999999999E-2</v>
          </cell>
          <cell r="EM119">
            <v>8.0000000000000002E-3</v>
          </cell>
          <cell r="EN119">
            <v>1.0999999999999999E-2</v>
          </cell>
          <cell r="EO119">
            <v>-3.4000000000000002E-2</v>
          </cell>
          <cell r="ER119">
            <v>0.01</v>
          </cell>
          <cell r="ES119">
            <v>9.1999999999999998E-2</v>
          </cell>
          <cell r="ET119">
            <v>3.7999999999999999E-2</v>
          </cell>
          <cell r="EU119">
            <v>8.5000000000000006E-2</v>
          </cell>
          <cell r="EX119">
            <v>1.2E-2</v>
          </cell>
          <cell r="EY119">
            <v>-3.3000000000000002E-2</v>
          </cell>
          <cell r="EZ119">
            <v>2.4E-2</v>
          </cell>
          <cell r="FA119">
            <v>0.13400000000000001</v>
          </cell>
          <cell r="FD119">
            <v>-3.5000000000000003E-2</v>
          </cell>
          <cell r="FE119">
            <v>-1.4999999999999999E-2</v>
          </cell>
          <cell r="FF119">
            <v>-4.8000000000000001E-2</v>
          </cell>
          <cell r="FG119">
            <v>-0.13300000000000001</v>
          </cell>
          <cell r="FJ119">
            <v>-8.5000000000000006E-2</v>
          </cell>
          <cell r="FK119">
            <v>-9.0999999999999998E-2</v>
          </cell>
          <cell r="FL119">
            <v>-8.1000000000000003E-2</v>
          </cell>
          <cell r="FM119">
            <v>-6.0999999999999999E-2</v>
          </cell>
          <cell r="FP119">
            <v>3.6999999999999998E-2</v>
          </cell>
          <cell r="FQ119">
            <v>1.4E-2</v>
          </cell>
          <cell r="FR119">
            <v>4.2999999999999997E-2</v>
          </cell>
          <cell r="FS119">
            <v>6.0999999999999999E-2</v>
          </cell>
          <cell r="FV119">
            <v>5.8000000000000003E-2</v>
          </cell>
          <cell r="FW119">
            <v>7.3999999999999996E-2</v>
          </cell>
          <cell r="FX119">
            <v>0.05</v>
          </cell>
          <cell r="FY119">
            <v>4.8000000000000001E-2</v>
          </cell>
          <cell r="GB119">
            <v>4.5999999999999999E-2</v>
          </cell>
          <cell r="GC119">
            <v>4.2000000000000003E-2</v>
          </cell>
          <cell r="GD119">
            <v>5.0999999999999997E-2</v>
          </cell>
          <cell r="GE119">
            <v>0.04</v>
          </cell>
        </row>
        <row r="120">
          <cell r="A120" t="str">
            <v>Month 2</v>
          </cell>
          <cell r="AN120" t="str">
            <v>Month 2</v>
          </cell>
          <cell r="BS120">
            <v>0.08</v>
          </cell>
          <cell r="BT120">
            <v>1.9E-2</v>
          </cell>
          <cell r="BU120">
            <v>3.7999999999999999E-2</v>
          </cell>
          <cell r="BV120">
            <v>2.1000000000000001E-2</v>
          </cell>
          <cell r="BY120">
            <v>-2.5000000000000001E-2</v>
          </cell>
          <cell r="BZ120">
            <v>4.8000000000000001E-2</v>
          </cell>
          <cell r="CA120">
            <v>4.9000000000000002E-2</v>
          </cell>
          <cell r="CB120">
            <v>1.2999999999999999E-2</v>
          </cell>
          <cell r="CJ120">
            <v>6.0999999999999999E-2</v>
          </cell>
          <cell r="CK120">
            <v>1.4999999999999999E-2</v>
          </cell>
          <cell r="CL120">
            <v>8.0000000000000002E-3</v>
          </cell>
          <cell r="CM120">
            <v>0</v>
          </cell>
          <cell r="CP120">
            <v>-2E-3</v>
          </cell>
          <cell r="CQ120">
            <v>3.2000000000000001E-2</v>
          </cell>
          <cell r="CR120">
            <v>2.7E-2</v>
          </cell>
          <cell r="CS120">
            <v>0.01</v>
          </cell>
          <cell r="CV120">
            <v>8.9999999999999993E-3</v>
          </cell>
          <cell r="CW120">
            <v>3.4000000000000002E-2</v>
          </cell>
          <cell r="CX120">
            <v>-7.0000000000000001E-3</v>
          </cell>
          <cell r="CY120">
            <v>5.7000000000000002E-2</v>
          </cell>
          <cell r="DB120">
            <v>0.09</v>
          </cell>
          <cell r="DC120">
            <v>8.4000000000000005E-2</v>
          </cell>
          <cell r="DD120">
            <v>3.6999999999999998E-2</v>
          </cell>
          <cell r="DE120">
            <v>6.4000000000000001E-2</v>
          </cell>
          <cell r="DH120">
            <v>-6.0000000000000001E-3</v>
          </cell>
          <cell r="DI120">
            <v>5.0000000000000001E-3</v>
          </cell>
          <cell r="DJ120">
            <v>2.9000000000000001E-2</v>
          </cell>
          <cell r="DK120">
            <v>1.2E-2</v>
          </cell>
          <cell r="DN120">
            <v>-3.2000000000000001E-2</v>
          </cell>
          <cell r="DO120">
            <v>-6.4000000000000001E-2</v>
          </cell>
          <cell r="DP120">
            <v>-0.129</v>
          </cell>
          <cell r="DQ120">
            <v>-8.6999999999999994E-2</v>
          </cell>
          <cell r="DT120">
            <v>-2E-3</v>
          </cell>
          <cell r="DU120">
            <v>-4.0000000000000001E-3</v>
          </cell>
          <cell r="DV120">
            <v>0</v>
          </cell>
          <cell r="DW120">
            <v>-2.5999999999999999E-2</v>
          </cell>
          <cell r="DZ120">
            <v>-6.5000000000000002E-2</v>
          </cell>
          <cell r="EA120">
            <v>-0.02</v>
          </cell>
          <cell r="EB120">
            <v>3.2000000000000001E-2</v>
          </cell>
          <cell r="EC120">
            <v>1.2E-2</v>
          </cell>
          <cell r="EF120">
            <v>6.8000000000000005E-2</v>
          </cell>
          <cell r="EG120">
            <v>3.4000000000000002E-2</v>
          </cell>
          <cell r="EH120">
            <v>1E-3</v>
          </cell>
          <cell r="EI120">
            <v>2.3E-2</v>
          </cell>
          <cell r="EL120">
            <v>3.4000000000000002E-2</v>
          </cell>
          <cell r="EM120">
            <v>2.9000000000000001E-2</v>
          </cell>
          <cell r="EN120">
            <v>1.2999999999999999E-2</v>
          </cell>
          <cell r="EO120">
            <v>3.4000000000000002E-2</v>
          </cell>
          <cell r="ER120">
            <v>0</v>
          </cell>
          <cell r="ES120">
            <v>1.7000000000000001E-2</v>
          </cell>
          <cell r="ET120">
            <v>6.5000000000000002E-2</v>
          </cell>
          <cell r="EU120">
            <v>4.3999999999999997E-2</v>
          </cell>
          <cell r="EX120">
            <v>2.3E-2</v>
          </cell>
          <cell r="EY120">
            <v>-2.7E-2</v>
          </cell>
          <cell r="EZ120">
            <v>-2.7E-2</v>
          </cell>
          <cell r="FA120">
            <v>-7.9000000000000001E-2</v>
          </cell>
          <cell r="FD120">
            <v>-6.2E-2</v>
          </cell>
          <cell r="FE120">
            <v>-2.1000000000000001E-2</v>
          </cell>
          <cell r="FF120">
            <v>-6.6000000000000003E-2</v>
          </cell>
          <cell r="FG120">
            <v>-0.04</v>
          </cell>
          <cell r="FJ120">
            <v>-9.1999999999999998E-2</v>
          </cell>
          <cell r="FK120">
            <v>-8.8999999999999996E-2</v>
          </cell>
          <cell r="FL120">
            <v>-2.3E-2</v>
          </cell>
          <cell r="FM120">
            <v>0.01</v>
          </cell>
          <cell r="FP120">
            <v>0.10800000000000001</v>
          </cell>
          <cell r="FQ120">
            <v>6.5000000000000002E-2</v>
          </cell>
          <cell r="FR120">
            <v>4.8000000000000001E-2</v>
          </cell>
          <cell r="FS120">
            <v>3.9E-2</v>
          </cell>
          <cell r="FV120">
            <v>8.9999999999999993E-3</v>
          </cell>
          <cell r="FW120">
            <v>6.7000000000000004E-2</v>
          </cell>
          <cell r="FX120">
            <v>4.9000000000000002E-2</v>
          </cell>
          <cell r="FY120">
            <v>6.2E-2</v>
          </cell>
          <cell r="GB120">
            <v>7.2999999999999995E-2</v>
          </cell>
          <cell r="GC120">
            <v>1.2E-2</v>
          </cell>
          <cell r="GD120">
            <v>0.03</v>
          </cell>
          <cell r="GE120">
            <v>0.04</v>
          </cell>
        </row>
        <row r="121">
          <cell r="A121" t="str">
            <v>Month 3</v>
          </cell>
          <cell r="AN121" t="str">
            <v>Month 3</v>
          </cell>
          <cell r="BS121">
            <v>-8.9999999999999993E-3</v>
          </cell>
          <cell r="BT121">
            <v>-8.0000000000000002E-3</v>
          </cell>
          <cell r="BU121">
            <v>2.5000000000000001E-2</v>
          </cell>
          <cell r="BV121">
            <v>8.8999999999999996E-2</v>
          </cell>
          <cell r="BY121">
            <v>4.1000000000000002E-2</v>
          </cell>
          <cell r="BZ121">
            <v>7.0999999999999994E-2</v>
          </cell>
          <cell r="CA121">
            <v>-1.7999999999999999E-2</v>
          </cell>
          <cell r="CB121">
            <v>5.0999999999999997E-2</v>
          </cell>
          <cell r="CJ121">
            <v>-1.0999999999999999E-2</v>
          </cell>
          <cell r="CK121">
            <v>-1.7000000000000001E-2</v>
          </cell>
          <cell r="CL121">
            <v>4.9000000000000002E-2</v>
          </cell>
          <cell r="CM121">
            <v>9.4E-2</v>
          </cell>
          <cell r="CP121">
            <v>6.2E-2</v>
          </cell>
          <cell r="CQ121">
            <v>8.5999999999999993E-2</v>
          </cell>
          <cell r="CR121">
            <v>0.03</v>
          </cell>
          <cell r="CS121">
            <v>1.4999999999999999E-2</v>
          </cell>
          <cell r="CV121">
            <v>0.05</v>
          </cell>
          <cell r="CW121">
            <v>3.9E-2</v>
          </cell>
          <cell r="CX121">
            <v>-1.9E-2</v>
          </cell>
          <cell r="CY121">
            <v>7.2999999999999995E-2</v>
          </cell>
          <cell r="DB121">
            <v>1.4999999999999999E-2</v>
          </cell>
          <cell r="DC121">
            <v>4.7E-2</v>
          </cell>
          <cell r="DD121">
            <v>4.4999999999999998E-2</v>
          </cell>
          <cell r="DE121">
            <v>4.2000000000000003E-2</v>
          </cell>
          <cell r="DH121">
            <v>5.1999999999999998E-2</v>
          </cell>
          <cell r="DI121">
            <v>1.6E-2</v>
          </cell>
          <cell r="DJ121">
            <v>1.6E-2</v>
          </cell>
          <cell r="DK121">
            <v>3.6999999999999998E-2</v>
          </cell>
          <cell r="DN121">
            <v>8.0000000000000002E-3</v>
          </cell>
          <cell r="DO121">
            <v>-4.2000000000000003E-2</v>
          </cell>
          <cell r="DP121">
            <v>-8.6999999999999994E-2</v>
          </cell>
          <cell r="DQ121">
            <v>-8.7999999999999995E-2</v>
          </cell>
          <cell r="DT121">
            <v>-5.8999999999999997E-2</v>
          </cell>
          <cell r="DU121">
            <v>-5.1999999999999998E-2</v>
          </cell>
          <cell r="DV121">
            <v>3.0000000000000001E-3</v>
          </cell>
          <cell r="DW121">
            <v>-1.2E-2</v>
          </cell>
          <cell r="DZ121">
            <v>-1.3999999999999999E-2</v>
          </cell>
          <cell r="EA121">
            <v>-4.0000000000000001E-3</v>
          </cell>
          <cell r="EB121">
            <v>-0.02</v>
          </cell>
          <cell r="EC121">
            <v>5.5E-2</v>
          </cell>
          <cell r="EF121">
            <v>5.3999999999999999E-2</v>
          </cell>
          <cell r="EG121">
            <v>3.6999999999999998E-2</v>
          </cell>
          <cell r="EH121">
            <v>0.04</v>
          </cell>
          <cell r="EI121">
            <v>-4.0000000000000001E-3</v>
          </cell>
          <cell r="EL121">
            <v>2.8000000000000001E-2</v>
          </cell>
          <cell r="EM121">
            <v>-8.9999999999999993E-3</v>
          </cell>
          <cell r="EN121">
            <v>-7.0000000000000001E-3</v>
          </cell>
          <cell r="EO121">
            <v>0.01</v>
          </cell>
          <cell r="ER121">
            <v>-8.0000000000000002E-3</v>
          </cell>
          <cell r="ES121">
            <v>3.3000000000000002E-2</v>
          </cell>
          <cell r="ET121">
            <v>7.6999999999999999E-2</v>
          </cell>
          <cell r="EU121">
            <v>8.5999999999999993E-2</v>
          </cell>
          <cell r="EX121">
            <v>-2.1999999999999999E-2</v>
          </cell>
          <cell r="EY121">
            <v>-1.4E-2</v>
          </cell>
          <cell r="EZ121">
            <v>-1.4999999999999999E-2</v>
          </cell>
          <cell r="FA121">
            <v>-7.0999999999999994E-2</v>
          </cell>
          <cell r="FD121">
            <v>0.03</v>
          </cell>
          <cell r="FE121">
            <v>-2.9000000000000001E-2</v>
          </cell>
          <cell r="FF121">
            <v>-6.3E-2</v>
          </cell>
          <cell r="FG121">
            <v>-4.4999999999999998E-2</v>
          </cell>
          <cell r="FJ121">
            <v>-9.0999999999999998E-2</v>
          </cell>
          <cell r="FK121">
            <v>-0.107</v>
          </cell>
          <cell r="FL121">
            <v>-8.0000000000000002E-3</v>
          </cell>
          <cell r="FM121">
            <v>3.4000000000000002E-2</v>
          </cell>
          <cell r="FP121">
            <v>1.0999999999999999E-2</v>
          </cell>
          <cell r="FQ121">
            <v>7.2999999999999995E-2</v>
          </cell>
          <cell r="FR121">
            <v>2.5000000000000001E-2</v>
          </cell>
          <cell r="FS121">
            <v>2.5999999999999999E-2</v>
          </cell>
          <cell r="FV121">
            <v>0.108</v>
          </cell>
          <cell r="FW121">
            <v>0.05</v>
          </cell>
          <cell r="FX121">
            <v>2.1999999999999999E-2</v>
          </cell>
          <cell r="FY121">
            <v>2.4E-2</v>
          </cell>
          <cell r="GB121">
            <v>1.2E-2</v>
          </cell>
          <cell r="GC121">
            <v>4.1000000000000002E-2</v>
          </cell>
          <cell r="GD121">
            <v>5.5E-2</v>
          </cell>
          <cell r="GE121">
            <v>0.05</v>
          </cell>
        </row>
        <row r="122">
          <cell r="A122" t="str">
            <v>Total</v>
          </cell>
          <cell r="AN122" t="str">
            <v>Total</v>
          </cell>
          <cell r="BS122">
            <v>3.9E-2</v>
          </cell>
          <cell r="BT122">
            <v>8.0000000000000002E-3</v>
          </cell>
          <cell r="BU122">
            <v>3.6999999999999998E-2</v>
          </cell>
          <cell r="BV122">
            <v>3.5999999999999997E-2</v>
          </cell>
          <cell r="BW122">
            <v>3.0898675327518881E-2</v>
          </cell>
          <cell r="CJ122">
            <v>4.8470506256248672E-2</v>
          </cell>
          <cell r="CK122">
            <v>8.3184337129285652E-3</v>
          </cell>
          <cell r="CL122">
            <v>8.9999999999999993E-3</v>
          </cell>
          <cell r="CM122">
            <v>4.3417523930571543E-2</v>
          </cell>
          <cell r="CN122">
            <v>3.0844572544785176E-2</v>
          </cell>
          <cell r="CP122">
            <v>2.5000000000000001E-2</v>
          </cell>
          <cell r="CQ122">
            <v>4.3999999999999997E-2</v>
          </cell>
          <cell r="CR122">
            <v>3.1E-2</v>
          </cell>
          <cell r="CS122">
            <v>1.4E-2</v>
          </cell>
          <cell r="CT122">
            <v>2.7069152758765591E-2</v>
          </cell>
          <cell r="CU122">
            <v>0</v>
          </cell>
          <cell r="CV122">
            <v>2.4E-2</v>
          </cell>
          <cell r="CW122">
            <v>3.0187969924812031E-2</v>
          </cell>
          <cell r="CX122">
            <v>-1.2479646871752174E-2</v>
          </cell>
          <cell r="CY122">
            <v>4.1000000000000002E-2</v>
          </cell>
          <cell r="CZ122">
            <v>4.4999999999999998E-2</v>
          </cell>
          <cell r="DB122">
            <v>0.04</v>
          </cell>
          <cell r="DC122">
            <v>5.8999999999999997E-2</v>
          </cell>
          <cell r="DD122">
            <v>3.9E-2</v>
          </cell>
          <cell r="DE122">
            <v>4.3999999999999997E-2</v>
          </cell>
          <cell r="DF122">
            <v>4.4999999999999998E-2</v>
          </cell>
          <cell r="DH122">
            <v>2.9000000000000001E-2</v>
          </cell>
          <cell r="DI122">
            <v>1.9E-2</v>
          </cell>
          <cell r="DJ122">
            <v>1.9E-2</v>
          </cell>
          <cell r="DK122">
            <v>1.6E-2</v>
          </cell>
          <cell r="DL122">
            <v>0.02</v>
          </cell>
          <cell r="DN122">
            <v>-1.4999999999999999E-2</v>
          </cell>
          <cell r="DO122">
            <v>-4.8000000000000001E-2</v>
          </cell>
          <cell r="DP122">
            <v>-8.5999999999999993E-2</v>
          </cell>
          <cell r="DQ122">
            <v>-0.06</v>
          </cell>
          <cell r="DR122">
            <v>-5.2999999999999999E-2</v>
          </cell>
          <cell r="DT122">
            <v>-2.9000000000000001E-2</v>
          </cell>
          <cell r="DU122">
            <v>-2.8000000000000001E-2</v>
          </cell>
          <cell r="DV122">
            <v>-0.02</v>
          </cell>
          <cell r="DW122">
            <v>-3.9E-2</v>
          </cell>
          <cell r="DX122">
            <v>-0.03</v>
          </cell>
          <cell r="DZ122">
            <v>-0.05</v>
          </cell>
          <cell r="EA122">
            <v>-1.2E-2</v>
          </cell>
          <cell r="EB122">
            <v>2E-3</v>
          </cell>
          <cell r="EC122">
            <v>1.3999999999999999E-2</v>
          </cell>
          <cell r="ED122">
            <v>-9.0000000000000011E-3</v>
          </cell>
          <cell r="EF122">
            <v>6.9000000000000006E-2</v>
          </cell>
          <cell r="EG122">
            <v>3.3000000000000002E-2</v>
          </cell>
          <cell r="EH122">
            <v>4.0000000000000001E-3</v>
          </cell>
          <cell r="EI122">
            <v>8.0000000000000002E-3</v>
          </cell>
          <cell r="EJ122">
            <v>2.5999999999999999E-2</v>
          </cell>
          <cell r="EL122">
            <v>2.5999999999999999E-2</v>
          </cell>
          <cell r="EM122">
            <v>1.0999999999999999E-2</v>
          </cell>
          <cell r="EN122">
            <v>6.0000000000000001E-3</v>
          </cell>
          <cell r="EO122">
            <v>1.0999999999999999E-2</v>
          </cell>
          <cell r="EP122">
            <v>1.2999999999999999E-2</v>
          </cell>
          <cell r="ER122">
            <v>0</v>
          </cell>
          <cell r="ES122">
            <v>4.5999999999999999E-2</v>
          </cell>
          <cell r="ET122">
            <v>5.8999999999999997E-2</v>
          </cell>
          <cell r="EU122">
            <v>6.0999999999999999E-2</v>
          </cell>
          <cell r="EV122">
            <v>4.3999999999999997E-2</v>
          </cell>
          <cell r="EX122">
            <v>6.0000000000000001E-3</v>
          </cell>
          <cell r="EY122">
            <v>-2.5999999999999999E-2</v>
          </cell>
          <cell r="EZ122">
            <v>-8.0000000000000002E-3</v>
          </cell>
          <cell r="FA122">
            <v>-0.02</v>
          </cell>
          <cell r="FB122">
            <v>-1.2999999999999999E-2</v>
          </cell>
          <cell r="FD122">
            <v>-2.5999999999999999E-2</v>
          </cell>
          <cell r="FE122">
            <v>-2.1000000000000001E-2</v>
          </cell>
          <cell r="FF122">
            <v>-0.06</v>
          </cell>
          <cell r="FG122">
            <v>-7.0000000000000007E-2</v>
          </cell>
          <cell r="FH122">
            <v>-4.4999999999999998E-2</v>
          </cell>
          <cell r="FJ122">
            <v>-0.09</v>
          </cell>
          <cell r="FK122">
            <v>-9.5000000000000001E-2</v>
          </cell>
          <cell r="FL122">
            <v>-3.5999999999999997E-2</v>
          </cell>
          <cell r="FM122">
            <v>-8.0000000000000002E-3</v>
          </cell>
          <cell r="FN122">
            <v>-5.2999999999999999E-2</v>
          </cell>
          <cell r="FP122">
            <v>5.5E-2</v>
          </cell>
          <cell r="FQ122">
            <v>4.9000000000000002E-2</v>
          </cell>
          <cell r="FR122">
            <v>3.9E-2</v>
          </cell>
          <cell r="FS122">
            <v>4.2999999999999997E-2</v>
          </cell>
          <cell r="FT122">
            <v>4.610434747830261E-2</v>
          </cell>
          <cell r="FV122">
            <v>5.3999999999999999E-2</v>
          </cell>
          <cell r="FW122">
            <v>6.4000000000000001E-2</v>
          </cell>
          <cell r="FX122">
            <v>0.04</v>
          </cell>
          <cell r="FY122">
            <v>5.1999999999999998E-2</v>
          </cell>
          <cell r="FZ122">
            <v>5.2999999999999999E-2</v>
          </cell>
          <cell r="GB122">
            <v>4.3999999999999997E-2</v>
          </cell>
          <cell r="GC122">
            <v>0.03</v>
          </cell>
          <cell r="GD122">
            <v>4.4170626829774157E-2</v>
          </cell>
          <cell r="GE122">
            <v>4.1872044415560798E-2</v>
          </cell>
          <cell r="GF122">
            <v>4.02253638971692E-2</v>
          </cell>
        </row>
        <row r="124">
          <cell r="A124" t="str">
            <v>Consolidated Productivity Factor</v>
          </cell>
          <cell r="AN124" t="str">
            <v>Consolidated Productivity Factor</v>
          </cell>
        </row>
        <row r="125">
          <cell r="A125" t="str">
            <v>Month 1</v>
          </cell>
          <cell r="AN125" t="str">
            <v>Month 1</v>
          </cell>
          <cell r="EF125">
            <v>1.0043063843845854</v>
          </cell>
          <cell r="EG125">
            <v>1.010810633855717</v>
          </cell>
          <cell r="EH125">
            <v>1.0130234439561103</v>
          </cell>
          <cell r="EI125">
            <v>1.0261552566722514</v>
          </cell>
          <cell r="EL125">
            <v>1.0039733185357242</v>
          </cell>
          <cell r="EM125">
            <v>0.99978472992257905</v>
          </cell>
          <cell r="EN125">
            <v>1.0012187282870586</v>
          </cell>
          <cell r="EO125">
            <v>0.91407567624195751</v>
          </cell>
          <cell r="ER125">
            <v>0.85379589916801657</v>
          </cell>
          <cell r="ES125">
            <v>0.82852877251430668</v>
          </cell>
          <cell r="ET125">
            <v>0.83475030563790842</v>
          </cell>
          <cell r="EU125">
            <v>0.91480422703367681</v>
          </cell>
          <cell r="EX125">
            <v>1.0042251017232908</v>
          </cell>
          <cell r="EY125">
            <v>1.0108075527611304</v>
          </cell>
          <cell r="EZ125">
            <v>1.0032705612197608</v>
          </cell>
          <cell r="FA125">
            <v>0.99617129302855612</v>
          </cell>
          <cell r="FD125">
            <v>1.0047260256693704</v>
          </cell>
          <cell r="FE125">
            <v>1.0011731147187122</v>
          </cell>
          <cell r="FF125">
            <v>1.0015681684828099</v>
          </cell>
          <cell r="FG125">
            <v>0.9980273685296247</v>
          </cell>
          <cell r="FJ125">
            <v>1.0146680194879518</v>
          </cell>
          <cell r="FK125">
            <v>1.0229325701507319</v>
          </cell>
          <cell r="FL125">
            <v>1.0237530410429481</v>
          </cell>
          <cell r="FM125">
            <v>1.0168796021749338</v>
          </cell>
          <cell r="FP125">
            <v>1.0016060228776302</v>
          </cell>
          <cell r="FQ125">
            <v>0.98881215735067063</v>
          </cell>
          <cell r="FR125">
            <v>1.0007452413933455</v>
          </cell>
          <cell r="FS125">
            <v>1.0028115913956974</v>
          </cell>
          <cell r="FV125">
            <v>1.0005096291516782</v>
          </cell>
          <cell r="FW125">
            <v>1.0081721608307339</v>
          </cell>
          <cell r="FX125">
            <v>0.99435769750356207</v>
          </cell>
          <cell r="FY125">
            <v>1.0114048185081832</v>
          </cell>
          <cell r="GB125">
            <v>1.0253009585429893</v>
          </cell>
          <cell r="GC125">
            <v>1.0133052611979987</v>
          </cell>
          <cell r="GD125">
            <v>1.018088666893139</v>
          </cell>
          <cell r="GE125">
            <v>1.0011764705882353</v>
          </cell>
        </row>
        <row r="126">
          <cell r="A126" t="str">
            <v>Month 2</v>
          </cell>
          <cell r="AN126" t="str">
            <v>Month 2</v>
          </cell>
          <cell r="EF126">
            <v>1.0053433076034095</v>
          </cell>
          <cell r="EG126">
            <v>1.0066663386950321</v>
          </cell>
          <cell r="EH126">
            <v>1.012796599849775</v>
          </cell>
          <cell r="EI126">
            <v>1.0251796947783753</v>
          </cell>
          <cell r="EL126">
            <v>1.0061447584995618</v>
          </cell>
          <cell r="EM126">
            <v>1.0029492195249803</v>
          </cell>
          <cell r="EN126">
            <v>0.88191400316768354</v>
          </cell>
          <cell r="EO126">
            <v>0.90286524641517052</v>
          </cell>
          <cell r="ER126">
            <v>0.87143545576033965</v>
          </cell>
          <cell r="ES126">
            <v>0.86259214604526391</v>
          </cell>
          <cell r="ET126">
            <v>0.95476655228407081</v>
          </cell>
          <cell r="EU126">
            <v>0.95390310394604827</v>
          </cell>
          <cell r="EX126">
            <v>0.99756383077735888</v>
          </cell>
          <cell r="EY126">
            <v>1.0076309712339664</v>
          </cell>
          <cell r="EZ126">
            <v>1.0058439901456568</v>
          </cell>
          <cell r="FA126">
            <v>1.0104925603418453</v>
          </cell>
          <cell r="FD126">
            <v>1.0038919718017412</v>
          </cell>
          <cell r="FE126">
            <v>1.0002262623646179</v>
          </cell>
          <cell r="FF126">
            <v>1.0022779610885877</v>
          </cell>
          <cell r="FG126">
            <v>0.98797059201406712</v>
          </cell>
          <cell r="FJ126">
            <v>1.0172356632303496</v>
          </cell>
          <cell r="FK126">
            <v>1.0266388149144143</v>
          </cell>
          <cell r="FL126">
            <v>1.0185440088098592</v>
          </cell>
          <cell r="FM126">
            <v>1.0150644106268683</v>
          </cell>
          <cell r="FP126">
            <v>0.9967530496300272</v>
          </cell>
          <cell r="FQ126">
            <v>0.99989171377441255</v>
          </cell>
          <cell r="FR126">
            <v>1.0028971230689774</v>
          </cell>
          <cell r="FS126">
            <v>0.9946391314592461</v>
          </cell>
          <cell r="FV126">
            <v>1.0074992903911262</v>
          </cell>
          <cell r="FW126">
            <v>1.0057878604073234</v>
          </cell>
          <cell r="FX126">
            <v>1.0057401642886414</v>
          </cell>
          <cell r="FY126">
            <v>1.0118477756232767</v>
          </cell>
          <cell r="GB126">
            <v>1.0102541230632647</v>
          </cell>
          <cell r="GC126">
            <v>1.011143062170935</v>
          </cell>
          <cell r="GD126">
            <v>1</v>
          </cell>
          <cell r="GE126">
            <v>1</v>
          </cell>
        </row>
        <row r="127">
          <cell r="A127" t="str">
            <v>Month 3</v>
          </cell>
          <cell r="AN127" t="str">
            <v>Month 3</v>
          </cell>
          <cell r="EF127">
            <v>1.0049191704800837</v>
          </cell>
          <cell r="EG127">
            <v>1.0157391039871562</v>
          </cell>
          <cell r="EH127">
            <v>1.0229244178565875</v>
          </cell>
          <cell r="EI127">
            <v>1.0174283739131365</v>
          </cell>
          <cell r="EL127">
            <v>1.0058035349864145</v>
          </cell>
          <cell r="EM127">
            <v>1.0039069906098907</v>
          </cell>
          <cell r="EN127">
            <v>0.90735496459885556</v>
          </cell>
          <cell r="EO127">
            <v>0.95100379512625965</v>
          </cell>
          <cell r="ER127">
            <v>0.85509041472763314</v>
          </cell>
          <cell r="ES127">
            <v>0.83302342705472399</v>
          </cell>
          <cell r="ET127">
            <v>0.9300581404093593</v>
          </cell>
          <cell r="EU127">
            <v>0.88885616548937241</v>
          </cell>
          <cell r="EX127">
            <v>1.0012993536198342</v>
          </cell>
          <cell r="EY127">
            <v>1.0067406823426219</v>
          </cell>
          <cell r="EZ127">
            <v>1.0010354929971583</v>
          </cell>
          <cell r="FA127">
            <v>0.77697496531497701</v>
          </cell>
          <cell r="FD127">
            <v>0.99998610863561077</v>
          </cell>
          <cell r="FE127">
            <v>1.0000776716315167</v>
          </cell>
          <cell r="FF127">
            <v>1.0026881239876493</v>
          </cell>
          <cell r="FG127">
            <v>1.0034001517037674</v>
          </cell>
          <cell r="FJ127">
            <v>1.017274065207098</v>
          </cell>
          <cell r="FK127">
            <v>1.0307481774152398</v>
          </cell>
          <cell r="FL127">
            <v>1.0154616377110075</v>
          </cell>
          <cell r="FM127">
            <v>1.009307170702717</v>
          </cell>
          <cell r="FP127">
            <v>1.0005893323256754</v>
          </cell>
          <cell r="FQ127">
            <v>1.0111137394005785</v>
          </cell>
          <cell r="FR127">
            <v>1.0254628236300125</v>
          </cell>
          <cell r="FS127">
            <v>1.00775043725629</v>
          </cell>
          <cell r="FV127">
            <v>0.99618702023241001</v>
          </cell>
          <cell r="FW127">
            <v>1.0047825549823146</v>
          </cell>
          <cell r="FX127">
            <v>1.0004489851343907</v>
          </cell>
          <cell r="FY127">
            <v>1.008520012530175</v>
          </cell>
          <cell r="GB127">
            <v>1.0062765433093959</v>
          </cell>
          <cell r="GC127">
            <v>1.0227639737625074</v>
          </cell>
          <cell r="GD127">
            <v>1</v>
          </cell>
          <cell r="GE127">
            <v>1.25</v>
          </cell>
        </row>
        <row r="128">
          <cell r="EX128">
            <v>0.99364581839822941</v>
          </cell>
          <cell r="EY128">
            <v>1.0053855991928882</v>
          </cell>
          <cell r="EZ128">
            <v>1.0049007333596589</v>
          </cell>
          <cell r="FA128">
            <v>0.96635245216954013</v>
          </cell>
          <cell r="FD128">
            <v>1.0093706103322386</v>
          </cell>
          <cell r="FE128">
            <v>0.99942053289687438</v>
          </cell>
          <cell r="FF128">
            <v>1.0028127761391281</v>
          </cell>
          <cell r="FG128">
            <v>0.99829531956488382</v>
          </cell>
          <cell r="FH128">
            <v>0.99616480017746767</v>
          </cell>
          <cell r="FJ128">
            <v>1.0150952522446879</v>
          </cell>
          <cell r="FK128">
            <v>1.028988144998136</v>
          </cell>
          <cell r="FL128">
            <v>1.0174659464761271</v>
          </cell>
          <cell r="FM128">
            <v>1.004258927748259</v>
          </cell>
          <cell r="FN128">
            <v>1.0094977226152135</v>
          </cell>
          <cell r="FP128">
            <v>1.0000259928958455</v>
          </cell>
          <cell r="FQ128">
            <v>0.99963688802128137</v>
          </cell>
          <cell r="FR128">
            <v>1.0093878458063197</v>
          </cell>
          <cell r="FS128">
            <v>1.0000370362620763</v>
          </cell>
          <cell r="FT128">
            <v>1.0017002547102301</v>
          </cell>
          <cell r="FV128">
            <v>1.0021044058948783</v>
          </cell>
          <cell r="FW128">
            <v>1.0081307827273334</v>
          </cell>
          <cell r="FX128">
            <v>1.0033467891940979</v>
          </cell>
          <cell r="FY128">
            <v>1.0155381429309334</v>
          </cell>
          <cell r="FZ128">
            <v>1.0152922484576603</v>
          </cell>
          <cell r="GB128">
            <v>1.0132824557239268</v>
          </cell>
          <cell r="GC128">
            <v>1.0138954016780533</v>
          </cell>
          <cell r="GD128">
            <v>1.0060645702976547</v>
          </cell>
          <cell r="GE128">
            <v>1.0305274860110949</v>
          </cell>
          <cell r="GF128">
            <v>1.0083583012001358</v>
          </cell>
        </row>
        <row r="129">
          <cell r="A129" t="str">
            <v>Consolidated Store Count</v>
          </cell>
          <cell r="AN129" t="str">
            <v>Consolidated Store Count</v>
          </cell>
        </row>
        <row r="130">
          <cell r="A130" t="str">
            <v>Month 1</v>
          </cell>
          <cell r="AN130" t="str">
            <v>Month 1</v>
          </cell>
          <cell r="DZ130">
            <v>456</v>
          </cell>
          <cell r="EA130">
            <v>456</v>
          </cell>
          <cell r="EB130">
            <v>460</v>
          </cell>
          <cell r="EC130">
            <v>465</v>
          </cell>
          <cell r="EF130">
            <v>458</v>
          </cell>
          <cell r="EG130">
            <v>457</v>
          </cell>
          <cell r="EH130">
            <v>457</v>
          </cell>
          <cell r="EI130">
            <v>459</v>
          </cell>
          <cell r="EL130">
            <v>459</v>
          </cell>
          <cell r="EM130">
            <v>460</v>
          </cell>
          <cell r="EN130">
            <v>459</v>
          </cell>
          <cell r="EO130">
            <v>935</v>
          </cell>
          <cell r="ER130">
            <v>868</v>
          </cell>
          <cell r="ES130">
            <v>861</v>
          </cell>
          <cell r="ET130">
            <v>854</v>
          </cell>
          <cell r="EU130">
            <v>860</v>
          </cell>
          <cell r="EX130">
            <v>858</v>
          </cell>
          <cell r="EY130">
            <v>863</v>
          </cell>
          <cell r="EZ130">
            <v>864</v>
          </cell>
          <cell r="FA130">
            <v>866</v>
          </cell>
          <cell r="FD130">
            <v>852</v>
          </cell>
          <cell r="FE130">
            <v>852</v>
          </cell>
          <cell r="FF130">
            <v>856</v>
          </cell>
          <cell r="FG130">
            <v>859</v>
          </cell>
          <cell r="FJ130">
            <v>847</v>
          </cell>
          <cell r="FK130">
            <v>848</v>
          </cell>
          <cell r="FL130">
            <v>849</v>
          </cell>
          <cell r="FM130">
            <v>854</v>
          </cell>
          <cell r="FP130">
            <v>850</v>
          </cell>
          <cell r="FQ130">
            <v>850</v>
          </cell>
          <cell r="FR130">
            <v>849</v>
          </cell>
          <cell r="FS130">
            <v>854</v>
          </cell>
          <cell r="FV130">
            <v>850</v>
          </cell>
          <cell r="FW130">
            <v>850</v>
          </cell>
          <cell r="FX130">
            <v>849</v>
          </cell>
          <cell r="FY130">
            <v>851</v>
          </cell>
          <cell r="GB130">
            <v>842</v>
          </cell>
          <cell r="GC130">
            <v>844</v>
          </cell>
          <cell r="GD130">
            <v>846</v>
          </cell>
          <cell r="GE130">
            <v>847</v>
          </cell>
        </row>
        <row r="131">
          <cell r="A131" t="str">
            <v>Month 2</v>
          </cell>
          <cell r="AN131" t="str">
            <v>Month 2</v>
          </cell>
          <cell r="DZ131">
            <v>456</v>
          </cell>
          <cell r="EA131">
            <v>455</v>
          </cell>
          <cell r="EB131">
            <v>460</v>
          </cell>
          <cell r="EC131">
            <v>465</v>
          </cell>
          <cell r="EF131">
            <v>458</v>
          </cell>
          <cell r="EG131">
            <v>457</v>
          </cell>
          <cell r="EH131">
            <v>458</v>
          </cell>
          <cell r="EI131">
            <v>459</v>
          </cell>
          <cell r="EL131">
            <v>459</v>
          </cell>
          <cell r="EM131">
            <v>460</v>
          </cell>
          <cell r="EN131">
            <v>933</v>
          </cell>
          <cell r="EO131">
            <v>934</v>
          </cell>
          <cell r="ER131">
            <v>861</v>
          </cell>
          <cell r="ES131">
            <v>859</v>
          </cell>
          <cell r="ET131">
            <v>855</v>
          </cell>
          <cell r="EU131">
            <v>860</v>
          </cell>
          <cell r="EX131">
            <v>859</v>
          </cell>
          <cell r="EY131">
            <v>863</v>
          </cell>
          <cell r="EZ131">
            <v>866</v>
          </cell>
          <cell r="FA131">
            <v>857</v>
          </cell>
          <cell r="FD131">
            <v>853</v>
          </cell>
          <cell r="FE131">
            <v>853</v>
          </cell>
          <cell r="FF131">
            <v>853</v>
          </cell>
          <cell r="FG131">
            <v>859</v>
          </cell>
          <cell r="FJ131">
            <v>847</v>
          </cell>
          <cell r="FK131">
            <v>848</v>
          </cell>
          <cell r="FL131">
            <v>852</v>
          </cell>
          <cell r="FM131">
            <v>854</v>
          </cell>
          <cell r="FP131">
            <v>850</v>
          </cell>
          <cell r="FQ131">
            <v>850</v>
          </cell>
          <cell r="FR131">
            <v>852</v>
          </cell>
          <cell r="FS131">
            <v>854</v>
          </cell>
          <cell r="FV131">
            <v>850</v>
          </cell>
          <cell r="FW131">
            <v>850</v>
          </cell>
          <cell r="FX131">
            <v>849</v>
          </cell>
          <cell r="FY131">
            <v>850</v>
          </cell>
          <cell r="GB131">
            <v>844</v>
          </cell>
          <cell r="GC131">
            <v>846</v>
          </cell>
          <cell r="GD131">
            <v>847</v>
          </cell>
          <cell r="GE131">
            <v>848</v>
          </cell>
        </row>
        <row r="132">
          <cell r="A132" t="str">
            <v>Month 3</v>
          </cell>
          <cell r="AN132" t="str">
            <v>Month 3</v>
          </cell>
          <cell r="DZ132">
            <v>456</v>
          </cell>
          <cell r="EA132">
            <v>460</v>
          </cell>
          <cell r="EB132">
            <v>465</v>
          </cell>
          <cell r="EC132">
            <v>459</v>
          </cell>
          <cell r="EF132">
            <v>459</v>
          </cell>
          <cell r="EG132">
            <v>457</v>
          </cell>
          <cell r="EH132">
            <v>459</v>
          </cell>
          <cell r="EI132">
            <v>459</v>
          </cell>
          <cell r="EL132">
            <v>459</v>
          </cell>
          <cell r="EM132">
            <v>460</v>
          </cell>
          <cell r="EN132">
            <v>935</v>
          </cell>
          <cell r="EO132">
            <v>868</v>
          </cell>
          <cell r="ER132">
            <v>861</v>
          </cell>
          <cell r="ES132">
            <v>856</v>
          </cell>
          <cell r="ET132">
            <v>857</v>
          </cell>
          <cell r="EU132">
            <v>858</v>
          </cell>
          <cell r="EX132">
            <v>863</v>
          </cell>
          <cell r="EY132">
            <v>863</v>
          </cell>
          <cell r="EZ132">
            <v>866</v>
          </cell>
          <cell r="FA132">
            <v>852</v>
          </cell>
          <cell r="FD132">
            <v>851</v>
          </cell>
          <cell r="FE132">
            <v>855</v>
          </cell>
          <cell r="FF132">
            <v>856</v>
          </cell>
          <cell r="FG132">
            <v>847</v>
          </cell>
          <cell r="FJ132">
            <v>848</v>
          </cell>
          <cell r="FK132">
            <v>848</v>
          </cell>
          <cell r="FL132">
            <v>854</v>
          </cell>
          <cell r="FM132">
            <v>850</v>
          </cell>
          <cell r="FP132">
            <v>849</v>
          </cell>
          <cell r="FQ132">
            <v>849</v>
          </cell>
          <cell r="FR132">
            <v>854</v>
          </cell>
          <cell r="FS132">
            <v>850</v>
          </cell>
          <cell r="FV132">
            <v>850</v>
          </cell>
          <cell r="FW132">
            <v>849</v>
          </cell>
          <cell r="FX132">
            <v>850</v>
          </cell>
          <cell r="FY132">
            <v>842</v>
          </cell>
          <cell r="GB132">
            <v>844</v>
          </cell>
          <cell r="GC132">
            <v>845</v>
          </cell>
          <cell r="GD132">
            <v>847</v>
          </cell>
          <cell r="GE132">
            <v>844</v>
          </cell>
        </row>
        <row r="133">
          <cell r="A133" t="str">
            <v>Total</v>
          </cell>
          <cell r="AN133" t="str">
            <v>Total</v>
          </cell>
          <cell r="DZ133">
            <v>456</v>
          </cell>
          <cell r="EA133">
            <v>460</v>
          </cell>
          <cell r="EB133">
            <v>465</v>
          </cell>
          <cell r="EC133">
            <v>459</v>
          </cell>
          <cell r="ED133">
            <v>459</v>
          </cell>
          <cell r="EF133">
            <v>459</v>
          </cell>
          <cell r="EG133">
            <v>457</v>
          </cell>
          <cell r="EH133">
            <v>459</v>
          </cell>
          <cell r="EI133">
            <v>459</v>
          </cell>
          <cell r="EJ133">
            <v>459</v>
          </cell>
          <cell r="EL133">
            <v>459</v>
          </cell>
          <cell r="EM133">
            <v>460</v>
          </cell>
          <cell r="EN133">
            <v>935</v>
          </cell>
          <cell r="EO133">
            <v>868</v>
          </cell>
          <cell r="EP133">
            <v>868</v>
          </cell>
          <cell r="ER133">
            <v>861</v>
          </cell>
          <cell r="ES133">
            <v>856</v>
          </cell>
          <cell r="ET133">
            <v>857</v>
          </cell>
          <cell r="EU133">
            <v>858</v>
          </cell>
          <cell r="EV133">
            <v>858</v>
          </cell>
          <cell r="EX133">
            <v>863</v>
          </cell>
          <cell r="EY133">
            <v>863</v>
          </cell>
          <cell r="EZ133">
            <v>866</v>
          </cell>
          <cell r="FA133">
            <v>852</v>
          </cell>
          <cell r="FB133">
            <v>852</v>
          </cell>
          <cell r="FD133">
            <v>851</v>
          </cell>
          <cell r="FE133">
            <v>855</v>
          </cell>
          <cell r="FF133">
            <v>856</v>
          </cell>
          <cell r="FG133">
            <v>847</v>
          </cell>
          <cell r="FH133">
            <v>847</v>
          </cell>
          <cell r="FJ133">
            <v>848</v>
          </cell>
          <cell r="FK133">
            <v>848</v>
          </cell>
          <cell r="FL133">
            <v>854</v>
          </cell>
          <cell r="FM133">
            <v>850</v>
          </cell>
          <cell r="FN133">
            <v>850</v>
          </cell>
          <cell r="FP133">
            <v>849</v>
          </cell>
          <cell r="FQ133">
            <v>849</v>
          </cell>
          <cell r="FR133">
            <v>854</v>
          </cell>
          <cell r="FS133">
            <v>850</v>
          </cell>
          <cell r="FT133">
            <v>850</v>
          </cell>
          <cell r="FV133">
            <v>850</v>
          </cell>
          <cell r="FW133">
            <v>849</v>
          </cell>
          <cell r="FX133">
            <v>850</v>
          </cell>
          <cell r="FY133">
            <v>842</v>
          </cell>
          <cell r="FZ133">
            <v>842</v>
          </cell>
          <cell r="GB133">
            <v>844</v>
          </cell>
          <cell r="GC133">
            <v>845</v>
          </cell>
          <cell r="GD133">
            <v>847</v>
          </cell>
          <cell r="GE133">
            <v>844</v>
          </cell>
          <cell r="GF133">
            <v>844</v>
          </cell>
        </row>
        <row r="134">
          <cell r="GB134">
            <v>2</v>
          </cell>
          <cell r="GC134">
            <v>1</v>
          </cell>
          <cell r="GD134">
            <v>2</v>
          </cell>
          <cell r="GE134">
            <v>-3</v>
          </cell>
        </row>
        <row r="135">
          <cell r="A135" t="str">
            <v>Consolidated EOP Sq. Ft. (Estimated)</v>
          </cell>
          <cell r="AN135" t="str">
            <v>Consolidated EOP Sq. Ft. (Estimated)</v>
          </cell>
        </row>
        <row r="136">
          <cell r="A136" t="str">
            <v>Month 1</v>
          </cell>
          <cell r="AN136" t="str">
            <v>Month 1</v>
          </cell>
          <cell r="DZ136">
            <v>83.683006535947712</v>
          </cell>
          <cell r="EA136">
            <v>83.680988917306053</v>
          </cell>
          <cell r="EB136">
            <v>84.412537774966609</v>
          </cell>
          <cell r="EC136">
            <v>85.098039215686271</v>
          </cell>
          <cell r="EF136">
            <v>83.816993464052288</v>
          </cell>
          <cell r="EG136">
            <v>83.637037037037032</v>
          </cell>
          <cell r="EH136">
            <v>83.633986928104576</v>
          </cell>
          <cell r="EI136">
            <v>83.3</v>
          </cell>
          <cell r="EL136">
            <v>83.3</v>
          </cell>
          <cell r="EM136">
            <v>83.48260368663594</v>
          </cell>
          <cell r="EN136">
            <v>83.562228739002933</v>
          </cell>
          <cell r="EO136">
            <v>170.73444700460828</v>
          </cell>
          <cell r="ER136">
            <v>158.50225330225331</v>
          </cell>
          <cell r="ES136">
            <v>157.2256282269133</v>
          </cell>
          <cell r="ET136">
            <v>155.94704843969723</v>
          </cell>
          <cell r="EU136">
            <v>156.76456876456876</v>
          </cell>
          <cell r="EX136">
            <v>156.13711008111241</v>
          </cell>
          <cell r="EY136">
            <v>156.88300000000001</v>
          </cell>
          <cell r="EZ136">
            <v>157.15721016166282</v>
          </cell>
          <cell r="FA136">
            <v>157.50730751173711</v>
          </cell>
          <cell r="FD136">
            <v>155.23019506462987</v>
          </cell>
          <cell r="FE136">
            <v>155.06001403508773</v>
          </cell>
          <cell r="FF136">
            <v>155.41999999999999</v>
          </cell>
          <cell r="FG136">
            <v>156.27410743801653</v>
          </cell>
          <cell r="FJ136">
            <v>154.26087382075474</v>
          </cell>
          <cell r="FK136">
            <v>154.44300000000001</v>
          </cell>
          <cell r="FL136">
            <v>154.43150936768151</v>
          </cell>
          <cell r="FM136">
            <v>155.12658823529412</v>
          </cell>
          <cell r="FP136">
            <v>154.48674911660777</v>
          </cell>
          <cell r="FQ136">
            <v>154.48674911660777</v>
          </cell>
          <cell r="FR136">
            <v>153.76046135831382</v>
          </cell>
          <cell r="FS136">
            <v>154.94674588235296</v>
          </cell>
          <cell r="FV136">
            <v>154.34800000000001</v>
          </cell>
          <cell r="FW136">
            <v>154.47974087161367</v>
          </cell>
          <cell r="FX136">
            <v>154.10248941176471</v>
          </cell>
          <cell r="FY136">
            <v>153.92588836104514</v>
          </cell>
          <cell r="GB136">
            <v>151.83734123222749</v>
          </cell>
          <cell r="GC136">
            <v>152.19800000000001</v>
          </cell>
          <cell r="GD136">
            <v>152.25400000000002</v>
          </cell>
          <cell r="GE136">
            <v>152.30400000000003</v>
          </cell>
        </row>
        <row r="137">
          <cell r="A137" t="str">
            <v>Month 2</v>
          </cell>
          <cell r="AN137" t="str">
            <v>Month 2</v>
          </cell>
          <cell r="DZ137">
            <v>83.683006535947712</v>
          </cell>
          <cell r="EA137">
            <v>83.497477976697922</v>
          </cell>
          <cell r="EB137">
            <v>84.412537774966609</v>
          </cell>
          <cell r="EC137">
            <v>85.098039215686271</v>
          </cell>
          <cell r="EF137">
            <v>83.816993464052288</v>
          </cell>
          <cell r="EG137">
            <v>83.637037037037032</v>
          </cell>
          <cell r="EH137">
            <v>83.816993464052288</v>
          </cell>
          <cell r="EI137">
            <v>83.3</v>
          </cell>
          <cell r="EL137">
            <v>83.3</v>
          </cell>
          <cell r="EM137">
            <v>83.48260368663594</v>
          </cell>
          <cell r="EN137">
            <v>169.85524926686216</v>
          </cell>
          <cell r="EO137">
            <v>170.55184331797236</v>
          </cell>
          <cell r="ER137">
            <v>157.22400932400933</v>
          </cell>
          <cell r="ES137">
            <v>156.86041190118294</v>
          </cell>
          <cell r="ET137">
            <v>156.12965622475542</v>
          </cell>
          <cell r="EU137">
            <v>156.76456876456876</v>
          </cell>
          <cell r="EX137">
            <v>156.31908806488991</v>
          </cell>
          <cell r="EY137">
            <v>156.88300000000001</v>
          </cell>
          <cell r="EZ137">
            <v>157.52099999999999</v>
          </cell>
          <cell r="FA137">
            <v>155.87039553990613</v>
          </cell>
          <cell r="FD137">
            <v>155.41239012925971</v>
          </cell>
          <cell r="FE137">
            <v>155.24200935672516</v>
          </cell>
          <cell r="FF137">
            <v>154.87530373831774</v>
          </cell>
          <cell r="FG137">
            <v>156.27410743801653</v>
          </cell>
          <cell r="FJ137">
            <v>154.26087382075474</v>
          </cell>
          <cell r="FK137">
            <v>154.44300000000001</v>
          </cell>
          <cell r="FL137">
            <v>154.97720374707259</v>
          </cell>
          <cell r="FM137">
            <v>155.12658823529412</v>
          </cell>
          <cell r="FP137">
            <v>154.48674911660777</v>
          </cell>
          <cell r="FQ137">
            <v>154.48674911660777</v>
          </cell>
          <cell r="FR137">
            <v>154.30378454332552</v>
          </cell>
          <cell r="FS137">
            <v>154.94674588235296</v>
          </cell>
          <cell r="FV137">
            <v>154.34800000000001</v>
          </cell>
          <cell r="FW137">
            <v>154.47974087161367</v>
          </cell>
          <cell r="FX137">
            <v>154.10248941176471</v>
          </cell>
          <cell r="FY137">
            <v>153.74501187648457</v>
          </cell>
          <cell r="GB137">
            <v>152.19800000000001</v>
          </cell>
          <cell r="GC137">
            <v>152.22800000000001</v>
          </cell>
          <cell r="GD137">
            <v>152.30400000000003</v>
          </cell>
          <cell r="GE137">
            <v>152.30400000000003</v>
          </cell>
        </row>
        <row r="138">
          <cell r="A138" t="str">
            <v>Month 3</v>
          </cell>
          <cell r="AN138" t="str">
            <v>Month 3</v>
          </cell>
          <cell r="DZ138">
            <v>83.683006535947712</v>
          </cell>
          <cell r="EA138">
            <v>84.415032679738559</v>
          </cell>
          <cell r="EB138">
            <v>85.330065359477118</v>
          </cell>
          <cell r="EC138">
            <v>84</v>
          </cell>
          <cell r="EF138">
            <v>84</v>
          </cell>
          <cell r="EG138">
            <v>83.637037037037032</v>
          </cell>
          <cell r="EH138">
            <v>84</v>
          </cell>
          <cell r="EI138">
            <v>83.3</v>
          </cell>
          <cell r="EL138">
            <v>83.3</v>
          </cell>
          <cell r="EM138">
            <v>83.48260368663594</v>
          </cell>
          <cell r="EN138">
            <v>170.21935483870968</v>
          </cell>
          <cell r="EO138">
            <v>158.5</v>
          </cell>
          <cell r="ER138">
            <v>157.22400932400933</v>
          </cell>
          <cell r="ES138">
            <v>156.31258741258742</v>
          </cell>
          <cell r="ET138">
            <v>156.49487179487181</v>
          </cell>
          <cell r="EU138">
            <v>156.4</v>
          </cell>
          <cell r="EX138">
            <v>157.047</v>
          </cell>
          <cell r="EY138">
            <v>156.88300000000001</v>
          </cell>
          <cell r="EZ138">
            <v>157.52099999999999</v>
          </cell>
          <cell r="FA138">
            <v>154.96100000000001</v>
          </cell>
          <cell r="FD138">
            <v>155.048</v>
          </cell>
          <cell r="FE138">
            <v>155.60599999999999</v>
          </cell>
          <cell r="FF138">
            <v>155.41999999999999</v>
          </cell>
          <cell r="FG138">
            <v>154.09100000000001</v>
          </cell>
          <cell r="FJ138">
            <v>154.44300000000001</v>
          </cell>
          <cell r="FK138">
            <v>154.44300000000001</v>
          </cell>
          <cell r="FL138">
            <v>155.34100000000001</v>
          </cell>
          <cell r="FM138">
            <v>154.4</v>
          </cell>
          <cell r="FP138">
            <v>154.30500000000001</v>
          </cell>
          <cell r="FQ138">
            <v>154.30500000000001</v>
          </cell>
          <cell r="FR138">
            <v>154.666</v>
          </cell>
          <cell r="FS138">
            <v>154.221</v>
          </cell>
          <cell r="FV138">
            <v>154.34800000000001</v>
          </cell>
          <cell r="FW138">
            <v>154.298</v>
          </cell>
          <cell r="FX138">
            <v>154.28399999999999</v>
          </cell>
          <cell r="FY138">
            <v>152.298</v>
          </cell>
          <cell r="GB138">
            <v>152.19800000000001</v>
          </cell>
          <cell r="GC138">
            <v>152.20400000000001</v>
          </cell>
          <cell r="GD138">
            <v>152.30400000000003</v>
          </cell>
          <cell r="GE138">
            <v>152.30400000000003</v>
          </cell>
        </row>
        <row r="139">
          <cell r="A139" t="str">
            <v>Total</v>
          </cell>
          <cell r="AN139" t="str">
            <v>Total</v>
          </cell>
          <cell r="DZ139">
            <v>83.683006535947712</v>
          </cell>
          <cell r="EA139">
            <v>84.415032679738559</v>
          </cell>
          <cell r="EB139">
            <v>85.330065359477118</v>
          </cell>
          <cell r="EC139">
            <v>84</v>
          </cell>
          <cell r="ED139">
            <v>84</v>
          </cell>
          <cell r="EF139">
            <v>84</v>
          </cell>
          <cell r="EG139">
            <v>83.637037037037032</v>
          </cell>
          <cell r="EH139">
            <v>84</v>
          </cell>
          <cell r="EI139">
            <v>83.3</v>
          </cell>
          <cell r="EJ139">
            <v>83.3</v>
          </cell>
          <cell r="EL139">
            <v>83.3</v>
          </cell>
          <cell r="EM139">
            <v>83.48260368663594</v>
          </cell>
          <cell r="EN139">
            <v>170.21935483870968</v>
          </cell>
          <cell r="EO139">
            <v>158.5</v>
          </cell>
          <cell r="EP139">
            <v>158.5</v>
          </cell>
          <cell r="ER139">
            <v>157.22400932400933</v>
          </cell>
          <cell r="ES139">
            <v>156.31258741258742</v>
          </cell>
          <cell r="ET139">
            <v>156.49487179487181</v>
          </cell>
          <cell r="EU139">
            <v>156.4</v>
          </cell>
          <cell r="EV139">
            <v>156.4</v>
          </cell>
          <cell r="EX139">
            <v>157.047</v>
          </cell>
          <cell r="EY139">
            <v>156.88300000000001</v>
          </cell>
          <cell r="EZ139">
            <v>157.52099999999999</v>
          </cell>
          <cell r="FA139">
            <v>154.96100000000001</v>
          </cell>
          <cell r="FB139">
            <v>154.96100000000001</v>
          </cell>
          <cell r="FD139">
            <v>155.048</v>
          </cell>
          <cell r="FE139">
            <v>155.60599999999999</v>
          </cell>
          <cell r="FF139">
            <v>155.41999999999999</v>
          </cell>
          <cell r="FG139">
            <v>154.09100000000001</v>
          </cell>
          <cell r="FH139">
            <v>154.09100000000001</v>
          </cell>
          <cell r="FJ139">
            <v>154.44300000000001</v>
          </cell>
          <cell r="FK139">
            <v>154.44300000000001</v>
          </cell>
          <cell r="FL139">
            <v>155.34100000000001</v>
          </cell>
          <cell r="FM139">
            <v>154.4</v>
          </cell>
          <cell r="FN139">
            <v>154.4</v>
          </cell>
          <cell r="FP139">
            <v>154.30500000000001</v>
          </cell>
          <cell r="FQ139">
            <v>154.30500000000001</v>
          </cell>
          <cell r="FR139">
            <v>154.666</v>
          </cell>
          <cell r="FS139">
            <v>154.221</v>
          </cell>
          <cell r="FT139">
            <v>154.221</v>
          </cell>
          <cell r="FV139">
            <v>154.34800000000001</v>
          </cell>
          <cell r="FW139">
            <v>154.298</v>
          </cell>
          <cell r="FX139">
            <v>154.28399999999999</v>
          </cell>
          <cell r="FY139">
            <v>152.298</v>
          </cell>
          <cell r="FZ139">
            <v>152.298</v>
          </cell>
          <cell r="GB139">
            <v>152.19800000000001</v>
          </cell>
          <cell r="GC139">
            <v>152.20400000000001</v>
          </cell>
          <cell r="GD139">
            <v>152.30400000000003</v>
          </cell>
          <cell r="GE139">
            <v>152.30400000000003</v>
          </cell>
          <cell r="GF139">
            <v>152.30400000000003</v>
          </cell>
        </row>
        <row r="141">
          <cell r="A141" t="str">
            <v>Dept. Stores Monthly Sales - % change</v>
          </cell>
          <cell r="AN141" t="str">
            <v>Dept. Stores Monthly Sales - % change</v>
          </cell>
        </row>
        <row r="142">
          <cell r="A142" t="str">
            <v>Month 1</v>
          </cell>
          <cell r="AN142" t="str">
            <v>Month 1</v>
          </cell>
          <cell r="BS142" t="str">
            <v xml:space="preserve"> --  </v>
          </cell>
          <cell r="BT142" t="str">
            <v xml:space="preserve"> --  </v>
          </cell>
          <cell r="BU142" t="str">
            <v xml:space="preserve"> --  </v>
          </cell>
          <cell r="BV142" t="str">
            <v xml:space="preserve"> --  </v>
          </cell>
          <cell r="BY142">
            <v>4.014598540145986E-2</v>
          </cell>
          <cell r="BZ142">
            <v>7.0000000000000062E-2</v>
          </cell>
          <cell r="CA142">
            <v>8.999999999999897E-3</v>
          </cell>
          <cell r="CB142">
            <v>2.4000000000000021E-2</v>
          </cell>
          <cell r="CP142">
            <v>2.4489400832446107E-2</v>
          </cell>
          <cell r="CQ142">
            <v>3.166037057024651E-2</v>
          </cell>
          <cell r="CR142">
            <v>4.2093998037991742E-2</v>
          </cell>
          <cell r="CS142">
            <v>8.2543367511445087E-3</v>
          </cell>
          <cell r="CV142">
            <v>0</v>
          </cell>
          <cell r="CW142">
            <v>7.4106364428945248E-3</v>
          </cell>
          <cell r="CX142">
            <v>-3.5000000000000031E-2</v>
          </cell>
          <cell r="CY142">
            <v>-1.5669971218420176E-2</v>
          </cell>
          <cell r="DB142">
            <v>-3.1557067271353101E-2</v>
          </cell>
          <cell r="DC142">
            <v>-7.3561228905235643E-3</v>
          </cell>
          <cell r="DD142">
            <v>-7.6290182045534172E-3</v>
          </cell>
          <cell r="DE142">
            <v>-2.5990903183885639E-2</v>
          </cell>
          <cell r="DH142">
            <v>-1</v>
          </cell>
          <cell r="DI142">
            <v>-1</v>
          </cell>
          <cell r="DJ142">
            <v>-1</v>
          </cell>
          <cell r="DK142">
            <v>-1</v>
          </cell>
          <cell r="DN142" t="str">
            <v>NA</v>
          </cell>
          <cell r="DO142" t="str">
            <v>NA</v>
          </cell>
          <cell r="DP142" t="str">
            <v>NA</v>
          </cell>
          <cell r="DQ142" t="str">
            <v>NA</v>
          </cell>
          <cell r="DT142">
            <v>-3.0527289546716019E-2</v>
          </cell>
          <cell r="DU142">
            <v>-9.4745908699397363E-3</v>
          </cell>
          <cell r="DV142">
            <v>-3.8938053097345104E-2</v>
          </cell>
          <cell r="DW142">
            <v>-5.8785942492012744E-2</v>
          </cell>
          <cell r="DZ142">
            <v>-6.0114503816793841E-2</v>
          </cell>
          <cell r="EA142">
            <v>-1.1304347826086913E-2</v>
          </cell>
          <cell r="EB142">
            <v>-7.3664825046040328E-3</v>
          </cell>
          <cell r="EC142">
            <v>-8.8255261371350535E-3</v>
          </cell>
          <cell r="EF142">
            <v>9.6446700507614169E-2</v>
          </cell>
          <cell r="EG142">
            <v>3.9577836411609502E-2</v>
          </cell>
          <cell r="EH142">
            <v>-2.0408163265306145E-2</v>
          </cell>
          <cell r="EI142">
            <v>-9.5890410958904271E-3</v>
          </cell>
          <cell r="EL142">
            <v>1.5740740740740833E-2</v>
          </cell>
          <cell r="EM142">
            <v>5.9221658206429773E-3</v>
          </cell>
          <cell r="EN142">
            <v>1.1363636363636465E-2</v>
          </cell>
          <cell r="EO142">
            <v>0.80982019363762103</v>
          </cell>
          <cell r="ER142">
            <v>0.64083865086599823</v>
          </cell>
          <cell r="ES142">
            <v>0.70395290159798152</v>
          </cell>
          <cell r="ET142">
            <v>0.61704119850187267</v>
          </cell>
          <cell r="EU142">
            <v>-8.8651127244936956E-2</v>
          </cell>
          <cell r="EX142">
            <v>1.1111111111110628E-3</v>
          </cell>
          <cell r="EY142">
            <v>-2.4679170779861814E-2</v>
          </cell>
          <cell r="EZ142">
            <v>3.5321366531557707E-2</v>
          </cell>
          <cell r="FA142">
            <v>0.13501048218029355</v>
          </cell>
          <cell r="FD142">
            <v>-3.6071032186459462E-2</v>
          </cell>
          <cell r="FE142">
            <v>-2.5303643724696401E-2</v>
          </cell>
          <cell r="FF142">
            <v>-5.7046979865771785E-2</v>
          </cell>
          <cell r="FG142">
            <v>-0.14148503878832652</v>
          </cell>
          <cell r="FJ142">
            <v>-7.7376206594334418E-2</v>
          </cell>
          <cell r="FK142">
            <v>-7.3854331133361484E-2</v>
          </cell>
          <cell r="FL142">
            <v>-6.5154745638739242E-2</v>
          </cell>
          <cell r="FM142">
            <v>-5.2161507132639562E-2</v>
          </cell>
          <cell r="FP142">
            <v>4.0186303599689444E-2</v>
          </cell>
          <cell r="FQ142">
            <v>2.9395500964750632E-3</v>
          </cell>
          <cell r="FR142">
            <v>3.9241783148511233E-2</v>
          </cell>
          <cell r="FS142">
            <v>6.2749594749162307E-2</v>
          </cell>
          <cell r="FV142">
            <v>5.7588482303539301E-2</v>
          </cell>
          <cell r="FW142">
            <v>8.2727780883175006E-2</v>
          </cell>
          <cell r="FX142">
            <v>4.6398046398046455E-2</v>
          </cell>
          <cell r="FY142">
            <v>5.2968816744980884E-2</v>
          </cell>
          <cell r="GB142">
            <v>5.5019852524106572E-2</v>
          </cell>
          <cell r="GC142">
            <v>4.0268456375838868E-2</v>
          </cell>
          <cell r="GD142">
            <v>5.7176196032672211E-2</v>
          </cell>
          <cell r="GE142">
            <v>3.0252351388493137E-2</v>
          </cell>
        </row>
        <row r="143">
          <cell r="A143" t="str">
            <v>Month 2</v>
          </cell>
          <cell r="AN143" t="str">
            <v>Month 2</v>
          </cell>
          <cell r="BS143" t="str">
            <v xml:space="preserve"> --  </v>
          </cell>
          <cell r="BT143" t="str">
            <v xml:space="preserve"> --  </v>
          </cell>
          <cell r="BU143" t="str">
            <v xml:space="preserve"> --  </v>
          </cell>
          <cell r="BV143" t="str">
            <v xml:space="preserve"> --  </v>
          </cell>
          <cell r="BY143">
            <v>-2.4999999999999911E-2</v>
          </cell>
          <cell r="BZ143">
            <v>4.8000000000000043E-2</v>
          </cell>
          <cell r="CA143">
            <v>4.8999999999999932E-2</v>
          </cell>
          <cell r="CB143">
            <v>1.2999999999999901E-2</v>
          </cell>
          <cell r="CP143">
            <v>9.4745908699398473E-3</v>
          </cell>
          <cell r="CQ143">
            <v>3.8961038961038863E-2</v>
          </cell>
          <cell r="CR143">
            <v>3.4921997996278709E-2</v>
          </cell>
          <cell r="CS143">
            <v>2.2241668489753064E-3</v>
          </cell>
          <cell r="CV143">
            <v>-9.3080980452997508E-4</v>
          </cell>
          <cell r="CW143">
            <v>2.2966867469879526E-2</v>
          </cell>
          <cell r="CX143">
            <v>-2.0000000000000018E-2</v>
          </cell>
          <cell r="CY143">
            <v>4.3799999999999839E-2</v>
          </cell>
          <cell r="DB143">
            <v>4.2701863354037251E-2</v>
          </cell>
          <cell r="DC143">
            <v>3.5701140964298883E-2</v>
          </cell>
          <cell r="DD143">
            <v>4.0387334577032252E-3</v>
          </cell>
          <cell r="DE143">
            <v>1.6349047946182971E-2</v>
          </cell>
          <cell r="DH143">
            <v>-1</v>
          </cell>
          <cell r="DI143">
            <v>-1</v>
          </cell>
          <cell r="DJ143">
            <v>-1</v>
          </cell>
          <cell r="DK143">
            <v>-1</v>
          </cell>
          <cell r="DN143" t="str">
            <v>NA</v>
          </cell>
          <cell r="DO143" t="str">
            <v>NA</v>
          </cell>
          <cell r="DP143" t="str">
            <v>NA</v>
          </cell>
          <cell r="DQ143" t="str">
            <v>NA</v>
          </cell>
          <cell r="DT143">
            <v>-4.5558086560364419E-3</v>
          </cell>
          <cell r="DU143">
            <v>3.0920060331824928E-2</v>
          </cell>
          <cell r="DV143">
            <v>2.0170674941815347E-2</v>
          </cell>
          <cell r="DW143">
            <v>-8.2289803220035873E-3</v>
          </cell>
          <cell r="DZ143">
            <v>-5.9496567505720854E-2</v>
          </cell>
          <cell r="EA143">
            <v>-2.1945866861741048E-2</v>
          </cell>
          <cell r="EB143">
            <v>2.8136882129277563E-2</v>
          </cell>
          <cell r="EC143">
            <v>3.6075036075036149E-3</v>
          </cell>
          <cell r="EF143">
            <v>7.5425790754257926E-2</v>
          </cell>
          <cell r="EG143">
            <v>4.2632759910246731E-2</v>
          </cell>
          <cell r="EH143">
            <v>6.6568047337278724E-3</v>
          </cell>
          <cell r="EI143">
            <v>2.6599568655643502E-2</v>
          </cell>
          <cell r="EL143">
            <v>3.3936651583710509E-2</v>
          </cell>
          <cell r="EM143">
            <v>3.0129124820659881E-2</v>
          </cell>
          <cell r="EN143">
            <v>0.81043350477590015</v>
          </cell>
          <cell r="EO143">
            <v>0.91141456582633062</v>
          </cell>
          <cell r="ER143">
            <v>0.64478482859226838</v>
          </cell>
          <cell r="ES143">
            <v>0.64832869080779942</v>
          </cell>
          <cell r="ET143">
            <v>-6.5340909090909061E-2</v>
          </cell>
          <cell r="EU143">
            <v>-8.4630884777431747E-2</v>
          </cell>
          <cell r="EX143">
            <v>1.4634146341463428E-2</v>
          </cell>
          <cell r="EY143">
            <v>-1.9433882551753268E-2</v>
          </cell>
          <cell r="EZ143">
            <v>-1.2592270950933515E-2</v>
          </cell>
          <cell r="FA143">
            <v>-7.4644786872123281E-2</v>
          </cell>
          <cell r="FD143">
            <v>-6.3811188811188857E-2</v>
          </cell>
          <cell r="FE143">
            <v>-3.1021111589832007E-2</v>
          </cell>
          <cell r="FF143">
            <v>-7.9595426561125726E-2</v>
          </cell>
          <cell r="FG143">
            <v>-4.9091695501730093E-2</v>
          </cell>
          <cell r="FJ143">
            <v>-8.3193732222893169E-2</v>
          </cell>
          <cell r="FK143">
            <v>-6.9545735689765187E-2</v>
          </cell>
          <cell r="FL143">
            <v>-4.2277671038386533E-3</v>
          </cell>
          <cell r="FM143">
            <v>1.7686910874161521E-2</v>
          </cell>
          <cell r="FP143">
            <v>0.10601949166366365</v>
          </cell>
          <cell r="FQ143">
            <v>6.5186325382629029E-2</v>
          </cell>
          <cell r="FR143">
            <v>4.6469139412921301E-2</v>
          </cell>
          <cell r="FS143">
            <v>3.2231974812141573E-2</v>
          </cell>
          <cell r="FV143">
            <v>1.5653775322283625E-2</v>
          </cell>
          <cell r="FW143">
            <v>7.3126962763571113E-2</v>
          </cell>
          <cell r="FX143">
            <v>5.3645116918844549E-2</v>
          </cell>
          <cell r="FY143">
            <v>6.6248105650573708E-2</v>
          </cell>
          <cell r="GB143">
            <v>6.8902991840435135E-2</v>
          </cell>
          <cell r="GC143">
            <v>8.3612040133780319E-3</v>
          </cell>
          <cell r="GD143">
            <v>1.7979142315035279E-2</v>
          </cell>
          <cell r="GE143">
            <v>3.0252351388493137E-2</v>
          </cell>
        </row>
        <row r="144">
          <cell r="A144" t="str">
            <v>Month 3</v>
          </cell>
          <cell r="AN144" t="str">
            <v>Month 3</v>
          </cell>
          <cell r="BS144" t="str">
            <v xml:space="preserve"> --  </v>
          </cell>
          <cell r="BT144" t="str">
            <v xml:space="preserve"> --  </v>
          </cell>
          <cell r="BU144" t="str">
            <v xml:space="preserve"> --  </v>
          </cell>
          <cell r="BV144" t="str">
            <v xml:space="preserve"> --  </v>
          </cell>
          <cell r="BY144">
            <v>-1</v>
          </cell>
          <cell r="BZ144">
            <v>-1</v>
          </cell>
          <cell r="CA144">
            <v>-1</v>
          </cell>
          <cell r="CB144">
            <v>-1</v>
          </cell>
          <cell r="CP144">
            <v>7.1176173649671881E-2</v>
          </cell>
          <cell r="CQ144">
            <v>9.3491388951017607E-2</v>
          </cell>
          <cell r="CR144">
            <v>3.7600880410858295E-2</v>
          </cell>
          <cell r="CS144">
            <v>9.5674437407358148E-3</v>
          </cell>
          <cell r="CV144">
            <v>4.7125353440150786E-2</v>
          </cell>
          <cell r="CW144">
            <v>3.3442421763141716E-2</v>
          </cell>
          <cell r="CX144">
            <v>-2.6799999999999935E-2</v>
          </cell>
          <cell r="CY144">
            <v>6.7805659369994498E-2</v>
          </cell>
          <cell r="DB144">
            <v>-3.0603060306030549E-2</v>
          </cell>
          <cell r="DC144">
            <v>4.4532409698170294E-3</v>
          </cell>
          <cell r="DD144">
            <v>5.2999999999999999E-2</v>
          </cell>
          <cell r="DE144">
            <v>-2.1249999999999991E-2</v>
          </cell>
          <cell r="DH144">
            <v>-1</v>
          </cell>
          <cell r="DI144">
            <v>-1</v>
          </cell>
          <cell r="DJ144">
            <v>-1</v>
          </cell>
          <cell r="DK144">
            <v>-1</v>
          </cell>
          <cell r="DN144" t="str">
            <v>NA</v>
          </cell>
          <cell r="DO144" t="str">
            <v>NA</v>
          </cell>
          <cell r="DP144" t="str">
            <v>NA</v>
          </cell>
          <cell r="DQ144" t="str">
            <v>NA</v>
          </cell>
          <cell r="DT144">
            <v>-5.5938037865748691E-2</v>
          </cell>
          <cell r="DU144">
            <v>-3.4825870646766122E-2</v>
          </cell>
          <cell r="DV144">
            <v>2.3629489603024467E-2</v>
          </cell>
          <cell r="DW144">
            <v>1.2919896640826156E-3</v>
          </cell>
          <cell r="DZ144">
            <v>-1.9143117593436676E-2</v>
          </cell>
          <cell r="EA144">
            <v>-7.2164948453607991E-3</v>
          </cell>
          <cell r="EB144">
            <v>-2.3084025854108958E-2</v>
          </cell>
          <cell r="EC144">
            <v>5.0322580645161263E-2</v>
          </cell>
          <cell r="EF144">
            <v>6.3197026022304925E-2</v>
          </cell>
          <cell r="EG144">
            <v>4.3613707165109039E-2</v>
          </cell>
          <cell r="EH144">
            <v>4.7258979206049156E-2</v>
          </cell>
          <cell r="EI144">
            <v>4.9140049140048436E-3</v>
          </cell>
          <cell r="EL144">
            <v>2.5349650349650421E-2</v>
          </cell>
          <cell r="EM144">
            <v>-6.9651741293532687E-3</v>
          </cell>
          <cell r="EN144">
            <v>0.82581227436823101</v>
          </cell>
          <cell r="EO144">
            <v>0.82762836185819078</v>
          </cell>
          <cell r="ER144">
            <v>0.60102301790281332</v>
          </cell>
          <cell r="ES144">
            <v>0.61122244488977961</v>
          </cell>
          <cell r="ET144">
            <v>-7.909045971329709E-2</v>
          </cell>
          <cell r="EU144">
            <v>0.19063545150501682</v>
          </cell>
          <cell r="EX144">
            <v>-2.183173588924392E-2</v>
          </cell>
          <cell r="EY144">
            <v>-3.7313432835820448E-3</v>
          </cell>
          <cell r="EZ144">
            <v>-7.5147611379495771E-3</v>
          </cell>
          <cell r="FA144">
            <v>-0.28483146067415732</v>
          </cell>
          <cell r="FD144">
            <v>1.6875340228633684E-2</v>
          </cell>
          <cell r="FE144">
            <v>-3.6828963795255909E-2</v>
          </cell>
          <cell r="FF144">
            <v>-7.3012439156300735E-2</v>
          </cell>
          <cell r="FG144">
            <v>-4.7132757266300063E-2</v>
          </cell>
          <cell r="FJ144">
            <v>-7.8906078546147729E-2</v>
          </cell>
          <cell r="FK144">
            <v>-8.6421386047222271E-2</v>
          </cell>
          <cell r="FL144">
            <v>6.8259146413351957E-3</v>
          </cell>
          <cell r="FM144">
            <v>4.5716401865264711E-2</v>
          </cell>
          <cell r="FP144">
            <v>1.0691920195042393E-2</v>
          </cell>
          <cell r="FQ144">
            <v>8.3955625466711314E-2</v>
          </cell>
          <cell r="FR144">
            <v>4.6532073995587009E-2</v>
          </cell>
          <cell r="FS144">
            <v>3.2753260808866314E-2</v>
          </cell>
          <cell r="FV144">
            <v>0.10408280621046573</v>
          </cell>
          <cell r="FW144">
            <v>5.4973821989528826E-2</v>
          </cell>
          <cell r="FX144">
            <v>1.9933554817275656E-2</v>
          </cell>
          <cell r="FY144">
            <v>1.984732824427482E-2</v>
          </cell>
          <cell r="GB144">
            <v>4.1666666666666519E-3</v>
          </cell>
          <cell r="GC144">
            <v>5.0248138957816435E-2</v>
          </cell>
          <cell r="GD144">
            <v>4.1460682896476753E-2</v>
          </cell>
          <cell r="GE144">
            <v>0.31255170783595321</v>
          </cell>
        </row>
        <row r="145">
          <cell r="A145" t="str">
            <v>Total</v>
          </cell>
          <cell r="AN145" t="str">
            <v>Total</v>
          </cell>
          <cell r="BS145" t="str">
            <v xml:space="preserve"> --  </v>
          </cell>
          <cell r="BT145" t="str">
            <v xml:space="preserve"> --  </v>
          </cell>
          <cell r="BU145" t="str">
            <v xml:space="preserve"> --  </v>
          </cell>
          <cell r="BV145" t="str">
            <v xml:space="preserve"> --  </v>
          </cell>
          <cell r="BW145" t="str">
            <v xml:space="preserve"> --  </v>
          </cell>
          <cell r="BY145">
            <v>-1</v>
          </cell>
          <cell r="BZ145">
            <v>-1</v>
          </cell>
          <cell r="CA145">
            <v>-1</v>
          </cell>
          <cell r="CB145">
            <v>-1</v>
          </cell>
          <cell r="CF145">
            <v>-1</v>
          </cell>
          <cell r="CP145">
            <v>3.2690035447026533E-2</v>
          </cell>
          <cell r="CQ145">
            <v>5.1336703002253348E-2</v>
          </cell>
          <cell r="CR145">
            <v>3.7959602116871327E-2</v>
          </cell>
          <cell r="CS145">
            <v>5.1634428248001907E-3</v>
          </cell>
          <cell r="CT145">
            <v>3.3414978803579842</v>
          </cell>
          <cell r="CV145">
            <v>-1.5138179897905446E-2</v>
          </cell>
          <cell r="CW145">
            <v>2.0765755329008373E-2</v>
          </cell>
          <cell r="CX145">
            <v>-2.6732607244868034E-2</v>
          </cell>
          <cell r="CY145">
            <v>2.8982704390089653E-2</v>
          </cell>
          <cell r="CZ145">
            <v>4.2536515007434161E-3</v>
          </cell>
          <cell r="DB145">
            <v>3.3661006851355424E-2</v>
          </cell>
          <cell r="DC145">
            <v>2.3975031919421186E-2</v>
          </cell>
          <cell r="DD145">
            <v>1.2354237926307077E-2</v>
          </cell>
          <cell r="DE145">
            <v>9.7745834057736403E-3</v>
          </cell>
          <cell r="DF145">
            <v>1.8648853027320111E-2</v>
          </cell>
          <cell r="DH145">
            <v>2.9682997118155585E-2</v>
          </cell>
          <cell r="DI145">
            <v>1.9395954558049322E-2</v>
          </cell>
          <cell r="DJ145">
            <v>2.4654565158493735E-2</v>
          </cell>
          <cell r="DK145">
            <v>6.560182544209936E-2</v>
          </cell>
          <cell r="DL145">
            <v>3.7993636533782515E-2</v>
          </cell>
          <cell r="DN145">
            <v>-4.7579065211307281E-3</v>
          </cell>
          <cell r="DO145">
            <v>-5.191628159826045E-2</v>
          </cell>
          <cell r="DP145">
            <v>-8.1173982020095181E-2</v>
          </cell>
          <cell r="DQ145">
            <v>-8.4225553176302648E-2</v>
          </cell>
          <cell r="DR145">
            <v>-5.126818127178745E-2</v>
          </cell>
          <cell r="DT145">
            <v>-2.8965129358830111E-2</v>
          </cell>
          <cell r="DU145">
            <v>-5.7339449541282672E-4</v>
          </cell>
          <cell r="DV145">
            <v>1.1510791366906581E-3</v>
          </cell>
          <cell r="DW145">
            <v>-2.2408417770849565E-2</v>
          </cell>
          <cell r="DX145">
            <v>-1.3557174532784266E-2</v>
          </cell>
          <cell r="DZ145">
            <v>-4.6915725456125101E-2</v>
          </cell>
          <cell r="EA145">
            <v>-1.4916810097532984E-2</v>
          </cell>
          <cell r="EB145">
            <v>2.012072434607548E-3</v>
          </cell>
          <cell r="EC145">
            <v>7.1756029499701057E-3</v>
          </cell>
          <cell r="ED145">
            <v>-1.0211290218996805E-2</v>
          </cell>
          <cell r="EF145">
            <v>7.8699483439683915E-2</v>
          </cell>
          <cell r="EG145">
            <v>4.2807221898660375E-2</v>
          </cell>
          <cell r="EH145">
            <v>1.1187607573149849E-2</v>
          </cell>
          <cell r="EI145">
            <v>1.3259449831783066E-2</v>
          </cell>
          <cell r="EJ145">
            <v>2.361796003114458E-2</v>
          </cell>
          <cell r="EL145">
            <v>2.5633802816901419E-2</v>
          </cell>
          <cell r="EM145">
            <v>1.1728567439262871E-2</v>
          </cell>
          <cell r="EN145">
            <v>0.57588652482269498</v>
          </cell>
          <cell r="EO145">
            <v>0.86933593750000004</v>
          </cell>
          <cell r="EP145">
            <v>0.41924442190669375</v>
          </cell>
          <cell r="ER145">
            <v>0.62867344136226322</v>
          </cell>
          <cell r="ES145">
            <v>0.65470604471432514</v>
          </cell>
          <cell r="ET145">
            <v>5.9585958595859578E-2</v>
          </cell>
          <cell r="EU145">
            <v>-4.3046703583742518E-2</v>
          </cell>
          <cell r="EV145">
            <v>0.20455560518088434</v>
          </cell>
          <cell r="EX145">
            <v>-1.5177065767284503E-3</v>
          </cell>
          <cell r="EY145">
            <v>-1.7180984153461254E-2</v>
          </cell>
          <cell r="EZ145">
            <v>3.397893306150257E-3</v>
          </cell>
          <cell r="FA145">
            <v>-6.1687957200567745E-2</v>
          </cell>
          <cell r="FB145">
            <v>-2.4360400444938812E-2</v>
          </cell>
          <cell r="FD145">
            <v>-2.9386927883803371E-2</v>
          </cell>
          <cell r="FE145">
            <v>-2.9531568228105876E-2</v>
          </cell>
          <cell r="FF145">
            <v>-6.9928885878767333E-2</v>
          </cell>
          <cell r="FG145">
            <v>-7.6797765883174329E-2</v>
          </cell>
          <cell r="FH145">
            <v>-5.4003724394785846E-2</v>
          </cell>
          <cell r="FJ145">
            <v>-7.9867757090655966E-2</v>
          </cell>
          <cell r="FK145">
            <v>-7.5725778244141284E-2</v>
          </cell>
          <cell r="FL145">
            <v>-1.9661387220098359E-2</v>
          </cell>
          <cell r="FM145">
            <v>3.7811948575749987E-4</v>
          </cell>
          <cell r="FN145">
            <v>-4.0053029085650005E-2</v>
          </cell>
          <cell r="FP145">
            <v>5.4084720121028829E-2</v>
          </cell>
          <cell r="FQ145">
            <v>4.7682119205298079E-2</v>
          </cell>
          <cell r="FR145">
            <v>4.4196843082636939E-2</v>
          </cell>
          <cell r="FS145">
            <v>4.182940657679235E-2</v>
          </cell>
          <cell r="FT145">
            <v>4.6369533375183014E-2</v>
          </cell>
          <cell r="FV145">
            <v>5.6512378902045191E-2</v>
          </cell>
          <cell r="FW145">
            <v>7.2602492324363332E-2</v>
          </cell>
          <cell r="FX145">
            <v>4.0903432331495626E-2</v>
          </cell>
          <cell r="FY145">
            <v>5.5024791389527206E-2</v>
          </cell>
          <cell r="FZ145">
            <v>5.60732712074552E-2</v>
          </cell>
          <cell r="GB145">
            <v>4.313126167430803E-2</v>
          </cell>
          <cell r="GC145">
            <v>3.0139754167368249E-2</v>
          </cell>
          <cell r="GD145">
            <v>3.7021467099822347E-2</v>
          </cell>
          <cell r="GE145">
            <v>7.372007776590972E-2</v>
          </cell>
          <cell r="GF145">
            <v>4.8961204520547419E-2</v>
          </cell>
        </row>
        <row r="147">
          <cell r="A147" t="str">
            <v>Dept. Stores Monthly Sales - % of Total Year</v>
          </cell>
          <cell r="AN147" t="str">
            <v>Dept. Stores Monthly Sales - % of Total Year</v>
          </cell>
        </row>
        <row r="148">
          <cell r="A148" t="str">
            <v>Month 1</v>
          </cell>
          <cell r="AN148" t="str">
            <v>Month 1</v>
          </cell>
          <cell r="BS148">
            <v>6.3992993467868478E-2</v>
          </cell>
          <cell r="BT148">
            <v>6.9693099295697544E-2</v>
          </cell>
          <cell r="BU148">
            <v>7.6641243659453337E-2</v>
          </cell>
          <cell r="BV148">
            <v>9.6536875524577598E-2</v>
          </cell>
          <cell r="CP148">
            <v>6.7547817651526273E-2</v>
          </cell>
          <cell r="CQ148">
            <v>7.3202330731576559E-2</v>
          </cell>
          <cell r="CR148">
            <v>7.4574475553484926E-2</v>
          </cell>
          <cell r="CS148">
            <v>9.9783647862964217E-2</v>
          </cell>
          <cell r="CV148">
            <v>6.7261709778783194E-2</v>
          </cell>
          <cell r="CW148">
            <v>7.3432450537966709E-2</v>
          </cell>
          <cell r="CX148">
            <v>7.1659554139106546E-2</v>
          </cell>
          <cell r="CY148">
            <v>9.7804016770169422E-2</v>
          </cell>
          <cell r="DB148">
            <v>6.3946596793312119E-2</v>
          </cell>
          <cell r="DC148">
            <v>7.1557801484808781E-2</v>
          </cell>
          <cell r="DD148">
            <v>6.9810967621186604E-2</v>
          </cell>
          <cell r="DE148">
            <v>9.3517998627487678E-2</v>
          </cell>
          <cell r="DH148">
            <v>0</v>
          </cell>
          <cell r="DI148">
            <v>0</v>
          </cell>
          <cell r="DJ148">
            <v>0</v>
          </cell>
          <cell r="DK148">
            <v>0</v>
          </cell>
          <cell r="DN148">
            <v>6.8482736775419703E-2</v>
          </cell>
          <cell r="DO148">
            <v>7.3550839404497942E-2</v>
          </cell>
          <cell r="DP148">
            <v>7.1586949635730118E-2</v>
          </cell>
          <cell r="DQ148">
            <v>9.9144757681343051E-2</v>
          </cell>
          <cell r="DT148">
            <v>6.7304604713891214E-2</v>
          </cell>
          <cell r="DU148">
            <v>7.3855243722304287E-2</v>
          </cell>
          <cell r="DV148">
            <v>6.9745038854280392E-2</v>
          </cell>
          <cell r="DW148">
            <v>9.459893391561236E-2</v>
          </cell>
          <cell r="DZ148">
            <v>6.3911237996366471E-2</v>
          </cell>
          <cell r="EA148">
            <v>7.3773682844536725E-2</v>
          </cell>
          <cell r="EB148">
            <v>6.9945497015312746E-2</v>
          </cell>
          <cell r="EC148">
            <v>9.4731378146898526E-2</v>
          </cell>
          <cell r="EF148">
            <v>6.8458417849898576E-2</v>
          </cell>
          <cell r="EG148">
            <v>7.4923935091277885E-2</v>
          </cell>
          <cell r="EH148">
            <v>6.6937119675456389E-2</v>
          </cell>
          <cell r="EI148">
            <v>9.1658215010141986E-2</v>
          </cell>
          <cell r="EL148">
            <v>4.899508709245199E-2</v>
          </cell>
          <cell r="EM148">
            <v>5.3104064314426082E-2</v>
          </cell>
          <cell r="EN148">
            <v>4.769986601161233E-2</v>
          </cell>
          <cell r="EO148">
            <v>0.11688253684680661</v>
          </cell>
          <cell r="ER148">
            <v>6.6740823136818686E-2</v>
          </cell>
          <cell r="ES148">
            <v>7.5120504263997037E-2</v>
          </cell>
          <cell r="ET148">
            <v>6.4034111976269931E-2</v>
          </cell>
          <cell r="EU148">
            <v>8.8431590656284767E-2</v>
          </cell>
          <cell r="EX148">
            <v>6.8483259225477905E-2</v>
          </cell>
          <cell r="EY148">
            <v>7.5095960171778206E-2</v>
          </cell>
          <cell r="EZ148">
            <v>6.795120282749971E-2</v>
          </cell>
          <cell r="FA148">
            <v>0.10287690495192491</v>
          </cell>
          <cell r="FD148">
            <v>6.9781455889442387E-2</v>
          </cell>
          <cell r="FE148">
            <v>7.7374256789329909E-2</v>
          </cell>
          <cell r="FF148">
            <v>6.7732604852964812E-2</v>
          </cell>
          <cell r="FG148">
            <v>9.3363329583802029E-2</v>
          </cell>
          <cell r="FJ148">
            <v>6.7068320951899615E-2</v>
          </cell>
          <cell r="FK148">
            <v>7.4649782725973876E-2</v>
          </cell>
          <cell r="FL148">
            <v>6.5961460508603714E-2</v>
          </cell>
          <cell r="FM148">
            <v>9.2185673045563743E-2</v>
          </cell>
          <cell r="FP148">
            <v>6.6671999360076797E-2</v>
          </cell>
          <cell r="FQ148">
            <v>7.155141383034036E-2</v>
          </cell>
          <cell r="FR148">
            <v>6.5512138543374801E-2</v>
          </cell>
          <cell r="FS148">
            <v>9.3628764548254209E-2</v>
          </cell>
          <cell r="FV148">
            <v>6.6767657640598374E-2</v>
          </cell>
          <cell r="FW148">
            <v>7.3357318689642112E-2</v>
          </cell>
          <cell r="FX148">
            <v>6.49119484946033E-2</v>
          </cell>
          <cell r="FY148">
            <v>9.3353531528119676E-2</v>
          </cell>
          <cell r="GB148">
            <v>6.7153297961635244E-2</v>
          </cell>
          <cell r="GC148">
            <v>7.2749406125104846E-2</v>
          </cell>
          <cell r="GD148">
            <v>6.5420309627141432E-2</v>
          </cell>
          <cell r="GE148">
            <v>9.1688515221328329E-2</v>
          </cell>
        </row>
        <row r="149">
          <cell r="A149" t="str">
            <v>Month 2</v>
          </cell>
          <cell r="AN149" t="str">
            <v>Month 2</v>
          </cell>
          <cell r="BS149">
            <v>8.4866620443017182E-2</v>
          </cell>
          <cell r="BT149">
            <v>8.483742655913587E-2</v>
          </cell>
          <cell r="BU149">
            <v>9.3559099368682272E-2</v>
          </cell>
          <cell r="BV149">
            <v>0.18623508374995437</v>
          </cell>
          <cell r="CP149">
            <v>8.2277632762989106E-2</v>
          </cell>
          <cell r="CQ149">
            <v>8.4753875511363277E-2</v>
          </cell>
          <cell r="CR149">
            <v>9.2297480997389741E-2</v>
          </cell>
          <cell r="CS149">
            <v>0.1754239289292803</v>
          </cell>
          <cell r="CV149">
            <v>8.1852874333968956E-2</v>
          </cell>
          <cell r="CW149">
            <v>8.6333175297124864E-2</v>
          </cell>
          <cell r="CX149">
            <v>9.0068411742663196E-2</v>
          </cell>
          <cell r="CY149">
            <v>0.18233192056882172</v>
          </cell>
          <cell r="DB149">
            <v>8.3785638530164075E-2</v>
          </cell>
          <cell r="DC149">
            <v>8.7778401647014781E-2</v>
          </cell>
          <cell r="DD149">
            <v>8.8776592426227457E-2</v>
          </cell>
          <cell r="DE149">
            <v>0.18192026951151039</v>
          </cell>
          <cell r="DH149">
            <v>0</v>
          </cell>
          <cell r="DI149">
            <v>0</v>
          </cell>
          <cell r="DJ149">
            <v>0</v>
          </cell>
          <cell r="DK149">
            <v>0</v>
          </cell>
          <cell r="DN149">
            <v>8.3433639531200504E-2</v>
          </cell>
          <cell r="DO149">
            <v>8.4003801076971807E-2</v>
          </cell>
          <cell r="DP149">
            <v>8.1659803611023124E-2</v>
          </cell>
          <cell r="DQ149">
            <v>0.17706683560342096</v>
          </cell>
          <cell r="DT149">
            <v>8.4194977843426888E-2</v>
          </cell>
          <cell r="DU149">
            <v>8.7791407102947791E-2</v>
          </cell>
          <cell r="DV149">
            <v>8.445186564767837E-2</v>
          </cell>
          <cell r="DW149">
            <v>0.17802324834628477</v>
          </cell>
          <cell r="DZ149">
            <v>8.0002595380223196E-2</v>
          </cell>
          <cell r="EA149">
            <v>8.6750583960550215E-2</v>
          </cell>
          <cell r="EB149">
            <v>8.7723851544251233E-2</v>
          </cell>
          <cell r="EC149">
            <v>0.18050869452374774</v>
          </cell>
          <cell r="EF149">
            <v>8.4051724137931036E-2</v>
          </cell>
          <cell r="EG149">
            <v>8.8362068965517238E-2</v>
          </cell>
          <cell r="EH149">
            <v>8.6270283975659223E-2</v>
          </cell>
          <cell r="EI149">
            <v>0.18103448275862069</v>
          </cell>
          <cell r="EL149">
            <v>6.1232693166592231E-2</v>
          </cell>
          <cell r="EM149">
            <v>6.413577489950871E-2</v>
          </cell>
          <cell r="EN149">
            <v>0.11004912907548013</v>
          </cell>
          <cell r="EO149">
            <v>0.24381420276909335</v>
          </cell>
          <cell r="ER149">
            <v>8.3611420096403405E-2</v>
          </cell>
          <cell r="ES149">
            <v>8.776418242491657E-2</v>
          </cell>
          <cell r="ET149">
            <v>8.5391175380051906E-2</v>
          </cell>
          <cell r="EU149">
            <v>0.18527994067482387</v>
          </cell>
          <cell r="EX149">
            <v>8.695321704100635E-2</v>
          </cell>
          <cell r="EY149">
            <v>8.8207349979097779E-2</v>
          </cell>
          <cell r="EZ149">
            <v>8.6421160643028155E-2</v>
          </cell>
          <cell r="FA149">
            <v>0.17573062744650933</v>
          </cell>
          <cell r="FD149">
            <v>8.6051743532058494E-2</v>
          </cell>
          <cell r="FE149">
            <v>9.0350313353687928E-2</v>
          </cell>
          <cell r="FF149">
            <v>8.4083239595050624E-2</v>
          </cell>
          <cell r="FG149">
            <v>0.17664309818415555</v>
          </cell>
          <cell r="FJ149">
            <v>8.2184516659492057E-2</v>
          </cell>
          <cell r="FK149">
            <v>8.7574456599025657E-2</v>
          </cell>
          <cell r="FL149">
            <v>8.7221229690381485E-2</v>
          </cell>
          <cell r="FM149">
            <v>0.18726802038559062</v>
          </cell>
          <cell r="FP149">
            <v>8.686957565092189E-2</v>
          </cell>
          <cell r="FQ149">
            <v>8.9149302083749951E-2</v>
          </cell>
          <cell r="FR149">
            <v>8.7229532456105263E-2</v>
          </cell>
          <cell r="FS149">
            <v>0.18473783146022477</v>
          </cell>
          <cell r="FV149">
            <v>8.3544783185002844E-2</v>
          </cell>
          <cell r="FW149">
            <v>9.0588903616739255E-2</v>
          </cell>
          <cell r="FX149">
            <v>8.7028971785646655E-2</v>
          </cell>
          <cell r="FY149">
            <v>0.18651770498011741</v>
          </cell>
          <cell r="GB149">
            <v>8.5133051932008555E-2</v>
          </cell>
          <cell r="GC149">
            <v>8.7082663808314087E-2</v>
          </cell>
          <cell r="GD149">
            <v>8.4458488715419958E-2</v>
          </cell>
          <cell r="GE149">
            <v>0.18319104968155864</v>
          </cell>
        </row>
        <row r="150">
          <cell r="A150" t="str">
            <v>Month 3</v>
          </cell>
          <cell r="AN150" t="str">
            <v>Month 3</v>
          </cell>
          <cell r="BS150">
            <v>6.5569463197460126E-2</v>
          </cell>
          <cell r="BT150">
            <v>5.9373061343648503E-2</v>
          </cell>
          <cell r="BU150">
            <v>7.4488194723205489E-2</v>
          </cell>
          <cell r="BV150">
            <v>4.4206838667299207E-2</v>
          </cell>
          <cell r="CP150">
            <v>6.7713751443943093E-2</v>
          </cell>
          <cell r="CQ150">
            <v>6.2403870086604675E-2</v>
          </cell>
          <cell r="CR150">
            <v>7.2206727977075613E-2</v>
          </cell>
          <cell r="CS150">
            <v>4.7814460491802234E-2</v>
          </cell>
          <cell r="CV150">
            <v>7.0604459149875398E-2</v>
          </cell>
          <cell r="CW150">
            <v>6.4217647138568035E-2</v>
          </cell>
          <cell r="CX150">
            <v>6.9973942900060218E-2</v>
          </cell>
          <cell r="CY150">
            <v>5.0840294617372023E-2</v>
          </cell>
          <cell r="DB150">
            <v>6.7190716825753324E-2</v>
          </cell>
          <cell r="DC150">
            <v>6.3322727556304192E-2</v>
          </cell>
          <cell r="DD150">
            <v>6.8937550689375501E-2</v>
          </cell>
          <cell r="DE150">
            <v>4.8848961257720383E-2</v>
          </cell>
          <cell r="DH150">
            <v>0</v>
          </cell>
          <cell r="DI150">
            <v>0</v>
          </cell>
          <cell r="DJ150">
            <v>0</v>
          </cell>
          <cell r="DK150">
            <v>0</v>
          </cell>
          <cell r="DN150">
            <v>7.3614190687361414E-2</v>
          </cell>
          <cell r="DO150">
            <v>6.366803927779538E-2</v>
          </cell>
          <cell r="DP150">
            <v>6.702565726955971E-2</v>
          </cell>
          <cell r="DQ150">
            <v>4.9033892936331959E-2</v>
          </cell>
          <cell r="DT150">
            <v>7.0451480315971995E-2</v>
          </cell>
          <cell r="DU150">
            <v>6.229529253098709E-2</v>
          </cell>
          <cell r="DV150">
            <v>6.9552373001091766E-2</v>
          </cell>
          <cell r="DW150">
            <v>4.97720120737268E-2</v>
          </cell>
          <cell r="DZ150">
            <v>6.9815728004152602E-2</v>
          </cell>
          <cell r="EA150">
            <v>6.2483778873604984E-2</v>
          </cell>
          <cell r="EB150">
            <v>6.8647806903711389E-2</v>
          </cell>
          <cell r="EC150">
            <v>5.2815987542174932E-2</v>
          </cell>
          <cell r="EF150">
            <v>7.2515212981744417E-2</v>
          </cell>
          <cell r="EG150">
            <v>6.3704361054766734E-2</v>
          </cell>
          <cell r="EH150">
            <v>7.0233265720081137E-2</v>
          </cell>
          <cell r="EI150">
            <v>5.1850912778904662E-2</v>
          </cell>
          <cell r="EL150">
            <v>5.2389459580169717E-2</v>
          </cell>
          <cell r="EM150">
            <v>4.4573470299240733E-2</v>
          </cell>
          <cell r="EN150">
            <v>9.0352836087539079E-2</v>
          </cell>
          <cell r="EO150">
            <v>6.6770879857079052E-2</v>
          </cell>
          <cell r="ER150">
            <v>6.9632925472747492E-2</v>
          </cell>
          <cell r="ES150">
            <v>5.9621802002224694E-2</v>
          </cell>
          <cell r="ET150">
            <v>6.907675194660734E-2</v>
          </cell>
          <cell r="EU150">
            <v>6.5999258435298483E-2</v>
          </cell>
          <cell r="EX150">
            <v>6.9813400220423372E-2</v>
          </cell>
          <cell r="EY150">
            <v>6.0882453540075245E-2</v>
          </cell>
          <cell r="EZ150">
            <v>7.0269448561547529E-2</v>
          </cell>
          <cell r="FA150">
            <v>4.8379128187587883E-2</v>
          </cell>
          <cell r="FD150">
            <v>7.5044190904708347E-2</v>
          </cell>
          <cell r="FE150">
            <v>6.1987787240880603E-2</v>
          </cell>
          <cell r="FF150">
            <v>6.8857464245540734E-2</v>
          </cell>
          <cell r="FG150">
            <v>4.8730515828378597E-2</v>
          </cell>
          <cell r="FJ150">
            <v>7.2006840145461229E-2</v>
          </cell>
          <cell r="FK150">
            <v>5.899358867248948E-2</v>
          </cell>
          <cell r="FL150">
            <v>7.2220113734892177E-2</v>
          </cell>
          <cell r="FM150">
            <v>5.3084494474265165E-2</v>
          </cell>
          <cell r="FP150">
            <v>6.9551653801543808E-2</v>
          </cell>
          <cell r="FQ150">
            <v>6.11126664800224E-2</v>
          </cell>
          <cell r="FR150">
            <v>7.2231332240131188E-2</v>
          </cell>
          <cell r="FS150">
            <v>5.2393712754469461E-2</v>
          </cell>
          <cell r="FV150">
            <v>7.2713501230827496E-2</v>
          </cell>
          <cell r="FW150">
            <v>6.1049043741715582E-2</v>
          </cell>
          <cell r="FX150">
            <v>6.9759515243325132E-2</v>
          </cell>
          <cell r="FY150">
            <v>5.0596477939784133E-2</v>
          </cell>
          <cell r="GB150">
            <v>6.9608364768834807E-2</v>
          </cell>
          <cell r="GC150">
            <v>6.112394271454219E-2</v>
          </cell>
          <cell r="GD150">
            <v>6.9260704848515153E-2</v>
          </cell>
          <cell r="GE150">
            <v>6.3310724213773262E-2</v>
          </cell>
        </row>
        <row r="151">
          <cell r="A151" t="str">
            <v>Total</v>
          </cell>
          <cell r="AN151" t="str">
            <v>Total</v>
          </cell>
          <cell r="BS151">
            <v>0.2144290771083458</v>
          </cell>
          <cell r="BT151">
            <v>0.21390358719848193</v>
          </cell>
          <cell r="BU151">
            <v>0.24468853775134108</v>
          </cell>
          <cell r="BV151">
            <v>0.32697879794183116</v>
          </cell>
          <cell r="BW151">
            <v>1</v>
          </cell>
          <cell r="CP151">
            <v>0.21753920185845851</v>
          </cell>
          <cell r="CQ151">
            <v>0.22036007632954452</v>
          </cell>
          <cell r="CR151">
            <v>0.23907868452795028</v>
          </cell>
          <cell r="CS151">
            <v>0.32302203728404671</v>
          </cell>
          <cell r="CT151">
            <v>1</v>
          </cell>
          <cell r="CV151">
            <v>0.21333858628814734</v>
          </cell>
          <cell r="CW151">
            <v>0.22398327297365961</v>
          </cell>
          <cell r="CX151">
            <v>0.23170190878182992</v>
          </cell>
          <cell r="CY151">
            <v>0.33097623195636316</v>
          </cell>
          <cell r="CZ151">
            <v>1</v>
          </cell>
          <cell r="DB151">
            <v>0.21648262524174933</v>
          </cell>
          <cell r="DC151">
            <v>0.22515440763615946</v>
          </cell>
          <cell r="DD151">
            <v>0.23027013537962443</v>
          </cell>
          <cell r="DE151">
            <v>0.32809283174246678</v>
          </cell>
          <cell r="DF151">
            <v>1</v>
          </cell>
          <cell r="DH151">
            <v>0.214749368914533</v>
          </cell>
          <cell r="DI151">
            <v>0.2211203269623753</v>
          </cell>
          <cell r="DJ151">
            <v>0.22731097487678809</v>
          </cell>
          <cell r="DK151">
            <v>0.33681932924630364</v>
          </cell>
          <cell r="DL151">
            <v>1</v>
          </cell>
          <cell r="DN151">
            <v>0.22527716186252772</v>
          </cell>
          <cell r="DO151">
            <v>0.22096927462781121</v>
          </cell>
          <cell r="DP151">
            <v>0.22014570795058599</v>
          </cell>
          <cell r="DQ151">
            <v>0.325118783655369</v>
          </cell>
          <cell r="DR151">
            <v>1</v>
          </cell>
          <cell r="DT151">
            <v>0.22175839702010147</v>
          </cell>
          <cell r="DU151">
            <v>0.22387772140517628</v>
          </cell>
          <cell r="DV151">
            <v>0.22342816774773619</v>
          </cell>
          <cell r="DW151">
            <v>0.32220152848243527</v>
          </cell>
          <cell r="DX151">
            <v>1</v>
          </cell>
          <cell r="DZ151">
            <v>0.21353490786400209</v>
          </cell>
          <cell r="EA151">
            <v>0.22281339216195173</v>
          </cell>
          <cell r="EB151">
            <v>0.22618738645211522</v>
          </cell>
          <cell r="EC151">
            <v>0.32786140669608099</v>
          </cell>
          <cell r="ED151">
            <v>1</v>
          </cell>
          <cell r="EF151">
            <v>0.22502535496957404</v>
          </cell>
          <cell r="EG151">
            <v>0.22699036511156187</v>
          </cell>
          <cell r="EH151">
            <v>0.22344066937119675</v>
          </cell>
          <cell r="EI151">
            <v>0.32454361054766734</v>
          </cell>
          <cell r="EJ151">
            <v>1</v>
          </cell>
          <cell r="EL151">
            <v>0.16261723983921395</v>
          </cell>
          <cell r="EM151">
            <v>0.16181330951317552</v>
          </cell>
          <cell r="EN151">
            <v>0.24810183117463153</v>
          </cell>
          <cell r="EO151">
            <v>0.42746761947297901</v>
          </cell>
          <cell r="EP151">
            <v>1</v>
          </cell>
          <cell r="ER151">
            <v>0.21987393400074157</v>
          </cell>
          <cell r="ES151">
            <v>0.22228401928068223</v>
          </cell>
          <cell r="ET151">
            <v>0.21824249165739712</v>
          </cell>
          <cell r="EU151">
            <v>0.33959955506117911</v>
          </cell>
          <cell r="EV151">
            <v>1</v>
          </cell>
          <cell r="EX151">
            <v>0.22502185231634553</v>
          </cell>
          <cell r="EY151">
            <v>0.22391973549196215</v>
          </cell>
          <cell r="EZ151">
            <v>0.22445179188994033</v>
          </cell>
          <cell r="FA151">
            <v>0.32660662030175197</v>
          </cell>
          <cell r="FB151">
            <v>1</v>
          </cell>
          <cell r="FD151">
            <v>0.23087739032620921</v>
          </cell>
          <cell r="FE151">
            <v>0.22971235738389845</v>
          </cell>
          <cell r="FF151">
            <v>0.22067330869355617</v>
          </cell>
          <cell r="FG151">
            <v>0.3187369435963362</v>
          </cell>
          <cell r="FH151">
            <v>1</v>
          </cell>
          <cell r="FJ151">
            <v>0.22130152751621679</v>
          </cell>
          <cell r="FK151">
            <v>0.22117597823812513</v>
          </cell>
          <cell r="FL151">
            <v>0.22536095417451349</v>
          </cell>
          <cell r="FM151">
            <v>0.33216154007114457</v>
          </cell>
          <cell r="FN151">
            <v>1</v>
          </cell>
          <cell r="FP151">
            <v>0.22293324801023878</v>
          </cell>
          <cell r="FQ151">
            <v>0.22145342558892933</v>
          </cell>
          <cell r="FR151">
            <v>0.22489301283845939</v>
          </cell>
          <cell r="FS151">
            <v>0.33072031356237253</v>
          </cell>
          <cell r="FT151">
            <v>1</v>
          </cell>
          <cell r="FV151">
            <v>0.2230259420564287</v>
          </cell>
          <cell r="FW151">
            <v>0.22491952281764818</v>
          </cell>
          <cell r="FX151">
            <v>0.22166256390835068</v>
          </cell>
          <cell r="FY151">
            <v>0.33039197121757241</v>
          </cell>
          <cell r="FZ151">
            <v>1</v>
          </cell>
          <cell r="GB151">
            <v>0.22178640289157275</v>
          </cell>
          <cell r="GC151">
            <v>0.22088380480069056</v>
          </cell>
          <cell r="GD151">
            <v>0.2191395031910765</v>
          </cell>
          <cell r="GE151">
            <v>0.33819028911666016</v>
          </cell>
          <cell r="GF151">
            <v>1</v>
          </cell>
        </row>
        <row r="153">
          <cell r="A153" t="str">
            <v>Original Federated Doors Monthly Sales</v>
          </cell>
          <cell r="AN153" t="str">
            <v>Original Federated Doors Monthly Sales</v>
          </cell>
        </row>
        <row r="154">
          <cell r="A154" t="str">
            <v>Month 1</v>
          </cell>
          <cell r="AN154" t="str">
            <v>Month 1</v>
          </cell>
          <cell r="DZ154">
            <v>985</v>
          </cell>
          <cell r="EA154">
            <v>1137</v>
          </cell>
          <cell r="EB154">
            <v>1078</v>
          </cell>
          <cell r="EC154">
            <v>1460</v>
          </cell>
          <cell r="EF154">
            <v>1080</v>
          </cell>
          <cell r="EG154">
            <v>1182</v>
          </cell>
          <cell r="EH154">
            <v>1056</v>
          </cell>
          <cell r="EI154">
            <v>1446</v>
          </cell>
          <cell r="EL154">
            <v>1097</v>
          </cell>
          <cell r="EM154">
            <v>1189</v>
          </cell>
          <cell r="EN154">
            <v>1068</v>
          </cell>
        </row>
        <row r="155">
          <cell r="A155" t="str">
            <v>Month 2</v>
          </cell>
          <cell r="AN155" t="str">
            <v>Month 2</v>
          </cell>
          <cell r="DZ155">
            <v>1233</v>
          </cell>
          <cell r="EA155">
            <v>1337</v>
          </cell>
          <cell r="EB155">
            <v>1352</v>
          </cell>
          <cell r="EC155">
            <v>2782</v>
          </cell>
          <cell r="EF155">
            <v>1326</v>
          </cell>
          <cell r="EG155">
            <v>1394</v>
          </cell>
          <cell r="EH155">
            <v>1361</v>
          </cell>
          <cell r="EI155">
            <v>2856</v>
          </cell>
          <cell r="EL155">
            <v>1371</v>
          </cell>
          <cell r="EM155">
            <v>1436</v>
          </cell>
        </row>
        <row r="156">
          <cell r="A156" t="str">
            <v>Month 3</v>
          </cell>
          <cell r="AN156" t="str">
            <v>Month 3</v>
          </cell>
          <cell r="DZ156">
            <v>1076</v>
          </cell>
          <cell r="EA156">
            <v>963</v>
          </cell>
          <cell r="EB156">
            <v>1058</v>
          </cell>
          <cell r="EC156">
            <v>814</v>
          </cell>
          <cell r="EF156">
            <v>1144</v>
          </cell>
          <cell r="EG156">
            <v>1005</v>
          </cell>
          <cell r="EH156">
            <v>1108</v>
          </cell>
          <cell r="EI156">
            <v>818</v>
          </cell>
          <cell r="EL156">
            <v>1173</v>
          </cell>
          <cell r="EM156">
            <v>998</v>
          </cell>
        </row>
        <row r="157">
          <cell r="A157" t="str">
            <v>Total</v>
          </cell>
          <cell r="AN157" t="str">
            <v>Total</v>
          </cell>
          <cell r="DZ157">
            <v>3291</v>
          </cell>
          <cell r="EA157">
            <v>3434</v>
          </cell>
          <cell r="EB157">
            <v>3486</v>
          </cell>
          <cell r="EC157">
            <v>5053</v>
          </cell>
          <cell r="ED157">
            <v>15412</v>
          </cell>
          <cell r="EF157">
            <v>3550</v>
          </cell>
          <cell r="EG157">
            <v>3581</v>
          </cell>
          <cell r="EH157">
            <v>3525</v>
          </cell>
          <cell r="EI157">
            <v>5120</v>
          </cell>
          <cell r="EJ157">
            <v>15776</v>
          </cell>
          <cell r="EL157">
            <v>3641</v>
          </cell>
          <cell r="EM157">
            <v>3623</v>
          </cell>
        </row>
        <row r="159">
          <cell r="A159" t="str">
            <v>Original Federated Doors Monthly Comps</v>
          </cell>
          <cell r="AN159" t="str">
            <v>Original Federated Doors Monthly Comps</v>
          </cell>
        </row>
        <row r="160">
          <cell r="A160" t="str">
            <v>Month 1</v>
          </cell>
          <cell r="AN160" t="str">
            <v>Month 1</v>
          </cell>
          <cell r="DH160">
            <v>5.2999999999999999E-2</v>
          </cell>
          <cell r="DI160">
            <v>4.2000000000000003E-2</v>
          </cell>
          <cell r="DJ160">
            <v>1.0999999999999999E-2</v>
          </cell>
          <cell r="DK160">
            <v>1.4E-2</v>
          </cell>
          <cell r="DN160">
            <v>-1.6E-2</v>
          </cell>
          <cell r="DO160">
            <v>-3.3000000000000002E-2</v>
          </cell>
          <cell r="DP160">
            <v>-2.5999999999999999E-2</v>
          </cell>
          <cell r="DQ160">
            <v>8.9999999999999993E-3</v>
          </cell>
          <cell r="DT160">
            <v>-2.8000000000000001E-2</v>
          </cell>
          <cell r="DU160">
            <v>-3.4000000000000002E-2</v>
          </cell>
          <cell r="DV160">
            <v>-5.8000000000000003E-2</v>
          </cell>
          <cell r="DW160">
            <v>-7.3999999999999996E-2</v>
          </cell>
          <cell r="DZ160">
            <v>-6.8000000000000005E-2</v>
          </cell>
          <cell r="EA160">
            <v>-8.0000000000000002E-3</v>
          </cell>
          <cell r="EB160">
            <v>-8.0000000000000002E-3</v>
          </cell>
          <cell r="EC160">
            <v>-1E-3</v>
          </cell>
          <cell r="EF160">
            <v>0.09</v>
          </cell>
          <cell r="EG160">
            <v>2.9000000000000001E-2</v>
          </cell>
          <cell r="EH160">
            <v>-2.4E-2</v>
          </cell>
          <cell r="EI160">
            <v>-1.4E-2</v>
          </cell>
          <cell r="EL160">
            <v>1.7999999999999999E-2</v>
          </cell>
          <cell r="EM160">
            <v>8.0000000000000002E-3</v>
          </cell>
          <cell r="EN160">
            <v>1.0999999999999999E-2</v>
          </cell>
          <cell r="EO160">
            <v>-3.4000000000000002E-2</v>
          </cell>
          <cell r="ER160">
            <v>0.01</v>
          </cell>
          <cell r="ES160">
            <v>9.1999999999999998E-2</v>
          </cell>
          <cell r="ET160">
            <v>3.7999999999999999E-2</v>
          </cell>
          <cell r="EU160">
            <v>8.5000000000000006E-2</v>
          </cell>
          <cell r="EX160">
            <v>1.2E-2</v>
          </cell>
          <cell r="EY160">
            <v>-3.3000000000000002E-2</v>
          </cell>
          <cell r="EZ160">
            <v>2.4E-2</v>
          </cell>
          <cell r="FA160">
            <v>0.13400000000000001</v>
          </cell>
          <cell r="FD160">
            <v>-3.5000000000000003E-2</v>
          </cell>
          <cell r="FE160">
            <v>-1.4999999999999999E-2</v>
          </cell>
          <cell r="FF160">
            <v>-4.8000000000000001E-2</v>
          </cell>
          <cell r="FG160">
            <v>-0.13300000000000001</v>
          </cell>
          <cell r="FJ160">
            <v>-8.5000000000000006E-2</v>
          </cell>
          <cell r="FK160">
            <v>-9.0999999999999998E-2</v>
          </cell>
          <cell r="FL160">
            <v>-8.1000000000000003E-2</v>
          </cell>
          <cell r="FM160">
            <v>-6.0999999999999999E-2</v>
          </cell>
          <cell r="FP160">
            <v>3.6999999999999998E-2</v>
          </cell>
          <cell r="FQ160">
            <v>1.4E-2</v>
          </cell>
          <cell r="FR160">
            <v>4.2999999999999997E-2</v>
          </cell>
          <cell r="FS160">
            <v>6.0999999999999999E-2</v>
          </cell>
          <cell r="FV160">
            <v>5.8000000000000003E-2</v>
          </cell>
          <cell r="FW160">
            <v>7.3999999999999996E-2</v>
          </cell>
          <cell r="FX160">
            <v>0.05</v>
          </cell>
          <cell r="FY160">
            <v>4.8000000000000001E-2</v>
          </cell>
          <cell r="GB160">
            <v>4.5999999999999999E-2</v>
          </cell>
          <cell r="GC160">
            <v>4.2000000000000003E-2</v>
          </cell>
          <cell r="GD160">
            <v>5.0999999999999997E-2</v>
          </cell>
          <cell r="GE160">
            <v>0.04</v>
          </cell>
        </row>
        <row r="161">
          <cell r="A161" t="str">
            <v>Month 2</v>
          </cell>
          <cell r="AN161" t="str">
            <v>Month 2</v>
          </cell>
          <cell r="DH161">
            <v>-6.0000000000000001E-3</v>
          </cell>
          <cell r="DI161">
            <v>5.0000000000000001E-3</v>
          </cell>
          <cell r="DJ161">
            <v>2.9000000000000001E-2</v>
          </cell>
          <cell r="DK161">
            <v>1.2E-2</v>
          </cell>
          <cell r="DN161">
            <v>-3.2000000000000001E-2</v>
          </cell>
          <cell r="DO161">
            <v>-6.4000000000000001E-2</v>
          </cell>
          <cell r="DP161">
            <v>-0.129</v>
          </cell>
          <cell r="DQ161">
            <v>-8.6999999999999994E-2</v>
          </cell>
          <cell r="DT161">
            <v>-2E-3</v>
          </cell>
          <cell r="DU161">
            <v>-4.0000000000000001E-3</v>
          </cell>
          <cell r="DV161">
            <v>0</v>
          </cell>
          <cell r="DW161">
            <v>-2.5999999999999999E-2</v>
          </cell>
          <cell r="DZ161">
            <v>-6.5000000000000002E-2</v>
          </cell>
          <cell r="EA161">
            <v>-0.02</v>
          </cell>
          <cell r="EB161">
            <v>3.2000000000000001E-2</v>
          </cell>
          <cell r="EC161">
            <v>1.2E-2</v>
          </cell>
          <cell r="EF161">
            <v>6.8000000000000005E-2</v>
          </cell>
          <cell r="EG161">
            <v>3.4000000000000002E-2</v>
          </cell>
          <cell r="EH161">
            <v>1E-3</v>
          </cell>
          <cell r="EI161">
            <v>2.3E-2</v>
          </cell>
          <cell r="EL161">
            <v>3.4000000000000002E-2</v>
          </cell>
          <cell r="EM161">
            <v>2.9000000000000001E-2</v>
          </cell>
          <cell r="EN161">
            <v>1.2999999999999999E-2</v>
          </cell>
          <cell r="EO161">
            <v>3.4000000000000002E-2</v>
          </cell>
          <cell r="ER161">
            <v>0</v>
          </cell>
          <cell r="ES161">
            <v>1.7000000000000001E-2</v>
          </cell>
          <cell r="ET161">
            <v>6.5000000000000002E-2</v>
          </cell>
          <cell r="EU161">
            <v>4.3999999999999997E-2</v>
          </cell>
          <cell r="EX161">
            <v>2.3E-2</v>
          </cell>
          <cell r="EY161">
            <v>-2.7E-2</v>
          </cell>
          <cell r="EZ161">
            <v>-2.7E-2</v>
          </cell>
          <cell r="FA161">
            <v>-7.9000000000000001E-2</v>
          </cell>
          <cell r="FD161">
            <v>-6.2E-2</v>
          </cell>
          <cell r="FE161">
            <v>-2.1000000000000001E-2</v>
          </cell>
          <cell r="FF161">
            <v>-6.6000000000000003E-2</v>
          </cell>
          <cell r="FG161">
            <v>-0.04</v>
          </cell>
          <cell r="FJ161">
            <v>-9.1999999999999998E-2</v>
          </cell>
          <cell r="FK161">
            <v>-8.8999999999999996E-2</v>
          </cell>
          <cell r="FL161">
            <v>-2.3E-2</v>
          </cell>
          <cell r="FM161">
            <v>0.01</v>
          </cell>
          <cell r="FP161">
            <v>0.10800000000000001</v>
          </cell>
          <cell r="FQ161">
            <v>6.5000000000000002E-2</v>
          </cell>
          <cell r="FR161">
            <v>4.8000000000000001E-2</v>
          </cell>
          <cell r="FS161">
            <v>3.9E-2</v>
          </cell>
          <cell r="FV161">
            <v>8.9999999999999993E-3</v>
          </cell>
          <cell r="FW161">
            <v>6.7000000000000004E-2</v>
          </cell>
          <cell r="FX161">
            <v>4.9000000000000002E-2</v>
          </cell>
          <cell r="FY161">
            <v>6.2E-2</v>
          </cell>
          <cell r="GB161">
            <v>7.2999999999999995E-2</v>
          </cell>
          <cell r="GC161">
            <v>1.2E-2</v>
          </cell>
          <cell r="GD161">
            <v>0.03</v>
          </cell>
          <cell r="GE161">
            <v>0.04</v>
          </cell>
        </row>
        <row r="162">
          <cell r="A162" t="str">
            <v>Month 3</v>
          </cell>
          <cell r="AN162" t="str">
            <v>Month 3</v>
          </cell>
          <cell r="DH162">
            <v>5.1999999999999998E-2</v>
          </cell>
          <cell r="DI162">
            <v>1.6E-2</v>
          </cell>
          <cell r="DJ162">
            <v>1.6E-2</v>
          </cell>
          <cell r="DK162">
            <v>3.6999999999999998E-2</v>
          </cell>
          <cell r="DN162">
            <v>8.0000000000000002E-3</v>
          </cell>
          <cell r="DO162">
            <v>-4.2000000000000003E-2</v>
          </cell>
          <cell r="DP162">
            <v>-8.6999999999999994E-2</v>
          </cell>
          <cell r="DQ162">
            <v>-8.7999999999999995E-2</v>
          </cell>
          <cell r="DT162">
            <v>-5.8999999999999997E-2</v>
          </cell>
          <cell r="DU162">
            <v>-5.1999999999999998E-2</v>
          </cell>
          <cell r="DV162">
            <v>3.0000000000000001E-3</v>
          </cell>
          <cell r="DW162">
            <v>-1.2E-2</v>
          </cell>
          <cell r="DZ162">
            <v>-1.3999999999999999E-2</v>
          </cell>
          <cell r="EA162">
            <v>-4.0000000000000001E-3</v>
          </cell>
          <cell r="EB162">
            <v>-0.02</v>
          </cell>
          <cell r="EC162">
            <v>5.5E-2</v>
          </cell>
          <cell r="EF162">
            <v>5.3999999999999999E-2</v>
          </cell>
          <cell r="EG162">
            <v>3.6999999999999998E-2</v>
          </cell>
          <cell r="EH162">
            <v>0.04</v>
          </cell>
          <cell r="EI162">
            <v>-4.0000000000000001E-3</v>
          </cell>
          <cell r="EL162">
            <v>2.8000000000000001E-2</v>
          </cell>
          <cell r="EM162">
            <v>-8.9999999999999993E-3</v>
          </cell>
          <cell r="EN162">
            <v>-7.0000000000000001E-3</v>
          </cell>
          <cell r="EO162">
            <v>0.01</v>
          </cell>
          <cell r="ER162">
            <v>-8.0000000000000002E-3</v>
          </cell>
          <cell r="ES162">
            <v>3.3000000000000002E-2</v>
          </cell>
          <cell r="ET162">
            <v>7.6999999999999999E-2</v>
          </cell>
          <cell r="EU162">
            <v>8.5999999999999993E-2</v>
          </cell>
          <cell r="EX162">
            <v>-2.1999999999999999E-2</v>
          </cell>
          <cell r="EY162">
            <v>-1.4E-2</v>
          </cell>
          <cell r="EZ162">
            <v>-1.4999999999999999E-2</v>
          </cell>
          <cell r="FA162">
            <v>-7.0999999999999994E-2</v>
          </cell>
          <cell r="FD162">
            <v>0.03</v>
          </cell>
          <cell r="FE162">
            <v>-2.9000000000000001E-2</v>
          </cell>
          <cell r="FF162">
            <v>-6.3E-2</v>
          </cell>
          <cell r="FG162">
            <v>-4.4999999999999998E-2</v>
          </cell>
          <cell r="FJ162">
            <v>-9.0999999999999998E-2</v>
          </cell>
          <cell r="FK162">
            <v>-0.107</v>
          </cell>
          <cell r="FL162">
            <v>-8.0000000000000002E-3</v>
          </cell>
          <cell r="FM162">
            <v>3.4000000000000002E-2</v>
          </cell>
          <cell r="FP162">
            <v>1.0999999999999999E-2</v>
          </cell>
          <cell r="FQ162">
            <v>7.2999999999999995E-2</v>
          </cell>
          <cell r="FR162">
            <v>2.5000000000000001E-2</v>
          </cell>
          <cell r="FS162">
            <v>2.5999999999999999E-2</v>
          </cell>
          <cell r="FV162">
            <v>0.108</v>
          </cell>
          <cell r="FW162">
            <v>0.05</v>
          </cell>
          <cell r="FX162">
            <v>2.1999999999999999E-2</v>
          </cell>
          <cell r="FY162">
            <v>2.4E-2</v>
          </cell>
          <cell r="GB162">
            <v>1.2E-2</v>
          </cell>
          <cell r="GC162">
            <v>4.1000000000000002E-2</v>
          </cell>
          <cell r="GD162">
            <v>5.5E-2</v>
          </cell>
          <cell r="GE162">
            <v>0.05</v>
          </cell>
        </row>
        <row r="163">
          <cell r="A163" t="str">
            <v>Total</v>
          </cell>
          <cell r="AN163" t="str">
            <v>Total</v>
          </cell>
          <cell r="DH163">
            <v>2.9000000000000001E-2</v>
          </cell>
          <cell r="DI163">
            <v>1.9E-2</v>
          </cell>
          <cell r="DJ163">
            <v>1.9E-2</v>
          </cell>
          <cell r="DK163">
            <v>1.6E-2</v>
          </cell>
          <cell r="DL163">
            <v>0.02</v>
          </cell>
          <cell r="DN163">
            <v>-1.4999999999999999E-2</v>
          </cell>
          <cell r="DO163">
            <v>-4.8000000000000001E-2</v>
          </cell>
          <cell r="DP163">
            <v>-8.5999999999999993E-2</v>
          </cell>
          <cell r="DQ163">
            <v>-0.06</v>
          </cell>
          <cell r="DR163">
            <v>-5.2999999999999999E-2</v>
          </cell>
          <cell r="DT163">
            <v>-2.9000000000000001E-2</v>
          </cell>
          <cell r="DU163">
            <v>-2.8000000000000001E-2</v>
          </cell>
          <cell r="DV163">
            <v>-0.02</v>
          </cell>
          <cell r="DW163">
            <v>-3.9E-2</v>
          </cell>
          <cell r="DX163">
            <v>-0.03</v>
          </cell>
          <cell r="DZ163">
            <v>-0.05</v>
          </cell>
          <cell r="EA163">
            <v>-1.2E-2</v>
          </cell>
          <cell r="EB163">
            <v>2E-3</v>
          </cell>
          <cell r="EC163">
            <v>1.3999999999999999E-2</v>
          </cell>
          <cell r="ED163">
            <v>-9.0000000000000011E-3</v>
          </cell>
          <cell r="EF163">
            <v>6.9000000000000006E-2</v>
          </cell>
          <cell r="EG163">
            <v>3.3000000000000002E-2</v>
          </cell>
          <cell r="EH163">
            <v>4.0000000000000001E-3</v>
          </cell>
          <cell r="EI163">
            <v>8.0000000000000002E-3</v>
          </cell>
          <cell r="EJ163">
            <v>2.5999999999999999E-2</v>
          </cell>
          <cell r="EL163">
            <v>2.5999999999999999E-2</v>
          </cell>
          <cell r="EM163">
            <v>1.0999999999999999E-2</v>
          </cell>
          <cell r="EN163">
            <v>6.0000000000000001E-3</v>
          </cell>
          <cell r="EO163">
            <v>1.0999999999999999E-2</v>
          </cell>
          <cell r="EP163">
            <v>1.2999999999999999E-2</v>
          </cell>
          <cell r="ER163">
            <v>0</v>
          </cell>
          <cell r="ES163">
            <v>4.5999999999999999E-2</v>
          </cell>
          <cell r="ET163">
            <v>5.8999999999999997E-2</v>
          </cell>
          <cell r="EU163">
            <v>6.0999999999999999E-2</v>
          </cell>
          <cell r="EV163">
            <v>4.3999999999999997E-2</v>
          </cell>
          <cell r="EX163">
            <v>6.0000000000000001E-3</v>
          </cell>
          <cell r="EY163">
            <v>-2.5999999999999999E-2</v>
          </cell>
          <cell r="EZ163">
            <v>-8.0000000000000002E-3</v>
          </cell>
          <cell r="FA163">
            <v>-0.02</v>
          </cell>
          <cell r="FB163">
            <v>-1.2999999999999999E-2</v>
          </cell>
          <cell r="FD163">
            <v>-2.5999999999999999E-2</v>
          </cell>
          <cell r="FE163">
            <v>-2.1000000000000001E-2</v>
          </cell>
          <cell r="FF163">
            <v>-0.06</v>
          </cell>
          <cell r="FG163">
            <v>-7.0000000000000007E-2</v>
          </cell>
          <cell r="FH163">
            <v>-4.4999999999999998E-2</v>
          </cell>
          <cell r="FJ163">
            <v>-0.09</v>
          </cell>
          <cell r="FK163">
            <v>-9.5000000000000001E-2</v>
          </cell>
          <cell r="FL163">
            <v>-3.5999999999999997E-2</v>
          </cell>
          <cell r="FM163">
            <v>-8.0000000000000002E-3</v>
          </cell>
          <cell r="FN163">
            <v>-5.2999999999999999E-2</v>
          </cell>
          <cell r="FP163">
            <v>5.5E-2</v>
          </cell>
          <cell r="FQ163">
            <v>4.9000000000000002E-2</v>
          </cell>
          <cell r="FR163">
            <v>3.9E-2</v>
          </cell>
          <cell r="FS163">
            <v>4.2999999999999997E-2</v>
          </cell>
          <cell r="FT163">
            <v>4.610434747830261E-2</v>
          </cell>
          <cell r="FV163">
            <v>5.3999999999999999E-2</v>
          </cell>
          <cell r="FW163">
            <v>6.4000000000000001E-2</v>
          </cell>
          <cell r="FX163">
            <v>0.04</v>
          </cell>
          <cell r="FY163">
            <v>5.1999999999999998E-2</v>
          </cell>
          <cell r="FZ163">
            <v>5.2999999999999999E-2</v>
          </cell>
          <cell r="GB163">
            <v>4.3999999999999997E-2</v>
          </cell>
          <cell r="GC163">
            <v>0.03</v>
          </cell>
          <cell r="GD163">
            <v>4.4170626829774157E-2</v>
          </cell>
          <cell r="GE163">
            <v>4.1872044415560798E-2</v>
          </cell>
          <cell r="GF163">
            <v>4.02253638971692E-2</v>
          </cell>
        </row>
        <row r="165">
          <cell r="A165" t="str">
            <v>Original Federated Doors Store Count (Estimated)</v>
          </cell>
          <cell r="AN165" t="str">
            <v>Original Federated Doors Store Count (Estimated)</v>
          </cell>
        </row>
        <row r="166">
          <cell r="A166" t="str">
            <v>Month 1</v>
          </cell>
          <cell r="AN166" t="str">
            <v>Month 1</v>
          </cell>
          <cell r="DZ166">
            <v>456</v>
          </cell>
          <cell r="EA166">
            <v>456</v>
          </cell>
          <cell r="EB166">
            <v>460</v>
          </cell>
          <cell r="EC166">
            <v>465</v>
          </cell>
          <cell r="EF166">
            <v>458</v>
          </cell>
          <cell r="EG166">
            <v>457</v>
          </cell>
          <cell r="EH166">
            <v>457</v>
          </cell>
          <cell r="EI166">
            <v>459</v>
          </cell>
          <cell r="EL166">
            <v>459</v>
          </cell>
          <cell r="EM166">
            <v>460</v>
          </cell>
          <cell r="EN166">
            <v>459</v>
          </cell>
          <cell r="EO166">
            <v>444</v>
          </cell>
          <cell r="ER166">
            <v>410</v>
          </cell>
          <cell r="ES166">
            <v>406</v>
          </cell>
          <cell r="ET166">
            <v>402</v>
          </cell>
          <cell r="EU166">
            <v>408</v>
          </cell>
          <cell r="EX166">
            <v>407</v>
          </cell>
          <cell r="EY166">
            <v>412</v>
          </cell>
          <cell r="EZ166">
            <v>413</v>
          </cell>
          <cell r="FA166">
            <v>415</v>
          </cell>
          <cell r="FD166">
            <v>415</v>
          </cell>
          <cell r="FE166">
            <v>415</v>
          </cell>
          <cell r="FF166">
            <v>419</v>
          </cell>
          <cell r="FG166">
            <v>422</v>
          </cell>
          <cell r="FJ166">
            <v>410</v>
          </cell>
          <cell r="FK166">
            <v>411</v>
          </cell>
          <cell r="FL166">
            <v>412</v>
          </cell>
          <cell r="FM166">
            <v>417</v>
          </cell>
          <cell r="FP166">
            <v>413</v>
          </cell>
          <cell r="FQ166">
            <v>413</v>
          </cell>
          <cell r="FR166">
            <v>412</v>
          </cell>
          <cell r="FS166">
            <v>417</v>
          </cell>
          <cell r="FV166">
            <v>413</v>
          </cell>
          <cell r="FW166">
            <v>413</v>
          </cell>
          <cell r="FX166">
            <v>412</v>
          </cell>
          <cell r="FY166">
            <v>414</v>
          </cell>
          <cell r="GB166">
            <v>405</v>
          </cell>
          <cell r="GC166">
            <v>407</v>
          </cell>
          <cell r="GD166">
            <v>409</v>
          </cell>
          <cell r="GE166">
            <v>410</v>
          </cell>
        </row>
        <row r="167">
          <cell r="A167" t="str">
            <v>Month 2</v>
          </cell>
          <cell r="AN167" t="str">
            <v>Month 2</v>
          </cell>
          <cell r="DZ167">
            <v>456</v>
          </cell>
          <cell r="EA167">
            <v>455</v>
          </cell>
          <cell r="EB167">
            <v>460</v>
          </cell>
          <cell r="EC167">
            <v>465</v>
          </cell>
          <cell r="EF167">
            <v>458</v>
          </cell>
          <cell r="EG167">
            <v>457</v>
          </cell>
          <cell r="EH167">
            <v>458</v>
          </cell>
          <cell r="EI167">
            <v>459</v>
          </cell>
          <cell r="EL167">
            <v>459</v>
          </cell>
          <cell r="EM167">
            <v>460</v>
          </cell>
          <cell r="EN167">
            <v>446</v>
          </cell>
          <cell r="EO167">
            <v>443</v>
          </cell>
          <cell r="ER167">
            <v>406</v>
          </cell>
          <cell r="ES167">
            <v>405</v>
          </cell>
          <cell r="ET167">
            <v>403</v>
          </cell>
          <cell r="EU167">
            <v>408</v>
          </cell>
          <cell r="EX167">
            <v>408</v>
          </cell>
          <cell r="EY167">
            <v>412</v>
          </cell>
          <cell r="EZ167">
            <v>415</v>
          </cell>
          <cell r="FA167">
            <v>415</v>
          </cell>
          <cell r="FD167">
            <v>416</v>
          </cell>
          <cell r="FE167">
            <v>416</v>
          </cell>
          <cell r="FF167">
            <v>416</v>
          </cell>
          <cell r="FG167">
            <v>422</v>
          </cell>
          <cell r="FJ167">
            <v>410</v>
          </cell>
          <cell r="FK167">
            <v>411</v>
          </cell>
          <cell r="FL167">
            <v>415</v>
          </cell>
          <cell r="FM167">
            <v>417</v>
          </cell>
          <cell r="FP167">
            <v>413</v>
          </cell>
          <cell r="FQ167">
            <v>413</v>
          </cell>
          <cell r="FR167">
            <v>415</v>
          </cell>
          <cell r="FS167">
            <v>417</v>
          </cell>
          <cell r="FV167">
            <v>413</v>
          </cell>
          <cell r="FW167">
            <v>413</v>
          </cell>
          <cell r="FX167">
            <v>412</v>
          </cell>
          <cell r="FY167">
            <v>413</v>
          </cell>
          <cell r="GB167">
            <v>407</v>
          </cell>
          <cell r="GC167">
            <v>409</v>
          </cell>
          <cell r="GD167">
            <v>410</v>
          </cell>
          <cell r="GE167">
            <v>411</v>
          </cell>
        </row>
        <row r="168">
          <cell r="A168" t="str">
            <v>Month 3</v>
          </cell>
          <cell r="AN168" t="str">
            <v>Month 3</v>
          </cell>
          <cell r="DZ168">
            <v>456</v>
          </cell>
          <cell r="EA168">
            <v>460</v>
          </cell>
          <cell r="EB168">
            <v>465</v>
          </cell>
          <cell r="EC168">
            <v>459</v>
          </cell>
          <cell r="EF168">
            <v>459</v>
          </cell>
          <cell r="EG168">
            <v>457</v>
          </cell>
          <cell r="EH168">
            <v>459</v>
          </cell>
          <cell r="EI168">
            <v>459</v>
          </cell>
          <cell r="EL168">
            <v>459</v>
          </cell>
          <cell r="EM168">
            <v>460</v>
          </cell>
          <cell r="EN168">
            <v>444</v>
          </cell>
          <cell r="EO168">
            <v>410</v>
          </cell>
          <cell r="ER168">
            <v>406</v>
          </cell>
          <cell r="ES168">
            <v>403</v>
          </cell>
          <cell r="ET168">
            <v>405</v>
          </cell>
          <cell r="EU168">
            <v>407</v>
          </cell>
          <cell r="EX168">
            <v>412</v>
          </cell>
          <cell r="EY168">
            <v>412</v>
          </cell>
          <cell r="EZ168">
            <v>415</v>
          </cell>
          <cell r="FA168">
            <v>415</v>
          </cell>
          <cell r="FD168">
            <v>414</v>
          </cell>
          <cell r="FE168">
            <v>418</v>
          </cell>
          <cell r="FF168">
            <v>419</v>
          </cell>
          <cell r="FG168">
            <v>410</v>
          </cell>
          <cell r="FJ168">
            <v>411</v>
          </cell>
          <cell r="FK168">
            <v>411</v>
          </cell>
          <cell r="FL168">
            <v>417</v>
          </cell>
          <cell r="FM168">
            <v>413</v>
          </cell>
          <cell r="FP168">
            <v>412</v>
          </cell>
          <cell r="FQ168">
            <v>412</v>
          </cell>
          <cell r="FR168">
            <v>417</v>
          </cell>
          <cell r="FS168">
            <v>413</v>
          </cell>
          <cell r="FV168">
            <v>413</v>
          </cell>
          <cell r="FW168">
            <v>412</v>
          </cell>
          <cell r="FX168">
            <v>413</v>
          </cell>
          <cell r="FY168">
            <v>405</v>
          </cell>
          <cell r="GB168">
            <v>407</v>
          </cell>
          <cell r="GC168">
            <v>408</v>
          </cell>
          <cell r="GD168">
            <v>410</v>
          </cell>
          <cell r="GE168">
            <v>407</v>
          </cell>
        </row>
        <row r="169">
          <cell r="A169" t="str">
            <v>Total</v>
          </cell>
          <cell r="AN169" t="str">
            <v>Total</v>
          </cell>
          <cell r="DZ169">
            <v>456</v>
          </cell>
          <cell r="EA169">
            <v>460</v>
          </cell>
          <cell r="EB169">
            <v>465</v>
          </cell>
          <cell r="EC169">
            <v>459</v>
          </cell>
          <cell r="ED169">
            <v>459</v>
          </cell>
          <cell r="EF169">
            <v>459</v>
          </cell>
          <cell r="EG169">
            <v>457</v>
          </cell>
          <cell r="EH169">
            <v>459</v>
          </cell>
          <cell r="EI169">
            <v>459</v>
          </cell>
          <cell r="EJ169">
            <v>459</v>
          </cell>
          <cell r="EL169">
            <v>459</v>
          </cell>
          <cell r="EM169">
            <v>460</v>
          </cell>
          <cell r="EN169">
            <v>444</v>
          </cell>
          <cell r="EO169">
            <v>410</v>
          </cell>
          <cell r="EP169">
            <v>410</v>
          </cell>
          <cell r="ER169">
            <v>406</v>
          </cell>
          <cell r="ES169">
            <v>403</v>
          </cell>
          <cell r="ET169">
            <v>405</v>
          </cell>
          <cell r="EU169">
            <v>407</v>
          </cell>
          <cell r="EV169">
            <v>407</v>
          </cell>
          <cell r="EX169">
            <v>412</v>
          </cell>
          <cell r="EY169">
            <v>412</v>
          </cell>
          <cell r="EZ169">
            <v>415</v>
          </cell>
          <cell r="FA169">
            <v>415</v>
          </cell>
          <cell r="FB169">
            <v>415</v>
          </cell>
          <cell r="FD169">
            <v>414</v>
          </cell>
          <cell r="FE169">
            <v>418</v>
          </cell>
          <cell r="FF169">
            <v>419</v>
          </cell>
          <cell r="FG169">
            <v>410</v>
          </cell>
          <cell r="FH169">
            <v>410</v>
          </cell>
          <cell r="FJ169">
            <v>411</v>
          </cell>
          <cell r="FK169">
            <v>411</v>
          </cell>
          <cell r="FL169">
            <v>417</v>
          </cell>
          <cell r="FM169">
            <v>413</v>
          </cell>
          <cell r="FN169">
            <v>413</v>
          </cell>
          <cell r="FP169">
            <v>412</v>
          </cell>
          <cell r="FQ169">
            <v>412</v>
          </cell>
          <cell r="FR169">
            <v>417</v>
          </cell>
          <cell r="FS169">
            <v>413</v>
          </cell>
          <cell r="FT169">
            <v>413</v>
          </cell>
          <cell r="FV169">
            <v>413</v>
          </cell>
          <cell r="FW169">
            <v>412</v>
          </cell>
          <cell r="FX169">
            <v>413</v>
          </cell>
          <cell r="FY169">
            <v>405</v>
          </cell>
          <cell r="FZ169">
            <v>405</v>
          </cell>
          <cell r="GB169">
            <v>407</v>
          </cell>
          <cell r="GC169">
            <v>408</v>
          </cell>
          <cell r="GD169">
            <v>410</v>
          </cell>
          <cell r="GE169">
            <v>407</v>
          </cell>
          <cell r="GF169">
            <v>407</v>
          </cell>
        </row>
        <row r="171">
          <cell r="A171" t="str">
            <v>May Co. Monthly Sales ($)</v>
          </cell>
          <cell r="AN171" t="str">
            <v>May Co. Monthly Sales ($)</v>
          </cell>
        </row>
        <row r="172">
          <cell r="A172" t="str">
            <v>Month 1</v>
          </cell>
          <cell r="AN172" t="str">
            <v>Month 1</v>
          </cell>
          <cell r="DZ172">
            <v>846</v>
          </cell>
          <cell r="EA172">
            <v>1005</v>
          </cell>
          <cell r="EB172">
            <v>953.8</v>
          </cell>
          <cell r="EC172">
            <v>1260.8</v>
          </cell>
          <cell r="EF172">
            <v>880.4</v>
          </cell>
          <cell r="EG172">
            <v>977.8</v>
          </cell>
          <cell r="EH172">
            <v>1053.9000000000001</v>
          </cell>
          <cell r="EI172">
            <v>1386.9</v>
          </cell>
          <cell r="EL172">
            <v>1007.8</v>
          </cell>
          <cell r="EM172">
            <v>1119.3</v>
          </cell>
          <cell r="EN172">
            <v>1027</v>
          </cell>
        </row>
        <row r="173">
          <cell r="A173" t="str">
            <v>Month 2</v>
          </cell>
          <cell r="AN173" t="str">
            <v>Month 2</v>
          </cell>
          <cell r="DZ173">
            <v>1060</v>
          </cell>
          <cell r="EA173">
            <v>1131.9000000000001</v>
          </cell>
          <cell r="EB173">
            <v>1135</v>
          </cell>
          <cell r="EC173">
            <v>2517</v>
          </cell>
          <cell r="EF173">
            <v>1161</v>
          </cell>
          <cell r="EG173">
            <v>1160</v>
          </cell>
          <cell r="EH173">
            <v>1339</v>
          </cell>
          <cell r="EI173">
            <v>2844.1</v>
          </cell>
          <cell r="EL173">
            <v>1280</v>
          </cell>
          <cell r="EM173">
            <v>1398.7</v>
          </cell>
        </row>
        <row r="174">
          <cell r="A174" t="str">
            <v>Month 3</v>
          </cell>
          <cell r="AN174" t="str">
            <v>Month 3</v>
          </cell>
          <cell r="DZ174">
            <v>967.4</v>
          </cell>
          <cell r="EA174">
            <v>863.4</v>
          </cell>
          <cell r="EB174">
            <v>887.2</v>
          </cell>
          <cell r="EC174">
            <v>715.4</v>
          </cell>
          <cell r="EF174">
            <v>901.5</v>
          </cell>
          <cell r="EG174">
            <v>817.9</v>
          </cell>
          <cell r="EH174">
            <v>1090.3</v>
          </cell>
          <cell r="EI174">
            <v>808</v>
          </cell>
          <cell r="EL174">
            <v>1080</v>
          </cell>
          <cell r="EM174">
            <v>927.4</v>
          </cell>
        </row>
        <row r="175">
          <cell r="A175" t="str">
            <v>Total</v>
          </cell>
          <cell r="AN175" t="str">
            <v>Total</v>
          </cell>
          <cell r="DZ175">
            <v>2873.4</v>
          </cell>
          <cell r="EA175">
            <v>3000.3</v>
          </cell>
          <cell r="EB175">
            <v>2976</v>
          </cell>
          <cell r="EC175">
            <v>4493.2</v>
          </cell>
          <cell r="ED175">
            <v>13342.900000000001</v>
          </cell>
          <cell r="EF175">
            <v>2963</v>
          </cell>
          <cell r="EG175">
            <v>2955.7</v>
          </cell>
          <cell r="EH175">
            <v>3483.2</v>
          </cell>
          <cell r="EI175">
            <v>5039</v>
          </cell>
          <cell r="EJ175">
            <v>14440.9</v>
          </cell>
          <cell r="EL175">
            <v>3369</v>
          </cell>
          <cell r="EM175">
            <v>3446</v>
          </cell>
        </row>
        <row r="177">
          <cell r="A177" t="str">
            <v>May Co. Monthly Comps</v>
          </cell>
          <cell r="AN177" t="str">
            <v>May Co. Monthly Comps</v>
          </cell>
        </row>
        <row r="178">
          <cell r="A178" t="str">
            <v>Month 1</v>
          </cell>
          <cell r="AN178" t="str">
            <v>Month 1</v>
          </cell>
          <cell r="DZ178">
            <v>-8.8999999999999996E-2</v>
          </cell>
          <cell r="EA178">
            <v>-3.9E-2</v>
          </cell>
          <cell r="EB178">
            <v>-3.2000000000000001E-2</v>
          </cell>
          <cell r="EC178">
            <v>-1.7000000000000001E-2</v>
          </cell>
          <cell r="EF178">
            <v>2.5999999999999999E-2</v>
          </cell>
          <cell r="EG178">
            <v>-3.7999999999999999E-2</v>
          </cell>
          <cell r="EH178">
            <v>-6.7000000000000004E-2</v>
          </cell>
          <cell r="EI178">
            <v>-7.9000000000000001E-2</v>
          </cell>
          <cell r="EL178">
            <v>-4.2000000000000003E-2</v>
          </cell>
          <cell r="EM178">
            <v>-2.9000000000000001E-2</v>
          </cell>
          <cell r="EN178">
            <v>-2.8000000000000001E-2</v>
          </cell>
        </row>
        <row r="179">
          <cell r="A179" t="str">
            <v>Month 2</v>
          </cell>
          <cell r="AN179" t="str">
            <v>Month 2</v>
          </cell>
          <cell r="DZ179">
            <v>-0.114</v>
          </cell>
          <cell r="EA179">
            <v>-5.8999999999999997E-2</v>
          </cell>
          <cell r="EB179">
            <v>-3.0000000000000001E-3</v>
          </cell>
          <cell r="EC179">
            <v>1.0999999999999999E-2</v>
          </cell>
          <cell r="EF179">
            <v>0.10100000000000001</v>
          </cell>
          <cell r="EG179">
            <v>1.9E-2</v>
          </cell>
          <cell r="EH179">
            <v>-1.4999999999999999E-2</v>
          </cell>
          <cell r="EI179">
            <v>-3.5000000000000003E-2</v>
          </cell>
          <cell r="EL179">
            <v>-0.108</v>
          </cell>
          <cell r="EM179">
            <v>7.0000000000000001E-3</v>
          </cell>
        </row>
        <row r="180">
          <cell r="A180" t="str">
            <v>Month 3</v>
          </cell>
          <cell r="AN180" t="str">
            <v>Month 3</v>
          </cell>
          <cell r="DZ180">
            <v>-5.6000000000000001E-2</v>
          </cell>
          <cell r="EA180">
            <v>1.7999999999999999E-2</v>
          </cell>
          <cell r="EB180">
            <v>-4.2000000000000003E-2</v>
          </cell>
          <cell r="EC180">
            <v>5.2999999999999999E-2</v>
          </cell>
          <cell r="EF180">
            <v>-8.1000000000000003E-2</v>
          </cell>
          <cell r="EG180">
            <v>-5.2999999999999999E-2</v>
          </cell>
          <cell r="EH180">
            <v>-2.3E-2</v>
          </cell>
          <cell r="EI180">
            <v>-7.1999999999999995E-2</v>
          </cell>
          <cell r="EL180">
            <v>1.4999999999999999E-2</v>
          </cell>
          <cell r="EM180">
            <v>-3.3000000000000002E-2</v>
          </cell>
        </row>
        <row r="181">
          <cell r="A181" t="str">
            <v>Total</v>
          </cell>
          <cell r="AN181" t="str">
            <v>Total</v>
          </cell>
          <cell r="DZ181">
            <v>-8.7999999999999995E-2</v>
          </cell>
          <cell r="EA181">
            <v>-3.1E-2</v>
          </cell>
          <cell r="EB181">
            <v>-2.3921034946236562E-2</v>
          </cell>
          <cell r="EC181">
            <v>8.0000000000000002E-3</v>
          </cell>
          <cell r="ED181">
            <v>-2.8562204901446453E-2</v>
          </cell>
          <cell r="EF181">
            <v>1.7000000000000001E-2</v>
          </cell>
          <cell r="EG181">
            <v>-2.1999999999999999E-2</v>
          </cell>
          <cell r="EH181">
            <v>-3.4000000000000002E-2</v>
          </cell>
          <cell r="EI181">
            <v>-5.1999999999999998E-2</v>
          </cell>
          <cell r="EJ181">
            <v>-2.4E-2</v>
          </cell>
          <cell r="EL181">
            <v>-5.0999999999999997E-2</v>
          </cell>
          <cell r="EM181">
            <v>-1.6E-2</v>
          </cell>
        </row>
        <row r="183">
          <cell r="A183" t="str">
            <v>May Co. Store Count (Estimated)</v>
          </cell>
          <cell r="AN183" t="str">
            <v>May Co. Store Count (Estimated)</v>
          </cell>
        </row>
        <row r="184">
          <cell r="A184" t="str">
            <v>Month 1</v>
          </cell>
          <cell r="AN184" t="str">
            <v>Month 1</v>
          </cell>
          <cell r="DZ184">
            <v>444</v>
          </cell>
          <cell r="EA184">
            <v>445</v>
          </cell>
          <cell r="EB184">
            <v>447</v>
          </cell>
          <cell r="EC184">
            <v>448</v>
          </cell>
          <cell r="EF184">
            <v>442</v>
          </cell>
          <cell r="EG184">
            <v>438</v>
          </cell>
          <cell r="EH184">
            <v>497</v>
          </cell>
          <cell r="EI184">
            <v>501</v>
          </cell>
          <cell r="EL184">
            <v>491</v>
          </cell>
          <cell r="EM184">
            <v>489</v>
          </cell>
          <cell r="EN184">
            <v>487</v>
          </cell>
          <cell r="EO184">
            <v>491</v>
          </cell>
          <cell r="ER184">
            <v>458</v>
          </cell>
          <cell r="ES184">
            <v>455</v>
          </cell>
          <cell r="ET184">
            <v>452</v>
          </cell>
          <cell r="EU184">
            <v>452</v>
          </cell>
          <cell r="EX184">
            <v>451</v>
          </cell>
          <cell r="EY184">
            <v>451</v>
          </cell>
          <cell r="EZ184">
            <v>451</v>
          </cell>
          <cell r="FA184">
            <v>451</v>
          </cell>
          <cell r="FD184">
            <v>437</v>
          </cell>
          <cell r="FE184">
            <v>437</v>
          </cell>
          <cell r="FF184">
            <v>437</v>
          </cell>
          <cell r="FG184">
            <v>437</v>
          </cell>
          <cell r="FJ184">
            <v>437</v>
          </cell>
          <cell r="FK184">
            <v>437</v>
          </cell>
          <cell r="FL184">
            <v>437</v>
          </cell>
          <cell r="FM184">
            <v>437</v>
          </cell>
          <cell r="FP184">
            <v>437</v>
          </cell>
          <cell r="FQ184">
            <v>437</v>
          </cell>
          <cell r="FR184">
            <v>437</v>
          </cell>
          <cell r="FS184">
            <v>437</v>
          </cell>
          <cell r="FV184">
            <v>437</v>
          </cell>
          <cell r="FW184">
            <v>437</v>
          </cell>
          <cell r="FX184">
            <v>437</v>
          </cell>
          <cell r="FY184">
            <v>437</v>
          </cell>
          <cell r="GB184">
            <v>437</v>
          </cell>
          <cell r="GC184">
            <v>437</v>
          </cell>
          <cell r="GD184">
            <v>437</v>
          </cell>
          <cell r="GE184">
            <v>437</v>
          </cell>
        </row>
        <row r="185">
          <cell r="A185" t="str">
            <v>Month 2</v>
          </cell>
          <cell r="AN185" t="str">
            <v>Month 2</v>
          </cell>
          <cell r="DZ185">
            <v>444</v>
          </cell>
          <cell r="EA185">
            <v>446</v>
          </cell>
          <cell r="EB185">
            <v>448</v>
          </cell>
          <cell r="EC185">
            <v>448</v>
          </cell>
          <cell r="EF185">
            <v>439</v>
          </cell>
          <cell r="EG185">
            <v>438</v>
          </cell>
          <cell r="EH185">
            <v>497</v>
          </cell>
          <cell r="EI185">
            <v>501</v>
          </cell>
          <cell r="EL185">
            <v>490</v>
          </cell>
          <cell r="EM185">
            <v>487</v>
          </cell>
          <cell r="EN185">
            <v>487</v>
          </cell>
          <cell r="EO185">
            <v>491</v>
          </cell>
          <cell r="ER185">
            <v>455</v>
          </cell>
          <cell r="ES185">
            <v>454</v>
          </cell>
          <cell r="ET185">
            <v>452</v>
          </cell>
          <cell r="EU185">
            <v>452</v>
          </cell>
          <cell r="EX185">
            <v>451</v>
          </cell>
          <cell r="EY185">
            <v>451</v>
          </cell>
          <cell r="EZ185">
            <v>451</v>
          </cell>
          <cell r="FA185">
            <v>442</v>
          </cell>
          <cell r="FD185">
            <v>437</v>
          </cell>
          <cell r="FE185">
            <v>437</v>
          </cell>
          <cell r="FF185">
            <v>437</v>
          </cell>
          <cell r="FG185">
            <v>437</v>
          </cell>
          <cell r="FJ185">
            <v>437</v>
          </cell>
          <cell r="FK185">
            <v>437</v>
          </cell>
          <cell r="FL185">
            <v>437</v>
          </cell>
          <cell r="FM185">
            <v>437</v>
          </cell>
          <cell r="FP185">
            <v>437</v>
          </cell>
          <cell r="FQ185">
            <v>437</v>
          </cell>
          <cell r="FR185">
            <v>437</v>
          </cell>
          <cell r="FS185">
            <v>437</v>
          </cell>
          <cell r="FV185">
            <v>437</v>
          </cell>
          <cell r="FW185">
            <v>437</v>
          </cell>
          <cell r="FX185">
            <v>437</v>
          </cell>
          <cell r="FY185">
            <v>437</v>
          </cell>
          <cell r="GB185">
            <v>437</v>
          </cell>
          <cell r="GC185">
            <v>437</v>
          </cell>
          <cell r="GD185">
            <v>437</v>
          </cell>
          <cell r="GE185">
            <v>437</v>
          </cell>
        </row>
        <row r="186">
          <cell r="A186" t="str">
            <v>Month 3</v>
          </cell>
          <cell r="AN186" t="str">
            <v>Month 3</v>
          </cell>
          <cell r="DZ186">
            <v>444</v>
          </cell>
          <cell r="EA186">
            <v>446</v>
          </cell>
          <cell r="EB186">
            <v>450</v>
          </cell>
          <cell r="EC186">
            <v>444</v>
          </cell>
          <cell r="EF186">
            <v>439</v>
          </cell>
          <cell r="EG186">
            <v>497</v>
          </cell>
          <cell r="EH186">
            <v>500</v>
          </cell>
          <cell r="EI186">
            <v>491</v>
          </cell>
          <cell r="EL186">
            <v>490</v>
          </cell>
          <cell r="EM186">
            <v>487</v>
          </cell>
          <cell r="EN186">
            <v>491</v>
          </cell>
          <cell r="EO186">
            <v>458</v>
          </cell>
          <cell r="ER186">
            <v>455</v>
          </cell>
          <cell r="ES186">
            <v>453</v>
          </cell>
          <cell r="ET186">
            <v>452</v>
          </cell>
          <cell r="EU186">
            <v>451</v>
          </cell>
          <cell r="EX186">
            <v>451</v>
          </cell>
          <cell r="EY186">
            <v>451</v>
          </cell>
          <cell r="EZ186">
            <v>451</v>
          </cell>
          <cell r="FA186">
            <v>437</v>
          </cell>
          <cell r="FD186">
            <v>437</v>
          </cell>
          <cell r="FE186">
            <v>437</v>
          </cell>
          <cell r="FF186">
            <v>437</v>
          </cell>
          <cell r="FG186">
            <v>437</v>
          </cell>
          <cell r="FJ186">
            <v>437</v>
          </cell>
          <cell r="FK186">
            <v>437</v>
          </cell>
          <cell r="FL186">
            <v>437</v>
          </cell>
          <cell r="FM186">
            <v>437</v>
          </cell>
          <cell r="FP186">
            <v>437</v>
          </cell>
          <cell r="FQ186">
            <v>437</v>
          </cell>
          <cell r="FR186">
            <v>437</v>
          </cell>
          <cell r="FS186">
            <v>437</v>
          </cell>
          <cell r="FV186">
            <v>437</v>
          </cell>
          <cell r="FW186">
            <v>437</v>
          </cell>
          <cell r="FX186">
            <v>437</v>
          </cell>
          <cell r="FY186">
            <v>437</v>
          </cell>
          <cell r="GB186">
            <v>437</v>
          </cell>
          <cell r="GC186">
            <v>437</v>
          </cell>
          <cell r="GD186">
            <v>437</v>
          </cell>
          <cell r="GE186">
            <v>437</v>
          </cell>
        </row>
        <row r="187">
          <cell r="A187" t="str">
            <v>Total</v>
          </cell>
          <cell r="AN187" t="str">
            <v>Total</v>
          </cell>
          <cell r="DZ187">
            <v>444</v>
          </cell>
          <cell r="EA187">
            <v>446</v>
          </cell>
          <cell r="EB187">
            <v>450</v>
          </cell>
          <cell r="EC187">
            <v>444</v>
          </cell>
          <cell r="ED187">
            <v>444</v>
          </cell>
          <cell r="EF187">
            <v>439</v>
          </cell>
          <cell r="EG187">
            <v>497</v>
          </cell>
          <cell r="EH187">
            <v>500</v>
          </cell>
          <cell r="EI187">
            <v>491</v>
          </cell>
          <cell r="EJ187">
            <v>491</v>
          </cell>
          <cell r="EL187">
            <v>490</v>
          </cell>
          <cell r="EM187">
            <v>487</v>
          </cell>
          <cell r="EN187">
            <v>491</v>
          </cell>
          <cell r="EO187">
            <v>458</v>
          </cell>
          <cell r="EP187">
            <v>458</v>
          </cell>
          <cell r="ER187">
            <v>455</v>
          </cell>
          <cell r="ES187">
            <v>453</v>
          </cell>
          <cell r="ET187">
            <v>452</v>
          </cell>
          <cell r="EU187">
            <v>451</v>
          </cell>
          <cell r="EV187">
            <v>451</v>
          </cell>
          <cell r="EX187">
            <v>451</v>
          </cell>
          <cell r="EY187">
            <v>451</v>
          </cell>
          <cell r="EZ187">
            <v>451</v>
          </cell>
          <cell r="FA187">
            <v>437</v>
          </cell>
          <cell r="FB187">
            <v>437</v>
          </cell>
          <cell r="FD187">
            <v>437</v>
          </cell>
          <cell r="FE187">
            <v>437</v>
          </cell>
          <cell r="FF187">
            <v>437</v>
          </cell>
          <cell r="FG187">
            <v>437</v>
          </cell>
          <cell r="FH187">
            <v>437</v>
          </cell>
          <cell r="FJ187">
            <v>437</v>
          </cell>
          <cell r="FK187">
            <v>437</v>
          </cell>
          <cell r="FL187">
            <v>437</v>
          </cell>
          <cell r="FM187">
            <v>437</v>
          </cell>
          <cell r="FN187">
            <v>437</v>
          </cell>
          <cell r="FP187">
            <v>437</v>
          </cell>
          <cell r="FQ187">
            <v>437</v>
          </cell>
          <cell r="FR187">
            <v>437</v>
          </cell>
          <cell r="FS187">
            <v>437</v>
          </cell>
          <cell r="FT187">
            <v>437</v>
          </cell>
          <cell r="FV187">
            <v>437</v>
          </cell>
          <cell r="FW187">
            <v>437</v>
          </cell>
          <cell r="FX187">
            <v>437</v>
          </cell>
          <cell r="FY187">
            <v>437</v>
          </cell>
          <cell r="FZ187">
            <v>437</v>
          </cell>
          <cell r="GB187">
            <v>437</v>
          </cell>
          <cell r="GC187">
            <v>437</v>
          </cell>
          <cell r="GD187">
            <v>437</v>
          </cell>
          <cell r="GE187">
            <v>437</v>
          </cell>
          <cell r="GF187">
            <v>437</v>
          </cell>
        </row>
        <row r="189">
          <cell r="AN189" t="str">
            <v>Direct-to-consumer Monthly Sales</v>
          </cell>
        </row>
        <row r="190">
          <cell r="AN190" t="str">
            <v>Month 1</v>
          </cell>
          <cell r="CV190" t="str">
            <v>--</v>
          </cell>
          <cell r="CW190" t="str">
            <v>--</v>
          </cell>
          <cell r="CX190" t="str">
            <v>--</v>
          </cell>
          <cell r="CY190" t="str">
            <v>--</v>
          </cell>
          <cell r="DB190">
            <v>8</v>
          </cell>
          <cell r="DC190">
            <v>141</v>
          </cell>
          <cell r="DD190">
            <v>131</v>
          </cell>
          <cell r="DE190">
            <v>209</v>
          </cell>
          <cell r="DH190">
            <v>137</v>
          </cell>
          <cell r="DI190">
            <v>142</v>
          </cell>
          <cell r="DJ190">
            <v>128</v>
          </cell>
          <cell r="DK190">
            <v>185</v>
          </cell>
          <cell r="DN190">
            <v>69</v>
          </cell>
          <cell r="DO190">
            <v>81</v>
          </cell>
          <cell r="DP190" t="str">
            <v xml:space="preserve"> </v>
          </cell>
        </row>
        <row r="201">
          <cell r="AN201" t="str">
            <v>NA = Not Applicable, NM = Not Meaningful</v>
          </cell>
        </row>
        <row r="202">
          <cell r="N202" t="str">
            <v>1995-FY</v>
          </cell>
          <cell r="O202" t="str">
            <v>1996-FY</v>
          </cell>
          <cell r="P202" t="str">
            <v>1997-FY</v>
          </cell>
          <cell r="Q202" t="str">
            <v>1998-FY</v>
          </cell>
          <cell r="R202" t="str">
            <v>1999-FY</v>
          </cell>
          <cell r="S202" t="str">
            <v>2000-FY</v>
          </cell>
          <cell r="T202" t="str">
            <v>2001-FY</v>
          </cell>
          <cell r="U202" t="str">
            <v>2002-FY</v>
          </cell>
          <cell r="V202" t="str">
            <v>2003-FY</v>
          </cell>
          <cell r="W202" t="str">
            <v>2004-FY</v>
          </cell>
          <cell r="X202" t="str">
            <v>2005-FY</v>
          </cell>
          <cell r="Y202" t="str">
            <v>2006-FY</v>
          </cell>
          <cell r="Z202" t="str">
            <v>2007-FY</v>
          </cell>
          <cell r="AA202" t="str">
            <v>2008-FY</v>
          </cell>
          <cell r="AB202" t="str">
            <v>2009-FY</v>
          </cell>
          <cell r="AC202" t="str">
            <v>2010-FY</v>
          </cell>
          <cell r="AD202" t="str">
            <v>2011-FY</v>
          </cell>
          <cell r="AE202" t="str">
            <v>2012-FY</v>
          </cell>
          <cell r="AF202" t="str">
            <v>2013-FY</v>
          </cell>
          <cell r="AG202" t="str">
            <v>2014-FY</v>
          </cell>
          <cell r="AH202" t="str">
            <v>2015-FY</v>
          </cell>
          <cell r="DH202" t="str">
            <v>2000-Q1</v>
          </cell>
          <cell r="DI202" t="str">
            <v>2000-Q2</v>
          </cell>
          <cell r="DJ202" t="str">
            <v>2000-Q3</v>
          </cell>
          <cell r="DK202" t="str">
            <v>2000-Q4</v>
          </cell>
          <cell r="DN202" t="str">
            <v>2001-Q1</v>
          </cell>
          <cell r="DO202" t="str">
            <v>2001-Q2</v>
          </cell>
          <cell r="DP202" t="str">
            <v>2001-Q3</v>
          </cell>
          <cell r="DQ202" t="str">
            <v>2001-Q4</v>
          </cell>
          <cell r="DT202" t="str">
            <v>2002-Q1</v>
          </cell>
          <cell r="DU202" t="str">
            <v>2002-Q2</v>
          </cell>
          <cell r="DV202" t="str">
            <v>2002-Q3</v>
          </cell>
          <cell r="DW202" t="str">
            <v>2002-Q4</v>
          </cell>
          <cell r="DZ202" t="str">
            <v>2003-Q1</v>
          </cell>
          <cell r="EA202" t="str">
            <v>2003-Q2</v>
          </cell>
          <cell r="EB202" t="str">
            <v>2003-Q3</v>
          </cell>
          <cell r="EC202" t="str">
            <v>2003-Q4</v>
          </cell>
          <cell r="EF202" t="str">
            <v>2004-Q1</v>
          </cell>
          <cell r="EG202" t="str">
            <v>2004-Q2</v>
          </cell>
          <cell r="EH202" t="str">
            <v>2004-Q3</v>
          </cell>
          <cell r="EI202" t="str">
            <v>2004-Q4</v>
          </cell>
          <cell r="EL202" t="str">
            <v>2005-Q1</v>
          </cell>
          <cell r="EM202" t="str">
            <v>2005-Q2</v>
          </cell>
          <cell r="EN202" t="str">
            <v>2005-Q3</v>
          </cell>
          <cell r="EO202" t="str">
            <v>2005-Q4</v>
          </cell>
          <cell r="ER202" t="str">
            <v>2006-Q1</v>
          </cell>
          <cell r="ES202" t="str">
            <v>2006-Q2</v>
          </cell>
          <cell r="ET202" t="str">
            <v>2006-Q3</v>
          </cell>
          <cell r="EU202" t="str">
            <v>2006-Q4</v>
          </cell>
          <cell r="EX202" t="str">
            <v>2007-Q1</v>
          </cell>
          <cell r="EY202" t="str">
            <v>2007-Q2</v>
          </cell>
          <cell r="EZ202" t="str">
            <v>2007-Q3</v>
          </cell>
          <cell r="FA202" t="str">
            <v>2007-Q4</v>
          </cell>
          <cell r="FD202" t="str">
            <v>2008-Q1</v>
          </cell>
          <cell r="FE202" t="str">
            <v>2008-Q2</v>
          </cell>
          <cell r="FF202" t="str">
            <v>2008-Q3</v>
          </cell>
          <cell r="FG202" t="str">
            <v>2008-Q4</v>
          </cell>
          <cell r="FJ202" t="str">
            <v>2009-Q1</v>
          </cell>
          <cell r="FK202" t="str">
            <v>2009-Q2</v>
          </cell>
          <cell r="FL202" t="str">
            <v>2009-Q3</v>
          </cell>
          <cell r="FM202" t="str">
            <v>2009-Q4</v>
          </cell>
          <cell r="FP202" t="str">
            <v>2010-Q1</v>
          </cell>
          <cell r="FQ202" t="str">
            <v>2010-Q2</v>
          </cell>
          <cell r="FR202" t="str">
            <v>2010-Q3</v>
          </cell>
          <cell r="FS202" t="str">
            <v>2010-Q4</v>
          </cell>
          <cell r="FV202" t="str">
            <v>2011-Q1</v>
          </cell>
          <cell r="FW202" t="str">
            <v>2011-Q2</v>
          </cell>
          <cell r="FX202" t="str">
            <v>2011-Q3</v>
          </cell>
          <cell r="FY202" t="str">
            <v>2011-Q4</v>
          </cell>
          <cell r="GB202" t="str">
            <v>2012-Q1</v>
          </cell>
          <cell r="GC202" t="str">
            <v>2012-Q2</v>
          </cell>
          <cell r="GD202" t="str">
            <v>2012-Q3</v>
          </cell>
          <cell r="GE202" t="str">
            <v>2012-Q4</v>
          </cell>
        </row>
        <row r="203">
          <cell r="AA203" t="str">
            <v>LINK OVER TO QUARTERLY BULL/BEAR</v>
          </cell>
        </row>
        <row r="204">
          <cell r="A204" t="str">
            <v>Base Case Assumptions</v>
          </cell>
          <cell r="N204">
            <v>1995</v>
          </cell>
          <cell r="O204">
            <v>1996</v>
          </cell>
          <cell r="P204">
            <v>1997</v>
          </cell>
          <cell r="Q204">
            <v>1998</v>
          </cell>
          <cell r="R204">
            <v>1999</v>
          </cell>
          <cell r="S204">
            <v>2000</v>
          </cell>
          <cell r="T204">
            <v>2001</v>
          </cell>
          <cell r="U204">
            <v>2002</v>
          </cell>
          <cell r="V204">
            <v>2003</v>
          </cell>
          <cell r="W204">
            <v>2004</v>
          </cell>
          <cell r="X204">
            <v>2005</v>
          </cell>
          <cell r="Y204">
            <v>2006</v>
          </cell>
          <cell r="Z204">
            <v>2007</v>
          </cell>
          <cell r="AA204">
            <v>2008</v>
          </cell>
          <cell r="AB204">
            <v>2009</v>
          </cell>
          <cell r="AC204">
            <v>2010</v>
          </cell>
          <cell r="AD204">
            <v>2011</v>
          </cell>
          <cell r="AE204" t="str">
            <v>2012E</v>
          </cell>
          <cell r="AF204" t="str">
            <v>2013E</v>
          </cell>
          <cell r="AG204" t="str">
            <v>2014E</v>
          </cell>
          <cell r="AH204" t="str">
            <v>2015E</v>
          </cell>
          <cell r="AI204" t="str">
            <v>2016E</v>
          </cell>
          <cell r="AJ204" t="str">
            <v>2017E</v>
          </cell>
          <cell r="AK204" t="str">
            <v>2018E</v>
          </cell>
          <cell r="AL204" t="str">
            <v>2019E</v>
          </cell>
          <cell r="AN204" t="str">
            <v>Base Case Assumptions</v>
          </cell>
          <cell r="EL204" t="str">
            <v>Base Case Assumptions</v>
          </cell>
        </row>
        <row r="205">
          <cell r="A205" t="str">
            <v>Revenue</v>
          </cell>
          <cell r="N205">
            <v>14614</v>
          </cell>
          <cell r="O205">
            <v>14833</v>
          </cell>
          <cell r="P205">
            <v>15220</v>
          </cell>
          <cell r="Q205">
            <v>15365</v>
          </cell>
          <cell r="R205">
            <v>16029</v>
          </cell>
          <cell r="S205">
            <v>16638</v>
          </cell>
          <cell r="T205">
            <v>15785</v>
          </cell>
          <cell r="U205">
            <v>15571</v>
          </cell>
          <cell r="V205">
            <v>15412</v>
          </cell>
          <cell r="W205">
            <v>15776</v>
          </cell>
          <cell r="X205">
            <v>22390</v>
          </cell>
          <cell r="Y205">
            <v>26970</v>
          </cell>
          <cell r="Z205">
            <v>26313</v>
          </cell>
          <cell r="AA205">
            <v>24892</v>
          </cell>
          <cell r="AB205">
            <v>23895</v>
          </cell>
          <cell r="AC205">
            <v>25003</v>
          </cell>
          <cell r="AD205">
            <v>26405</v>
          </cell>
          <cell r="AE205">
            <v>27697.820605365057</v>
          </cell>
          <cell r="AF205">
            <v>28358.892641397051</v>
          </cell>
          <cell r="AG205">
            <v>28905.408744504351</v>
          </cell>
          <cell r="AH205">
            <v>29204.897015558319</v>
          </cell>
          <cell r="AI205">
            <v>29496.945985713905</v>
          </cell>
          <cell r="AJ205">
            <v>29791.915445571045</v>
          </cell>
          <cell r="AK205">
            <v>30089.834600026756</v>
          </cell>
          <cell r="AL205">
            <v>30390.732946027023</v>
          </cell>
          <cell r="AN205" t="str">
            <v>Consolidated Stores Monthly Sales ($)</v>
          </cell>
          <cell r="EL205" t="str">
            <v>Consolidated Stores Monthly Sales ($)</v>
          </cell>
          <cell r="EU205">
            <v>356</v>
          </cell>
        </row>
        <row r="206">
          <cell r="A206" t="str">
            <v xml:space="preserve"> % Same-store</v>
          </cell>
          <cell r="N206">
            <v>2.7E-2</v>
          </cell>
          <cell r="O206">
            <v>3.1E-2</v>
          </cell>
          <cell r="P206">
            <v>2.7E-2</v>
          </cell>
          <cell r="Q206">
            <v>2.1999999999999999E-2</v>
          </cell>
          <cell r="R206">
            <v>4.4999999999999998E-2</v>
          </cell>
          <cell r="S206">
            <v>0.02</v>
          </cell>
          <cell r="T206">
            <v>-5.2999999999999999E-2</v>
          </cell>
          <cell r="U206">
            <v>-0.03</v>
          </cell>
          <cell r="V206">
            <v>-9.0000000000000011E-3</v>
          </cell>
          <cell r="W206">
            <v>2.5999999999999999E-2</v>
          </cell>
          <cell r="X206">
            <v>1.2999999999999999E-2</v>
          </cell>
          <cell r="Y206">
            <v>4.3999999999999997E-2</v>
          </cell>
          <cell r="Z206">
            <v>-1.2799528750047504E-2</v>
          </cell>
          <cell r="AA206">
            <v>-4.4999999999999998E-2</v>
          </cell>
          <cell r="AB206">
            <v>-5.0987622799162344E-2</v>
          </cell>
          <cell r="AC206">
            <v>4.610434747830261E-2</v>
          </cell>
          <cell r="AD206">
            <v>5.2999999999999999E-2</v>
          </cell>
          <cell r="AE206">
            <v>4.02253638971692E-2</v>
          </cell>
          <cell r="AF206">
            <v>3.5000000000000003E-2</v>
          </cell>
          <cell r="AG206">
            <v>0.02</v>
          </cell>
          <cell r="AH206">
            <v>0.01</v>
          </cell>
          <cell r="AI206">
            <v>0.01</v>
          </cell>
          <cell r="AJ206">
            <v>0.01</v>
          </cell>
          <cell r="AK206">
            <v>0.01</v>
          </cell>
          <cell r="AL206">
            <v>0.01</v>
          </cell>
          <cell r="AN206" t="str">
            <v>Month 1</v>
          </cell>
          <cell r="EL206" t="str">
            <v>Month 1</v>
          </cell>
          <cell r="ER206">
            <v>1800</v>
          </cell>
          <cell r="ES206">
            <v>2026</v>
          </cell>
          <cell r="ET206">
            <v>1727</v>
          </cell>
          <cell r="EU206">
            <v>2385</v>
          </cell>
          <cell r="EX206">
            <v>1802</v>
          </cell>
          <cell r="EY206">
            <v>1976</v>
          </cell>
          <cell r="EZ206">
            <v>1788</v>
          </cell>
          <cell r="FA206">
            <v>2707</v>
          </cell>
          <cell r="FD206">
            <v>1737</v>
          </cell>
          <cell r="FE206">
            <v>1926</v>
          </cell>
          <cell r="FF206">
            <v>1686</v>
          </cell>
          <cell r="FG206">
            <v>2324</v>
          </cell>
          <cell r="FJ206">
            <v>1602.5975291456411</v>
          </cell>
          <cell r="FK206">
            <v>1783.7565582371458</v>
          </cell>
          <cell r="FL206">
            <v>1576.1490988530857</v>
          </cell>
          <cell r="FM206">
            <v>2202.7766574237457</v>
          </cell>
          <cell r="FP206">
            <v>1667</v>
          </cell>
          <cell r="FQ206">
            <v>1789</v>
          </cell>
          <cell r="FR206">
            <v>1638</v>
          </cell>
          <cell r="FS206">
            <v>2341</v>
          </cell>
          <cell r="FV206">
            <v>1763</v>
          </cell>
          <cell r="FW206">
            <v>1937</v>
          </cell>
          <cell r="FX206">
            <v>1714</v>
          </cell>
          <cell r="FY206">
            <v>2465</v>
          </cell>
          <cell r="GB206">
            <v>1860</v>
          </cell>
          <cell r="GC206">
            <v>2015</v>
          </cell>
          <cell r="GD206">
            <v>1812</v>
          </cell>
          <cell r="GE206">
            <v>2539.5720461726355</v>
          </cell>
        </row>
        <row r="207">
          <cell r="A207" t="str">
            <v>CGS, OCC, Buying Costs</v>
          </cell>
          <cell r="N207">
            <v>9038</v>
          </cell>
          <cell r="O207">
            <v>9018</v>
          </cell>
          <cell r="P207">
            <v>9200</v>
          </cell>
          <cell r="Q207">
            <v>9218</v>
          </cell>
          <cell r="R207">
            <v>9576</v>
          </cell>
          <cell r="S207">
            <v>9955</v>
          </cell>
          <cell r="T207">
            <v>9603</v>
          </cell>
          <cell r="U207">
            <v>9324</v>
          </cell>
          <cell r="V207">
            <v>9175</v>
          </cell>
          <cell r="W207">
            <v>9346</v>
          </cell>
          <cell r="X207">
            <v>13272</v>
          </cell>
          <cell r="Y207">
            <v>16019</v>
          </cell>
          <cell r="Z207">
            <v>15774.299839502128</v>
          </cell>
          <cell r="AA207">
            <v>15009</v>
          </cell>
          <cell r="AB207">
            <v>14278</v>
          </cell>
          <cell r="AC207">
            <v>14824</v>
          </cell>
          <cell r="AD207">
            <v>15738</v>
          </cell>
          <cell r="AE207">
            <v>16473.116703251519</v>
          </cell>
          <cell r="AF207">
            <v>16781.208749826241</v>
          </cell>
          <cell r="AG207">
            <v>17061.248342231931</v>
          </cell>
          <cell r="AH207">
            <v>17267.224438478806</v>
          </cell>
          <cell r="AI207">
            <v>17498.890574835023</v>
          </cell>
          <cell r="AJ207">
            <v>17673.879480583375</v>
          </cell>
          <cell r="AK207">
            <v>17850.618275389206</v>
          </cell>
          <cell r="AL207">
            <v>18029.124458143102</v>
          </cell>
          <cell r="AN207" t="str">
            <v>Month 2</v>
          </cell>
          <cell r="EL207" t="str">
            <v>Month 2</v>
          </cell>
          <cell r="ER207">
            <v>2255</v>
          </cell>
          <cell r="ES207">
            <v>2367</v>
          </cell>
          <cell r="ET207">
            <v>2303</v>
          </cell>
          <cell r="EU207">
            <v>4997</v>
          </cell>
          <cell r="EX207">
            <v>2288</v>
          </cell>
          <cell r="EY207">
            <v>2321</v>
          </cell>
          <cell r="EZ207">
            <v>2274</v>
          </cell>
          <cell r="FA207">
            <v>4624</v>
          </cell>
          <cell r="FD207">
            <v>2142</v>
          </cell>
          <cell r="FE207">
            <v>2249</v>
          </cell>
          <cell r="FF207">
            <v>2093</v>
          </cell>
          <cell r="FG207">
            <v>4397</v>
          </cell>
          <cell r="FJ207">
            <v>1963.7990255785628</v>
          </cell>
          <cell r="FK207">
            <v>2092.5916404337181</v>
          </cell>
          <cell r="FL207">
            <v>2084.1512834516657</v>
          </cell>
          <cell r="FM207">
            <v>4474.7693471136881</v>
          </cell>
          <cell r="FP207">
            <v>2172</v>
          </cell>
          <cell r="FQ207">
            <v>2229</v>
          </cell>
          <cell r="FR207">
            <v>2181</v>
          </cell>
          <cell r="FS207">
            <v>4619</v>
          </cell>
          <cell r="FV207">
            <v>2206</v>
          </cell>
          <cell r="FW207">
            <v>2392</v>
          </cell>
          <cell r="FX207">
            <v>2298</v>
          </cell>
          <cell r="FY207">
            <v>4925</v>
          </cell>
          <cell r="GB207">
            <v>2358</v>
          </cell>
          <cell r="GC207">
            <v>2412</v>
          </cell>
          <cell r="GD207">
            <v>2339.3160690399509</v>
          </cell>
          <cell r="GE207">
            <v>5073.9928305883286</v>
          </cell>
        </row>
        <row r="208">
          <cell r="A208" t="str">
            <v>CGS, OCC, Buying Costs %</v>
          </cell>
          <cell r="N208">
            <v>0.61844806350075265</v>
          </cell>
          <cell r="O208">
            <v>0.60796871839816624</v>
          </cell>
          <cell r="P208">
            <v>0.60446780551905388</v>
          </cell>
          <cell r="Q208">
            <v>0.59993491701919943</v>
          </cell>
          <cell r="R208">
            <v>0.59741718135878719</v>
          </cell>
          <cell r="S208">
            <v>0.5983291260968866</v>
          </cell>
          <cell r="T208">
            <v>0.60836236933797905</v>
          </cell>
          <cell r="U208">
            <v>0.59880547171023057</v>
          </cell>
          <cell r="V208">
            <v>0.59531533869711917</v>
          </cell>
          <cell r="W208">
            <v>0.59241886409736311</v>
          </cell>
          <cell r="X208">
            <v>0.59276462706565436</v>
          </cell>
          <cell r="Y208">
            <v>0.59395624768261035</v>
          </cell>
          <cell r="Z208">
            <v>0.59948693951666965</v>
          </cell>
          <cell r="AA208">
            <v>0.60296480797043228</v>
          </cell>
          <cell r="AB208">
            <v>0.59753086419753088</v>
          </cell>
          <cell r="AC208">
            <v>0.59288885333759944</v>
          </cell>
          <cell r="AD208">
            <v>0.59602348040143915</v>
          </cell>
          <cell r="AE208">
            <v>0.59474414748937621</v>
          </cell>
          <cell r="AF208">
            <v>0.5917441474893762</v>
          </cell>
          <cell r="AG208">
            <v>0.59024414748937615</v>
          </cell>
          <cell r="AH208">
            <v>0.59124414748937626</v>
          </cell>
          <cell r="AI208">
            <v>0.59324414748937615</v>
          </cell>
          <cell r="AJ208">
            <v>0.59324414748937626</v>
          </cell>
          <cell r="AK208">
            <v>0.59324414748937615</v>
          </cell>
          <cell r="AL208">
            <v>0.59324414748937626</v>
          </cell>
          <cell r="AN208" t="str">
            <v>Month 3</v>
          </cell>
          <cell r="EL208" t="str">
            <v>Month 3</v>
          </cell>
          <cell r="ER208">
            <v>1878</v>
          </cell>
          <cell r="ES208">
            <v>1608</v>
          </cell>
          <cell r="ET208">
            <v>1863</v>
          </cell>
          <cell r="EU208">
            <v>1780</v>
          </cell>
          <cell r="EX208">
            <v>1837</v>
          </cell>
          <cell r="EY208">
            <v>1602</v>
          </cell>
          <cell r="EZ208">
            <v>1849</v>
          </cell>
          <cell r="FA208">
            <v>1273</v>
          </cell>
          <cell r="FD208">
            <v>1868</v>
          </cell>
          <cell r="FE208">
            <v>1543</v>
          </cell>
          <cell r="FF208">
            <v>1714</v>
          </cell>
          <cell r="FG208">
            <v>1213</v>
          </cell>
          <cell r="FJ208">
            <v>1720.603445275796</v>
          </cell>
          <cell r="FK208">
            <v>1409.6518013291361</v>
          </cell>
          <cell r="FL208">
            <v>1725.6996176952484</v>
          </cell>
          <cell r="FM208">
            <v>1268.4539954625661</v>
          </cell>
          <cell r="FP208">
            <v>1739</v>
          </cell>
          <cell r="FQ208">
            <v>1528</v>
          </cell>
          <cell r="FR208">
            <v>1806</v>
          </cell>
          <cell r="FS208">
            <v>1310</v>
          </cell>
          <cell r="FV208">
            <v>1920</v>
          </cell>
          <cell r="FW208">
            <v>1612</v>
          </cell>
          <cell r="FX208">
            <v>1842</v>
          </cell>
          <cell r="FY208">
            <v>1336</v>
          </cell>
          <cell r="GB208">
            <v>1928</v>
          </cell>
          <cell r="GC208">
            <v>1693</v>
          </cell>
          <cell r="GD208">
            <v>1918.3705778953104</v>
          </cell>
          <cell r="GE208">
            <v>1753.5690816688336</v>
          </cell>
        </row>
        <row r="209">
          <cell r="A209" t="str">
            <v>Y/Y ∆ CGS, OCC, Buying Costs % (bps)</v>
          </cell>
          <cell r="O209">
            <v>-104.79345102586413</v>
          </cell>
          <cell r="P209">
            <v>-35.009128791123615</v>
          </cell>
          <cell r="Q209">
            <v>-45.328884998544481</v>
          </cell>
          <cell r="R209">
            <v>-25.177356604122458</v>
          </cell>
          <cell r="S209">
            <v>9.1194473809941279</v>
          </cell>
          <cell r="T209">
            <v>100.33243241092448</v>
          </cell>
          <cell r="U209">
            <v>-95.568976277484722</v>
          </cell>
          <cell r="V209">
            <v>-34.901330131114072</v>
          </cell>
          <cell r="W209">
            <v>-28.964745997560605</v>
          </cell>
          <cell r="X209">
            <v>3.4576296829125219</v>
          </cell>
          <cell r="Y209">
            <v>11.916206169559906</v>
          </cell>
          <cell r="Z209">
            <v>55.306918340592979</v>
          </cell>
          <cell r="AA209">
            <v>34.778684537626333</v>
          </cell>
          <cell r="AB209">
            <v>-54.339437729014065</v>
          </cell>
          <cell r="AC209">
            <v>-46.420108599314332</v>
          </cell>
          <cell r="AD209">
            <v>31.346270638397122</v>
          </cell>
          <cell r="AE209">
            <v>-12.793329120629471</v>
          </cell>
          <cell r="AF209">
            <v>-30.000000000000028</v>
          </cell>
          <cell r="AG209">
            <v>-15.000000000000568</v>
          </cell>
          <cell r="AH209">
            <v>10.000000000001119</v>
          </cell>
          <cell r="AI209">
            <v>19.999999999998906</v>
          </cell>
          <cell r="AJ209">
            <v>1.1102230246251565E-12</v>
          </cell>
          <cell r="AK209">
            <v>-1.1102230246251565E-12</v>
          </cell>
          <cell r="AL209">
            <v>1.1102230246251565E-12</v>
          </cell>
          <cell r="AN209" t="str">
            <v>Total</v>
          </cell>
          <cell r="EL209" t="str">
            <v>Total</v>
          </cell>
          <cell r="ER209">
            <v>5930</v>
          </cell>
          <cell r="ES209">
            <v>5995</v>
          </cell>
          <cell r="ET209">
            <v>5886</v>
          </cell>
          <cell r="EU209">
            <v>9159</v>
          </cell>
          <cell r="EV209">
            <v>26970</v>
          </cell>
          <cell r="EX209">
            <v>5921</v>
          </cell>
          <cell r="EY209">
            <v>5892</v>
          </cell>
          <cell r="EZ209">
            <v>5906</v>
          </cell>
          <cell r="FA209">
            <v>8594</v>
          </cell>
          <cell r="FB209">
            <v>26313</v>
          </cell>
          <cell r="FD209">
            <v>5747</v>
          </cell>
          <cell r="FE209">
            <v>5718</v>
          </cell>
          <cell r="FF209">
            <v>5493</v>
          </cell>
          <cell r="FG209">
            <v>7934</v>
          </cell>
          <cell r="FH209">
            <v>24892</v>
          </cell>
          <cell r="FJ209">
            <v>5288</v>
          </cell>
          <cell r="FK209">
            <v>5285</v>
          </cell>
          <cell r="FL209">
            <v>5385</v>
          </cell>
          <cell r="FM209">
            <v>7937</v>
          </cell>
          <cell r="FN209">
            <v>23895</v>
          </cell>
          <cell r="FP209">
            <v>5574</v>
          </cell>
          <cell r="FQ209">
            <v>5537</v>
          </cell>
          <cell r="FR209">
            <v>5623</v>
          </cell>
          <cell r="FS209">
            <v>8269</v>
          </cell>
          <cell r="FT209">
            <v>25003</v>
          </cell>
          <cell r="FV209">
            <v>5889</v>
          </cell>
          <cell r="FW209">
            <v>5939</v>
          </cell>
          <cell r="FX209">
            <v>5853</v>
          </cell>
          <cell r="FY209">
            <v>8724</v>
          </cell>
          <cell r="FZ209">
            <v>26405</v>
          </cell>
          <cell r="GB209">
            <v>6143</v>
          </cell>
          <cell r="GC209">
            <v>6118</v>
          </cell>
          <cell r="GD209">
            <v>6069.6866469352608</v>
          </cell>
          <cell r="GE209">
            <v>9367.1339584297966</v>
          </cell>
          <cell r="GF209">
            <v>27697.820605365057</v>
          </cell>
        </row>
        <row r="210">
          <cell r="A210" t="str">
            <v>Gross Income</v>
          </cell>
          <cell r="N210">
            <v>5576</v>
          </cell>
          <cell r="O210">
            <v>5815</v>
          </cell>
          <cell r="P210">
            <v>6020</v>
          </cell>
          <cell r="Q210">
            <v>6147</v>
          </cell>
          <cell r="R210">
            <v>6453</v>
          </cell>
          <cell r="S210">
            <v>6683</v>
          </cell>
          <cell r="T210">
            <v>6182</v>
          </cell>
          <cell r="U210">
            <v>6247</v>
          </cell>
          <cell r="V210">
            <v>6237</v>
          </cell>
          <cell r="W210">
            <v>6430</v>
          </cell>
          <cell r="X210">
            <v>9118</v>
          </cell>
          <cell r="Y210">
            <v>10951</v>
          </cell>
          <cell r="Z210">
            <v>10538.700160497872</v>
          </cell>
          <cell r="AA210">
            <v>9883</v>
          </cell>
          <cell r="AB210">
            <v>9617</v>
          </cell>
          <cell r="AC210">
            <v>10179</v>
          </cell>
          <cell r="AD210">
            <v>10667</v>
          </cell>
          <cell r="AE210">
            <v>11224.703902113539</v>
          </cell>
          <cell r="AF210">
            <v>11577.683891570809</v>
          </cell>
          <cell r="AG210">
            <v>11844.16040227242</v>
          </cell>
          <cell r="AH210">
            <v>11937.672577079513</v>
          </cell>
          <cell r="AI210">
            <v>11998.055410878882</v>
          </cell>
          <cell r="AJ210">
            <v>12118.035964987672</v>
          </cell>
          <cell r="AK210">
            <v>12239.216324637548</v>
          </cell>
          <cell r="AL210">
            <v>12361.608487883923</v>
          </cell>
        </row>
        <row r="211">
          <cell r="A211" t="str">
            <v>Gross Margin</v>
          </cell>
          <cell r="N211">
            <v>0.38155193649924729</v>
          </cell>
          <cell r="O211">
            <v>0.39203128160183376</v>
          </cell>
          <cell r="P211">
            <v>0.39553219448094612</v>
          </cell>
          <cell r="Q211">
            <v>0.40006508298080051</v>
          </cell>
          <cell r="R211">
            <v>0.40258281864121281</v>
          </cell>
          <cell r="S211">
            <v>0.40167087390311335</v>
          </cell>
          <cell r="T211">
            <v>0.3916376306620209</v>
          </cell>
          <cell r="U211">
            <v>0.40119452828976943</v>
          </cell>
          <cell r="V211">
            <v>0.40468466130288089</v>
          </cell>
          <cell r="W211">
            <v>0.40758113590263689</v>
          </cell>
          <cell r="X211">
            <v>0.4072353729343457</v>
          </cell>
          <cell r="Y211">
            <v>0.40604375231738971</v>
          </cell>
          <cell r="Z211">
            <v>0.40051306048333035</v>
          </cell>
          <cell r="AA211">
            <v>0.39703519202956772</v>
          </cell>
          <cell r="AB211">
            <v>0.40246913580246912</v>
          </cell>
          <cell r="AC211">
            <v>0.4071111466624005</v>
          </cell>
          <cell r="AD211">
            <v>0.4039765195985609</v>
          </cell>
          <cell r="AE211">
            <v>0.40525585251062379</v>
          </cell>
          <cell r="AF211">
            <v>0.4082558525106238</v>
          </cell>
          <cell r="AG211">
            <v>0.4097558525106238</v>
          </cell>
          <cell r="AH211">
            <v>0.4087558525106238</v>
          </cell>
          <cell r="AI211">
            <v>0.40675585251062379</v>
          </cell>
          <cell r="AJ211">
            <v>0.40675585251062379</v>
          </cell>
          <cell r="AK211">
            <v>0.40675585251062379</v>
          </cell>
          <cell r="AL211">
            <v>0.40675585251062379</v>
          </cell>
          <cell r="AN211" t="str">
            <v xml:space="preserve">Consolidated Monthly Comps </v>
          </cell>
          <cell r="EL211" t="str">
            <v xml:space="preserve">Consolidated Monthly Comps </v>
          </cell>
          <cell r="EX211">
            <v>2.9599999999999991E-3</v>
          </cell>
          <cell r="FA211">
            <v>-1.5112275862068966E-2</v>
          </cell>
        </row>
        <row r="212">
          <cell r="A212" t="str">
            <v>Y/Y ∆ Gross Margin (bps)</v>
          </cell>
          <cell r="O212">
            <v>104.79345102586468</v>
          </cell>
          <cell r="P212">
            <v>35.009128791123615</v>
          </cell>
          <cell r="Q212">
            <v>45.328884998543927</v>
          </cell>
          <cell r="R212">
            <v>25.177356604123013</v>
          </cell>
          <cell r="S212">
            <v>-9.1194473809946821</v>
          </cell>
          <cell r="T212">
            <v>-100.33243241092448</v>
          </cell>
          <cell r="U212">
            <v>95.568976277485291</v>
          </cell>
          <cell r="V212">
            <v>34.901330131114626</v>
          </cell>
          <cell r="W212">
            <v>28.964745997560048</v>
          </cell>
          <cell r="X212">
            <v>-3.4576296829119668</v>
          </cell>
          <cell r="Y212">
            <v>-11.916206169559906</v>
          </cell>
          <cell r="Z212">
            <v>-55.306918340593533</v>
          </cell>
          <cell r="AA212">
            <v>-34.778684537626333</v>
          </cell>
          <cell r="AB212">
            <v>54.339437729014065</v>
          </cell>
          <cell r="AC212">
            <v>46.420108599313778</v>
          </cell>
          <cell r="AD212">
            <v>-31.346270638396014</v>
          </cell>
          <cell r="AE212">
            <v>12.793329120628915</v>
          </cell>
          <cell r="AF212">
            <v>30</v>
          </cell>
          <cell r="AG212">
            <v>15</v>
          </cell>
          <cell r="AH212">
            <v>-10</v>
          </cell>
          <cell r="AI212">
            <v>-20</v>
          </cell>
          <cell r="AJ212">
            <v>0</v>
          </cell>
          <cell r="AK212">
            <v>0</v>
          </cell>
          <cell r="AL212">
            <v>0</v>
          </cell>
          <cell r="AN212" t="str">
            <v>Month 1</v>
          </cell>
          <cell r="EL212" t="str">
            <v>Month 1</v>
          </cell>
          <cell r="ER212">
            <v>0.01</v>
          </cell>
          <cell r="ES212">
            <v>9.1999999999999998E-2</v>
          </cell>
          <cell r="ET212">
            <v>3.7999999999999999E-2</v>
          </cell>
          <cell r="EU212">
            <v>8.5000000000000006E-2</v>
          </cell>
          <cell r="EX212">
            <v>1.2E-2</v>
          </cell>
          <cell r="EY212">
            <v>-3.3000000000000002E-2</v>
          </cell>
          <cell r="EZ212">
            <v>2.4E-2</v>
          </cell>
          <cell r="FA212">
            <v>0.13400000000000001</v>
          </cell>
          <cell r="FD212">
            <v>-3.5000000000000003E-2</v>
          </cell>
          <cell r="FE212">
            <v>-1.4999999999999999E-2</v>
          </cell>
          <cell r="FF212">
            <v>-4.8000000000000001E-2</v>
          </cell>
          <cell r="FG212">
            <v>-0.13300000000000001</v>
          </cell>
          <cell r="FJ212">
            <v>-8.5000000000000006E-2</v>
          </cell>
          <cell r="FK212">
            <v>-9.0999999999999998E-2</v>
          </cell>
          <cell r="FL212">
            <v>-8.1000000000000003E-2</v>
          </cell>
          <cell r="FM212">
            <v>-6.0999999999999999E-2</v>
          </cell>
          <cell r="FP212">
            <v>3.6999999999999998E-2</v>
          </cell>
          <cell r="FQ212">
            <v>1.4E-2</v>
          </cell>
          <cell r="FR212">
            <v>4.2999999999999997E-2</v>
          </cell>
          <cell r="FS212">
            <v>6.0999999999999999E-2</v>
          </cell>
          <cell r="FV212">
            <v>5.8000000000000003E-2</v>
          </cell>
          <cell r="FW212">
            <v>7.3999999999999996E-2</v>
          </cell>
          <cell r="FX212">
            <v>0.05</v>
          </cell>
          <cell r="FY212">
            <v>4.8000000000000001E-2</v>
          </cell>
          <cell r="GB212">
            <v>4.5999999999999999E-2</v>
          </cell>
          <cell r="GC212">
            <v>4.2000000000000003E-2</v>
          </cell>
          <cell r="GD212">
            <v>5.0999999999999997E-2</v>
          </cell>
          <cell r="GE212">
            <v>0.04</v>
          </cell>
        </row>
        <row r="213">
          <cell r="A213" t="str">
            <v>SG&amp;A Expenses</v>
          </cell>
          <cell r="N213">
            <v>4913</v>
          </cell>
          <cell r="O213">
            <v>4922</v>
          </cell>
          <cell r="P213">
            <v>4679</v>
          </cell>
          <cell r="Q213">
            <v>4692</v>
          </cell>
          <cell r="R213">
            <v>4760</v>
          </cell>
          <cell r="S213">
            <v>4912</v>
          </cell>
          <cell r="T213">
            <v>4806</v>
          </cell>
          <cell r="U213">
            <v>4836</v>
          </cell>
          <cell r="V213">
            <v>4837</v>
          </cell>
          <cell r="W213">
            <v>4931</v>
          </cell>
          <cell r="X213">
            <v>6980</v>
          </cell>
          <cell r="Y213">
            <v>8678</v>
          </cell>
          <cell r="Z213">
            <v>8505.3177921820607</v>
          </cell>
          <cell r="AA213">
            <v>8458</v>
          </cell>
          <cell r="AB213">
            <v>8163</v>
          </cell>
          <cell r="AC213">
            <v>8260</v>
          </cell>
          <cell r="AD213">
            <v>8281</v>
          </cell>
          <cell r="AE213">
            <v>8553.4072798862726</v>
          </cell>
          <cell r="AF213">
            <v>8800.0923077192638</v>
          </cell>
          <cell r="AG213">
            <v>8940.7771652737574</v>
          </cell>
          <cell r="AH213">
            <v>9004.2074535542979</v>
          </cell>
          <cell r="AI213">
            <v>9064.7525821041272</v>
          </cell>
          <cell r="AJ213">
            <v>9125.6081924795981</v>
          </cell>
          <cell r="AK213">
            <v>9186.7744398043687</v>
          </cell>
          <cell r="AL213">
            <v>9248.2514512563848</v>
          </cell>
          <cell r="AN213" t="str">
            <v>Month 2</v>
          </cell>
          <cell r="EL213" t="str">
            <v>Month 2</v>
          </cell>
          <cell r="ER213">
            <v>0</v>
          </cell>
          <cell r="ES213">
            <v>1.7000000000000001E-2</v>
          </cell>
          <cell r="ET213">
            <v>6.5000000000000002E-2</v>
          </cell>
          <cell r="EU213">
            <v>4.3999999999999997E-2</v>
          </cell>
          <cell r="EX213">
            <v>2.3E-2</v>
          </cell>
          <cell r="EY213">
            <v>-2.7E-2</v>
          </cell>
          <cell r="EZ213">
            <v>-2.7E-2</v>
          </cell>
          <cell r="FA213">
            <v>-7.9000000000000001E-2</v>
          </cell>
          <cell r="FD213">
            <v>-6.2E-2</v>
          </cell>
          <cell r="FE213">
            <v>-2.1000000000000001E-2</v>
          </cell>
          <cell r="FF213">
            <v>-6.6000000000000003E-2</v>
          </cell>
          <cell r="FG213">
            <v>-0.04</v>
          </cell>
          <cell r="FJ213">
            <v>-9.1999999999999998E-2</v>
          </cell>
          <cell r="FK213">
            <v>-8.8999999999999996E-2</v>
          </cell>
          <cell r="FL213">
            <v>-2.3E-2</v>
          </cell>
          <cell r="FM213">
            <v>0.01</v>
          </cell>
          <cell r="FP213">
            <v>0.10800000000000001</v>
          </cell>
          <cell r="FQ213">
            <v>6.5000000000000002E-2</v>
          </cell>
          <cell r="FR213">
            <v>4.8000000000000001E-2</v>
          </cell>
          <cell r="FS213">
            <v>3.9E-2</v>
          </cell>
          <cell r="FV213">
            <v>8.9999999999999993E-3</v>
          </cell>
          <cell r="FW213">
            <v>6.7000000000000004E-2</v>
          </cell>
          <cell r="FX213">
            <v>4.9000000000000002E-2</v>
          </cell>
          <cell r="FY213">
            <v>6.2E-2</v>
          </cell>
          <cell r="GB213">
            <v>7.2999999999999995E-2</v>
          </cell>
          <cell r="GC213">
            <v>1.2E-2</v>
          </cell>
          <cell r="GD213">
            <v>0.03</v>
          </cell>
          <cell r="GE213">
            <v>0.04</v>
          </cell>
        </row>
        <row r="214">
          <cell r="A214" t="str">
            <v>SG&amp;A Ratio</v>
          </cell>
          <cell r="N214">
            <v>0.33618448063500755</v>
          </cell>
          <cell r="O214">
            <v>0.33182768152093306</v>
          </cell>
          <cell r="P214">
            <v>0.30742444152431014</v>
          </cell>
          <cell r="Q214">
            <v>0.30536934591604298</v>
          </cell>
          <cell r="R214">
            <v>0.29696175681577142</v>
          </cell>
          <cell r="S214">
            <v>0.29522779180189929</v>
          </cell>
          <cell r="T214">
            <v>0.30446626544187522</v>
          </cell>
          <cell r="U214">
            <v>0.31057735534005521</v>
          </cell>
          <cell r="V214">
            <v>0.31384635349078638</v>
          </cell>
          <cell r="W214">
            <v>0.31256338742393508</v>
          </cell>
          <cell r="X214">
            <v>0.311746315319339</v>
          </cell>
          <cell r="Y214">
            <v>0.32176492398961809</v>
          </cell>
          <cell r="Z214">
            <v>0.32323633915486871</v>
          </cell>
          <cell r="AA214">
            <v>0.33978788365739998</v>
          </cell>
          <cell r="AB214">
            <v>0.34161958568738232</v>
          </cell>
          <cell r="AC214">
            <v>0.33036035675718911</v>
          </cell>
          <cell r="AD214">
            <v>0.31361484567316794</v>
          </cell>
          <cell r="AE214">
            <v>0.30881156325452847</v>
          </cell>
          <cell r="AF214">
            <v>0.31031156325452847</v>
          </cell>
          <cell r="AG214">
            <v>0.30931156325452847</v>
          </cell>
          <cell r="AH214">
            <v>0.30831156325452846</v>
          </cell>
          <cell r="AI214">
            <v>0.30731156325452846</v>
          </cell>
          <cell r="AJ214">
            <v>0.30631156325452846</v>
          </cell>
          <cell r="AK214">
            <v>0.30531156325452846</v>
          </cell>
          <cell r="AL214">
            <v>0.30431156325452846</v>
          </cell>
          <cell r="AN214" t="str">
            <v>Month 3</v>
          </cell>
          <cell r="EL214" t="str">
            <v>Month 3</v>
          </cell>
          <cell r="ER214">
            <v>-8.0000000000000002E-3</v>
          </cell>
          <cell r="ES214">
            <v>3.3000000000000002E-2</v>
          </cell>
          <cell r="ET214">
            <v>7.6999999999999999E-2</v>
          </cell>
          <cell r="EU214">
            <v>8.5999999999999993E-2</v>
          </cell>
          <cell r="EX214">
            <v>-2.1999999999999999E-2</v>
          </cell>
          <cell r="EY214">
            <v>-1.4E-2</v>
          </cell>
          <cell r="EZ214">
            <v>-1.4999999999999999E-2</v>
          </cell>
          <cell r="FA214">
            <v>-7.0999999999999994E-2</v>
          </cell>
          <cell r="FD214">
            <v>0.03</v>
          </cell>
          <cell r="FE214">
            <v>-2.9000000000000001E-2</v>
          </cell>
          <cell r="FF214">
            <v>-6.3E-2</v>
          </cell>
          <cell r="FG214">
            <v>-4.4999999999999998E-2</v>
          </cell>
          <cell r="FJ214">
            <v>-9.0999999999999998E-2</v>
          </cell>
          <cell r="FK214">
            <v>-0.107</v>
          </cell>
          <cell r="FL214">
            <v>-8.0000000000000002E-3</v>
          </cell>
          <cell r="FM214">
            <v>3.4000000000000002E-2</v>
          </cell>
          <cell r="FP214">
            <v>1.0999999999999999E-2</v>
          </cell>
          <cell r="FQ214">
            <v>7.2999999999999995E-2</v>
          </cell>
          <cell r="FR214">
            <v>2.5000000000000001E-2</v>
          </cell>
          <cell r="FS214">
            <v>2.5999999999999999E-2</v>
          </cell>
          <cell r="FV214">
            <v>0.108</v>
          </cell>
          <cell r="FW214">
            <v>0.05</v>
          </cell>
          <cell r="FX214">
            <v>2.1999999999999999E-2</v>
          </cell>
          <cell r="FY214">
            <v>2.4E-2</v>
          </cell>
          <cell r="GB214">
            <v>1.2E-2</v>
          </cell>
          <cell r="GC214">
            <v>4.1000000000000002E-2</v>
          </cell>
          <cell r="GD214">
            <v>5.5E-2</v>
          </cell>
          <cell r="GE214">
            <v>0.05</v>
          </cell>
        </row>
        <row r="215">
          <cell r="A215" t="str">
            <v>Y/Y ∆ SG&amp;A Ratio (bps)</v>
          </cell>
          <cell r="O215">
            <v>-43.567991140744944</v>
          </cell>
          <cell r="P215">
            <v>-244.03239996622915</v>
          </cell>
          <cell r="Q215">
            <v>-20.550956082671657</v>
          </cell>
          <cell r="R215">
            <v>-84.075891002715622</v>
          </cell>
          <cell r="S215">
            <v>-17.339650138721296</v>
          </cell>
          <cell r="T215">
            <v>92.384736399759305</v>
          </cell>
          <cell r="U215">
            <v>61.110898981799892</v>
          </cell>
          <cell r="V215">
            <v>32.689981507311728</v>
          </cell>
          <cell r="W215">
            <v>-12.829660668512988</v>
          </cell>
          <cell r="X215">
            <v>-8.170721045960839</v>
          </cell>
          <cell r="Y215">
            <v>100.18608670279094</v>
          </cell>
          <cell r="Z215">
            <v>14.714151652506224</v>
          </cell>
          <cell r="AA215">
            <v>165.51544502531269</v>
          </cell>
          <cell r="AB215">
            <v>18.317020299823405</v>
          </cell>
          <cell r="AC215">
            <v>-112.5922893019321</v>
          </cell>
          <cell r="AD215">
            <v>-167.45511084021169</v>
          </cell>
          <cell r="AE215">
            <v>-48.032824186394762</v>
          </cell>
          <cell r="AF215">
            <v>15</v>
          </cell>
          <cell r="AG215">
            <v>-10</v>
          </cell>
          <cell r="AH215">
            <v>-10</v>
          </cell>
          <cell r="AI215">
            <v>-10</v>
          </cell>
          <cell r="AJ215">
            <v>-10</v>
          </cell>
          <cell r="AK215">
            <v>-10</v>
          </cell>
          <cell r="AL215">
            <v>-10</v>
          </cell>
          <cell r="AN215" t="str">
            <v>Total</v>
          </cell>
          <cell r="EL215" t="str">
            <v>Total</v>
          </cell>
          <cell r="ER215">
            <v>0</v>
          </cell>
          <cell r="ES215">
            <v>4.5999999999999999E-2</v>
          </cell>
          <cell r="ET215">
            <v>5.8999999999999997E-2</v>
          </cell>
          <cell r="EU215">
            <v>6.0999999999999999E-2</v>
          </cell>
          <cell r="EV215">
            <v>4.3999999999999997E-2</v>
          </cell>
          <cell r="EX215">
            <v>6.0000000000000001E-3</v>
          </cell>
          <cell r="EY215">
            <v>-2.5999999999999999E-2</v>
          </cell>
          <cell r="EZ215">
            <v>-8.0000000000000002E-3</v>
          </cell>
          <cell r="FA215">
            <v>-0.02</v>
          </cell>
          <cell r="FB215">
            <v>-1.2999999999999999E-2</v>
          </cell>
          <cell r="FD215">
            <v>-2.5999999999999999E-2</v>
          </cell>
          <cell r="FE215">
            <v>-2.1000000000000001E-2</v>
          </cell>
          <cell r="FF215">
            <v>-0.06</v>
          </cell>
          <cell r="FG215">
            <v>-7.0000000000000007E-2</v>
          </cell>
          <cell r="FH215">
            <v>-4.4999999999999998E-2</v>
          </cell>
          <cell r="FJ215">
            <v>-0.09</v>
          </cell>
          <cell r="FK215">
            <v>-9.5000000000000001E-2</v>
          </cell>
          <cell r="FL215">
            <v>-3.5999999999999997E-2</v>
          </cell>
          <cell r="FM215">
            <v>-5.8579119044959507E-3</v>
          </cell>
          <cell r="FN215">
            <v>-5.0987622799162344E-2</v>
          </cell>
          <cell r="FP215">
            <v>5.5E-2</v>
          </cell>
          <cell r="FQ215">
            <v>4.9000000000000002E-2</v>
          </cell>
          <cell r="FR215">
            <v>3.9E-2</v>
          </cell>
          <cell r="FS215">
            <v>4.2999999999999997E-2</v>
          </cell>
          <cell r="FT215">
            <v>4.610434747830261E-2</v>
          </cell>
          <cell r="FV215">
            <v>5.3999999999999999E-2</v>
          </cell>
          <cell r="FW215">
            <v>6.4000000000000001E-2</v>
          </cell>
          <cell r="FX215">
            <v>0.04</v>
          </cell>
          <cell r="FY215">
            <v>5.1999999999999998E-2</v>
          </cell>
          <cell r="FZ215">
            <v>5.2999999999999999E-2</v>
          </cell>
          <cell r="GB215">
            <v>4.3999999999999997E-2</v>
          </cell>
          <cell r="GC215">
            <v>0.03</v>
          </cell>
          <cell r="GD215">
            <v>4.4170626829774157E-2</v>
          </cell>
          <cell r="GE215">
            <v>4.1872044415560798E-2</v>
          </cell>
          <cell r="GF215">
            <v>4.02253638971692E-2</v>
          </cell>
        </row>
        <row r="216">
          <cell r="A216" t="str">
            <v>Operating Income</v>
          </cell>
          <cell r="N216">
            <v>663</v>
          </cell>
          <cell r="O216">
            <v>893</v>
          </cell>
          <cell r="P216">
            <v>1341</v>
          </cell>
          <cell r="Q216">
            <v>1455</v>
          </cell>
          <cell r="R216">
            <v>1693</v>
          </cell>
          <cell r="S216">
            <v>1771</v>
          </cell>
          <cell r="T216">
            <v>1376</v>
          </cell>
          <cell r="U216">
            <v>1411</v>
          </cell>
          <cell r="V216">
            <v>1400</v>
          </cell>
          <cell r="W216">
            <v>1499</v>
          </cell>
          <cell r="X216">
            <v>2138</v>
          </cell>
          <cell r="Y216">
            <v>2273</v>
          </cell>
          <cell r="Z216">
            <v>2033.3823683158116</v>
          </cell>
          <cell r="AA216">
            <v>1425</v>
          </cell>
          <cell r="AB216">
            <v>1454</v>
          </cell>
          <cell r="AC216">
            <v>1919</v>
          </cell>
          <cell r="AD216">
            <v>2386</v>
          </cell>
          <cell r="AE216">
            <v>2671.2966222272662</v>
          </cell>
          <cell r="AF216">
            <v>2777.5915838515448</v>
          </cell>
          <cell r="AG216">
            <v>2903.3832369986631</v>
          </cell>
          <cell r="AH216">
            <v>2933.4651235252149</v>
          </cell>
          <cell r="AI216">
            <v>2933.3028287747547</v>
          </cell>
          <cell r="AJ216">
            <v>2992.4277725080738</v>
          </cell>
          <cell r="AK216">
            <v>3052.4418848331788</v>
          </cell>
          <cell r="AL216">
            <v>3113.357036627538</v>
          </cell>
          <cell r="FV216">
            <v>5.45E-2</v>
          </cell>
          <cell r="FW216">
            <v>5.6500000000000002E-2</v>
          </cell>
          <cell r="FX216">
            <v>3.95E-2</v>
          </cell>
          <cell r="FY216">
            <v>4.7500000000000001E-2</v>
          </cell>
          <cell r="GB216">
            <v>4.9000000000000002E-2</v>
          </cell>
          <cell r="GC216">
            <v>4.7E-2</v>
          </cell>
          <cell r="GD216">
            <v>4.2085313414887082E-2</v>
          </cell>
          <cell r="GE216">
            <v>4.6936022207780398E-2</v>
          </cell>
          <cell r="GF216" t="str">
            <v>2-yr comp</v>
          </cell>
        </row>
        <row r="217">
          <cell r="A217" t="str">
            <v>Operating Margin</v>
          </cell>
          <cell r="N217">
            <v>4.5367455864239771E-2</v>
          </cell>
          <cell r="O217">
            <v>6.0203600080900692E-2</v>
          </cell>
          <cell r="P217">
            <v>8.8107752956636004E-2</v>
          </cell>
          <cell r="Q217">
            <v>9.4695737064757562E-2</v>
          </cell>
          <cell r="R217">
            <v>0.10562106182544138</v>
          </cell>
          <cell r="S217">
            <v>0.10644308210121409</v>
          </cell>
          <cell r="T217">
            <v>8.7171365220145708E-2</v>
          </cell>
          <cell r="U217">
            <v>9.0617172949714206E-2</v>
          </cell>
          <cell r="V217">
            <v>9.0838307812094468E-2</v>
          </cell>
          <cell r="W217">
            <v>9.5017748478701827E-2</v>
          </cell>
          <cell r="X217">
            <v>9.5489057615006701E-2</v>
          </cell>
          <cell r="Y217">
            <v>8.4278828327771602E-2</v>
          </cell>
          <cell r="Z217">
            <v>7.7276721328461653E-2</v>
          </cell>
          <cell r="AA217">
            <v>5.7247308372167766E-2</v>
          </cell>
          <cell r="AB217">
            <v>6.0849550115086838E-2</v>
          </cell>
          <cell r="AC217">
            <v>7.6750789905211378E-2</v>
          </cell>
          <cell r="AD217">
            <v>9.0361673925392919E-2</v>
          </cell>
          <cell r="AE217">
            <v>9.644428925609537E-2</v>
          </cell>
          <cell r="AF217">
            <v>9.7944289256095288E-2</v>
          </cell>
          <cell r="AG217">
            <v>0.10044428925609535</v>
          </cell>
          <cell r="AH217">
            <v>0.10044428925609533</v>
          </cell>
          <cell r="AI217">
            <v>9.9444289256095372E-2</v>
          </cell>
          <cell r="AJ217">
            <v>0.10044428925609539</v>
          </cell>
          <cell r="AK217">
            <v>0.1014442892560953</v>
          </cell>
          <cell r="AL217">
            <v>0.10244428925609532</v>
          </cell>
          <cell r="AN217" t="str">
            <v xml:space="preserve">Consolidated Productivity Factor </v>
          </cell>
          <cell r="EL217" t="str">
            <v xml:space="preserve">Consolidated Productivity Factor </v>
          </cell>
          <cell r="FP217">
            <v>-2.0333333333333332E-2</v>
          </cell>
          <cell r="FQ217">
            <v>-2.2333333333333334E-2</v>
          </cell>
          <cell r="FR217">
            <v>-1.9E-2</v>
          </cell>
          <cell r="FS217">
            <v>-1.0952637301498654E-2</v>
          </cell>
          <cell r="FV217">
            <v>6.333333333333334E-3</v>
          </cell>
          <cell r="FW217">
            <v>6.000000000000001E-3</v>
          </cell>
          <cell r="FX217">
            <v>1.4333333333333335E-2</v>
          </cell>
          <cell r="FY217">
            <v>2.971402936516802E-2</v>
          </cell>
        </row>
        <row r="218">
          <cell r="A218" t="str">
            <v>Y/Y ∆ Operating Margin (bps)</v>
          </cell>
          <cell r="O218">
            <v>148.36144216660921</v>
          </cell>
          <cell r="P218">
            <v>279.04152875735315</v>
          </cell>
          <cell r="Q218">
            <v>65.879841081215588</v>
          </cell>
          <cell r="R218">
            <v>109.25324760683822</v>
          </cell>
          <cell r="S218">
            <v>8.22020275772703</v>
          </cell>
          <cell r="T218">
            <v>-192.7171688106838</v>
          </cell>
          <cell r="U218">
            <v>34.45807729568498</v>
          </cell>
          <cell r="V218">
            <v>2.2113486238026225</v>
          </cell>
          <cell r="W218">
            <v>41.794406666073591</v>
          </cell>
          <cell r="X218">
            <v>4.7130913630487328</v>
          </cell>
          <cell r="Y218">
            <v>-112.10229287235099</v>
          </cell>
          <cell r="Z218">
            <v>-70.021069993099488</v>
          </cell>
          <cell r="AA218">
            <v>-200.29412956293888</v>
          </cell>
          <cell r="AB218">
            <v>36.022417429190725</v>
          </cell>
          <cell r="AC218">
            <v>159.01239790124541</v>
          </cell>
          <cell r="AD218">
            <v>136.10884020181541</v>
          </cell>
          <cell r="AE218">
            <v>60.826153307024512</v>
          </cell>
          <cell r="AF218">
            <v>14.999999999999181</v>
          </cell>
          <cell r="AG218">
            <v>25.000000000000576</v>
          </cell>
          <cell r="AH218">
            <v>-1.3877787807814457E-13</v>
          </cell>
          <cell r="AI218">
            <v>-9.9999999999995932</v>
          </cell>
          <cell r="AJ218">
            <v>10.000000000000147</v>
          </cell>
          <cell r="AK218">
            <v>9.9999999999991758</v>
          </cell>
          <cell r="AL218">
            <v>10.000000000000147</v>
          </cell>
          <cell r="AN218" t="str">
            <v>Month 1</v>
          </cell>
          <cell r="EL218" t="str">
            <v>Month 1</v>
          </cell>
          <cell r="ER218">
            <v>0.85379589916801657</v>
          </cell>
          <cell r="ES218">
            <v>0.82852877251430668</v>
          </cell>
          <cell r="ET218">
            <v>0.83475030563790842</v>
          </cell>
          <cell r="EU218">
            <v>0.91480422703367681</v>
          </cell>
          <cell r="EX218">
            <v>1.0042251017232908</v>
          </cell>
          <cell r="EY218">
            <v>1.0108075527611304</v>
          </cell>
          <cell r="EZ218">
            <v>1.0032705612197608</v>
          </cell>
          <cell r="FA218">
            <v>0.99617129302855612</v>
          </cell>
          <cell r="FD218">
            <v>1.0047260256693704</v>
          </cell>
          <cell r="FE218">
            <v>1.0011731147187122</v>
          </cell>
          <cell r="FF218">
            <v>1.0015681684828099</v>
          </cell>
          <cell r="FG218">
            <v>0.9980273685296247</v>
          </cell>
          <cell r="FJ218">
            <v>1.0146680194879518</v>
          </cell>
          <cell r="FK218">
            <v>1.0229325701507319</v>
          </cell>
          <cell r="FL218">
            <v>1.0237530410429481</v>
          </cell>
          <cell r="FM218">
            <v>1.0168796021749338</v>
          </cell>
          <cell r="FP218">
            <v>1.0016060228776302</v>
          </cell>
          <cell r="FQ218">
            <v>0.98881215735067063</v>
          </cell>
          <cell r="FR218">
            <v>1.0007452413933455</v>
          </cell>
          <cell r="FS218">
            <v>1.0028115913956974</v>
          </cell>
          <cell r="FV218">
            <v>1.0005096291516782</v>
          </cell>
          <cell r="FW218">
            <v>1.0081721608307339</v>
          </cell>
          <cell r="FX218">
            <v>0.99435769750356207</v>
          </cell>
          <cell r="FY218">
            <v>1.0114048185081832</v>
          </cell>
          <cell r="GB218">
            <v>1.0253009585429893</v>
          </cell>
          <cell r="GC218">
            <v>1.0133052611979987</v>
          </cell>
          <cell r="GD218">
            <v>1.018088666893139</v>
          </cell>
          <cell r="GE218">
            <v>1</v>
          </cell>
        </row>
        <row r="219">
          <cell r="AN219" t="str">
            <v>Month 2</v>
          </cell>
          <cell r="EL219" t="str">
            <v>Month 2</v>
          </cell>
          <cell r="ER219">
            <v>0.87143545576033965</v>
          </cell>
          <cell r="ES219">
            <v>0.86259214604526391</v>
          </cell>
          <cell r="ET219">
            <v>0.95476655228407081</v>
          </cell>
          <cell r="EU219">
            <v>0.95390310394604827</v>
          </cell>
          <cell r="EX219">
            <v>0.99756383077735888</v>
          </cell>
          <cell r="EY219">
            <v>1.0076309712339664</v>
          </cell>
          <cell r="EZ219">
            <v>1.0058439901456568</v>
          </cell>
          <cell r="FA219">
            <v>1.0104925603418453</v>
          </cell>
          <cell r="FD219">
            <v>1.0038919718017412</v>
          </cell>
          <cell r="FE219">
            <v>1.0002262623646179</v>
          </cell>
          <cell r="FF219">
            <v>1.0022779610885877</v>
          </cell>
          <cell r="FG219">
            <v>0.98797059201406712</v>
          </cell>
          <cell r="FJ219">
            <v>1.0172356632303496</v>
          </cell>
          <cell r="FK219">
            <v>1.0266388149144143</v>
          </cell>
          <cell r="FL219">
            <v>1.0185440088098592</v>
          </cell>
          <cell r="FM219">
            <v>1.0150644106268683</v>
          </cell>
          <cell r="FP219">
            <v>0.9967530496300272</v>
          </cell>
          <cell r="FQ219">
            <v>0.99989171377441255</v>
          </cell>
          <cell r="FR219">
            <v>1.0028971230689774</v>
          </cell>
          <cell r="FS219">
            <v>0.9946391314592461</v>
          </cell>
          <cell r="FV219">
            <v>1.0074992903911262</v>
          </cell>
          <cell r="FW219">
            <v>1.0057878604073234</v>
          </cell>
          <cell r="FX219">
            <v>1.0057401642886414</v>
          </cell>
          <cell r="FY219">
            <v>1.0118477756232767</v>
          </cell>
          <cell r="GB219">
            <v>1.0102541230632647</v>
          </cell>
          <cell r="GC219">
            <v>1.011143062170935</v>
          </cell>
          <cell r="GD219">
            <v>1</v>
          </cell>
          <cell r="GE219">
            <v>1</v>
          </cell>
          <cell r="GG219" t="str">
            <v>See cells GK224 and GK227 to forecast gross profit for 4Q</v>
          </cell>
          <cell r="GM219" t="str">
            <v>Calculation of Extra Week EPS Benefit</v>
          </cell>
        </row>
        <row r="220">
          <cell r="A220" t="str">
            <v>Bull Case Assumptions</v>
          </cell>
          <cell r="N220">
            <v>1995</v>
          </cell>
          <cell r="O220">
            <v>1996</v>
          </cell>
          <cell r="P220">
            <v>1997</v>
          </cell>
          <cell r="Q220">
            <v>1998</v>
          </cell>
          <cell r="R220">
            <v>1999</v>
          </cell>
          <cell r="S220">
            <v>2000</v>
          </cell>
          <cell r="T220">
            <v>2001</v>
          </cell>
          <cell r="U220">
            <v>2002</v>
          </cell>
          <cell r="V220">
            <v>2003</v>
          </cell>
          <cell r="W220">
            <v>2004</v>
          </cell>
          <cell r="X220">
            <v>2005</v>
          </cell>
          <cell r="Y220">
            <v>2006</v>
          </cell>
          <cell r="Z220">
            <v>2007</v>
          </cell>
          <cell r="AA220">
            <v>2008</v>
          </cell>
          <cell r="AB220">
            <v>2009</v>
          </cell>
          <cell r="AC220">
            <v>2010</v>
          </cell>
          <cell r="AD220">
            <v>2011</v>
          </cell>
          <cell r="AE220" t="str">
            <v>2012E</v>
          </cell>
          <cell r="AF220" t="str">
            <v>2013E</v>
          </cell>
          <cell r="AG220" t="str">
            <v>2014E</v>
          </cell>
          <cell r="AH220" t="str">
            <v>2015E</v>
          </cell>
          <cell r="AI220" t="str">
            <v>2016E</v>
          </cell>
          <cell r="AJ220" t="str">
            <v>2017E</v>
          </cell>
          <cell r="AK220" t="str">
            <v>2018E</v>
          </cell>
          <cell r="AL220" t="str">
            <v>2019E</v>
          </cell>
          <cell r="AN220" t="str">
            <v>Month 3</v>
          </cell>
          <cell r="EL220" t="str">
            <v>Month 3</v>
          </cell>
          <cell r="ER220">
            <v>0.85509041472763314</v>
          </cell>
          <cell r="ES220">
            <v>0.83302342705472399</v>
          </cell>
          <cell r="ET220">
            <v>0.9300581404093593</v>
          </cell>
          <cell r="EU220">
            <v>0.88885616548937241</v>
          </cell>
          <cell r="EX220">
            <v>1.0012993536198342</v>
          </cell>
          <cell r="EY220">
            <v>1.0067406823426219</v>
          </cell>
          <cell r="EZ220">
            <v>1.0010354929971583</v>
          </cell>
          <cell r="FA220">
            <v>0.77697496531497701</v>
          </cell>
          <cell r="FD220">
            <v>0.99998610863561077</v>
          </cell>
          <cell r="FE220">
            <v>1.0000776716315167</v>
          </cell>
          <cell r="FF220">
            <v>1.0026881239876493</v>
          </cell>
          <cell r="FG220">
            <v>1.0034001517037674</v>
          </cell>
          <cell r="FJ220">
            <v>1.017274065207098</v>
          </cell>
          <cell r="FK220">
            <v>1.0307481774152398</v>
          </cell>
          <cell r="FL220">
            <v>1.0154616377110075</v>
          </cell>
          <cell r="FM220">
            <v>1.009307170702717</v>
          </cell>
          <cell r="FP220">
            <v>1.0005893323256754</v>
          </cell>
          <cell r="FQ220">
            <v>1.0111137394005785</v>
          </cell>
          <cell r="FR220">
            <v>1.0254628236300125</v>
          </cell>
          <cell r="FS220">
            <v>1.00775043725629</v>
          </cell>
          <cell r="FV220">
            <v>0.99618702023241001</v>
          </cell>
          <cell r="FW220">
            <v>1.0047825549823146</v>
          </cell>
          <cell r="FX220">
            <v>1.0004489851343907</v>
          </cell>
          <cell r="FY220">
            <v>1.008520012530175</v>
          </cell>
          <cell r="GB220">
            <v>1.0062765433093959</v>
          </cell>
          <cell r="GC220">
            <v>1.0227639737625074</v>
          </cell>
          <cell r="GD220">
            <v>1</v>
          </cell>
          <cell r="GE220">
            <v>1</v>
          </cell>
          <cell r="GG220" t="str">
            <v>See cells GK230 and GK232 to forecast SG&amp;A for 4Q</v>
          </cell>
          <cell r="GM220" t="str">
            <v>Extra week (on = 1, off = 0)</v>
          </cell>
          <cell r="GO220">
            <v>1</v>
          </cell>
        </row>
        <row r="221">
          <cell r="A221" t="str">
            <v>Revenue</v>
          </cell>
          <cell r="N221">
            <v>14614</v>
          </cell>
          <cell r="O221">
            <v>14833</v>
          </cell>
          <cell r="P221">
            <v>15220</v>
          </cell>
          <cell r="Q221">
            <v>15365</v>
          </cell>
          <cell r="R221">
            <v>16029</v>
          </cell>
          <cell r="S221">
            <v>16638</v>
          </cell>
          <cell r="T221">
            <v>15785</v>
          </cell>
          <cell r="U221">
            <v>15571</v>
          </cell>
          <cell r="V221">
            <v>15412</v>
          </cell>
          <cell r="W221">
            <v>15776</v>
          </cell>
          <cell r="X221">
            <v>22390</v>
          </cell>
          <cell r="Y221">
            <v>26970</v>
          </cell>
          <cell r="Z221">
            <v>26313</v>
          </cell>
          <cell r="AA221">
            <v>24892</v>
          </cell>
          <cell r="AB221">
            <v>23904</v>
          </cell>
          <cell r="AC221">
            <v>25003</v>
          </cell>
          <cell r="AD221">
            <v>26405</v>
          </cell>
          <cell r="AE221">
            <v>27959.427458112747</v>
          </cell>
          <cell r="AF221">
            <v>29729.463580880543</v>
          </cell>
          <cell r="AG221">
            <v>30302.392530862733</v>
          </cell>
          <cell r="AH221">
            <v>30616.354918597252</v>
          </cell>
          <cell r="AI221">
            <v>30922.518467783226</v>
          </cell>
          <cell r="AJ221">
            <v>31231.743652461057</v>
          </cell>
          <cell r="AK221">
            <v>31544.061088985669</v>
          </cell>
          <cell r="AL221">
            <v>31859.501699875527</v>
          </cell>
          <cell r="AN221" t="str">
            <v>Total</v>
          </cell>
          <cell r="EL221" t="str">
            <v>Total</v>
          </cell>
          <cell r="EX221">
            <v>0.99364581839822941</v>
          </cell>
          <cell r="EY221">
            <v>1.0053855991928882</v>
          </cell>
          <cell r="EZ221">
            <v>1.0049007333596589</v>
          </cell>
          <cell r="FA221">
            <v>0.96635245216954013</v>
          </cell>
          <cell r="FD221">
            <v>1.0093706103322386</v>
          </cell>
          <cell r="FE221">
            <v>0.99942053289687438</v>
          </cell>
          <cell r="FF221">
            <v>1.0028127761391281</v>
          </cell>
          <cell r="FG221">
            <v>0.99829531956488382</v>
          </cell>
          <cell r="FH221">
            <v>0.99616480017746767</v>
          </cell>
          <cell r="FJ221">
            <v>1.0150952522446879</v>
          </cell>
          <cell r="FK221">
            <v>1.028988144998136</v>
          </cell>
          <cell r="FL221">
            <v>1.0174659464761271</v>
          </cell>
          <cell r="FM221">
            <v>1.004258927748259</v>
          </cell>
          <cell r="FN221">
            <v>1.0094977226152135</v>
          </cell>
          <cell r="FP221">
            <v>1.0000259928958455</v>
          </cell>
          <cell r="FQ221">
            <v>0.99963688802128137</v>
          </cell>
          <cell r="FR221">
            <v>1.0093878458063197</v>
          </cell>
          <cell r="FS221">
            <v>1.0000370362620763</v>
          </cell>
          <cell r="FT221">
            <v>1.0017002547102301</v>
          </cell>
          <cell r="FV221">
            <v>1.0021044058948783</v>
          </cell>
          <cell r="FW221">
            <v>1.0081307827273334</v>
          </cell>
          <cell r="FX221">
            <v>1.0033467891940979</v>
          </cell>
          <cell r="FY221">
            <v>1.0155381429309334</v>
          </cell>
          <cell r="FZ221">
            <v>1.0152922484576603</v>
          </cell>
          <cell r="GB221">
            <v>1.0132824557239268</v>
          </cell>
          <cell r="GC221">
            <v>1.0138954016780533</v>
          </cell>
          <cell r="GD221">
            <v>1.0060645702976547</v>
          </cell>
          <cell r="GE221">
            <v>1.0305274860110949</v>
          </cell>
          <cell r="GF221">
            <v>1.0083583012001358</v>
          </cell>
          <cell r="GG221" t="str">
            <v>53rd Week Adjustments for 4Q12e</v>
          </cell>
          <cell r="GM221" t="str">
            <v>Revenues from extra week</v>
          </cell>
          <cell r="GO221">
            <v>350.71381633376672</v>
          </cell>
        </row>
        <row r="222">
          <cell r="A222" t="str">
            <v xml:space="preserve"> % Same-store</v>
          </cell>
          <cell r="N222">
            <v>2.7E-2</v>
          </cell>
          <cell r="O222">
            <v>3.1E-2</v>
          </cell>
          <cell r="P222">
            <v>2.7E-2</v>
          </cell>
          <cell r="Q222">
            <v>2.1999999999999999E-2</v>
          </cell>
          <cell r="R222">
            <v>4.4999999999999998E-2</v>
          </cell>
          <cell r="S222">
            <v>0.02</v>
          </cell>
          <cell r="T222">
            <v>-5.2999999999999999E-2</v>
          </cell>
          <cell r="U222">
            <v>-0.03</v>
          </cell>
          <cell r="V222">
            <v>-9.0000000000000011E-3</v>
          </cell>
          <cell r="W222">
            <v>2.5999999999999999E-2</v>
          </cell>
          <cell r="X222">
            <v>1.2999999999999999E-2</v>
          </cell>
          <cell r="Y222">
            <v>4.3999999999999997E-2</v>
          </cell>
          <cell r="Z222">
            <v>-1.2799528750047504E-2</v>
          </cell>
          <cell r="AA222">
            <v>-4.4999999999999998E-2</v>
          </cell>
          <cell r="AB222">
            <v>-5.0968425652024113E-2</v>
          </cell>
          <cell r="AC222">
            <v>4.610434747830261E-2</v>
          </cell>
          <cell r="AD222">
            <v>5.2999999999999999E-2</v>
          </cell>
          <cell r="AE222">
            <v>5.0171736300135057E-2</v>
          </cell>
          <cell r="AF222">
            <v>7.5000000000000011E-2</v>
          </cell>
          <cell r="AG222">
            <v>0.02</v>
          </cell>
          <cell r="AH222">
            <v>0.01</v>
          </cell>
          <cell r="AI222">
            <v>0.01</v>
          </cell>
          <cell r="AJ222">
            <v>0.01</v>
          </cell>
          <cell r="AK222">
            <v>0.01</v>
          </cell>
          <cell r="AL222">
            <v>0.01</v>
          </cell>
          <cell r="GJ222" t="str">
            <v>4Q Gross Profit $ (ex 53rd week)</v>
          </cell>
          <cell r="GK222">
            <v>3728.8292256978107</v>
          </cell>
          <cell r="GM222" t="str">
            <v>EBIT from extra week</v>
          </cell>
          <cell r="GO222">
            <v>81.440379311760893</v>
          </cell>
        </row>
        <row r="223">
          <cell r="A223" t="str">
            <v>CGS, OCC, Buying Costs</v>
          </cell>
          <cell r="N223">
            <v>9038</v>
          </cell>
          <cell r="O223">
            <v>9018</v>
          </cell>
          <cell r="P223">
            <v>9200</v>
          </cell>
          <cell r="Q223">
            <v>9218</v>
          </cell>
          <cell r="R223">
            <v>9576</v>
          </cell>
          <cell r="S223">
            <v>9955</v>
          </cell>
          <cell r="T223">
            <v>9603</v>
          </cell>
          <cell r="U223">
            <v>9324</v>
          </cell>
          <cell r="V223">
            <v>9175</v>
          </cell>
          <cell r="W223">
            <v>9346</v>
          </cell>
          <cell r="X223">
            <v>13272</v>
          </cell>
          <cell r="Y223">
            <v>16019</v>
          </cell>
          <cell r="Z223">
            <v>15765.705839502129</v>
          </cell>
          <cell r="AA223">
            <v>15009</v>
          </cell>
          <cell r="AB223">
            <v>14287</v>
          </cell>
          <cell r="AC223">
            <v>14824</v>
          </cell>
          <cell r="AD223">
            <v>15738</v>
          </cell>
          <cell r="AE223">
            <v>16573.058987628334</v>
          </cell>
          <cell r="AF223">
            <v>17384.419050847919</v>
          </cell>
          <cell r="AG223">
            <v>17673.987886043768</v>
          </cell>
          <cell r="AH223">
            <v>17887.724020426696</v>
          </cell>
          <cell r="AI223">
            <v>18128.44629756653</v>
          </cell>
          <cell r="AJ223">
            <v>18309.730760542196</v>
          </cell>
          <cell r="AK223">
            <v>18492.828068147617</v>
          </cell>
          <cell r="AL223">
            <v>18677.756348829098</v>
          </cell>
          <cell r="AN223" t="str">
            <v>Cost of Goods Sold</v>
          </cell>
          <cell r="EL223" t="str">
            <v>Cost of Goods Sold</v>
          </cell>
          <cell r="ER223">
            <v>3627</v>
          </cell>
          <cell r="ES223">
            <v>3470</v>
          </cell>
          <cell r="ET223">
            <v>3513</v>
          </cell>
          <cell r="EU223">
            <v>5409</v>
          </cell>
          <cell r="EV223">
            <v>16019</v>
          </cell>
          <cell r="EX223">
            <v>3564</v>
          </cell>
          <cell r="EY223">
            <v>3507</v>
          </cell>
          <cell r="EZ223">
            <v>3585</v>
          </cell>
          <cell r="FA223">
            <v>5021</v>
          </cell>
          <cell r="FB223">
            <v>15677</v>
          </cell>
          <cell r="FD223">
            <v>3527</v>
          </cell>
          <cell r="FE223">
            <v>3346</v>
          </cell>
          <cell r="FF223">
            <v>3324</v>
          </cell>
          <cell r="FG223">
            <v>4812</v>
          </cell>
          <cell r="FH223">
            <v>15009</v>
          </cell>
          <cell r="FJ223">
            <v>3279</v>
          </cell>
          <cell r="FK223">
            <v>3117</v>
          </cell>
          <cell r="FL223">
            <v>3241</v>
          </cell>
          <cell r="FM223">
            <v>4641</v>
          </cell>
          <cell r="FN223">
            <v>14278</v>
          </cell>
          <cell r="FP223">
            <v>3378</v>
          </cell>
          <cell r="FQ223">
            <v>3214</v>
          </cell>
          <cell r="FR223">
            <v>3377</v>
          </cell>
          <cell r="FS223">
            <v>4855</v>
          </cell>
          <cell r="FT223">
            <v>14824</v>
          </cell>
          <cell r="FV223">
            <v>3586</v>
          </cell>
          <cell r="FW223">
            <v>3457</v>
          </cell>
          <cell r="FX223">
            <v>3544</v>
          </cell>
          <cell r="FY223">
            <v>5151</v>
          </cell>
          <cell r="FZ223">
            <v>15738</v>
          </cell>
          <cell r="GB223">
            <v>3757</v>
          </cell>
          <cell r="GC223">
            <v>3555</v>
          </cell>
          <cell r="GD223">
            <v>3666.0995494313679</v>
          </cell>
          <cell r="GE223">
            <v>5495.0171538201503</v>
          </cell>
          <cell r="GF223">
            <v>16473.116703251519</v>
          </cell>
          <cell r="GJ223" t="str">
            <v>4Q Gross Margin % (ex 53rd week)</v>
          </cell>
          <cell r="GK223">
            <v>0.41355983493810178</v>
          </cell>
          <cell r="GM223" t="str">
            <v>4Q tax rate</v>
          </cell>
          <cell r="GO223">
            <v>0.37</v>
          </cell>
        </row>
        <row r="224">
          <cell r="A224" t="str">
            <v>CGS, OCC, Buying Costs %</v>
          </cell>
          <cell r="N224">
            <v>0.61844806350075265</v>
          </cell>
          <cell r="O224">
            <v>0.60796871839816624</v>
          </cell>
          <cell r="P224">
            <v>0.60446780551905388</v>
          </cell>
          <cell r="Q224">
            <v>0.59993491701919943</v>
          </cell>
          <cell r="R224">
            <v>0.59741718135878719</v>
          </cell>
          <cell r="S224">
            <v>0.5983291260968866</v>
          </cell>
          <cell r="T224">
            <v>0.60836236933797905</v>
          </cell>
          <cell r="U224">
            <v>0.59880547171023057</v>
          </cell>
          <cell r="V224">
            <v>0.59531533869711917</v>
          </cell>
          <cell r="W224">
            <v>0.59241886409736311</v>
          </cell>
          <cell r="X224">
            <v>0.59276462706565436</v>
          </cell>
          <cell r="Y224">
            <v>0.59395624768261035</v>
          </cell>
          <cell r="Z224">
            <v>0.59916033289636794</v>
          </cell>
          <cell r="AA224">
            <v>0.60296480797043228</v>
          </cell>
          <cell r="AB224">
            <v>0.59768239625167341</v>
          </cell>
          <cell r="AC224">
            <v>0.59288885333759944</v>
          </cell>
          <cell r="AD224">
            <v>0.59602348040143915</v>
          </cell>
          <cell r="AE224">
            <v>0.59275387568136595</v>
          </cell>
          <cell r="AF224">
            <v>0.58475387568136594</v>
          </cell>
          <cell r="AG224">
            <v>0.583253875681366</v>
          </cell>
          <cell r="AH224">
            <v>0.584253875681366</v>
          </cell>
          <cell r="AI224">
            <v>0.586253875681366</v>
          </cell>
          <cell r="AJ224">
            <v>0.586253875681366</v>
          </cell>
          <cell r="AK224">
            <v>0.586253875681366</v>
          </cell>
          <cell r="AL224">
            <v>0.58625387568136611</v>
          </cell>
          <cell r="AN224" t="str">
            <v>CGS, OCC, Buying Costs %</v>
          </cell>
          <cell r="EL224" t="str">
            <v>CGS, OCC, Buying Costs %</v>
          </cell>
          <cell r="ER224">
            <v>0.61163575042158513</v>
          </cell>
          <cell r="ES224">
            <v>0.57881567973311088</v>
          </cell>
          <cell r="ET224">
            <v>0.59683995922528033</v>
          </cell>
          <cell r="EU224">
            <v>0.59056665574844414</v>
          </cell>
          <cell r="EV224">
            <v>0.59395624768261035</v>
          </cell>
          <cell r="EX224">
            <v>0.60192535044755957</v>
          </cell>
          <cell r="EY224">
            <v>0.59521384928716903</v>
          </cell>
          <cell r="EZ224">
            <v>0.60700982052150354</v>
          </cell>
          <cell r="FA224">
            <v>0.58424482196881544</v>
          </cell>
          <cell r="FB224">
            <v>0.59578915365028695</v>
          </cell>
          <cell r="FD224">
            <v>0.61371150165303634</v>
          </cell>
          <cell r="FE224">
            <v>0.5851696397341728</v>
          </cell>
          <cell r="FF224">
            <v>0.60513380666302563</v>
          </cell>
          <cell r="FG224">
            <v>0.60650365515502902</v>
          </cell>
          <cell r="FH224">
            <v>0.60296480797043228</v>
          </cell>
          <cell r="FJ224">
            <v>0.62008320726172461</v>
          </cell>
          <cell r="FK224">
            <v>0.58978240302743612</v>
          </cell>
          <cell r="FL224">
            <v>0.6018570102135562</v>
          </cell>
          <cell r="FM224">
            <v>0.58472974675570111</v>
          </cell>
          <cell r="FN224">
            <v>0.59753086419753088</v>
          </cell>
          <cell r="FP224">
            <v>0.60602798708288486</v>
          </cell>
          <cell r="FQ224">
            <v>0.58045873216543253</v>
          </cell>
          <cell r="FR224">
            <v>0.60056909123243818</v>
          </cell>
          <cell r="FS224">
            <v>0.58713266416737209</v>
          </cell>
          <cell r="FT224">
            <v>0.59288885333759944</v>
          </cell>
          <cell r="FV224">
            <v>0.60893190694515198</v>
          </cell>
          <cell r="FW224">
            <v>0.58208452601448057</v>
          </cell>
          <cell r="FX224">
            <v>0.60550145224671104</v>
          </cell>
          <cell r="FY224">
            <v>0.59044016506189823</v>
          </cell>
          <cell r="FZ224">
            <v>0.59602348040143915</v>
          </cell>
          <cell r="GB224">
            <v>0.61159042812957842</v>
          </cell>
          <cell r="GC224">
            <v>0.58107224583197126</v>
          </cell>
          <cell r="GD224">
            <v>0.60400145224671109</v>
          </cell>
          <cell r="GE224">
            <v>0.58662736950345429</v>
          </cell>
          <cell r="GF224">
            <v>0.59474414748937621</v>
          </cell>
          <cell r="GJ224" t="str">
            <v>MS 4Q Core Gross Margin ∆ (ex 53rd week)</v>
          </cell>
          <cell r="GK224">
            <v>40</v>
          </cell>
          <cell r="GM224" t="str">
            <v>Net inc. benefit from extra wk</v>
          </cell>
          <cell r="GO224">
            <v>51.307438966409364</v>
          </cell>
        </row>
        <row r="225">
          <cell r="A225" t="str">
            <v>Y/Y ∆ CGS, OCC, Buying Costs % (bps)</v>
          </cell>
          <cell r="O225">
            <v>-104.79345102586413</v>
          </cell>
          <cell r="P225">
            <v>-35.009128791123615</v>
          </cell>
          <cell r="Q225">
            <v>-45.328884998544481</v>
          </cell>
          <cell r="R225">
            <v>-25.177356604122458</v>
          </cell>
          <cell r="S225">
            <v>9.1194473809941279</v>
          </cell>
          <cell r="T225">
            <v>100.33243241092448</v>
          </cell>
          <cell r="U225">
            <v>-95.568976277484722</v>
          </cell>
          <cell r="V225">
            <v>-34.901330131114072</v>
          </cell>
          <cell r="W225">
            <v>-28.964745997560605</v>
          </cell>
          <cell r="X225">
            <v>3.4576296829125219</v>
          </cell>
          <cell r="Y225">
            <v>11.916206169559906</v>
          </cell>
          <cell r="Z225">
            <v>52.040852137575925</v>
          </cell>
          <cell r="AA225">
            <v>38.044750740643394</v>
          </cell>
          <cell r="AB225">
            <v>-52.824117187588726</v>
          </cell>
          <cell r="AC225">
            <v>-47.935429140739672</v>
          </cell>
          <cell r="AD225">
            <v>31.346270638397122</v>
          </cell>
          <cell r="AE225">
            <v>-32.696047200732046</v>
          </cell>
          <cell r="AF225">
            <v>-80.000000000000071</v>
          </cell>
          <cell r="AG225">
            <v>-14.999999999999458</v>
          </cell>
          <cell r="AH225">
            <v>10.000000000000009</v>
          </cell>
          <cell r="AI225">
            <v>20.000000000000018</v>
          </cell>
          <cell r="AJ225">
            <v>0</v>
          </cell>
          <cell r="AK225">
            <v>0</v>
          </cell>
          <cell r="AL225">
            <v>1.1102230246251565E-12</v>
          </cell>
          <cell r="AN225" t="str">
            <v>BPS Change</v>
          </cell>
          <cell r="EL225" t="str">
            <v>BPS Change</v>
          </cell>
          <cell r="ER225">
            <v>139.97738886292632</v>
          </cell>
          <cell r="ES225">
            <v>-79.90834205613973</v>
          </cell>
          <cell r="ET225">
            <v>6.2033726308408088</v>
          </cell>
          <cell r="EU225">
            <v>-5.9414249625333593</v>
          </cell>
          <cell r="EV225">
            <v>11.916206169559906</v>
          </cell>
          <cell r="EX225">
            <v>-97.103999740255631</v>
          </cell>
          <cell r="EY225">
            <v>163.98169554058151</v>
          </cell>
          <cell r="EZ225">
            <v>101.69861296223215</v>
          </cell>
          <cell r="FA225">
            <v>-63.218337796286939</v>
          </cell>
          <cell r="FB225">
            <v>18.329059676766015</v>
          </cell>
          <cell r="FD225">
            <v>117.86151205476769</v>
          </cell>
          <cell r="FE225">
            <v>-100.4420955299623</v>
          </cell>
          <cell r="FF225">
            <v>-18.760138584779096</v>
          </cell>
          <cell r="FG225">
            <v>222.58833186213579</v>
          </cell>
          <cell r="FH225">
            <v>71.756543201453297</v>
          </cell>
          <cell r="FJ225">
            <v>63.717056086882721</v>
          </cell>
          <cell r="FK225">
            <v>46.127632932633219</v>
          </cell>
          <cell r="FL225">
            <v>-32.767964494694326</v>
          </cell>
          <cell r="FM225">
            <v>-217.73908399327914</v>
          </cell>
          <cell r="FN225">
            <v>-54.339437729014065</v>
          </cell>
          <cell r="FP225">
            <v>-140.55220178839755</v>
          </cell>
          <cell r="FQ225">
            <v>-93.236708620035856</v>
          </cell>
          <cell r="FR225">
            <v>-12.879189811180192</v>
          </cell>
          <cell r="FS225">
            <v>24.029174116709797</v>
          </cell>
          <cell r="FT225">
            <v>-46.420108599314332</v>
          </cell>
          <cell r="FV225">
            <v>29.039198622671236</v>
          </cell>
          <cell r="FW225">
            <v>16.257938490480406</v>
          </cell>
          <cell r="FX225">
            <v>49.323610142728569</v>
          </cell>
          <cell r="FY225">
            <v>33.075008945261388</v>
          </cell>
          <cell r="FZ225">
            <v>31.346270638397122</v>
          </cell>
          <cell r="GB225">
            <v>26.585211844264435</v>
          </cell>
          <cell r="GC225">
            <v>-10.122801825093175</v>
          </cell>
          <cell r="GD225">
            <v>-14.999999999999458</v>
          </cell>
          <cell r="GE225">
            <v>-38.127955584439377</v>
          </cell>
          <cell r="GF225">
            <v>-12.793329120629471</v>
          </cell>
          <cell r="GJ225" t="str">
            <v>Extra Week Gross Profit $ (incremental)</v>
          </cell>
          <cell r="GK225">
            <v>143.28757891183548</v>
          </cell>
          <cell r="GM225" t="str">
            <v>4Q diluted shares</v>
          </cell>
          <cell r="GO225">
            <v>397.54335839599003</v>
          </cell>
        </row>
        <row r="226">
          <cell r="A226" t="str">
            <v>Gross Income</v>
          </cell>
          <cell r="N226">
            <v>5576</v>
          </cell>
          <cell r="O226">
            <v>5815</v>
          </cell>
          <cell r="P226">
            <v>6020</v>
          </cell>
          <cell r="Q226">
            <v>6147</v>
          </cell>
          <cell r="R226">
            <v>6453</v>
          </cell>
          <cell r="S226">
            <v>6683</v>
          </cell>
          <cell r="T226">
            <v>6182</v>
          </cell>
          <cell r="U226">
            <v>6247</v>
          </cell>
          <cell r="V226">
            <v>6237</v>
          </cell>
          <cell r="W226">
            <v>6430</v>
          </cell>
          <cell r="X226">
            <v>9118</v>
          </cell>
          <cell r="Y226">
            <v>10951</v>
          </cell>
          <cell r="Z226">
            <v>10547.294160497871</v>
          </cell>
          <cell r="AA226">
            <v>9883</v>
          </cell>
          <cell r="AB226">
            <v>9617</v>
          </cell>
          <cell r="AC226">
            <v>10179</v>
          </cell>
          <cell r="AD226">
            <v>10667</v>
          </cell>
          <cell r="AE226">
            <v>11386.368470484413</v>
          </cell>
          <cell r="AF226">
            <v>12345.044530032625</v>
          </cell>
          <cell r="AG226">
            <v>12628.404644818967</v>
          </cell>
          <cell r="AH226">
            <v>12728.630898170555</v>
          </cell>
          <cell r="AI226">
            <v>12794.072170216694</v>
          </cell>
          <cell r="AJ226">
            <v>12922.012891918861</v>
          </cell>
          <cell r="AK226">
            <v>13051.23302083805</v>
          </cell>
          <cell r="AL226">
            <v>13181.745351046431</v>
          </cell>
          <cell r="GJ226" t="str">
            <v>Extra Week Gross Margin % (incremental)</v>
          </cell>
          <cell r="GK226">
            <v>0.40855983493810177</v>
          </cell>
          <cell r="GM226" t="str">
            <v>4Q EPS benefit from extra wk</v>
          </cell>
          <cell r="GO226">
            <v>0.12906124044789702</v>
          </cell>
        </row>
        <row r="227">
          <cell r="A227" t="str">
            <v>Gross Margin</v>
          </cell>
          <cell r="N227">
            <v>0.38155193649924729</v>
          </cell>
          <cell r="O227">
            <v>0.39203128160183376</v>
          </cell>
          <cell r="P227">
            <v>0.39553219448094612</v>
          </cell>
          <cell r="Q227">
            <v>0.40006508298080051</v>
          </cell>
          <cell r="R227">
            <v>0.40258281864121281</v>
          </cell>
          <cell r="S227">
            <v>0.40167087390311335</v>
          </cell>
          <cell r="T227">
            <v>0.3916376306620209</v>
          </cell>
          <cell r="U227">
            <v>0.40119452828976943</v>
          </cell>
          <cell r="V227">
            <v>0.40468466130288089</v>
          </cell>
          <cell r="W227">
            <v>0.40758113590263689</v>
          </cell>
          <cell r="X227">
            <v>0.4072353729343457</v>
          </cell>
          <cell r="Y227">
            <v>0.40604375231738971</v>
          </cell>
          <cell r="Z227">
            <v>0.40083966710363211</v>
          </cell>
          <cell r="AA227">
            <v>0.39703519202956772</v>
          </cell>
          <cell r="AB227">
            <v>0.40231760374832665</v>
          </cell>
          <cell r="AC227">
            <v>0.4071111466624005</v>
          </cell>
          <cell r="AD227">
            <v>0.4039765195985609</v>
          </cell>
          <cell r="AE227">
            <v>0.407246124318634</v>
          </cell>
          <cell r="AF227">
            <v>0.415246124318634</v>
          </cell>
          <cell r="AG227">
            <v>0.416746124318634</v>
          </cell>
          <cell r="AH227">
            <v>0.415746124318634</v>
          </cell>
          <cell r="AI227">
            <v>0.413746124318634</v>
          </cell>
          <cell r="AJ227">
            <v>0.413746124318634</v>
          </cell>
          <cell r="AK227">
            <v>0.413746124318634</v>
          </cell>
          <cell r="AL227">
            <v>0.413746124318634</v>
          </cell>
          <cell r="AN227" t="str">
            <v>Gross Income</v>
          </cell>
          <cell r="EL227" t="str">
            <v>Gross Income</v>
          </cell>
          <cell r="ER227">
            <v>2303</v>
          </cell>
          <cell r="ES227">
            <v>2525</v>
          </cell>
          <cell r="ET227">
            <v>2373</v>
          </cell>
          <cell r="EU227">
            <v>3750</v>
          </cell>
          <cell r="EV227">
            <v>10951</v>
          </cell>
          <cell r="EX227">
            <v>2357</v>
          </cell>
          <cell r="EY227">
            <v>2385</v>
          </cell>
          <cell r="EZ227">
            <v>2321</v>
          </cell>
          <cell r="FA227">
            <v>3573</v>
          </cell>
          <cell r="FB227">
            <v>10636</v>
          </cell>
          <cell r="FD227">
            <v>2220</v>
          </cell>
          <cell r="FE227">
            <v>2372</v>
          </cell>
          <cell r="FF227">
            <v>2169</v>
          </cell>
          <cell r="FG227">
            <v>3122</v>
          </cell>
          <cell r="FH227">
            <v>9883</v>
          </cell>
          <cell r="FJ227">
            <v>2009</v>
          </cell>
          <cell r="FK227">
            <v>2168</v>
          </cell>
          <cell r="FL227">
            <v>2144</v>
          </cell>
          <cell r="FM227">
            <v>3296</v>
          </cell>
          <cell r="FN227">
            <v>9617</v>
          </cell>
          <cell r="FP227">
            <v>2196</v>
          </cell>
          <cell r="FQ227">
            <v>2323</v>
          </cell>
          <cell r="FR227">
            <v>2246</v>
          </cell>
          <cell r="FS227">
            <v>3414</v>
          </cell>
          <cell r="FT227">
            <v>10179</v>
          </cell>
          <cell r="FU227" t="str">
            <v>2H</v>
          </cell>
          <cell r="FV227">
            <v>2303</v>
          </cell>
          <cell r="FW227">
            <v>2482</v>
          </cell>
          <cell r="FX227">
            <v>2309</v>
          </cell>
          <cell r="FY227">
            <v>3573</v>
          </cell>
          <cell r="FZ227">
            <v>10667</v>
          </cell>
          <cell r="GB227">
            <v>2386</v>
          </cell>
          <cell r="GC227">
            <v>2563</v>
          </cell>
          <cell r="GD227">
            <v>2403.5870975038929</v>
          </cell>
          <cell r="GE227">
            <v>3872.1168046096464</v>
          </cell>
          <cell r="GF227">
            <v>11224.703902113539</v>
          </cell>
          <cell r="GJ227" t="str">
            <v>Extra Week Gross Margin ∆ bps (incremental vs 4Q)</v>
          </cell>
          <cell r="GK227">
            <v>-50</v>
          </cell>
          <cell r="GM227" t="str">
            <v>FY12 diluted shares</v>
          </cell>
          <cell r="GO227">
            <v>411.14899749373433</v>
          </cell>
        </row>
        <row r="228">
          <cell r="A228" t="str">
            <v>Y/Y ∆ Gross Margin (bps)</v>
          </cell>
          <cell r="O228">
            <v>104.79345102586468</v>
          </cell>
          <cell r="P228">
            <v>35.009128791123615</v>
          </cell>
          <cell r="Q228">
            <v>45.328884998543927</v>
          </cell>
          <cell r="R228">
            <v>25.177356604123013</v>
          </cell>
          <cell r="S228">
            <v>-9.1194473809946821</v>
          </cell>
          <cell r="T228">
            <v>-100.33243241092448</v>
          </cell>
          <cell r="U228">
            <v>95.568976277485291</v>
          </cell>
          <cell r="V228">
            <v>34.901330131114626</v>
          </cell>
          <cell r="W228">
            <v>28.964745997560048</v>
          </cell>
          <cell r="X228">
            <v>-3.4576296829119668</v>
          </cell>
          <cell r="Y228">
            <v>-11.916206169559906</v>
          </cell>
          <cell r="Z228">
            <v>-52.040852137575925</v>
          </cell>
          <cell r="AA228">
            <v>-38.044750740643948</v>
          </cell>
          <cell r="AB228">
            <v>52.82411718758928</v>
          </cell>
          <cell r="AC228">
            <v>47.935429140738563</v>
          </cell>
          <cell r="AD228">
            <v>-31.346270638396014</v>
          </cell>
          <cell r="AE228">
            <v>32.696047200730938</v>
          </cell>
          <cell r="AF228">
            <v>80</v>
          </cell>
          <cell r="AG228">
            <v>15</v>
          </cell>
          <cell r="AH228">
            <v>-10</v>
          </cell>
          <cell r="AI228">
            <v>-20</v>
          </cell>
          <cell r="AJ228">
            <v>0</v>
          </cell>
          <cell r="AK228">
            <v>0</v>
          </cell>
          <cell r="AL228">
            <v>0</v>
          </cell>
          <cell r="AN228" t="str">
            <v>Gross Margin</v>
          </cell>
          <cell r="EL228" t="str">
            <v>Gross Margin</v>
          </cell>
          <cell r="ER228">
            <v>0.38836424957841487</v>
          </cell>
          <cell r="ES228">
            <v>0.42118432026688907</v>
          </cell>
          <cell r="ET228">
            <v>0.40316004077471967</v>
          </cell>
          <cell r="EU228">
            <v>0.40943334425155586</v>
          </cell>
          <cell r="EV228">
            <v>0.40604375231738971</v>
          </cell>
          <cell r="EX228">
            <v>0.39807464955244048</v>
          </cell>
          <cell r="EY228">
            <v>0.40478615071283097</v>
          </cell>
          <cell r="EZ228">
            <v>0.39299017947849646</v>
          </cell>
          <cell r="FA228">
            <v>0.41575517803118456</v>
          </cell>
          <cell r="FB228">
            <v>0.40421084634971305</v>
          </cell>
          <cell r="FD228">
            <v>0.38628849834696366</v>
          </cell>
          <cell r="FE228">
            <v>0.4148303602658272</v>
          </cell>
          <cell r="FF228">
            <v>0.39486619333697431</v>
          </cell>
          <cell r="FG228">
            <v>0.39349634484497104</v>
          </cell>
          <cell r="FH228">
            <v>0.39703519202956772</v>
          </cell>
          <cell r="FJ228">
            <v>0.37991679273827533</v>
          </cell>
          <cell r="FK228">
            <v>0.41021759697256388</v>
          </cell>
          <cell r="FL228">
            <v>0.3981429897864438</v>
          </cell>
          <cell r="FM228">
            <v>0.41527025324429884</v>
          </cell>
          <cell r="FN228">
            <v>0.40246913580246912</v>
          </cell>
          <cell r="FP228">
            <v>0.3939720129171152</v>
          </cell>
          <cell r="FQ228">
            <v>0.41954126783456747</v>
          </cell>
          <cell r="FR228">
            <v>0.39943090876756182</v>
          </cell>
          <cell r="FS228">
            <v>0.41286733583262791</v>
          </cell>
          <cell r="FT228">
            <v>0.4071111466624005</v>
          </cell>
          <cell r="FU228">
            <v>0.40742873596314427</v>
          </cell>
          <cell r="FV228">
            <v>0.39106809305484802</v>
          </cell>
          <cell r="FW228">
            <v>0.41791547398551943</v>
          </cell>
          <cell r="FX228">
            <v>0.39449854775328891</v>
          </cell>
          <cell r="FY228">
            <v>0.40955983493810177</v>
          </cell>
          <cell r="FZ228">
            <v>0.4039765195985609</v>
          </cell>
          <cell r="GB228">
            <v>0.38840957187042163</v>
          </cell>
          <cell r="GC228">
            <v>0.41892775416802874</v>
          </cell>
          <cell r="GD228">
            <v>0.39599854775328891</v>
          </cell>
          <cell r="GE228">
            <v>0.41337263049654577</v>
          </cell>
          <cell r="GF228">
            <v>0.40525585251062379</v>
          </cell>
          <cell r="GM228" t="str">
            <v>FY12 EPS benefit</v>
          </cell>
          <cell r="GO228">
            <v>0.12479037837661579</v>
          </cell>
        </row>
        <row r="229">
          <cell r="A229" t="str">
            <v>SG&amp;A Expenses</v>
          </cell>
          <cell r="N229">
            <v>4913</v>
          </cell>
          <cell r="O229">
            <v>4922</v>
          </cell>
          <cell r="P229">
            <v>4679</v>
          </cell>
          <cell r="Q229">
            <v>4692</v>
          </cell>
          <cell r="R229">
            <v>4760</v>
          </cell>
          <cell r="S229">
            <v>4912</v>
          </cell>
          <cell r="T229">
            <v>4806</v>
          </cell>
          <cell r="U229">
            <v>4836</v>
          </cell>
          <cell r="V229">
            <v>4837</v>
          </cell>
          <cell r="W229">
            <v>4931</v>
          </cell>
          <cell r="X229">
            <v>6980</v>
          </cell>
          <cell r="Y229">
            <v>8678</v>
          </cell>
          <cell r="Z229">
            <v>8486.7237921820597</v>
          </cell>
          <cell r="AA229">
            <v>8458</v>
          </cell>
          <cell r="AB229">
            <v>8163</v>
          </cell>
          <cell r="AC229">
            <v>8260</v>
          </cell>
          <cell r="AD229">
            <v>8281</v>
          </cell>
          <cell r="AE229">
            <v>8590.9232459556424</v>
          </cell>
          <cell r="AF229">
            <v>9075.3325541519971</v>
          </cell>
          <cell r="AG229">
            <v>9219.9246980410044</v>
          </cell>
          <cell r="AH229">
            <v>9284.8357695452942</v>
          </cell>
          <cell r="AI229">
            <v>9346.7616087729639</v>
          </cell>
          <cell r="AJ229">
            <v>9408.997481208231</v>
          </cell>
          <cell r="AK229">
            <v>9471.5433949313283</v>
          </cell>
          <cell r="AL229">
            <v>9534.3993271807667</v>
          </cell>
          <cell r="AN229" t="str">
            <v>BPS Change</v>
          </cell>
          <cell r="EL229" t="str">
            <v>BPS Change</v>
          </cell>
          <cell r="ER229">
            <v>-139.97738886292632</v>
          </cell>
          <cell r="ES229">
            <v>79.908342056138622</v>
          </cell>
          <cell r="ET229">
            <v>-6.2033726308408088</v>
          </cell>
          <cell r="EU229">
            <v>5.9414249625339144</v>
          </cell>
          <cell r="EV229">
            <v>-11.916206169559906</v>
          </cell>
          <cell r="EX229">
            <v>97.103999740256185</v>
          </cell>
          <cell r="EY229">
            <v>-163.98169554058094</v>
          </cell>
          <cell r="EZ229">
            <v>-101.69861296223215</v>
          </cell>
          <cell r="FA229">
            <v>63.218337796286939</v>
          </cell>
          <cell r="FB229">
            <v>-18.329059676766569</v>
          </cell>
          <cell r="FD229">
            <v>-117.86151205476824</v>
          </cell>
          <cell r="FE229">
            <v>100.4420955299623</v>
          </cell>
          <cell r="FF229">
            <v>18.760138584778542</v>
          </cell>
          <cell r="FG229">
            <v>-222.58833186213522</v>
          </cell>
          <cell r="FH229">
            <v>-71.756543201453297</v>
          </cell>
          <cell r="FJ229">
            <v>-63.717056086883275</v>
          </cell>
          <cell r="FK229">
            <v>-46.127632932633219</v>
          </cell>
          <cell r="FL229">
            <v>32.76796449469488</v>
          </cell>
          <cell r="FM229">
            <v>217.73908399327803</v>
          </cell>
          <cell r="FN229">
            <v>54.339437729014065</v>
          </cell>
          <cell r="FP229">
            <v>140.55220178839866</v>
          </cell>
          <cell r="FQ229">
            <v>93.236708620035856</v>
          </cell>
          <cell r="FR229">
            <v>12.879189811180192</v>
          </cell>
          <cell r="FS229">
            <v>-24.029174116709239</v>
          </cell>
          <cell r="FT229">
            <v>46.420108599313778</v>
          </cell>
          <cell r="FU229">
            <v>0.40834709503077615</v>
          </cell>
          <cell r="FV229">
            <v>-29.03919862267179</v>
          </cell>
          <cell r="FW229">
            <v>-16.257938490480406</v>
          </cell>
          <cell r="FX229">
            <v>-49.323610142729123</v>
          </cell>
          <cell r="FY229">
            <v>-33.075008945261388</v>
          </cell>
          <cell r="FZ229">
            <v>-31.346270638396014</v>
          </cell>
          <cell r="GB229">
            <v>-26.585211844263878</v>
          </cell>
          <cell r="GC229">
            <v>10.122801825093175</v>
          </cell>
          <cell r="GD229">
            <v>15</v>
          </cell>
          <cell r="GE229">
            <v>38.127955584439931</v>
          </cell>
          <cell r="GF229">
            <v>12.793329120628915</v>
          </cell>
          <cell r="GG229" t="str">
            <v>SEE CREDIT INCOME TAB FOR SG&amp;A EXPENSE CALCS</v>
          </cell>
        </row>
        <row r="230">
          <cell r="A230" t="str">
            <v>SG&amp;A Ratio</v>
          </cell>
          <cell r="N230">
            <v>0.33618448063500755</v>
          </cell>
          <cell r="O230">
            <v>0.33182768152093306</v>
          </cell>
          <cell r="P230">
            <v>0.30742444152431014</v>
          </cell>
          <cell r="Q230">
            <v>0.30536934591604298</v>
          </cell>
          <cell r="R230">
            <v>0.29696175681577142</v>
          </cell>
          <cell r="S230">
            <v>0.29522779180189929</v>
          </cell>
          <cell r="T230">
            <v>0.30446626544187522</v>
          </cell>
          <cell r="U230">
            <v>0.31057735534005521</v>
          </cell>
          <cell r="V230">
            <v>0.31384635349078638</v>
          </cell>
          <cell r="W230">
            <v>0.31256338742393508</v>
          </cell>
          <cell r="X230">
            <v>0.311746315319339</v>
          </cell>
          <cell r="Y230">
            <v>0.32176492398961809</v>
          </cell>
          <cell r="Z230">
            <v>0.32252969225029682</v>
          </cell>
          <cell r="AA230">
            <v>0.33978788365739998</v>
          </cell>
          <cell r="AB230">
            <v>0.34149096385542171</v>
          </cell>
          <cell r="AC230">
            <v>0.33036035675718911</v>
          </cell>
          <cell r="AD230">
            <v>0.31361484567316794</v>
          </cell>
          <cell r="AE230">
            <v>0.30726391872029868</v>
          </cell>
          <cell r="AF230">
            <v>0.30526391872029868</v>
          </cell>
          <cell r="AG230">
            <v>0.30426391872029868</v>
          </cell>
          <cell r="AH230">
            <v>0.30326391872029868</v>
          </cell>
          <cell r="AI230">
            <v>0.30226391872029867</v>
          </cell>
          <cell r="AJ230">
            <v>0.30126391872029867</v>
          </cell>
          <cell r="AK230">
            <v>0.30026391872029867</v>
          </cell>
          <cell r="AL230">
            <v>0.29926391872029867</v>
          </cell>
          <cell r="GB230" t="str">
            <v>SEE CREDIT INCOME TAB FOR SG&amp;A FORECASTS</v>
          </cell>
          <cell r="GJ230" t="str">
            <v>Extra Week SG&amp;A $ (incremental)</v>
          </cell>
          <cell r="GK230">
            <v>61.847199600074589</v>
          </cell>
        </row>
        <row r="231">
          <cell r="A231" t="str">
            <v>Y/Y ∆ SG&amp;A Ratio (bps)</v>
          </cell>
          <cell r="O231">
            <v>-43.567991140744944</v>
          </cell>
          <cell r="P231">
            <v>-244.03239996622915</v>
          </cell>
          <cell r="Q231">
            <v>-20.550956082671657</v>
          </cell>
          <cell r="R231">
            <v>-84.075891002715622</v>
          </cell>
          <cell r="S231">
            <v>-17.339650138721296</v>
          </cell>
          <cell r="T231">
            <v>92.384736399759305</v>
          </cell>
          <cell r="U231">
            <v>61.110898981799892</v>
          </cell>
          <cell r="V231">
            <v>32.689981507311728</v>
          </cell>
          <cell r="W231">
            <v>-12.829660668512988</v>
          </cell>
          <cell r="X231">
            <v>-8.170721045960839</v>
          </cell>
          <cell r="Y231">
            <v>100.18608670279094</v>
          </cell>
          <cell r="Z231">
            <v>7.6476826067872761</v>
          </cell>
          <cell r="AA231">
            <v>172.58191407103163</v>
          </cell>
          <cell r="AB231">
            <v>17.030801980217337</v>
          </cell>
          <cell r="AC231">
            <v>-111.30607098232603</v>
          </cell>
          <cell r="AD231">
            <v>-167.45511084021169</v>
          </cell>
          <cell r="AE231">
            <v>-63.509269528692627</v>
          </cell>
          <cell r="AF231">
            <v>-20</v>
          </cell>
          <cell r="AG231">
            <v>-10</v>
          </cell>
          <cell r="AH231">
            <v>-10</v>
          </cell>
          <cell r="AI231">
            <v>-10</v>
          </cell>
          <cell r="AJ231">
            <v>-10</v>
          </cell>
          <cell r="AK231">
            <v>-10</v>
          </cell>
          <cell r="AL231">
            <v>-10</v>
          </cell>
          <cell r="AN231" t="str">
            <v>SG&amp;A Expenses (Total)</v>
          </cell>
          <cell r="EL231" t="str">
            <v>SG&amp;A Expenses (Total)</v>
          </cell>
          <cell r="ER231">
            <v>2154</v>
          </cell>
          <cell r="ES231">
            <v>2117</v>
          </cell>
          <cell r="ET231">
            <v>2094</v>
          </cell>
          <cell r="EU231">
            <v>2313</v>
          </cell>
          <cell r="EV231">
            <v>8678</v>
          </cell>
          <cell r="EX231">
            <v>2113</v>
          </cell>
          <cell r="EY231">
            <v>2038</v>
          </cell>
          <cell r="EZ231">
            <v>2121</v>
          </cell>
          <cell r="FA231">
            <v>2282</v>
          </cell>
          <cell r="FB231">
            <v>8554</v>
          </cell>
          <cell r="FD231">
            <v>2080</v>
          </cell>
          <cell r="FE231">
            <v>2037</v>
          </cell>
          <cell r="FF231">
            <v>2085</v>
          </cell>
          <cell r="FG231">
            <v>2256</v>
          </cell>
          <cell r="FH231">
            <v>8458</v>
          </cell>
          <cell r="FJ231">
            <v>1985</v>
          </cell>
          <cell r="FK231">
            <v>1886</v>
          </cell>
          <cell r="FL231">
            <v>2056</v>
          </cell>
          <cell r="FM231">
            <v>2236</v>
          </cell>
          <cell r="FN231">
            <v>8163</v>
          </cell>
          <cell r="FP231">
            <v>1993</v>
          </cell>
          <cell r="FQ231">
            <v>1953</v>
          </cell>
          <cell r="FR231">
            <v>2069</v>
          </cell>
          <cell r="FS231">
            <v>2245</v>
          </cell>
          <cell r="FT231">
            <v>8260</v>
          </cell>
          <cell r="FU231">
            <v>4314</v>
          </cell>
          <cell r="FV231">
            <v>1973</v>
          </cell>
          <cell r="FW231">
            <v>1976</v>
          </cell>
          <cell r="FX231">
            <v>2018</v>
          </cell>
          <cell r="FY231">
            <v>2314</v>
          </cell>
          <cell r="FZ231">
            <v>8281</v>
          </cell>
          <cell r="GB231">
            <v>1995</v>
          </cell>
          <cell r="GC231">
            <v>2009</v>
          </cell>
          <cell r="GD231">
            <v>2122.0121029772449</v>
          </cell>
          <cell r="GE231">
            <v>2427.3951769090281</v>
          </cell>
          <cell r="GF231">
            <v>8553.4072798862726</v>
          </cell>
          <cell r="GM231" t="str">
            <v>Bull Retail Revenues from extra week</v>
          </cell>
          <cell r="GO231">
            <v>357.39407950202894</v>
          </cell>
        </row>
        <row r="232">
          <cell r="A232" t="str">
            <v>Operating Income</v>
          </cell>
          <cell r="N232">
            <v>663</v>
          </cell>
          <cell r="O232">
            <v>893</v>
          </cell>
          <cell r="P232">
            <v>1341</v>
          </cell>
          <cell r="Q232">
            <v>1455</v>
          </cell>
          <cell r="R232">
            <v>1693</v>
          </cell>
          <cell r="S232">
            <v>1771</v>
          </cell>
          <cell r="T232">
            <v>1376</v>
          </cell>
          <cell r="U232">
            <v>1411</v>
          </cell>
          <cell r="V232">
            <v>1400</v>
          </cell>
          <cell r="W232">
            <v>1499</v>
          </cell>
          <cell r="X232">
            <v>2138</v>
          </cell>
          <cell r="Y232">
            <v>2273</v>
          </cell>
          <cell r="Z232">
            <v>2060.5703683158117</v>
          </cell>
          <cell r="AA232">
            <v>1425</v>
          </cell>
          <cell r="AB232">
            <v>1454</v>
          </cell>
          <cell r="AC232">
            <v>1919</v>
          </cell>
          <cell r="AD232">
            <v>2386</v>
          </cell>
          <cell r="AE232">
            <v>2795.4452245287703</v>
          </cell>
          <cell r="AF232">
            <v>3269.7119758806275</v>
          </cell>
          <cell r="AG232">
            <v>3408.4799467779631</v>
          </cell>
          <cell r="AH232">
            <v>3443.795128625261</v>
          </cell>
          <cell r="AI232">
            <v>3447.31056144373</v>
          </cell>
          <cell r="AJ232">
            <v>3513.01541071063</v>
          </cell>
          <cell r="AK232">
            <v>3579.6896259067216</v>
          </cell>
          <cell r="AL232">
            <v>3647.3460238656644</v>
          </cell>
          <cell r="AN232" t="str">
            <v>SG&amp;A Expense (Ex Pension, Incl. Credit)</v>
          </cell>
          <cell r="EL232" t="str">
            <v>SG&amp;A Expense (Core Operations)</v>
          </cell>
          <cell r="ER232">
            <v>0.36323777403035412</v>
          </cell>
          <cell r="ES232">
            <v>0.35312760633861551</v>
          </cell>
          <cell r="ET232">
            <v>0.35575942915392456</v>
          </cell>
          <cell r="EU232">
            <v>0.25253848673435964</v>
          </cell>
          <cell r="EV232">
            <v>0.32176492398961809</v>
          </cell>
          <cell r="EX232">
            <v>2078</v>
          </cell>
          <cell r="EY232">
            <v>1998</v>
          </cell>
          <cell r="EZ232">
            <v>2082</v>
          </cell>
          <cell r="FA232">
            <v>2243</v>
          </cell>
          <cell r="FB232">
            <v>8401</v>
          </cell>
          <cell r="FD232">
            <v>2033</v>
          </cell>
          <cell r="FE232">
            <v>1976</v>
          </cell>
          <cell r="FF232">
            <v>2023</v>
          </cell>
          <cell r="FG232">
            <v>2215</v>
          </cell>
          <cell r="FH232">
            <v>11928</v>
          </cell>
          <cell r="FJ232">
            <v>1876</v>
          </cell>
          <cell r="FK232">
            <v>1731</v>
          </cell>
          <cell r="FL232">
            <v>1946</v>
          </cell>
          <cell r="FM232">
            <v>2171</v>
          </cell>
          <cell r="FN232">
            <v>7724</v>
          </cell>
          <cell r="FP232">
            <v>1838.25</v>
          </cell>
          <cell r="FQ232">
            <v>1828.25</v>
          </cell>
          <cell r="FR232">
            <v>1944.25</v>
          </cell>
          <cell r="FS232">
            <v>2210.25</v>
          </cell>
          <cell r="FT232">
            <v>7821</v>
          </cell>
          <cell r="FU232">
            <v>1.6254416961130724E-2</v>
          </cell>
          <cell r="FV232">
            <v>1938.25</v>
          </cell>
          <cell r="FW232">
            <v>1938</v>
          </cell>
          <cell r="FX232">
            <v>1980</v>
          </cell>
          <cell r="FY232">
            <v>2275</v>
          </cell>
          <cell r="FZ232">
            <v>8131.25</v>
          </cell>
          <cell r="GB232">
            <v>1944.25</v>
          </cell>
          <cell r="GC232">
            <v>1952</v>
          </cell>
          <cell r="GD232">
            <v>2066.0121029772449</v>
          </cell>
          <cell r="GE232">
            <v>2370.3951769090281</v>
          </cell>
          <cell r="GF232">
            <v>8332.6572798862726</v>
          </cell>
          <cell r="GM232" t="str">
            <v>Bear Retail Revenues from extra week</v>
          </cell>
          <cell r="GO232">
            <v>344.03355316550449</v>
          </cell>
        </row>
        <row r="233">
          <cell r="A233" t="str">
            <v>Operating Margin</v>
          </cell>
          <cell r="N233">
            <v>4.5367455864239771E-2</v>
          </cell>
          <cell r="O233">
            <v>6.0203600080900692E-2</v>
          </cell>
          <cell r="P233">
            <v>8.8107752956636004E-2</v>
          </cell>
          <cell r="Q233">
            <v>9.4695737064757562E-2</v>
          </cell>
          <cell r="R233">
            <v>0.10562106182544138</v>
          </cell>
          <cell r="S233">
            <v>0.10644308210121409</v>
          </cell>
          <cell r="T233">
            <v>8.7171365220145708E-2</v>
          </cell>
          <cell r="U233">
            <v>9.0617172949714206E-2</v>
          </cell>
          <cell r="V233">
            <v>9.0838307812094468E-2</v>
          </cell>
          <cell r="W233">
            <v>9.5017748478701827E-2</v>
          </cell>
          <cell r="X233">
            <v>9.5489057615006701E-2</v>
          </cell>
          <cell r="Y233">
            <v>8.4278828327771602E-2</v>
          </cell>
          <cell r="Z233">
            <v>7.8309974853335296E-2</v>
          </cell>
          <cell r="AA233">
            <v>5.7247308372167766E-2</v>
          </cell>
          <cell r="AB233">
            <v>6.0826639892904953E-2</v>
          </cell>
          <cell r="AC233">
            <v>7.6750789905211378E-2</v>
          </cell>
          <cell r="AD233">
            <v>9.0361673925392919E-2</v>
          </cell>
          <cell r="AE233">
            <v>9.9982205598335316E-2</v>
          </cell>
          <cell r="AF233">
            <v>0.10998220559833537</v>
          </cell>
          <cell r="AG233">
            <v>0.11248220559833534</v>
          </cell>
          <cell r="AH233">
            <v>0.11248220559833533</v>
          </cell>
          <cell r="AI233">
            <v>0.1114822055983353</v>
          </cell>
          <cell r="AJ233">
            <v>0.11248220559833537</v>
          </cell>
          <cell r="AK233">
            <v>0.11348220559833534</v>
          </cell>
          <cell r="AL233">
            <v>0.11448220559833534</v>
          </cell>
          <cell r="AN233" t="str">
            <v>Pension Expense (Benefit)</v>
          </cell>
          <cell r="EL233" t="str">
            <v>Pension Expense (Benefit)</v>
          </cell>
          <cell r="ER233">
            <v>300.87540578005888</v>
          </cell>
          <cell r="ES233">
            <v>202.54296926526084</v>
          </cell>
          <cell r="ET233">
            <v>5.8391160216936244</v>
          </cell>
          <cell r="EU233">
            <v>-178.61680437304796</v>
          </cell>
          <cell r="EV233">
            <v>100.18608670279094</v>
          </cell>
          <cell r="EX233">
            <v>35</v>
          </cell>
          <cell r="EY233">
            <v>40</v>
          </cell>
          <cell r="EZ233">
            <v>39</v>
          </cell>
          <cell r="FA233">
            <v>39</v>
          </cell>
          <cell r="FB233">
            <v>153</v>
          </cell>
          <cell r="FD233">
            <v>38</v>
          </cell>
          <cell r="FE233">
            <v>37</v>
          </cell>
          <cell r="FF233">
            <v>38</v>
          </cell>
          <cell r="FG233">
            <v>17</v>
          </cell>
          <cell r="FH233">
            <v>130</v>
          </cell>
          <cell r="FJ233">
            <v>34</v>
          </cell>
          <cell r="FK233">
            <v>35</v>
          </cell>
          <cell r="FL233">
            <v>35</v>
          </cell>
          <cell r="FM233">
            <v>35</v>
          </cell>
          <cell r="FN233">
            <v>139</v>
          </cell>
          <cell r="FP233">
            <v>34.75</v>
          </cell>
          <cell r="FQ233">
            <v>34.75</v>
          </cell>
          <cell r="FR233">
            <v>34.75</v>
          </cell>
          <cell r="FS233">
            <v>34.75</v>
          </cell>
          <cell r="FT233">
            <v>139</v>
          </cell>
          <cell r="FV233">
            <v>34.75</v>
          </cell>
          <cell r="FW233">
            <v>38</v>
          </cell>
          <cell r="FX233">
            <v>38</v>
          </cell>
          <cell r="FY233">
            <v>39</v>
          </cell>
          <cell r="FZ233">
            <v>149.75</v>
          </cell>
          <cell r="GB233">
            <v>50.75</v>
          </cell>
          <cell r="GC233">
            <v>57</v>
          </cell>
          <cell r="GD233">
            <v>56</v>
          </cell>
          <cell r="GE233">
            <v>57</v>
          </cell>
          <cell r="GF233">
            <v>220.75</v>
          </cell>
        </row>
        <row r="234">
          <cell r="A234" t="str">
            <v>Y/Y ∆ Operating Margin (bps)</v>
          </cell>
          <cell r="O234">
            <v>148.36144216660921</v>
          </cell>
          <cell r="P234">
            <v>279.04152875735315</v>
          </cell>
          <cell r="Q234">
            <v>65.879841081215588</v>
          </cell>
          <cell r="R234">
            <v>109.25324760683822</v>
          </cell>
          <cell r="S234">
            <v>8.22020275772703</v>
          </cell>
          <cell r="T234">
            <v>-192.7171688106838</v>
          </cell>
          <cell r="U234">
            <v>34.45807729568498</v>
          </cell>
          <cell r="V234">
            <v>2.2113486238026225</v>
          </cell>
          <cell r="W234">
            <v>41.794406666073591</v>
          </cell>
          <cell r="X234">
            <v>4.7130913630487328</v>
          </cell>
          <cell r="Y234">
            <v>-112.10229287235099</v>
          </cell>
          <cell r="Z234">
            <v>-59.688534744363061</v>
          </cell>
          <cell r="AA234">
            <v>-210.62666481167531</v>
          </cell>
          <cell r="AB234">
            <v>35.793315207371876</v>
          </cell>
          <cell r="AC234">
            <v>159.24150012306424</v>
          </cell>
          <cell r="AD234">
            <v>136.10884020181541</v>
          </cell>
          <cell r="AE234">
            <v>96.205316729423984</v>
          </cell>
          <cell r="AF234">
            <v>100.00000000000051</v>
          </cell>
          <cell r="AG234">
            <v>24.999999999999744</v>
          </cell>
          <cell r="AH234">
            <v>-1.3877787807814457E-13</v>
          </cell>
          <cell r="AI234">
            <v>-10.000000000000286</v>
          </cell>
          <cell r="AJ234">
            <v>10.000000000000703</v>
          </cell>
          <cell r="AK234">
            <v>9.9999999999997318</v>
          </cell>
          <cell r="AL234">
            <v>10.000000000000009</v>
          </cell>
          <cell r="AN234" t="str">
            <v>SG&amp;A Ratio (Ex Pension, Incl. Credit)</v>
          </cell>
          <cell r="EL234" t="str">
            <v>SG&amp;A Ratio (Core Operations)</v>
          </cell>
          <cell r="EX234">
            <v>0.35095423070427295</v>
          </cell>
          <cell r="EY234">
            <v>0.33910386965376782</v>
          </cell>
          <cell r="EZ234">
            <v>0.35252285811039619</v>
          </cell>
          <cell r="FA234">
            <v>0.26099604375145452</v>
          </cell>
          <cell r="FB234">
            <v>0.31927184281533844</v>
          </cell>
          <cell r="FD234">
            <v>0.35374978249521488</v>
          </cell>
          <cell r="FE234">
            <v>0.34557537600559635</v>
          </cell>
          <cell r="FF234">
            <v>0.3682869106135081</v>
          </cell>
          <cell r="FG234">
            <v>0.27917822031762035</v>
          </cell>
          <cell r="FH234">
            <v>0.47919010123734535</v>
          </cell>
          <cell r="FJ234">
            <v>0.35476550680786689</v>
          </cell>
          <cell r="FK234">
            <v>0.32753074739829707</v>
          </cell>
          <cell r="FL234">
            <v>0.36137418755803158</v>
          </cell>
          <cell r="FM234">
            <v>0.27352904119944565</v>
          </cell>
          <cell r="FN234">
            <v>0.32324754132663736</v>
          </cell>
          <cell r="FP234">
            <v>0.32979009687836386</v>
          </cell>
          <cell r="FQ234">
            <v>0.33018782734332669</v>
          </cell>
          <cell r="FR234">
            <v>0.3457673839587409</v>
          </cell>
          <cell r="FS234">
            <v>0.26729350586527995</v>
          </cell>
          <cell r="FT234">
            <v>0.31280246370435549</v>
          </cell>
          <cell r="FV234">
            <v>0.32913058244184074</v>
          </cell>
          <cell r="FW234">
            <v>0.32631756187910421</v>
          </cell>
          <cell r="FX234">
            <v>0.33828805740645823</v>
          </cell>
          <cell r="FY234">
            <v>0.26077487391104998</v>
          </cell>
          <cell r="FZ234">
            <v>0.30794357129331568</v>
          </cell>
          <cell r="GB234">
            <v>0.31649845352433664</v>
          </cell>
          <cell r="GC234">
            <v>0.31905851585485451</v>
          </cell>
          <cell r="GD234">
            <v>0.34038200374321254</v>
          </cell>
          <cell r="GE234">
            <v>0.25305447615338417</v>
          </cell>
          <cell r="GF234">
            <v>0.30084162211203869</v>
          </cell>
        </row>
        <row r="235">
          <cell r="AN235" t="str">
            <v>Y/Y ∆ SG&amp;A Ratio (bps)</v>
          </cell>
          <cell r="EL235" t="str">
            <v>Y/Y ∆ SG&amp;A Ratio (bps)</v>
          </cell>
          <cell r="FD235">
            <v>27.955517909419303</v>
          </cell>
          <cell r="FE235">
            <v>64.715063518285262</v>
          </cell>
          <cell r="FF235">
            <v>157.64052503111913</v>
          </cell>
          <cell r="FG235">
            <v>181.8217656616583</v>
          </cell>
          <cell r="FH235">
            <v>1599.1825842200692</v>
          </cell>
          <cell r="FJ235">
            <v>10.157243126520111</v>
          </cell>
          <cell r="FK235">
            <v>-180.44628607299273</v>
          </cell>
          <cell r="FL235">
            <v>-69.127230554765219</v>
          </cell>
          <cell r="FM235">
            <v>-56.491791181746962</v>
          </cell>
          <cell r="FN235">
            <v>-1559.42559910708</v>
          </cell>
          <cell r="FP235">
            <v>-249.75409929503033</v>
          </cell>
          <cell r="FQ235">
            <v>26.570799450296168</v>
          </cell>
          <cell r="FR235">
            <v>-156.06803599290674</v>
          </cell>
          <cell r="FS235">
            <v>-62.355353341657093</v>
          </cell>
          <cell r="FT235">
            <v>-104.45077622281862</v>
          </cell>
          <cell r="FV235">
            <v>-6.5951443652312314</v>
          </cell>
          <cell r="FW235">
            <v>-38.702654642224779</v>
          </cell>
          <cell r="FX235">
            <v>-74.793265522826729</v>
          </cell>
          <cell r="FY235">
            <v>-65.186319542299699</v>
          </cell>
          <cell r="FZ235">
            <v>-48.588924110398167</v>
          </cell>
          <cell r="GB235">
            <v>-126.32128917504093</v>
          </cell>
          <cell r="GC235">
            <v>-72.590460242497045</v>
          </cell>
          <cell r="GD235">
            <v>20.939463367543041</v>
          </cell>
          <cell r="GE235">
            <v>-77.20397757665809</v>
          </cell>
          <cell r="GF235">
            <v>-71.0194918127699</v>
          </cell>
        </row>
        <row r="236">
          <cell r="AN236" t="str">
            <v>SG&amp;A Ratio (Including Pension Impact)</v>
          </cell>
          <cell r="EL236" t="str">
            <v>SG&amp;A Ratio (Including Pension Impact)</v>
          </cell>
          <cell r="EX236">
            <v>0.35686539435906095</v>
          </cell>
          <cell r="EY236">
            <v>0.34589273591310249</v>
          </cell>
          <cell r="EZ236">
            <v>0.35912631222485608</v>
          </cell>
          <cell r="FA236">
            <v>0.2655340935536421</v>
          </cell>
          <cell r="FB236">
            <v>0.32508645916467144</v>
          </cell>
          <cell r="FD236">
            <v>0.36192796241517311</v>
          </cell>
          <cell r="FE236">
            <v>0.35624344176285416</v>
          </cell>
          <cell r="FF236">
            <v>0.37957400327689789</v>
          </cell>
          <cell r="FG236">
            <v>0.28434585328963952</v>
          </cell>
          <cell r="FH236">
            <v>0.33978788365739998</v>
          </cell>
          <cell r="FJ236">
            <v>0.37537821482602118</v>
          </cell>
          <cell r="FK236">
            <v>0.35685903500473037</v>
          </cell>
          <cell r="FL236">
            <v>0.38180129990714951</v>
          </cell>
          <cell r="FM236">
            <v>0.28171853345092607</v>
          </cell>
          <cell r="FN236">
            <v>0.34161958568738232</v>
          </cell>
          <cell r="FP236">
            <v>0.35755292429135271</v>
          </cell>
          <cell r="FQ236">
            <v>0.3527180783817952</v>
          </cell>
          <cell r="FR236">
            <v>0.36795304997332384</v>
          </cell>
          <cell r="FS236">
            <v>0.27149594872415045</v>
          </cell>
          <cell r="FT236">
            <v>0.33036035675718911</v>
          </cell>
          <cell r="FU236">
            <v>0.31053843938957676</v>
          </cell>
          <cell r="FV236">
            <v>0.33503141450161317</v>
          </cell>
          <cell r="FW236">
            <v>0.33271594544536115</v>
          </cell>
          <cell r="FX236">
            <v>0.34478045446779432</v>
          </cell>
          <cell r="FY236">
            <v>0.26524530032095367</v>
          </cell>
          <cell r="FZ236">
            <v>0.31361484567316794</v>
          </cell>
          <cell r="GB236">
            <v>0.32475988930489991</v>
          </cell>
          <cell r="GC236">
            <v>0.32837528604118993</v>
          </cell>
          <cell r="GD236">
            <v>0.34960818019307516</v>
          </cell>
          <cell r="GE236">
            <v>0.25913958182743124</v>
          </cell>
          <cell r="GF236">
            <v>0.30881156325452847</v>
          </cell>
          <cell r="GG236" t="str">
            <v>Implied 2012e Margins (ex Extra Week)</v>
          </cell>
          <cell r="GM236" t="str">
            <v>'12 Spring SG&amp;A</v>
          </cell>
          <cell r="GN236">
            <v>4004</v>
          </cell>
        </row>
        <row r="237">
          <cell r="AN237" t="str">
            <v>Y/Y ∆ SG&amp;A Ratio (bps)</v>
          </cell>
          <cell r="EL237" t="str">
            <v>Y/Y ∆ SG&amp;A Ratio (bps)</v>
          </cell>
          <cell r="EX237">
            <v>-63.723796712931716</v>
          </cell>
          <cell r="EY237">
            <v>-72.348704255130187</v>
          </cell>
          <cell r="EZ237">
            <v>33.668830709315259</v>
          </cell>
          <cell r="FA237">
            <v>129.95606819282469</v>
          </cell>
          <cell r="FB237">
            <v>33.215351750533472</v>
          </cell>
          <cell r="FD237">
            <v>50.625680561121598</v>
          </cell>
          <cell r="FE237">
            <v>103.50705849751674</v>
          </cell>
          <cell r="FF237">
            <v>204.47691052041804</v>
          </cell>
          <cell r="FG237">
            <v>188.11759735997413</v>
          </cell>
          <cell r="FH237">
            <v>147.01424492728543</v>
          </cell>
          <cell r="FJ237">
            <v>134.50252410848074</v>
          </cell>
          <cell r="FK237">
            <v>6.1559324187621112</v>
          </cell>
          <cell r="FL237">
            <v>22.272966302516185</v>
          </cell>
          <cell r="FM237">
            <v>-26.273198387134489</v>
          </cell>
          <cell r="FN237">
            <v>18.317020299823405</v>
          </cell>
          <cell r="FP237">
            <v>-178.25290534668468</v>
          </cell>
          <cell r="FQ237">
            <v>-41.409566229351768</v>
          </cell>
          <cell r="FR237">
            <v>-138.48249933825662</v>
          </cell>
          <cell r="FS237">
            <v>-102.22584726775619</v>
          </cell>
          <cell r="FT237">
            <v>-112.5922893019321</v>
          </cell>
          <cell r="FU237">
            <v>0.32217384777060504</v>
          </cell>
          <cell r="FV237">
            <v>-225.21509789739548</v>
          </cell>
          <cell r="FW237">
            <v>-200.02132936434046</v>
          </cell>
          <cell r="FX237">
            <v>-231.72595505529526</v>
          </cell>
          <cell r="FY237">
            <v>-62.506484031967787</v>
          </cell>
          <cell r="FZ237">
            <v>-167.45511084021169</v>
          </cell>
          <cell r="GB237">
            <v>-102.7152519671326</v>
          </cell>
          <cell r="GC237">
            <v>-43.406594041712211</v>
          </cell>
          <cell r="GD237">
            <v>48.277257252808404</v>
          </cell>
          <cell r="GE237">
            <v>-61.057184935224271</v>
          </cell>
          <cell r="GF237">
            <v>-48.032824186394762</v>
          </cell>
          <cell r="GJ237" t="str">
            <v>FY12e Gross Margin (%) (ex extra week)</v>
          </cell>
          <cell r="GK237">
            <v>0.40521348048585426</v>
          </cell>
          <cell r="GM237" t="str">
            <v>'12 Fall SG&amp;A</v>
          </cell>
          <cell r="GN237">
            <v>4549.4072798862726</v>
          </cell>
        </row>
        <row r="238">
          <cell r="FP238">
            <v>-120</v>
          </cell>
          <cell r="FQ238">
            <v>-90</v>
          </cell>
          <cell r="FR238">
            <v>-90</v>
          </cell>
          <cell r="FS238">
            <v>0</v>
          </cell>
          <cell r="GJ238" t="str">
            <v>FY12e Gross Margin ∆ (bps) (ex extra week)</v>
          </cell>
          <cell r="GK238">
            <v>12.36960887293359</v>
          </cell>
          <cell r="GM238" t="str">
            <v>% Change 2H vs. 1H</v>
          </cell>
          <cell r="GN238">
            <v>0.13621560436720093</v>
          </cell>
        </row>
        <row r="239">
          <cell r="AN239" t="str">
            <v>% Breakout of credit deterioration</v>
          </cell>
          <cell r="FD239">
            <v>0.15</v>
          </cell>
          <cell r="FE239">
            <v>0.2</v>
          </cell>
          <cell r="FF239">
            <v>0.3</v>
          </cell>
          <cell r="FG239">
            <v>0.35000000000000009</v>
          </cell>
          <cell r="FH239">
            <v>50</v>
          </cell>
          <cell r="FK239">
            <v>-120</v>
          </cell>
          <cell r="GJ239" t="str">
            <v>Impact from Extra Wk on FY12e Gross Mgn ∆ (bps)</v>
          </cell>
          <cell r="GK239">
            <v>-0.42372024769532501</v>
          </cell>
          <cell r="GM239" t="str">
            <v>'11 Spring SG&amp;A</v>
          </cell>
          <cell r="GN239">
            <v>3949</v>
          </cell>
        </row>
        <row r="240">
          <cell r="A240" t="str">
            <v>Bear Case Assumptions</v>
          </cell>
          <cell r="N240">
            <v>1995</v>
          </cell>
          <cell r="O240">
            <v>1996</v>
          </cell>
          <cell r="P240">
            <v>1997</v>
          </cell>
          <cell r="Q240">
            <v>1998</v>
          </cell>
          <cell r="R240">
            <v>1999</v>
          </cell>
          <cell r="S240">
            <v>2000</v>
          </cell>
          <cell r="T240">
            <v>2001</v>
          </cell>
          <cell r="U240">
            <v>2002</v>
          </cell>
          <cell r="V240">
            <v>2003</v>
          </cell>
          <cell r="W240">
            <v>2004</v>
          </cell>
          <cell r="X240">
            <v>2005</v>
          </cell>
          <cell r="Y240">
            <v>2006</v>
          </cell>
          <cell r="Z240">
            <v>2007</v>
          </cell>
          <cell r="AA240">
            <v>2008</v>
          </cell>
          <cell r="AB240">
            <v>2009</v>
          </cell>
          <cell r="AC240">
            <v>2010</v>
          </cell>
          <cell r="AD240">
            <v>2011</v>
          </cell>
          <cell r="AE240" t="str">
            <v>2012E</v>
          </cell>
          <cell r="AF240" t="str">
            <v>2013E</v>
          </cell>
          <cell r="AG240" t="str">
            <v>2014E</v>
          </cell>
          <cell r="AH240" t="str">
            <v>2015E</v>
          </cell>
          <cell r="AI240" t="str">
            <v>2016E</v>
          </cell>
          <cell r="AJ240" t="str">
            <v>2017E</v>
          </cell>
          <cell r="AK240" t="str">
            <v>2018E</v>
          </cell>
          <cell r="AL240" t="str">
            <v>2019E</v>
          </cell>
          <cell r="AN240" t="str">
            <v>% Breakout of consolidation SG&amp;A saves</v>
          </cell>
          <cell r="FD240">
            <v>0.05</v>
          </cell>
          <cell r="FE240">
            <v>0.15</v>
          </cell>
          <cell r="FF240">
            <v>0.4</v>
          </cell>
          <cell r="FG240">
            <v>0.39999999999999991</v>
          </cell>
          <cell r="FH240">
            <v>-60</v>
          </cell>
          <cell r="FJ240">
            <v>0.25</v>
          </cell>
          <cell r="FK240">
            <v>0.4</v>
          </cell>
          <cell r="FL240">
            <v>0.25</v>
          </cell>
          <cell r="FM240">
            <v>9.9999999999999978E-2</v>
          </cell>
          <cell r="FN240">
            <v>-300</v>
          </cell>
          <cell r="FP240">
            <v>0.4</v>
          </cell>
          <cell r="FQ240">
            <v>0.3</v>
          </cell>
          <cell r="FR240">
            <v>0.3</v>
          </cell>
          <cell r="FS240">
            <v>0</v>
          </cell>
          <cell r="FT240">
            <v>-140</v>
          </cell>
          <cell r="GJ240" t="str">
            <v>FY12e SG&amp;A Ratio Incl. Pension (%) (ex extra week)</v>
          </cell>
          <cell r="GK240">
            <v>0.31051036388580949</v>
          </cell>
          <cell r="GM240" t="str">
            <v>'11 Fall SG&amp;A</v>
          </cell>
          <cell r="GN240">
            <v>4332</v>
          </cell>
        </row>
        <row r="241">
          <cell r="A241" t="str">
            <v>Revenue</v>
          </cell>
          <cell r="N241">
            <v>14614</v>
          </cell>
          <cell r="O241">
            <v>14833</v>
          </cell>
          <cell r="P241">
            <v>15220</v>
          </cell>
          <cell r="Q241">
            <v>15365</v>
          </cell>
          <cell r="R241">
            <v>16029</v>
          </cell>
          <cell r="S241">
            <v>16638</v>
          </cell>
          <cell r="T241">
            <v>15785</v>
          </cell>
          <cell r="U241">
            <v>15571</v>
          </cell>
          <cell r="V241">
            <v>15412</v>
          </cell>
          <cell r="W241">
            <v>15776</v>
          </cell>
          <cell r="X241">
            <v>22390</v>
          </cell>
          <cell r="Y241">
            <v>26970</v>
          </cell>
          <cell r="Z241">
            <v>26313</v>
          </cell>
          <cell r="AA241">
            <v>24892</v>
          </cell>
          <cell r="AB241">
            <v>23904</v>
          </cell>
          <cell r="AC241">
            <v>25003</v>
          </cell>
          <cell r="AD241">
            <v>26405</v>
          </cell>
          <cell r="AE241">
            <v>27436.213752617372</v>
          </cell>
          <cell r="AF241">
            <v>27415.922360651821</v>
          </cell>
          <cell r="AG241">
            <v>27944.266088353088</v>
          </cell>
          <cell r="AH241">
            <v>28233.795982590062</v>
          </cell>
          <cell r="AI241">
            <v>28516.133942415963</v>
          </cell>
          <cell r="AJ241">
            <v>28801.295281840125</v>
          </cell>
          <cell r="AK241">
            <v>29089.308234658525</v>
          </cell>
          <cell r="AL241">
            <v>29380.20131700511</v>
          </cell>
          <cell r="AN241" t="str">
            <v>% Breakout of pre-tax charges assoc. with consolidation</v>
          </cell>
          <cell r="FD241">
            <v>0.57999999999999996</v>
          </cell>
          <cell r="FE241">
            <v>0.17333333333333334</v>
          </cell>
          <cell r="FF241">
            <v>0.10666666666666667</v>
          </cell>
          <cell r="FG241">
            <v>0.14000000000000001</v>
          </cell>
          <cell r="FH241">
            <v>150</v>
          </cell>
          <cell r="FJ241">
            <v>0.34499999999999997</v>
          </cell>
          <cell r="FK241">
            <v>8.5000000000000006E-2</v>
          </cell>
          <cell r="FL241">
            <v>8.2500000000000004E-2</v>
          </cell>
          <cell r="FM241">
            <v>0.48750000000000004</v>
          </cell>
          <cell r="FN241">
            <v>400</v>
          </cell>
          <cell r="FP241">
            <v>0</v>
          </cell>
          <cell r="FQ241">
            <v>0</v>
          </cell>
          <cell r="FR241">
            <v>0</v>
          </cell>
          <cell r="FS241">
            <v>1</v>
          </cell>
          <cell r="FT241">
            <v>0</v>
          </cell>
          <cell r="GF241" t="str">
            <v xml:space="preserve"> </v>
          </cell>
          <cell r="GJ241" t="str">
            <v>FY12e SG&amp;A Ratio Incl. Pension ∆ (bps) (ex extra wk)</v>
          </cell>
          <cell r="GK241">
            <v>-31.044817873584485</v>
          </cell>
          <cell r="GM241" t="str">
            <v>Y/Y $ Change</v>
          </cell>
          <cell r="GN241">
            <v>159</v>
          </cell>
        </row>
        <row r="242">
          <cell r="A242" t="str">
            <v xml:space="preserve"> % Same-store</v>
          </cell>
          <cell r="N242">
            <v>2.7E-2</v>
          </cell>
          <cell r="O242">
            <v>3.1E-2</v>
          </cell>
          <cell r="P242">
            <v>2.7E-2</v>
          </cell>
          <cell r="Q242">
            <v>2.1999999999999999E-2</v>
          </cell>
          <cell r="R242">
            <v>4.4999999999999998E-2</v>
          </cell>
          <cell r="S242">
            <v>0.02</v>
          </cell>
          <cell r="T242">
            <v>-5.2999999999999999E-2</v>
          </cell>
          <cell r="U242">
            <v>-0.03</v>
          </cell>
          <cell r="V242">
            <v>-9.0000000000000011E-3</v>
          </cell>
          <cell r="W242">
            <v>2.5999999999999999E-2</v>
          </cell>
          <cell r="X242">
            <v>1.2999999999999999E-2</v>
          </cell>
          <cell r="Y242">
            <v>4.3999999999999997E-2</v>
          </cell>
          <cell r="Z242">
            <v>-1.2799528750047504E-2</v>
          </cell>
          <cell r="AA242">
            <v>-4.4999999999999998E-2</v>
          </cell>
          <cell r="AB242">
            <v>-5.0968425652024113E-2</v>
          </cell>
          <cell r="AC242">
            <v>4.610434747830261E-2</v>
          </cell>
          <cell r="AD242">
            <v>5.2999999999999999E-2</v>
          </cell>
          <cell r="AE242">
            <v>3.0470716044687752E-2</v>
          </cell>
          <cell r="AF242">
            <v>1.0000000000000002E-2</v>
          </cell>
          <cell r="AG242">
            <v>0.02</v>
          </cell>
          <cell r="AH242">
            <v>0.01</v>
          </cell>
          <cell r="AI242">
            <v>0.01</v>
          </cell>
          <cell r="AJ242">
            <v>0.01</v>
          </cell>
          <cell r="AK242">
            <v>0.01</v>
          </cell>
          <cell r="AL242">
            <v>0.01</v>
          </cell>
          <cell r="GJ242" t="str">
            <v>Impact from Extra Wk on FY12e SG&amp;A Ratio ∆ (bps)</v>
          </cell>
          <cell r="GK242">
            <v>-16.988006312810278</v>
          </cell>
          <cell r="GN242">
            <v>217.40727988627259</v>
          </cell>
        </row>
        <row r="243">
          <cell r="A243" t="str">
            <v>CGS, OCC, Buying Costs</v>
          </cell>
          <cell r="N243">
            <v>9038</v>
          </cell>
          <cell r="O243">
            <v>9018</v>
          </cell>
          <cell r="P243">
            <v>9200</v>
          </cell>
          <cell r="Q243">
            <v>9218</v>
          </cell>
          <cell r="R243">
            <v>9576</v>
          </cell>
          <cell r="S243">
            <v>9955</v>
          </cell>
          <cell r="T243">
            <v>9603</v>
          </cell>
          <cell r="U243">
            <v>9324</v>
          </cell>
          <cell r="V243">
            <v>9175</v>
          </cell>
          <cell r="W243">
            <v>9346</v>
          </cell>
          <cell r="X243">
            <v>13272</v>
          </cell>
          <cell r="Y243">
            <v>16019</v>
          </cell>
          <cell r="Z243">
            <v>15782.893839502129</v>
          </cell>
          <cell r="AA243">
            <v>15009</v>
          </cell>
          <cell r="AB243">
            <v>14278</v>
          </cell>
          <cell r="AC243">
            <v>14824</v>
          </cell>
          <cell r="AD243">
            <v>15738</v>
          </cell>
          <cell r="AE243">
            <v>16371.343170905468</v>
          </cell>
          <cell r="AF243">
            <v>16386.651105470184</v>
          </cell>
          <cell r="AG243">
            <v>16660.528726167173</v>
          </cell>
          <cell r="AH243">
            <v>16861.381874712744</v>
          </cell>
          <cell r="AI243">
            <v>17087.027961344706</v>
          </cell>
          <cell r="AJ243">
            <v>17257.898240958151</v>
          </cell>
          <cell r="AK243">
            <v>17430.477223367736</v>
          </cell>
          <cell r="AL243">
            <v>17604.781995601414</v>
          </cell>
        </row>
        <row r="244">
          <cell r="A244" t="str">
            <v>CGS, OCC, Buying Costs %</v>
          </cell>
          <cell r="N244">
            <v>0.61844806350075265</v>
          </cell>
          <cell r="O244">
            <v>0.60796871839816624</v>
          </cell>
          <cell r="P244">
            <v>0.60446780551905388</v>
          </cell>
          <cell r="Q244">
            <v>0.59993491701919943</v>
          </cell>
          <cell r="R244">
            <v>0.59741718135878719</v>
          </cell>
          <cell r="S244">
            <v>0.5983291260968866</v>
          </cell>
          <cell r="T244">
            <v>0.60836236933797905</v>
          </cell>
          <cell r="U244">
            <v>0.59880547171023057</v>
          </cell>
          <cell r="V244">
            <v>0.59531533869711917</v>
          </cell>
          <cell r="W244">
            <v>0.59241886409736311</v>
          </cell>
          <cell r="X244">
            <v>0.59276462706565436</v>
          </cell>
          <cell r="Y244">
            <v>0.59395624768261035</v>
          </cell>
          <cell r="Z244">
            <v>0.59981354613697135</v>
          </cell>
          <cell r="AA244">
            <v>0.60296480797043228</v>
          </cell>
          <cell r="AB244">
            <v>0.59730589022757696</v>
          </cell>
          <cell r="AC244">
            <v>0.59288885333759944</v>
          </cell>
          <cell r="AD244">
            <v>0.59602348040143915</v>
          </cell>
          <cell r="AE244">
            <v>0.59670562849962006</v>
          </cell>
          <cell r="AF244">
            <v>0.59770562849962006</v>
          </cell>
          <cell r="AG244">
            <v>0.59620562849962011</v>
          </cell>
          <cell r="AH244">
            <v>0.59720562849962</v>
          </cell>
          <cell r="AI244">
            <v>0.59920562849962</v>
          </cell>
          <cell r="AJ244">
            <v>0.59920562849962</v>
          </cell>
          <cell r="AK244">
            <v>0.59920562849962011</v>
          </cell>
          <cell r="AL244">
            <v>0.59920562849962011</v>
          </cell>
          <cell r="AN244" t="str">
            <v>Operating Margin</v>
          </cell>
          <cell r="EL244" t="str">
            <v>Operating Margin</v>
          </cell>
          <cell r="ER244">
            <v>149</v>
          </cell>
          <cell r="ES244">
            <v>408</v>
          </cell>
          <cell r="ET244">
            <v>279</v>
          </cell>
          <cell r="EU244">
            <v>1437</v>
          </cell>
          <cell r="EV244">
            <v>2273</v>
          </cell>
          <cell r="EX244">
            <v>244</v>
          </cell>
          <cell r="EY244">
            <v>347</v>
          </cell>
          <cell r="EZ244">
            <v>200</v>
          </cell>
          <cell r="FA244">
            <v>1291</v>
          </cell>
          <cell r="FB244">
            <v>2082</v>
          </cell>
          <cell r="FD244">
            <v>140</v>
          </cell>
          <cell r="FE244">
            <v>335</v>
          </cell>
          <cell r="FF244">
            <v>84</v>
          </cell>
          <cell r="FG244">
            <v>866</v>
          </cell>
          <cell r="FH244">
            <v>1425</v>
          </cell>
          <cell r="FJ244">
            <v>24</v>
          </cell>
          <cell r="FK244">
            <v>282</v>
          </cell>
          <cell r="FL244">
            <v>88</v>
          </cell>
          <cell r="FM244">
            <v>1060</v>
          </cell>
          <cell r="FN244">
            <v>1454</v>
          </cell>
          <cell r="FP244">
            <v>203</v>
          </cell>
          <cell r="FQ244">
            <v>370</v>
          </cell>
          <cell r="FR244">
            <v>177</v>
          </cell>
          <cell r="FS244">
            <v>1169</v>
          </cell>
          <cell r="FT244">
            <v>1919</v>
          </cell>
          <cell r="FV244">
            <v>330</v>
          </cell>
          <cell r="FW244">
            <v>506</v>
          </cell>
          <cell r="FX244">
            <v>291</v>
          </cell>
          <cell r="FY244">
            <v>1259</v>
          </cell>
          <cell r="FZ244">
            <v>2386</v>
          </cell>
          <cell r="GB244">
            <v>391</v>
          </cell>
          <cell r="GC244">
            <v>554</v>
          </cell>
          <cell r="GD244">
            <v>281.57499452664797</v>
          </cell>
          <cell r="GE244">
            <v>1444.7216277006182</v>
          </cell>
          <cell r="GF244">
            <v>2671.2966222272662</v>
          </cell>
        </row>
        <row r="245">
          <cell r="A245" t="str">
            <v>Y/Y ∆ CGS, OCC, Buying Costs % (bps)</v>
          </cell>
          <cell r="O245">
            <v>-104.79345102586413</v>
          </cell>
          <cell r="P245">
            <v>-35.009128791123615</v>
          </cell>
          <cell r="Q245">
            <v>-45.328884998544481</v>
          </cell>
          <cell r="R245">
            <v>-25.177356604122458</v>
          </cell>
          <cell r="S245">
            <v>9.1194473809941279</v>
          </cell>
          <cell r="T245">
            <v>100.33243241092448</v>
          </cell>
          <cell r="U245">
            <v>-95.568976277484722</v>
          </cell>
          <cell r="V245">
            <v>-34.901330131114072</v>
          </cell>
          <cell r="W245">
            <v>-28.964745997560605</v>
          </cell>
          <cell r="X245">
            <v>3.4576296829125219</v>
          </cell>
          <cell r="Y245">
            <v>11.916206169559906</v>
          </cell>
          <cell r="Z245">
            <v>58.57298454361004</v>
          </cell>
          <cell r="AA245">
            <v>31.512618334609279</v>
          </cell>
          <cell r="AB245">
            <v>-56.589177428553185</v>
          </cell>
          <cell r="AC245">
            <v>-44.170368899775212</v>
          </cell>
          <cell r="AD245">
            <v>31.346270638397122</v>
          </cell>
          <cell r="AE245">
            <v>6.8214809818090139</v>
          </cell>
          <cell r="AF245">
            <v>10.000000000000009</v>
          </cell>
          <cell r="AG245">
            <v>-14.999999999999458</v>
          </cell>
          <cell r="AH245">
            <v>9.9999999999988987</v>
          </cell>
          <cell r="AI245">
            <v>20.000000000000018</v>
          </cell>
          <cell r="AJ245">
            <v>0</v>
          </cell>
          <cell r="AK245">
            <v>1.1102230246251565E-12</v>
          </cell>
          <cell r="AL245">
            <v>0</v>
          </cell>
          <cell r="AN245" t="str">
            <v>BPS Change</v>
          </cell>
          <cell r="EL245" t="str">
            <v>BPS Change</v>
          </cell>
          <cell r="ER245">
            <v>2.5126475548060707E-2</v>
          </cell>
          <cell r="ES245">
            <v>6.805671392827356E-2</v>
          </cell>
          <cell r="ET245">
            <v>4.7400611620795105E-2</v>
          </cell>
          <cell r="EU245">
            <v>0.1568948575171962</v>
          </cell>
          <cell r="EV245">
            <v>8.4278828327771602E-2</v>
          </cell>
          <cell r="EX245">
            <v>4.12092551933795E-2</v>
          </cell>
          <cell r="EY245">
            <v>5.8893414799728448E-2</v>
          </cell>
          <cell r="EZ245">
            <v>3.3863867253640365E-2</v>
          </cell>
          <cell r="FA245">
            <v>0.15022108447754248</v>
          </cell>
          <cell r="FB245">
            <v>7.9124387185041611E-2</v>
          </cell>
          <cell r="FD245">
            <v>2.4360535931790498E-2</v>
          </cell>
          <cell r="FE245">
            <v>5.8586918502973068E-2</v>
          </cell>
          <cell r="FF245">
            <v>1.5292190060076462E-2</v>
          </cell>
          <cell r="FG245">
            <v>0.10915049155533149</v>
          </cell>
          <cell r="FH245">
            <v>5.7247308372167766E-2</v>
          </cell>
          <cell r="FJ245">
            <v>4.5385779122541605E-3</v>
          </cell>
          <cell r="FK245">
            <v>5.3358561967833493E-2</v>
          </cell>
          <cell r="FL245">
            <v>1.6341689879294335E-2</v>
          </cell>
          <cell r="FM245">
            <v>0.1335517197933728</v>
          </cell>
          <cell r="FN245">
            <v>6.0849550115086838E-2</v>
          </cell>
          <cell r="FP245">
            <v>3.6419088625762472E-2</v>
          </cell>
          <cell r="FQ245">
            <v>6.6823189452772255E-2</v>
          </cell>
          <cell r="FR245">
            <v>3.1477858794237951E-2</v>
          </cell>
          <cell r="FS245">
            <v>0.14137138710847744</v>
          </cell>
          <cell r="FT245">
            <v>7.6750789905211378E-2</v>
          </cell>
          <cell r="FV245">
            <v>5.6036678553234846E-2</v>
          </cell>
          <cell r="FW245">
            <v>8.5199528540158276E-2</v>
          </cell>
          <cell r="FX245">
            <v>4.9718093285494619E-2</v>
          </cell>
          <cell r="FY245">
            <v>0.1443145346171481</v>
          </cell>
          <cell r="FZ245">
            <v>9.0361673925392919E-2</v>
          </cell>
          <cell r="GB245">
            <v>6.3649682565521726E-2</v>
          </cell>
          <cell r="GC245">
            <v>9.0552468126838842E-2</v>
          </cell>
          <cell r="GD245">
            <v>4.6390367560213731E-2</v>
          </cell>
          <cell r="GE245">
            <v>0.15423304866911453</v>
          </cell>
          <cell r="GF245">
            <v>9.644428925609537E-2</v>
          </cell>
        </row>
        <row r="246">
          <cell r="A246" t="str">
            <v>Gross Income</v>
          </cell>
          <cell r="N246">
            <v>5576</v>
          </cell>
          <cell r="O246">
            <v>5815</v>
          </cell>
          <cell r="P246">
            <v>6020</v>
          </cell>
          <cell r="Q246">
            <v>6147</v>
          </cell>
          <cell r="R246">
            <v>6453</v>
          </cell>
          <cell r="S246">
            <v>6683</v>
          </cell>
          <cell r="T246">
            <v>6182</v>
          </cell>
          <cell r="U246">
            <v>6247</v>
          </cell>
          <cell r="V246">
            <v>6237</v>
          </cell>
          <cell r="W246">
            <v>6430</v>
          </cell>
          <cell r="X246">
            <v>9118</v>
          </cell>
          <cell r="Y246">
            <v>10951</v>
          </cell>
          <cell r="Z246">
            <v>10530.106160497871</v>
          </cell>
          <cell r="AA246">
            <v>9883</v>
          </cell>
          <cell r="AB246">
            <v>9626</v>
          </cell>
          <cell r="AC246">
            <v>10179</v>
          </cell>
          <cell r="AD246">
            <v>10667</v>
          </cell>
          <cell r="AE246">
            <v>11064.870581711904</v>
          </cell>
          <cell r="AF246">
            <v>11029.271255181637</v>
          </cell>
          <cell r="AG246">
            <v>11283.737362185915</v>
          </cell>
          <cell r="AH246">
            <v>11372.414107877315</v>
          </cell>
          <cell r="AI246">
            <v>11429.105981071258</v>
          </cell>
          <cell r="AJ246">
            <v>11543.397040881971</v>
          </cell>
          <cell r="AK246">
            <v>11658.831011290791</v>
          </cell>
          <cell r="AL246">
            <v>11775.419321403699</v>
          </cell>
        </row>
        <row r="247">
          <cell r="A247" t="str">
            <v>Gross Margin</v>
          </cell>
          <cell r="N247">
            <v>0.38155193649924729</v>
          </cell>
          <cell r="O247">
            <v>0.39203128160183376</v>
          </cell>
          <cell r="P247">
            <v>0.39553219448094612</v>
          </cell>
          <cell r="Q247">
            <v>0.40006508298080051</v>
          </cell>
          <cell r="R247">
            <v>0.40258281864121281</v>
          </cell>
          <cell r="S247">
            <v>0.40167087390311335</v>
          </cell>
          <cell r="T247">
            <v>0.3916376306620209</v>
          </cell>
          <cell r="U247">
            <v>0.40119452828976943</v>
          </cell>
          <cell r="V247">
            <v>0.40468466130288089</v>
          </cell>
          <cell r="W247">
            <v>0.40758113590263689</v>
          </cell>
          <cell r="X247">
            <v>0.4072353729343457</v>
          </cell>
          <cell r="Y247">
            <v>0.40604375231738971</v>
          </cell>
          <cell r="Z247">
            <v>0.40018645386302859</v>
          </cell>
          <cell r="AA247">
            <v>0.39703519202956772</v>
          </cell>
          <cell r="AB247">
            <v>0.40269410977242304</v>
          </cell>
          <cell r="AC247">
            <v>0.4071111466624005</v>
          </cell>
          <cell r="AD247">
            <v>0.4039765195985609</v>
          </cell>
          <cell r="AE247">
            <v>0.40329437150037994</v>
          </cell>
          <cell r="AF247">
            <v>0.40229437150037994</v>
          </cell>
          <cell r="AG247">
            <v>0.40379437150037994</v>
          </cell>
          <cell r="AH247">
            <v>0.40279437150037994</v>
          </cell>
          <cell r="AI247">
            <v>0.40079437150037994</v>
          </cell>
          <cell r="AJ247">
            <v>0.40079437150037994</v>
          </cell>
          <cell r="AK247">
            <v>0.40079437150037994</v>
          </cell>
          <cell r="AL247">
            <v>0.40079437150037994</v>
          </cell>
        </row>
        <row r="248">
          <cell r="A248" t="str">
            <v>Y/Y ∆ Gross Margin (bps)</v>
          </cell>
          <cell r="O248">
            <v>104.79345102586468</v>
          </cell>
          <cell r="P248">
            <v>35.009128791123615</v>
          </cell>
          <cell r="Q248">
            <v>45.328884998543927</v>
          </cell>
          <cell r="R248">
            <v>25.177356604123013</v>
          </cell>
          <cell r="S248">
            <v>-9.1194473809946821</v>
          </cell>
          <cell r="T248">
            <v>-100.33243241092448</v>
          </cell>
          <cell r="U248">
            <v>95.568976277485291</v>
          </cell>
          <cell r="V248">
            <v>34.901330131114626</v>
          </cell>
          <cell r="W248">
            <v>28.964745997560048</v>
          </cell>
          <cell r="X248">
            <v>-3.4576296829119668</v>
          </cell>
          <cell r="Y248">
            <v>-11.916206169559906</v>
          </cell>
          <cell r="Z248">
            <v>-58.572984543611149</v>
          </cell>
          <cell r="AA248">
            <v>-31.512618334608721</v>
          </cell>
          <cell r="AB248">
            <v>56.589177428553185</v>
          </cell>
          <cell r="AC248">
            <v>44.170368899774658</v>
          </cell>
          <cell r="AD248">
            <v>-31.346270638396014</v>
          </cell>
          <cell r="AE248">
            <v>-6.821480981809569</v>
          </cell>
          <cell r="AF248">
            <v>-10</v>
          </cell>
          <cell r="AG248">
            <v>15</v>
          </cell>
          <cell r="AH248">
            <v>-10</v>
          </cell>
          <cell r="AI248">
            <v>-20</v>
          </cell>
          <cell r="AJ248">
            <v>0</v>
          </cell>
          <cell r="AK248">
            <v>0</v>
          </cell>
          <cell r="AL248">
            <v>0</v>
          </cell>
          <cell r="AN248" t="str">
            <v>Bull Case Assumptions</v>
          </cell>
          <cell r="EL248" t="str">
            <v>Bull Case Assumptions</v>
          </cell>
        </row>
        <row r="249">
          <cell r="A249" t="str">
            <v>SG&amp;A Expenses</v>
          </cell>
          <cell r="N249">
            <v>4913</v>
          </cell>
          <cell r="O249">
            <v>4922</v>
          </cell>
          <cell r="P249">
            <v>4679</v>
          </cell>
          <cell r="Q249">
            <v>4692</v>
          </cell>
          <cell r="R249">
            <v>4760</v>
          </cell>
          <cell r="S249">
            <v>4912</v>
          </cell>
          <cell r="T249">
            <v>4806</v>
          </cell>
          <cell r="U249">
            <v>4836</v>
          </cell>
          <cell r="V249">
            <v>4837</v>
          </cell>
          <cell r="W249">
            <v>4931</v>
          </cell>
          <cell r="X249">
            <v>6980</v>
          </cell>
          <cell r="Y249">
            <v>8678</v>
          </cell>
          <cell r="Z249">
            <v>8523.9117921820616</v>
          </cell>
          <cell r="AA249">
            <v>8458</v>
          </cell>
          <cell r="AB249">
            <v>8163</v>
          </cell>
          <cell r="AC249">
            <v>8260</v>
          </cell>
          <cell r="AD249">
            <v>8281</v>
          </cell>
          <cell r="AE249">
            <v>8516.1531222989761</v>
          </cell>
          <cell r="AF249">
            <v>8646.9343212599488</v>
          </cell>
          <cell r="AG249">
            <v>8785.6287497368903</v>
          </cell>
          <cell r="AH249">
            <v>8848.4226499075667</v>
          </cell>
          <cell r="AI249">
            <v>8908.3907424642257</v>
          </cell>
          <cell r="AJ249">
            <v>8968.67335460703</v>
          </cell>
          <cell r="AK249">
            <v>9029.2707799184409</v>
          </cell>
          <cell r="AL249">
            <v>9090.1832864006192</v>
          </cell>
          <cell r="AN249" t="str">
            <v>Consolidated Stores Monthly Sales ($)</v>
          </cell>
          <cell r="EL249" t="str">
            <v>Consolidated Stores Monthly Sales ($)</v>
          </cell>
          <cell r="EU249">
            <v>356</v>
          </cell>
        </row>
        <row r="250">
          <cell r="A250" t="str">
            <v>SG&amp;A Ratio</v>
          </cell>
          <cell r="N250">
            <v>0.33618448063500755</v>
          </cell>
          <cell r="O250">
            <v>0.33182768152093306</v>
          </cell>
          <cell r="P250">
            <v>0.30742444152431014</v>
          </cell>
          <cell r="Q250">
            <v>0.30536934591604298</v>
          </cell>
          <cell r="R250">
            <v>0.29696175681577142</v>
          </cell>
          <cell r="S250">
            <v>0.29522779180189929</v>
          </cell>
          <cell r="T250">
            <v>0.30446626544187522</v>
          </cell>
          <cell r="U250">
            <v>0.31057735534005521</v>
          </cell>
          <cell r="V250">
            <v>0.31384635349078638</v>
          </cell>
          <cell r="W250">
            <v>0.31256338742393508</v>
          </cell>
          <cell r="X250">
            <v>0.311746315319339</v>
          </cell>
          <cell r="Y250">
            <v>0.32176492398961809</v>
          </cell>
          <cell r="Z250">
            <v>0.32394298605944066</v>
          </cell>
          <cell r="AA250">
            <v>0.33978788365739998</v>
          </cell>
          <cell r="AB250">
            <v>0.34149096385542171</v>
          </cell>
          <cell r="AC250">
            <v>0.33036035675718911</v>
          </cell>
          <cell r="AD250">
            <v>0.31361484567316794</v>
          </cell>
          <cell r="AE250">
            <v>0.31039826410036436</v>
          </cell>
          <cell r="AF250">
            <v>0.31539826410036437</v>
          </cell>
          <cell r="AG250">
            <v>0.31439826410036437</v>
          </cell>
          <cell r="AH250">
            <v>0.31339826410036437</v>
          </cell>
          <cell r="AI250">
            <v>0.31239826410036436</v>
          </cell>
          <cell r="AJ250">
            <v>0.31139826410036436</v>
          </cell>
          <cell r="AK250">
            <v>0.31039826410036436</v>
          </cell>
          <cell r="AL250">
            <v>0.30939826410036436</v>
          </cell>
          <cell r="AN250" t="str">
            <v>Month 1</v>
          </cell>
          <cell r="EL250" t="str">
            <v>Month 1</v>
          </cell>
          <cell r="ER250">
            <v>1800</v>
          </cell>
          <cell r="ES250">
            <v>2026</v>
          </cell>
          <cell r="ET250">
            <v>1727</v>
          </cell>
          <cell r="EU250">
            <v>2385</v>
          </cell>
          <cell r="EX250">
            <v>1802</v>
          </cell>
          <cell r="EY250">
            <v>1976</v>
          </cell>
          <cell r="EZ250">
            <v>1788</v>
          </cell>
          <cell r="FA250">
            <v>2707</v>
          </cell>
          <cell r="FD250">
            <v>1737</v>
          </cell>
          <cell r="FE250">
            <v>1926</v>
          </cell>
          <cell r="FF250">
            <v>1686</v>
          </cell>
          <cell r="FG250">
            <v>2324</v>
          </cell>
          <cell r="FJ250">
            <v>1602.5975291456411</v>
          </cell>
          <cell r="FK250">
            <v>1783.7565582371458</v>
          </cell>
          <cell r="FL250">
            <v>1576.1490988530857</v>
          </cell>
          <cell r="FM250">
            <v>2202.7766574237457</v>
          </cell>
          <cell r="FP250">
            <v>1667</v>
          </cell>
          <cell r="FQ250">
            <v>1789</v>
          </cell>
          <cell r="FR250">
            <v>1638</v>
          </cell>
          <cell r="FS250">
            <v>2341</v>
          </cell>
          <cell r="FV250">
            <v>1763</v>
          </cell>
          <cell r="FW250">
            <v>1937</v>
          </cell>
          <cell r="FX250">
            <v>1714</v>
          </cell>
          <cell r="FY250">
            <v>2465</v>
          </cell>
          <cell r="GB250">
            <v>1860</v>
          </cell>
          <cell r="GC250">
            <v>2015</v>
          </cell>
          <cell r="GD250">
            <v>1812</v>
          </cell>
          <cell r="GE250">
            <v>2588.4099701374939</v>
          </cell>
        </row>
        <row r="251">
          <cell r="A251" t="str">
            <v>Y/Y ∆ SG&amp;A Ratio (bps)</v>
          </cell>
          <cell r="O251">
            <v>-43.567991140744944</v>
          </cell>
          <cell r="P251">
            <v>-244.03239996622915</v>
          </cell>
          <cell r="Q251">
            <v>-20.550956082671657</v>
          </cell>
          <cell r="R251">
            <v>-84.075891002715622</v>
          </cell>
          <cell r="S251">
            <v>-17.339650138721296</v>
          </cell>
          <cell r="T251">
            <v>92.384736399759305</v>
          </cell>
          <cell r="U251">
            <v>61.110898981799892</v>
          </cell>
          <cell r="V251">
            <v>32.689981507311728</v>
          </cell>
          <cell r="W251">
            <v>-12.829660668512988</v>
          </cell>
          <cell r="X251">
            <v>-8.170721045960839</v>
          </cell>
          <cell r="Y251">
            <v>100.18608670279094</v>
          </cell>
          <cell r="Z251">
            <v>21.780620698225729</v>
          </cell>
          <cell r="AA251">
            <v>158.44897597959317</v>
          </cell>
          <cell r="AB251">
            <v>17.030801980217337</v>
          </cell>
          <cell r="AC251">
            <v>-111.30607098232603</v>
          </cell>
          <cell r="AD251">
            <v>-167.45511084021169</v>
          </cell>
          <cell r="AE251">
            <v>-32.165815728035781</v>
          </cell>
          <cell r="AF251">
            <v>50</v>
          </cell>
          <cell r="AG251">
            <v>-10</v>
          </cell>
          <cell r="AH251">
            <v>-10</v>
          </cell>
          <cell r="AI251">
            <v>-10</v>
          </cell>
          <cell r="AJ251">
            <v>-10</v>
          </cell>
          <cell r="AK251">
            <v>-10</v>
          </cell>
          <cell r="AL251">
            <v>-10</v>
          </cell>
          <cell r="AN251" t="str">
            <v>Month 2</v>
          </cell>
          <cell r="EL251" t="str">
            <v>Month 2</v>
          </cell>
          <cell r="ER251">
            <v>2255</v>
          </cell>
          <cell r="ES251">
            <v>2367</v>
          </cell>
          <cell r="ET251">
            <v>2303</v>
          </cell>
          <cell r="EU251">
            <v>4997</v>
          </cell>
          <cell r="EX251">
            <v>2288</v>
          </cell>
          <cell r="EY251">
            <v>2321</v>
          </cell>
          <cell r="EZ251">
            <v>2274</v>
          </cell>
          <cell r="FA251">
            <v>4624</v>
          </cell>
          <cell r="FD251">
            <v>2142</v>
          </cell>
          <cell r="FE251">
            <v>2249</v>
          </cell>
          <cell r="FF251">
            <v>2093</v>
          </cell>
          <cell r="FG251">
            <v>4397</v>
          </cell>
          <cell r="FJ251">
            <v>1963.7990255785628</v>
          </cell>
          <cell r="FK251">
            <v>2092.5916404337181</v>
          </cell>
          <cell r="FL251">
            <v>2084.1512834516657</v>
          </cell>
          <cell r="FM251">
            <v>4474.7693471136881</v>
          </cell>
          <cell r="FP251">
            <v>2172</v>
          </cell>
          <cell r="FQ251">
            <v>2229</v>
          </cell>
          <cell r="FR251">
            <v>2181</v>
          </cell>
          <cell r="FS251">
            <v>4619</v>
          </cell>
          <cell r="FV251">
            <v>2206</v>
          </cell>
          <cell r="FW251">
            <v>2392</v>
          </cell>
          <cell r="FX251">
            <v>2298</v>
          </cell>
          <cell r="FY251">
            <v>4925</v>
          </cell>
          <cell r="GB251">
            <v>2358</v>
          </cell>
          <cell r="GC251">
            <v>2412</v>
          </cell>
          <cell r="GD251">
            <v>2384.7396820310178</v>
          </cell>
          <cell r="GE251">
            <v>5171.5696157919501</v>
          </cell>
        </row>
        <row r="252">
          <cell r="A252" t="str">
            <v>Operating Income</v>
          </cell>
          <cell r="N252">
            <v>663</v>
          </cell>
          <cell r="O252">
            <v>893</v>
          </cell>
          <cell r="P252">
            <v>1341</v>
          </cell>
          <cell r="Q252">
            <v>1455</v>
          </cell>
          <cell r="R252">
            <v>1693</v>
          </cell>
          <cell r="S252">
            <v>1771</v>
          </cell>
          <cell r="T252">
            <v>1376</v>
          </cell>
          <cell r="U252">
            <v>1411</v>
          </cell>
          <cell r="V252">
            <v>1400</v>
          </cell>
          <cell r="W252">
            <v>1499</v>
          </cell>
          <cell r="X252">
            <v>2138</v>
          </cell>
          <cell r="Y252">
            <v>2273</v>
          </cell>
          <cell r="Z252">
            <v>2006.1943683158097</v>
          </cell>
          <cell r="AA252">
            <v>1425</v>
          </cell>
          <cell r="AB252">
            <v>1463</v>
          </cell>
          <cell r="AC252">
            <v>1919</v>
          </cell>
          <cell r="AD252">
            <v>2386</v>
          </cell>
          <cell r="AE252">
            <v>2548.7174594129283</v>
          </cell>
          <cell r="AF252">
            <v>2382.3369339216879</v>
          </cell>
          <cell r="AG252">
            <v>2498.1086124490248</v>
          </cell>
          <cell r="AH252">
            <v>2523.9914579697488</v>
          </cell>
          <cell r="AI252">
            <v>2520.715238607032</v>
          </cell>
          <cell r="AJ252">
            <v>2574.7236862749414</v>
          </cell>
          <cell r="AK252">
            <v>2629.5602313723502</v>
          </cell>
          <cell r="AL252">
            <v>2685.2360350030795</v>
          </cell>
          <cell r="AN252" t="str">
            <v>Month 3</v>
          </cell>
          <cell r="EL252" t="str">
            <v>Month 3</v>
          </cell>
          <cell r="ER252">
            <v>1878</v>
          </cell>
          <cell r="ES252">
            <v>1608</v>
          </cell>
          <cell r="ET252">
            <v>1863</v>
          </cell>
          <cell r="EU252">
            <v>1780</v>
          </cell>
          <cell r="EX252">
            <v>1837</v>
          </cell>
          <cell r="EY252">
            <v>1602</v>
          </cell>
          <cell r="EZ252">
            <v>1849</v>
          </cell>
          <cell r="FA252">
            <v>1273</v>
          </cell>
          <cell r="FD252">
            <v>1868</v>
          </cell>
          <cell r="FE252">
            <v>1543</v>
          </cell>
          <cell r="FF252">
            <v>1714</v>
          </cell>
          <cell r="FG252">
            <v>1213</v>
          </cell>
          <cell r="FJ252">
            <v>1720.603445275796</v>
          </cell>
          <cell r="FK252">
            <v>1409.6518013291361</v>
          </cell>
          <cell r="FL252">
            <v>1725.6996176952484</v>
          </cell>
          <cell r="FM252">
            <v>1268.4539954625661</v>
          </cell>
          <cell r="FP252">
            <v>1739</v>
          </cell>
          <cell r="FQ252">
            <v>1528</v>
          </cell>
          <cell r="FR252">
            <v>1806</v>
          </cell>
          <cell r="FS252">
            <v>1310</v>
          </cell>
          <cell r="FV252">
            <v>1920</v>
          </cell>
          <cell r="FW252">
            <v>1612</v>
          </cell>
          <cell r="FX252">
            <v>1842</v>
          </cell>
          <cell r="FY252">
            <v>1336</v>
          </cell>
          <cell r="GB252">
            <v>1928</v>
          </cell>
          <cell r="GC252">
            <v>1693</v>
          </cell>
          <cell r="GD252">
            <v>1954.7377926421409</v>
          </cell>
          <cell r="GE252">
            <v>1786.9703975101447</v>
          </cell>
        </row>
        <row r="253">
          <cell r="A253" t="str">
            <v>Operating Margin</v>
          </cell>
          <cell r="N253">
            <v>4.5367455864239771E-2</v>
          </cell>
          <cell r="O253">
            <v>6.0203600080900692E-2</v>
          </cell>
          <cell r="P253">
            <v>8.8107752956636004E-2</v>
          </cell>
          <cell r="Q253">
            <v>9.4695737064757562E-2</v>
          </cell>
          <cell r="R253">
            <v>0.10562106182544138</v>
          </cell>
          <cell r="S253">
            <v>0.10644308210121409</v>
          </cell>
          <cell r="T253">
            <v>8.7171365220145708E-2</v>
          </cell>
          <cell r="U253">
            <v>9.0617172949714206E-2</v>
          </cell>
          <cell r="V253">
            <v>9.0838307812094468E-2</v>
          </cell>
          <cell r="W253">
            <v>9.5017748478701827E-2</v>
          </cell>
          <cell r="X253">
            <v>9.5489057615006701E-2</v>
          </cell>
          <cell r="Y253">
            <v>8.4278828327771602E-2</v>
          </cell>
          <cell r="Z253">
            <v>7.6243467803587955E-2</v>
          </cell>
          <cell r="AA253">
            <v>5.7247308372167766E-2</v>
          </cell>
          <cell r="AB253">
            <v>6.1203145917001336E-2</v>
          </cell>
          <cell r="AC253">
            <v>7.6750789905211378E-2</v>
          </cell>
          <cell r="AD253">
            <v>9.0361673925392919E-2</v>
          </cell>
          <cell r="AE253">
            <v>9.2896107400015596E-2</v>
          </cell>
          <cell r="AF253">
            <v>8.6896107400015535E-2</v>
          </cell>
          <cell r="AG253">
            <v>8.9396107400015537E-2</v>
          </cell>
          <cell r="AH253">
            <v>8.9396107400015551E-2</v>
          </cell>
          <cell r="AI253">
            <v>8.8396107400015606E-2</v>
          </cell>
          <cell r="AJ253">
            <v>8.9396107400015565E-2</v>
          </cell>
          <cell r="AK253">
            <v>9.0396107400015593E-2</v>
          </cell>
          <cell r="AL253">
            <v>9.1396107400015622E-2</v>
          </cell>
          <cell r="AN253" t="str">
            <v>Total</v>
          </cell>
          <cell r="EL253" t="str">
            <v>Total</v>
          </cell>
          <cell r="ER253">
            <v>5930</v>
          </cell>
          <cell r="ES253">
            <v>5995</v>
          </cell>
          <cell r="ET253">
            <v>5886</v>
          </cell>
          <cell r="EU253">
            <v>9159</v>
          </cell>
          <cell r="EV253">
            <v>26970</v>
          </cell>
          <cell r="EX253">
            <v>5921</v>
          </cell>
          <cell r="EY253">
            <v>5892</v>
          </cell>
          <cell r="EZ253">
            <v>5906</v>
          </cell>
          <cell r="FA253">
            <v>8594</v>
          </cell>
          <cell r="FB253">
            <v>26313</v>
          </cell>
          <cell r="FD253">
            <v>5747</v>
          </cell>
          <cell r="FE253">
            <v>5718</v>
          </cell>
          <cell r="FF253">
            <v>5493</v>
          </cell>
          <cell r="FG253">
            <v>7934</v>
          </cell>
          <cell r="FH253">
            <v>24892</v>
          </cell>
          <cell r="FJ253">
            <v>5288</v>
          </cell>
          <cell r="FK253">
            <v>5285</v>
          </cell>
          <cell r="FL253">
            <v>5385</v>
          </cell>
          <cell r="FM253">
            <v>7946</v>
          </cell>
          <cell r="FN253">
            <v>23904</v>
          </cell>
          <cell r="FP253">
            <v>5574</v>
          </cell>
          <cell r="FQ253">
            <v>5537</v>
          </cell>
          <cell r="FR253">
            <v>5623</v>
          </cell>
          <cell r="FS253">
            <v>8269</v>
          </cell>
          <cell r="FT253">
            <v>25003</v>
          </cell>
          <cell r="FV253">
            <v>5889</v>
          </cell>
          <cell r="FW253">
            <v>5939</v>
          </cell>
          <cell r="FX253">
            <v>5853</v>
          </cell>
          <cell r="FY253">
            <v>8724</v>
          </cell>
          <cell r="FZ253">
            <v>26405</v>
          </cell>
          <cell r="GB253">
            <v>6143</v>
          </cell>
          <cell r="GC253">
            <v>6118</v>
          </cell>
          <cell r="GD253">
            <v>6151.4774746731582</v>
          </cell>
          <cell r="GE253">
            <v>9546.9499834395901</v>
          </cell>
          <cell r="GF253">
            <v>27959.427458112747</v>
          </cell>
        </row>
        <row r="254">
          <cell r="A254" t="str">
            <v>Y/Y ∆ Operating Margin (bps)</v>
          </cell>
          <cell r="O254">
            <v>148.36144216660921</v>
          </cell>
          <cell r="P254">
            <v>279.04152875735315</v>
          </cell>
          <cell r="Q254">
            <v>65.879841081215588</v>
          </cell>
          <cell r="R254">
            <v>109.25324760683822</v>
          </cell>
          <cell r="S254">
            <v>8.22020275772703</v>
          </cell>
          <cell r="T254">
            <v>-192.7171688106838</v>
          </cell>
          <cell r="U254">
            <v>34.45807729568498</v>
          </cell>
          <cell r="V254">
            <v>2.2113486238026225</v>
          </cell>
          <cell r="W254">
            <v>41.794406666073591</v>
          </cell>
          <cell r="X254">
            <v>4.7130913630487328</v>
          </cell>
          <cell r="Y254">
            <v>-112.10229287235099</v>
          </cell>
          <cell r="Z254">
            <v>-80.353605241836462</v>
          </cell>
          <cell r="AA254">
            <v>-189.9615943142019</v>
          </cell>
          <cell r="AB254">
            <v>39.55837544833571</v>
          </cell>
          <cell r="AC254">
            <v>155.47643988210041</v>
          </cell>
          <cell r="AD254">
            <v>136.10884020181541</v>
          </cell>
          <cell r="AE254">
            <v>25.344334746226771</v>
          </cell>
          <cell r="AF254">
            <v>-60.000000000000611</v>
          </cell>
          <cell r="AG254">
            <v>25.000000000000021</v>
          </cell>
          <cell r="AH254">
            <v>1.3877787807814457E-13</v>
          </cell>
          <cell r="AI254">
            <v>-9.9999999999994529</v>
          </cell>
          <cell r="AJ254">
            <v>9.9999999999995932</v>
          </cell>
          <cell r="AK254">
            <v>10.000000000000286</v>
          </cell>
          <cell r="AL254">
            <v>10.000000000000286</v>
          </cell>
        </row>
        <row r="255">
          <cell r="AN255" t="str">
            <v xml:space="preserve">Consolidated Monthly Comps </v>
          </cell>
          <cell r="EL255" t="str">
            <v xml:space="preserve">Consolidated Monthly Comps </v>
          </cell>
        </row>
        <row r="256">
          <cell r="A256" t="str">
            <v>Assumptions Spreads</v>
          </cell>
          <cell r="N256">
            <v>1995</v>
          </cell>
          <cell r="O256">
            <v>1996</v>
          </cell>
          <cell r="P256">
            <v>1997</v>
          </cell>
          <cell r="Q256">
            <v>1998</v>
          </cell>
          <cell r="R256">
            <v>1999</v>
          </cell>
          <cell r="S256">
            <v>2000</v>
          </cell>
          <cell r="T256">
            <v>2001</v>
          </cell>
          <cell r="U256">
            <v>2002</v>
          </cell>
          <cell r="V256">
            <v>2003</v>
          </cell>
          <cell r="W256">
            <v>2004</v>
          </cell>
          <cell r="X256">
            <v>2005</v>
          </cell>
          <cell r="Y256">
            <v>2006</v>
          </cell>
          <cell r="Z256">
            <v>2007</v>
          </cell>
          <cell r="AA256">
            <v>2008</v>
          </cell>
          <cell r="AB256">
            <v>2009</v>
          </cell>
          <cell r="AC256">
            <v>2010</v>
          </cell>
          <cell r="AD256">
            <v>2011</v>
          </cell>
          <cell r="AE256" t="str">
            <v>2012E</v>
          </cell>
          <cell r="AF256" t="str">
            <v>2013E</v>
          </cell>
          <cell r="AG256" t="str">
            <v>2014E</v>
          </cell>
          <cell r="AH256" t="str">
            <v>2015E</v>
          </cell>
          <cell r="AI256" t="str">
            <v>2016E</v>
          </cell>
          <cell r="AJ256" t="str">
            <v>2017E</v>
          </cell>
          <cell r="AK256" t="str">
            <v>2018E</v>
          </cell>
          <cell r="AL256" t="str">
            <v>2019E</v>
          </cell>
          <cell r="AN256" t="str">
            <v>Month 1</v>
          </cell>
          <cell r="EL256" t="str">
            <v>Month 1</v>
          </cell>
          <cell r="ER256">
            <v>0.01</v>
          </cell>
          <cell r="ES256">
            <v>9.1999999999999998E-2</v>
          </cell>
          <cell r="ET256">
            <v>3.7999999999999999E-2</v>
          </cell>
          <cell r="EU256">
            <v>8.5000000000000006E-2</v>
          </cell>
          <cell r="EX256">
            <v>1.2E-2</v>
          </cell>
          <cell r="EY256">
            <v>-3.3000000000000002E-2</v>
          </cell>
          <cell r="EZ256">
            <v>2.4E-2</v>
          </cell>
          <cell r="FA256">
            <v>0.13400000000000001</v>
          </cell>
          <cell r="FD256">
            <v>-3.5000000000000003E-2</v>
          </cell>
          <cell r="FE256">
            <v>-1.4999999999999999E-2</v>
          </cell>
          <cell r="FF256">
            <v>-4.8000000000000001E-2</v>
          </cell>
          <cell r="FG256">
            <v>-0.13300000000000001</v>
          </cell>
          <cell r="FJ256">
            <v>-8.5000000000000006E-2</v>
          </cell>
          <cell r="FK256">
            <v>-9.0999999999999998E-2</v>
          </cell>
          <cell r="FL256">
            <v>-8.1000000000000003E-2</v>
          </cell>
          <cell r="FM256">
            <v>-6.0999999999999999E-2</v>
          </cell>
          <cell r="FP256">
            <v>3.6999999999999998E-2</v>
          </cell>
          <cell r="FQ256">
            <v>1.4E-2</v>
          </cell>
          <cell r="FR256">
            <v>4.2999999999999997E-2</v>
          </cell>
          <cell r="FS256">
            <v>6.0999999999999999E-2</v>
          </cell>
          <cell r="FV256">
            <v>5.8000000000000003E-2</v>
          </cell>
          <cell r="FW256">
            <v>7.3999999999999996E-2</v>
          </cell>
          <cell r="FX256">
            <v>0.05</v>
          </cell>
          <cell r="FY256">
            <v>4.8000000000000001E-2</v>
          </cell>
          <cell r="GB256">
            <v>4.5999999999999999E-2</v>
          </cell>
          <cell r="GC256">
            <v>4.2000000000000003E-2</v>
          </cell>
          <cell r="GD256">
            <v>5.0999999999999997E-2</v>
          </cell>
          <cell r="GE256">
            <v>0.06</v>
          </cell>
        </row>
        <row r="257">
          <cell r="A257" t="str">
            <v>Bull Case Assumptions</v>
          </cell>
          <cell r="AN257" t="str">
            <v>Month 2</v>
          </cell>
          <cell r="EL257" t="str">
            <v>Month 2</v>
          </cell>
          <cell r="ER257">
            <v>0</v>
          </cell>
          <cell r="ES257">
            <v>1.7000000000000001E-2</v>
          </cell>
          <cell r="ET257">
            <v>6.5000000000000002E-2</v>
          </cell>
          <cell r="EU257">
            <v>4.3999999999999997E-2</v>
          </cell>
          <cell r="EX257">
            <v>2.3E-2</v>
          </cell>
          <cell r="EY257">
            <v>-2.7E-2</v>
          </cell>
          <cell r="EZ257">
            <v>-2.7E-2</v>
          </cell>
          <cell r="FA257">
            <v>-7.9000000000000001E-2</v>
          </cell>
          <cell r="FD257">
            <v>-6.2E-2</v>
          </cell>
          <cell r="FE257">
            <v>-2.1000000000000001E-2</v>
          </cell>
          <cell r="FF257">
            <v>-6.6000000000000003E-2</v>
          </cell>
          <cell r="FG257">
            <v>-0.04</v>
          </cell>
          <cell r="FJ257">
            <v>-9.1999999999999998E-2</v>
          </cell>
          <cell r="FK257">
            <v>-8.8999999999999996E-2</v>
          </cell>
          <cell r="FL257">
            <v>-2.3E-2</v>
          </cell>
          <cell r="FM257">
            <v>0.01</v>
          </cell>
          <cell r="FP257">
            <v>0.10800000000000001</v>
          </cell>
          <cell r="FQ257">
            <v>6.5000000000000002E-2</v>
          </cell>
          <cell r="FR257">
            <v>4.8000000000000001E-2</v>
          </cell>
          <cell r="FS257">
            <v>3.9E-2</v>
          </cell>
          <cell r="FV257">
            <v>8.9999999999999993E-3</v>
          </cell>
          <cell r="FW257">
            <v>6.7000000000000004E-2</v>
          </cell>
          <cell r="FX257">
            <v>4.9000000000000002E-2</v>
          </cell>
          <cell r="FY257">
            <v>6.2E-2</v>
          </cell>
          <cell r="GB257">
            <v>7.2999999999999995E-2</v>
          </cell>
          <cell r="GC257">
            <v>1.2E-2</v>
          </cell>
          <cell r="GD257">
            <v>0.05</v>
          </cell>
          <cell r="GE257">
            <v>0.06</v>
          </cell>
        </row>
        <row r="258">
          <cell r="A258" t="str">
            <v>Same Store</v>
          </cell>
          <cell r="AF258">
            <v>0.04</v>
          </cell>
          <cell r="AN258" t="str">
            <v>Month 3</v>
          </cell>
          <cell r="EL258" t="str">
            <v>Month 3</v>
          </cell>
          <cell r="ER258">
            <v>-8.0000000000000002E-3</v>
          </cell>
          <cell r="ES258">
            <v>3.3000000000000002E-2</v>
          </cell>
          <cell r="ET258">
            <v>7.6999999999999999E-2</v>
          </cell>
          <cell r="EU258">
            <v>8.5999999999999993E-2</v>
          </cell>
          <cell r="EX258">
            <v>-2.1999999999999999E-2</v>
          </cell>
          <cell r="EY258">
            <v>-1.4E-2</v>
          </cell>
          <cell r="EZ258">
            <v>-1.4999999999999999E-2</v>
          </cell>
          <cell r="FA258">
            <v>-7.0999999999999994E-2</v>
          </cell>
          <cell r="FD258">
            <v>0.03</v>
          </cell>
          <cell r="FE258">
            <v>-2.9000000000000001E-2</v>
          </cell>
          <cell r="FF258">
            <v>-6.3E-2</v>
          </cell>
          <cell r="FG258">
            <v>-4.4999999999999998E-2</v>
          </cell>
          <cell r="FJ258">
            <v>-9.0999999999999998E-2</v>
          </cell>
          <cell r="FK258">
            <v>-0.107</v>
          </cell>
          <cell r="FL258">
            <v>-8.0000000000000002E-3</v>
          </cell>
          <cell r="FM258">
            <v>3.4000000000000002E-2</v>
          </cell>
          <cell r="FP258">
            <v>1.0999999999999999E-2</v>
          </cell>
          <cell r="FQ258">
            <v>7.2999999999999995E-2</v>
          </cell>
          <cell r="FR258">
            <v>2.5000000000000001E-2</v>
          </cell>
          <cell r="FS258">
            <v>2.5999999999999999E-2</v>
          </cell>
          <cell r="FV258">
            <v>0.108</v>
          </cell>
          <cell r="FW258">
            <v>0.05</v>
          </cell>
          <cell r="FX258">
            <v>2.1999999999999999E-2</v>
          </cell>
          <cell r="FY258">
            <v>2.4E-2</v>
          </cell>
          <cell r="GB258">
            <v>1.2E-2</v>
          </cell>
          <cell r="GC258">
            <v>4.1000000000000002E-2</v>
          </cell>
          <cell r="GD258">
            <v>7.4999999999999997E-2</v>
          </cell>
          <cell r="GE258">
            <v>7.0000000000000007E-2</v>
          </cell>
        </row>
        <row r="259">
          <cell r="A259" t="str">
            <v>Y/Y ∆ Gross Margin (bps)</v>
          </cell>
          <cell r="AF259">
            <v>50</v>
          </cell>
          <cell r="AN259" t="str">
            <v>Total</v>
          </cell>
          <cell r="EL259" t="str">
            <v>Total</v>
          </cell>
          <cell r="ER259">
            <v>0</v>
          </cell>
          <cell r="ES259">
            <v>4.5999999999999999E-2</v>
          </cell>
          <cell r="ET259">
            <v>5.8999999999999997E-2</v>
          </cell>
          <cell r="EU259">
            <v>6.0999999999999999E-2</v>
          </cell>
          <cell r="EV259">
            <v>4.3999999999999997E-2</v>
          </cell>
          <cell r="EX259">
            <v>6.0000000000000001E-3</v>
          </cell>
          <cell r="EY259">
            <v>-2.5999999999999999E-2</v>
          </cell>
          <cell r="EZ259">
            <v>-8.0000000000000002E-3</v>
          </cell>
          <cell r="FA259">
            <v>-0.02</v>
          </cell>
          <cell r="FB259">
            <v>-1.2999999999999999E-2</v>
          </cell>
          <cell r="FD259">
            <v>-2.5999999999999999E-2</v>
          </cell>
          <cell r="FE259">
            <v>-2.1000000000000001E-2</v>
          </cell>
          <cell r="FF259">
            <v>-0.06</v>
          </cell>
          <cell r="FG259">
            <v>-7.0000000000000007E-2</v>
          </cell>
          <cell r="FH259">
            <v>-4.4999999999999998E-2</v>
          </cell>
          <cell r="FJ259">
            <v>-0.09</v>
          </cell>
          <cell r="FK259">
            <v>-9.5000000000000001E-2</v>
          </cell>
          <cell r="FL259">
            <v>-3.5999999999999997E-2</v>
          </cell>
          <cell r="FM259">
            <v>-5.8512769677805648E-3</v>
          </cell>
          <cell r="FN259">
            <v>-5.0968425652024113E-2</v>
          </cell>
          <cell r="FP259">
            <v>5.5E-2</v>
          </cell>
          <cell r="FQ259">
            <v>4.9000000000000002E-2</v>
          </cell>
          <cell r="FR259">
            <v>3.9E-2</v>
          </cell>
          <cell r="FS259">
            <v>4.2999999999999997E-2</v>
          </cell>
          <cell r="FT259">
            <v>4.610434747830261E-2</v>
          </cell>
          <cell r="FV259">
            <v>5.3999999999999999E-2</v>
          </cell>
          <cell r="FW259">
            <v>6.4000000000000001E-2</v>
          </cell>
          <cell r="FX259">
            <v>0.04</v>
          </cell>
          <cell r="FY259">
            <v>5.1999999999999998E-2</v>
          </cell>
          <cell r="FZ259">
            <v>5.2999999999999999E-2</v>
          </cell>
          <cell r="GB259">
            <v>4.3999999999999997E-2</v>
          </cell>
          <cell r="GC259">
            <v>0.03</v>
          </cell>
          <cell r="GD259">
            <v>5.8238743460366213E-2</v>
          </cell>
          <cell r="GE259">
            <v>6.1871770985089329E-2</v>
          </cell>
          <cell r="GF259">
            <v>5.0171736300135057E-2</v>
          </cell>
        </row>
        <row r="260">
          <cell r="A260" t="str">
            <v>Y/Y ∆ SG&amp;A Ratio (bps)</v>
          </cell>
          <cell r="AF260">
            <v>-35</v>
          </cell>
        </row>
        <row r="261">
          <cell r="A261" t="str">
            <v>Bear Case Assumptions</v>
          </cell>
          <cell r="AN261" t="str">
            <v xml:space="preserve">Consolidated Productivity Factor </v>
          </cell>
          <cell r="EL261" t="str">
            <v xml:space="preserve">Consolidated Productivity Factor </v>
          </cell>
        </row>
        <row r="262">
          <cell r="A262" t="str">
            <v>Same Store</v>
          </cell>
          <cell r="AF262">
            <v>-2.5000000000000001E-2</v>
          </cell>
          <cell r="AN262" t="str">
            <v>Month 1</v>
          </cell>
          <cell r="EL262" t="str">
            <v>Month 1</v>
          </cell>
          <cell r="ER262">
            <v>0.85379589916801657</v>
          </cell>
          <cell r="ES262">
            <v>0.82852877251430668</v>
          </cell>
          <cell r="ET262">
            <v>0.83475030563790842</v>
          </cell>
          <cell r="EU262">
            <v>0.91480422703367681</v>
          </cell>
          <cell r="EX262">
            <v>1.0042251017232908</v>
          </cell>
          <cell r="EY262">
            <v>1.0108075527611304</v>
          </cell>
          <cell r="EZ262">
            <v>1.0032705612197608</v>
          </cell>
          <cell r="FA262">
            <v>0.99617129302855612</v>
          </cell>
          <cell r="FD262">
            <v>1.0047260256693704</v>
          </cell>
          <cell r="FE262">
            <v>1.0011731147187122</v>
          </cell>
          <cell r="FF262">
            <v>1.0015681684828099</v>
          </cell>
          <cell r="FG262">
            <v>0.9980273685296247</v>
          </cell>
          <cell r="FJ262">
            <v>1.0146680194879518</v>
          </cell>
          <cell r="FK262">
            <v>1.0229325701507319</v>
          </cell>
          <cell r="FL262">
            <v>1.0237530410429481</v>
          </cell>
          <cell r="FM262">
            <v>1.0168796021749338</v>
          </cell>
          <cell r="FP262">
            <v>1.0016060228776302</v>
          </cell>
          <cell r="FQ262">
            <v>0.98881215735067063</v>
          </cell>
          <cell r="FR262">
            <v>1.0007452413933455</v>
          </cell>
          <cell r="FS262">
            <v>1.0028115913956974</v>
          </cell>
          <cell r="FV262">
            <v>1.0005096291516782</v>
          </cell>
          <cell r="FW262">
            <v>1.0081721608307339</v>
          </cell>
          <cell r="FX262">
            <v>0.99435769750356207</v>
          </cell>
          <cell r="FY262">
            <v>1.0114048185081832</v>
          </cell>
          <cell r="GB262">
            <v>1.0253009585429893</v>
          </cell>
          <cell r="GC262">
            <v>1.0133052611979987</v>
          </cell>
          <cell r="GD262">
            <v>1.018088666893139</v>
          </cell>
          <cell r="GE262">
            <v>1</v>
          </cell>
        </row>
        <row r="263">
          <cell r="A263" t="str">
            <v>Y/Y ∆ Gross Margin (bps)</v>
          </cell>
          <cell r="AF263">
            <v>-40</v>
          </cell>
          <cell r="AN263" t="str">
            <v>Month 2</v>
          </cell>
          <cell r="EL263" t="str">
            <v>Month 2</v>
          </cell>
          <cell r="ER263">
            <v>0.87143545576033965</v>
          </cell>
          <cell r="ES263">
            <v>0.86259214604526391</v>
          </cell>
          <cell r="ET263">
            <v>0.95476655228407081</v>
          </cell>
          <cell r="EU263">
            <v>0.95390310394604827</v>
          </cell>
          <cell r="EX263">
            <v>0.99756383077735888</v>
          </cell>
          <cell r="EY263">
            <v>1.0076309712339664</v>
          </cell>
          <cell r="EZ263">
            <v>1.0058439901456568</v>
          </cell>
          <cell r="FA263">
            <v>1.0104925603418453</v>
          </cell>
          <cell r="FD263">
            <v>1.0038919718017412</v>
          </cell>
          <cell r="FE263">
            <v>1.0002262623646179</v>
          </cell>
          <cell r="FF263">
            <v>1.0022779610885877</v>
          </cell>
          <cell r="FG263">
            <v>0.98797059201406712</v>
          </cell>
          <cell r="FJ263">
            <v>1.0172356632303496</v>
          </cell>
          <cell r="FK263">
            <v>1.0266388149144143</v>
          </cell>
          <cell r="FL263">
            <v>1.0185440088098592</v>
          </cell>
          <cell r="FM263">
            <v>1.0150644106268683</v>
          </cell>
          <cell r="FP263">
            <v>0.9967530496300272</v>
          </cell>
          <cell r="FQ263">
            <v>0.99989171377441255</v>
          </cell>
          <cell r="FR263">
            <v>1.0028971230689774</v>
          </cell>
          <cell r="FS263">
            <v>0.9946391314592461</v>
          </cell>
          <cell r="FV263">
            <v>1.0074992903911262</v>
          </cell>
          <cell r="FW263">
            <v>1.0057878604073234</v>
          </cell>
          <cell r="FX263">
            <v>1.0057401642886414</v>
          </cell>
          <cell r="FY263">
            <v>1.0118477756232767</v>
          </cell>
          <cell r="GB263">
            <v>1.0102541230632647</v>
          </cell>
          <cell r="GC263">
            <v>1.011143062170935</v>
          </cell>
          <cell r="GD263">
            <v>1</v>
          </cell>
          <cell r="GE263">
            <v>1</v>
          </cell>
        </row>
        <row r="264">
          <cell r="A264" t="str">
            <v>Y/Y ∆ SG&amp;A Ratio (bps)</v>
          </cell>
          <cell r="AF264">
            <v>35</v>
          </cell>
          <cell r="AN264" t="str">
            <v>Month 3</v>
          </cell>
          <cell r="EL264" t="str">
            <v>Month 3</v>
          </cell>
          <cell r="ER264">
            <v>0.85509041472763314</v>
          </cell>
          <cell r="ES264">
            <v>0.83302342705472399</v>
          </cell>
          <cell r="ET264">
            <v>0.9300581404093593</v>
          </cell>
          <cell r="EU264">
            <v>0.88885616548937241</v>
          </cell>
          <cell r="EX264">
            <v>1.0012993536198342</v>
          </cell>
          <cell r="EY264">
            <v>1.0067406823426219</v>
          </cell>
          <cell r="EZ264">
            <v>1.0010354929971583</v>
          </cell>
          <cell r="FA264">
            <v>0.77697496531497701</v>
          </cell>
          <cell r="FD264">
            <v>0.99998610863561077</v>
          </cell>
          <cell r="FE264">
            <v>1.0000776716315167</v>
          </cell>
          <cell r="FF264">
            <v>1.0026881239876493</v>
          </cell>
          <cell r="FG264">
            <v>1.0034001517037674</v>
          </cell>
          <cell r="FJ264">
            <v>1.017274065207098</v>
          </cell>
          <cell r="FK264">
            <v>1.0307481774152398</v>
          </cell>
          <cell r="FL264">
            <v>1.0154616377110075</v>
          </cell>
          <cell r="FM264">
            <v>1.009307170702717</v>
          </cell>
          <cell r="FP264">
            <v>1.0005893323256754</v>
          </cell>
          <cell r="FQ264">
            <v>1.0111137394005785</v>
          </cell>
          <cell r="FR264">
            <v>1.0254628236300125</v>
          </cell>
          <cell r="FS264">
            <v>1.00775043725629</v>
          </cell>
          <cell r="FV264">
            <v>0.99618702023241001</v>
          </cell>
          <cell r="FW264">
            <v>1.0047825549823146</v>
          </cell>
          <cell r="FX264">
            <v>1.0004489851343907</v>
          </cell>
          <cell r="FY264">
            <v>1.008520012530175</v>
          </cell>
          <cell r="GB264">
            <v>1.0062765433093959</v>
          </cell>
          <cell r="GC264">
            <v>1.0227639737625074</v>
          </cell>
          <cell r="GD264">
            <v>1</v>
          </cell>
          <cell r="GE264">
            <v>1</v>
          </cell>
        </row>
        <row r="265">
          <cell r="AN265" t="str">
            <v>Total</v>
          </cell>
          <cell r="EL265" t="str">
            <v>Total</v>
          </cell>
        </row>
        <row r="267">
          <cell r="AN267" t="str">
            <v>Cost of Goods Sold</v>
          </cell>
          <cell r="EL267" t="str">
            <v>Cost of Goods Sold</v>
          </cell>
          <cell r="ER267">
            <v>3627</v>
          </cell>
          <cell r="ES267">
            <v>3470</v>
          </cell>
          <cell r="ET267">
            <v>3513</v>
          </cell>
          <cell r="EU267">
            <v>5409</v>
          </cell>
          <cell r="EV267">
            <v>16019</v>
          </cell>
          <cell r="EX267">
            <v>3564</v>
          </cell>
          <cell r="EY267">
            <v>3507</v>
          </cell>
          <cell r="EZ267">
            <v>3585</v>
          </cell>
          <cell r="FA267">
            <v>5021</v>
          </cell>
          <cell r="FB267">
            <v>15677</v>
          </cell>
          <cell r="FD267">
            <v>3527</v>
          </cell>
          <cell r="FE267">
            <v>3346</v>
          </cell>
          <cell r="FF267">
            <v>3324</v>
          </cell>
          <cell r="FG267">
            <v>4812</v>
          </cell>
          <cell r="FH267">
            <v>15009</v>
          </cell>
          <cell r="FJ267">
            <v>3279</v>
          </cell>
          <cell r="FK267">
            <v>3117</v>
          </cell>
          <cell r="FL267">
            <v>3241</v>
          </cell>
          <cell r="FM267">
            <v>4650</v>
          </cell>
          <cell r="FN267">
            <v>14287</v>
          </cell>
          <cell r="FP267">
            <v>3378</v>
          </cell>
          <cell r="FQ267">
            <v>3214</v>
          </cell>
          <cell r="FR267">
            <v>3377</v>
          </cell>
          <cell r="FS267">
            <v>4855</v>
          </cell>
          <cell r="FT267">
            <v>14824</v>
          </cell>
          <cell r="FV267">
            <v>3586</v>
          </cell>
          <cell r="FW267">
            <v>3457</v>
          </cell>
          <cell r="FX267">
            <v>3544</v>
          </cell>
          <cell r="FY267">
            <v>5151</v>
          </cell>
          <cell r="FZ267">
            <v>15738</v>
          </cell>
          <cell r="GB267">
            <v>3757</v>
          </cell>
          <cell r="GC267">
            <v>3555</v>
          </cell>
          <cell r="GD267">
            <v>3693.9711570041623</v>
          </cell>
          <cell r="GE267">
            <v>5567.0878306241739</v>
          </cell>
          <cell r="GF267">
            <v>16573.058987628334</v>
          </cell>
        </row>
        <row r="268">
          <cell r="AN268" t="str">
            <v>CGS, OCC, Buying Costs %</v>
          </cell>
          <cell r="EL268" t="str">
            <v>CGS, OCC, Buying Costs %</v>
          </cell>
          <cell r="ER268">
            <v>0.61163575042158513</v>
          </cell>
          <cell r="ES268">
            <v>0.57881567973311088</v>
          </cell>
          <cell r="ET268">
            <v>0.59683995922528033</v>
          </cell>
          <cell r="EU268">
            <v>0.59056665574844414</v>
          </cell>
          <cell r="EV268">
            <v>0.59395624768261035</v>
          </cell>
          <cell r="EX268">
            <v>0.60192535044755957</v>
          </cell>
          <cell r="EY268">
            <v>0.59521384928716903</v>
          </cell>
          <cell r="EZ268">
            <v>0.60700982052150354</v>
          </cell>
          <cell r="FA268">
            <v>0.58424482196881544</v>
          </cell>
          <cell r="FB268">
            <v>0.59578915365028695</v>
          </cell>
          <cell r="FD268">
            <v>0.61371150165303634</v>
          </cell>
          <cell r="FE268">
            <v>0.5851696397341728</v>
          </cell>
          <cell r="FF268">
            <v>0.60513380666302563</v>
          </cell>
          <cell r="FG268">
            <v>0.60650365515502902</v>
          </cell>
          <cell r="FH268">
            <v>0.60296480797043228</v>
          </cell>
          <cell r="FJ268">
            <v>0.62008320726172461</v>
          </cell>
          <cell r="FK268">
            <v>0.58978240302743612</v>
          </cell>
          <cell r="FL268">
            <v>0.6018570102135562</v>
          </cell>
          <cell r="FM268">
            <v>0.58520010067958717</v>
          </cell>
          <cell r="FN268">
            <v>0.59768239625167341</v>
          </cell>
          <cell r="FP268">
            <v>0.60602798708288486</v>
          </cell>
          <cell r="FQ268">
            <v>0.58045873216543253</v>
          </cell>
          <cell r="FR268">
            <v>0.60056909123243818</v>
          </cell>
          <cell r="FS268">
            <v>0.58713266416737209</v>
          </cell>
          <cell r="FT268">
            <v>0.59288885333759944</v>
          </cell>
          <cell r="FV268">
            <v>0.60893190694515198</v>
          </cell>
          <cell r="FW268">
            <v>0.58208452601448057</v>
          </cell>
          <cell r="FX268">
            <v>0.60550145224671104</v>
          </cell>
          <cell r="FY268">
            <v>0.59044016506189823</v>
          </cell>
          <cell r="FZ268">
            <v>0.59602348040143915</v>
          </cell>
          <cell r="GB268">
            <v>0.61159042812957842</v>
          </cell>
          <cell r="GC268">
            <v>0.58107224583197126</v>
          </cell>
          <cell r="GD268">
            <v>0.60050145224671103</v>
          </cell>
          <cell r="GE268">
            <v>0.58312736950345423</v>
          </cell>
          <cell r="GF268">
            <v>0.59275387568136595</v>
          </cell>
        </row>
        <row r="269">
          <cell r="AN269" t="str">
            <v>BPS Change</v>
          </cell>
          <cell r="EL269" t="str">
            <v>BPS Change</v>
          </cell>
          <cell r="ER269">
            <v>139.97738886292632</v>
          </cell>
          <cell r="ES269">
            <v>-79.90834205613973</v>
          </cell>
          <cell r="ET269">
            <v>6.2033726308408088</v>
          </cell>
          <cell r="EU269">
            <v>-5.9414249625333593</v>
          </cell>
          <cell r="EV269">
            <v>11.916206169559906</v>
          </cell>
          <cell r="EX269">
            <v>-97.103999740255631</v>
          </cell>
          <cell r="EY269">
            <v>163.98169554058151</v>
          </cell>
          <cell r="EZ269">
            <v>101.69861296223215</v>
          </cell>
          <cell r="FA269">
            <v>-63.218337796286939</v>
          </cell>
          <cell r="FB269">
            <v>18.329059676766015</v>
          </cell>
          <cell r="FD269">
            <v>117.86151205476769</v>
          </cell>
          <cell r="FE269">
            <v>-100.4420955299623</v>
          </cell>
          <cell r="FF269">
            <v>-18.760138584779096</v>
          </cell>
          <cell r="FG269">
            <v>222.58833186213579</v>
          </cell>
          <cell r="FH269">
            <v>71.756543201453297</v>
          </cell>
          <cell r="FJ269">
            <v>63.717056086882721</v>
          </cell>
          <cell r="FK269">
            <v>46.127632932633219</v>
          </cell>
          <cell r="FL269">
            <v>-32.767964494694326</v>
          </cell>
          <cell r="FM269">
            <v>-213.03554475441854</v>
          </cell>
          <cell r="FN269">
            <v>-52.824117187588726</v>
          </cell>
          <cell r="FP269">
            <v>-140.55220178839755</v>
          </cell>
          <cell r="FQ269">
            <v>-93.236708620035856</v>
          </cell>
          <cell r="FR269">
            <v>-12.879189811180192</v>
          </cell>
          <cell r="FS269">
            <v>19.325634877849218</v>
          </cell>
          <cell r="FT269">
            <v>-47.935429140739672</v>
          </cell>
          <cell r="FV269">
            <v>29.039198622671236</v>
          </cell>
          <cell r="FW269">
            <v>16.257938490480406</v>
          </cell>
          <cell r="FX269">
            <v>49.323610142728569</v>
          </cell>
          <cell r="FY269">
            <v>33.075008945261388</v>
          </cell>
          <cell r="FZ269">
            <v>31.346270638397122</v>
          </cell>
          <cell r="GB269">
            <v>26.585211844264435</v>
          </cell>
          <cell r="GC269">
            <v>-10.122801825093175</v>
          </cell>
          <cell r="GD269">
            <v>-50.000000000000043</v>
          </cell>
          <cell r="GE269">
            <v>-73.12795558443996</v>
          </cell>
          <cell r="GF269">
            <v>-32.696047200732046</v>
          </cell>
        </row>
        <row r="271">
          <cell r="AN271" t="str">
            <v>Gross Income</v>
          </cell>
          <cell r="EL271" t="str">
            <v>Gross Income</v>
          </cell>
          <cell r="ER271">
            <v>2303</v>
          </cell>
          <cell r="ES271">
            <v>2525</v>
          </cell>
          <cell r="ET271">
            <v>2373</v>
          </cell>
          <cell r="EU271">
            <v>3750</v>
          </cell>
          <cell r="EV271">
            <v>10951</v>
          </cell>
          <cell r="EX271">
            <v>2357</v>
          </cell>
          <cell r="EY271">
            <v>2385</v>
          </cell>
          <cell r="EZ271">
            <v>2321</v>
          </cell>
          <cell r="FA271">
            <v>3573</v>
          </cell>
          <cell r="FB271">
            <v>10636</v>
          </cell>
          <cell r="FD271">
            <v>2220</v>
          </cell>
          <cell r="FE271">
            <v>2372</v>
          </cell>
          <cell r="FF271">
            <v>2169</v>
          </cell>
          <cell r="FG271">
            <v>3122</v>
          </cell>
          <cell r="FH271">
            <v>9883</v>
          </cell>
          <cell r="FJ271">
            <v>2009</v>
          </cell>
          <cell r="FK271">
            <v>2168</v>
          </cell>
          <cell r="FL271">
            <v>2144</v>
          </cell>
          <cell r="FM271">
            <v>3296</v>
          </cell>
          <cell r="FN271">
            <v>9617</v>
          </cell>
          <cell r="FP271">
            <v>2196</v>
          </cell>
          <cell r="FQ271">
            <v>2323</v>
          </cell>
          <cell r="FR271">
            <v>2246</v>
          </cell>
          <cell r="FS271">
            <v>3414</v>
          </cell>
          <cell r="FT271">
            <v>10179</v>
          </cell>
          <cell r="FV271">
            <v>2303</v>
          </cell>
          <cell r="FW271">
            <v>2482</v>
          </cell>
          <cell r="FX271">
            <v>2309</v>
          </cell>
          <cell r="FY271">
            <v>3573</v>
          </cell>
          <cell r="FZ271">
            <v>10667</v>
          </cell>
          <cell r="GB271">
            <v>2386</v>
          </cell>
          <cell r="GC271">
            <v>2563</v>
          </cell>
          <cell r="GD271">
            <v>2457.506317668996</v>
          </cell>
          <cell r="GE271">
            <v>3979.8621528154158</v>
          </cell>
          <cell r="GF271">
            <v>11386.368470484413</v>
          </cell>
        </row>
        <row r="272">
          <cell r="AN272" t="str">
            <v>Gross Margin</v>
          </cell>
          <cell r="EL272" t="str">
            <v>Gross Margin</v>
          </cell>
          <cell r="ER272">
            <v>0.38836424957841487</v>
          </cell>
          <cell r="ES272">
            <v>0.42118432026688907</v>
          </cell>
          <cell r="ET272">
            <v>0.40316004077471967</v>
          </cell>
          <cell r="EU272">
            <v>0.40943334425155586</v>
          </cell>
          <cell r="EV272">
            <v>0.40604375231738971</v>
          </cell>
          <cell r="EX272">
            <v>0.39807464955244048</v>
          </cell>
          <cell r="EY272">
            <v>0.40478615071283097</v>
          </cell>
          <cell r="EZ272">
            <v>0.39299017947849646</v>
          </cell>
          <cell r="FA272">
            <v>0.41575517803118456</v>
          </cell>
          <cell r="FB272">
            <v>0.40421084634971305</v>
          </cell>
          <cell r="FD272">
            <v>0.38628849834696366</v>
          </cell>
          <cell r="FE272">
            <v>0.4148303602658272</v>
          </cell>
          <cell r="FF272">
            <v>0.39486619333697431</v>
          </cell>
          <cell r="FG272">
            <v>0.39349634484497104</v>
          </cell>
          <cell r="FH272">
            <v>0.39703519202956772</v>
          </cell>
          <cell r="FJ272">
            <v>0.37991679273827533</v>
          </cell>
          <cell r="FK272">
            <v>0.41021759697256388</v>
          </cell>
          <cell r="FL272">
            <v>0.3981429897864438</v>
          </cell>
          <cell r="FM272">
            <v>0.41479989932041278</v>
          </cell>
          <cell r="FN272">
            <v>0.40231760374832665</v>
          </cell>
          <cell r="FP272">
            <v>0.3939720129171152</v>
          </cell>
          <cell r="FQ272">
            <v>0.41954126783456747</v>
          </cell>
          <cell r="FR272">
            <v>0.39943090876756182</v>
          </cell>
          <cell r="FS272">
            <v>0.41286733583262791</v>
          </cell>
          <cell r="FT272">
            <v>0.4071111466624005</v>
          </cell>
          <cell r="FV272">
            <v>0.39106809305484802</v>
          </cell>
          <cell r="FW272">
            <v>0.41791547398551943</v>
          </cell>
          <cell r="FX272">
            <v>0.39449854775328891</v>
          </cell>
          <cell r="FY272">
            <v>0.40955983493810177</v>
          </cell>
          <cell r="FZ272">
            <v>0.4039765195985609</v>
          </cell>
          <cell r="GB272">
            <v>0.38840957187042163</v>
          </cell>
          <cell r="GC272">
            <v>0.41892775416802874</v>
          </cell>
          <cell r="GD272">
            <v>0.39949854775328891</v>
          </cell>
          <cell r="GE272">
            <v>0.41687263049654577</v>
          </cell>
          <cell r="GF272">
            <v>0.407246124318634</v>
          </cell>
        </row>
        <row r="273">
          <cell r="AN273" t="str">
            <v>BPS Change</v>
          </cell>
          <cell r="EL273" t="str">
            <v>BPS Change</v>
          </cell>
          <cell r="ER273">
            <v>-139.97738886292632</v>
          </cell>
          <cell r="ES273">
            <v>79.908342056138622</v>
          </cell>
          <cell r="ET273">
            <v>-6.2033726308408088</v>
          </cell>
          <cell r="EU273">
            <v>5.9414249625339144</v>
          </cell>
          <cell r="EV273">
            <v>-11.916206169559906</v>
          </cell>
          <cell r="EX273">
            <v>97.103999740256185</v>
          </cell>
          <cell r="EY273">
            <v>-163.98169554058094</v>
          </cell>
          <cell r="EZ273">
            <v>-101.69861296223215</v>
          </cell>
          <cell r="FA273">
            <v>63.218337796286939</v>
          </cell>
          <cell r="FB273">
            <v>-18.329059676766569</v>
          </cell>
          <cell r="FD273">
            <v>-117.86151205476824</v>
          </cell>
          <cell r="FE273">
            <v>100.4420955299623</v>
          </cell>
          <cell r="FF273">
            <v>18.760138584778542</v>
          </cell>
          <cell r="FG273">
            <v>-222.58833186213522</v>
          </cell>
          <cell r="FH273">
            <v>-71.756543201453297</v>
          </cell>
          <cell r="FJ273">
            <v>-63.717056086883275</v>
          </cell>
          <cell r="FK273">
            <v>-46.127632932633219</v>
          </cell>
          <cell r="FL273">
            <v>32.76796449469488</v>
          </cell>
          <cell r="FM273">
            <v>213.03554475441743</v>
          </cell>
          <cell r="FN273">
            <v>52.82411718758928</v>
          </cell>
          <cell r="FP273">
            <v>140.55220178839866</v>
          </cell>
          <cell r="FQ273">
            <v>93.236708620035856</v>
          </cell>
          <cell r="FR273">
            <v>12.879189811180192</v>
          </cell>
          <cell r="FS273">
            <v>-19.325634877848664</v>
          </cell>
          <cell r="FT273">
            <v>47.935429140738563</v>
          </cell>
          <cell r="FV273">
            <v>-29.03919862267179</v>
          </cell>
          <cell r="FW273">
            <v>-16.257938490480406</v>
          </cell>
          <cell r="FX273">
            <v>-49.323610142729123</v>
          </cell>
          <cell r="FY273">
            <v>-33.075008945261388</v>
          </cell>
          <cell r="FZ273">
            <v>-31.346270638396014</v>
          </cell>
          <cell r="GB273">
            <v>-26.585211844263878</v>
          </cell>
          <cell r="GC273">
            <v>10.122801825093175</v>
          </cell>
          <cell r="GD273">
            <v>50</v>
          </cell>
          <cell r="GE273">
            <v>73.127955584439931</v>
          </cell>
          <cell r="GF273">
            <v>32.696047200730938</v>
          </cell>
        </row>
        <row r="275">
          <cell r="AN275" t="str">
            <v>SG&amp;A</v>
          </cell>
          <cell r="EL275" t="str">
            <v>SG&amp;A</v>
          </cell>
          <cell r="ER275">
            <v>2154</v>
          </cell>
          <cell r="ES275">
            <v>2117</v>
          </cell>
          <cell r="ET275">
            <v>2094</v>
          </cell>
          <cell r="EU275">
            <v>2313</v>
          </cell>
          <cell r="EV275">
            <v>8678</v>
          </cell>
          <cell r="EX275">
            <v>2113</v>
          </cell>
          <cell r="EY275">
            <v>2038</v>
          </cell>
          <cell r="EZ275">
            <v>2121</v>
          </cell>
          <cell r="FA275">
            <v>2282</v>
          </cell>
          <cell r="FB275">
            <v>8554</v>
          </cell>
          <cell r="FD275">
            <v>2080</v>
          </cell>
          <cell r="FE275">
            <v>2037</v>
          </cell>
          <cell r="FF275">
            <v>2085</v>
          </cell>
          <cell r="FG275">
            <v>2256</v>
          </cell>
          <cell r="FH275">
            <v>8458</v>
          </cell>
          <cell r="FJ275">
            <v>1985</v>
          </cell>
          <cell r="FK275">
            <v>1886</v>
          </cell>
          <cell r="FL275">
            <v>2056</v>
          </cell>
          <cell r="FM275">
            <v>2236</v>
          </cell>
          <cell r="FN275">
            <v>8163</v>
          </cell>
          <cell r="FP275">
            <v>1993</v>
          </cell>
          <cell r="FQ275">
            <v>1953</v>
          </cell>
          <cell r="FR275">
            <v>2069</v>
          </cell>
          <cell r="FS275">
            <v>2245</v>
          </cell>
          <cell r="FT275">
            <v>8260</v>
          </cell>
          <cell r="FV275">
            <v>1973</v>
          </cell>
          <cell r="FW275">
            <v>1976</v>
          </cell>
          <cell r="FX275">
            <v>2018</v>
          </cell>
          <cell r="FY275">
            <v>2314</v>
          </cell>
          <cell r="FZ275">
            <v>8281</v>
          </cell>
          <cell r="GB275">
            <v>1995</v>
          </cell>
          <cell r="GC275">
            <v>2009</v>
          </cell>
          <cell r="GD275">
            <v>2135.8432994799609</v>
          </cell>
          <cell r="GE275">
            <v>2451.0799464756819</v>
          </cell>
          <cell r="GF275">
            <v>8590.9232459556424</v>
          </cell>
        </row>
        <row r="276">
          <cell r="AN276" t="str">
            <v>SG&amp;A Ratio</v>
          </cell>
          <cell r="EL276" t="str">
            <v>SG&amp;A Ratio</v>
          </cell>
          <cell r="ER276">
            <v>0.36323777403035412</v>
          </cell>
          <cell r="ES276">
            <v>0.35312760633861551</v>
          </cell>
          <cell r="ET276">
            <v>0.35575942915392456</v>
          </cell>
          <cell r="EU276">
            <v>0.25253848673435964</v>
          </cell>
          <cell r="EV276">
            <v>0.32176492398961809</v>
          </cell>
          <cell r="EX276">
            <v>0.35686539435906095</v>
          </cell>
          <cell r="EY276">
            <v>0.34589273591310249</v>
          </cell>
          <cell r="EZ276">
            <v>0.35912631222485608</v>
          </cell>
          <cell r="FA276">
            <v>0.2655340935536421</v>
          </cell>
          <cell r="FB276">
            <v>0.32508645916467144</v>
          </cell>
          <cell r="FD276">
            <v>0.36192796241517311</v>
          </cell>
          <cell r="FE276">
            <v>0.35624344176285416</v>
          </cell>
          <cell r="FF276">
            <v>0.37957400327689789</v>
          </cell>
          <cell r="FG276">
            <v>0.28434585328963952</v>
          </cell>
          <cell r="FH276">
            <v>0.33978788365739998</v>
          </cell>
          <cell r="FJ276">
            <v>0.37537821482602118</v>
          </cell>
          <cell r="FK276">
            <v>0.35685903500473037</v>
          </cell>
          <cell r="FL276">
            <v>0.38180129990714951</v>
          </cell>
          <cell r="FM276">
            <v>0.28139944626227031</v>
          </cell>
          <cell r="FN276">
            <v>0.34149096385542171</v>
          </cell>
          <cell r="FP276">
            <v>0.35755292429135271</v>
          </cell>
          <cell r="FQ276">
            <v>0.3527180783817952</v>
          </cell>
          <cell r="FR276">
            <v>0.36795304997332384</v>
          </cell>
          <cell r="FS276">
            <v>0.27149594872415045</v>
          </cell>
          <cell r="FT276">
            <v>0.33036035675718911</v>
          </cell>
          <cell r="FV276">
            <v>0.33503141450161317</v>
          </cell>
          <cell r="FW276">
            <v>0.33271594544536115</v>
          </cell>
          <cell r="FX276">
            <v>0.34478045446779432</v>
          </cell>
          <cell r="FY276">
            <v>0.26524530032095367</v>
          </cell>
          <cell r="FZ276">
            <v>0.31361484567316794</v>
          </cell>
          <cell r="GB276">
            <v>0.32475988930489991</v>
          </cell>
          <cell r="GC276">
            <v>0.32837528604118993</v>
          </cell>
          <cell r="GD276">
            <v>0.34720818019307514</v>
          </cell>
          <cell r="GE276">
            <v>0.25673958182743123</v>
          </cell>
          <cell r="GF276">
            <v>0.30726391872029868</v>
          </cell>
        </row>
        <row r="277">
          <cell r="AN277" t="str">
            <v>BPS Change</v>
          </cell>
          <cell r="EL277" t="str">
            <v>BPS Change</v>
          </cell>
          <cell r="ER277">
            <v>300.87540578005888</v>
          </cell>
          <cell r="ES277">
            <v>202.54296926526084</v>
          </cell>
          <cell r="ET277">
            <v>5.8391160216936244</v>
          </cell>
          <cell r="EU277">
            <v>-178.61680437304796</v>
          </cell>
          <cell r="EV277">
            <v>100.18608670279094</v>
          </cell>
          <cell r="EX277">
            <v>-63.723796712931716</v>
          </cell>
          <cell r="EY277">
            <v>-72.348704255130187</v>
          </cell>
          <cell r="EZ277">
            <v>33.668830709315259</v>
          </cell>
          <cell r="FA277">
            <v>129.95606819282469</v>
          </cell>
          <cell r="FB277">
            <v>33.215351750533472</v>
          </cell>
          <cell r="FD277">
            <v>50.625680561121598</v>
          </cell>
          <cell r="FE277">
            <v>103.50705849751674</v>
          </cell>
          <cell r="FF277">
            <v>204.47691052041804</v>
          </cell>
          <cell r="FG277">
            <v>188.11759735997413</v>
          </cell>
          <cell r="FH277">
            <v>147.01424492728543</v>
          </cell>
          <cell r="FJ277">
            <v>134.50252410848074</v>
          </cell>
          <cell r="FK277">
            <v>6.1559324187621112</v>
          </cell>
          <cell r="FL277">
            <v>22.272966302516185</v>
          </cell>
          <cell r="FM277">
            <v>-29.464070273692023</v>
          </cell>
          <cell r="FN277">
            <v>17.030801980217337</v>
          </cell>
          <cell r="FP277">
            <v>-178.25290534668468</v>
          </cell>
          <cell r="FQ277">
            <v>-41.409566229351768</v>
          </cell>
          <cell r="FR277">
            <v>-138.48249933825662</v>
          </cell>
          <cell r="FS277">
            <v>-99.034975381198649</v>
          </cell>
          <cell r="FT277">
            <v>-111.30607098232603</v>
          </cell>
          <cell r="FV277">
            <v>-225.21509789739548</v>
          </cell>
          <cell r="FW277">
            <v>-200.02132936434046</v>
          </cell>
          <cell r="FX277">
            <v>-231.72595505529526</v>
          </cell>
          <cell r="FY277">
            <v>-62.506484031967787</v>
          </cell>
          <cell r="FZ277">
            <v>-167.45511084021169</v>
          </cell>
          <cell r="GB277">
            <v>-102.7152519671326</v>
          </cell>
          <cell r="GC277">
            <v>-43.406594041712211</v>
          </cell>
          <cell r="GD277">
            <v>24.277257252808404</v>
          </cell>
          <cell r="GE277">
            <v>-85.057184935224271</v>
          </cell>
          <cell r="GF277">
            <v>-63.509269528692627</v>
          </cell>
        </row>
        <row r="279">
          <cell r="AN279" t="str">
            <v>Operating Income</v>
          </cell>
          <cell r="EL279" t="str">
            <v>Operating Income</v>
          </cell>
          <cell r="ER279">
            <v>149</v>
          </cell>
          <cell r="ES279">
            <v>408</v>
          </cell>
          <cell r="ET279">
            <v>279</v>
          </cell>
          <cell r="EU279">
            <v>1437</v>
          </cell>
          <cell r="EV279">
            <v>2273</v>
          </cell>
          <cell r="EX279">
            <v>244</v>
          </cell>
          <cell r="EY279">
            <v>347</v>
          </cell>
          <cell r="EZ279">
            <v>200</v>
          </cell>
          <cell r="FA279">
            <v>1291</v>
          </cell>
          <cell r="FB279">
            <v>2082</v>
          </cell>
          <cell r="FD279">
            <v>140</v>
          </cell>
          <cell r="FE279">
            <v>335</v>
          </cell>
          <cell r="FF279">
            <v>84</v>
          </cell>
          <cell r="FG279">
            <v>866</v>
          </cell>
          <cell r="FH279">
            <v>1425</v>
          </cell>
          <cell r="FJ279">
            <v>24</v>
          </cell>
          <cell r="FK279">
            <v>282</v>
          </cell>
          <cell r="FL279">
            <v>88</v>
          </cell>
          <cell r="FM279">
            <v>1060</v>
          </cell>
          <cell r="FN279">
            <v>1454</v>
          </cell>
          <cell r="FP279">
            <v>203</v>
          </cell>
          <cell r="FQ279">
            <v>370</v>
          </cell>
          <cell r="FR279">
            <v>177</v>
          </cell>
          <cell r="FS279">
            <v>1169</v>
          </cell>
          <cell r="FT279">
            <v>1919</v>
          </cell>
          <cell r="FV279">
            <v>330</v>
          </cell>
          <cell r="FW279">
            <v>506</v>
          </cell>
          <cell r="FX279">
            <v>291</v>
          </cell>
          <cell r="FY279">
            <v>1259</v>
          </cell>
          <cell r="FZ279">
            <v>2386</v>
          </cell>
          <cell r="GB279">
            <v>391</v>
          </cell>
          <cell r="GC279">
            <v>554</v>
          </cell>
          <cell r="GD279">
            <v>321.66301818903503</v>
          </cell>
          <cell r="GE279">
            <v>1528.7822063397339</v>
          </cell>
          <cell r="GF279">
            <v>2795.4452245287689</v>
          </cell>
        </row>
        <row r="280">
          <cell r="AN280" t="str">
            <v>Operating Margin</v>
          </cell>
          <cell r="EL280" t="str">
            <v>Operating Margin</v>
          </cell>
          <cell r="ER280">
            <v>2.5126475548060707E-2</v>
          </cell>
          <cell r="ES280">
            <v>6.805671392827356E-2</v>
          </cell>
          <cell r="ET280">
            <v>4.7400611620795105E-2</v>
          </cell>
          <cell r="EU280">
            <v>0.1568948575171962</v>
          </cell>
          <cell r="EV280">
            <v>8.4278828327771602E-2</v>
          </cell>
          <cell r="EX280">
            <v>4.12092551933795E-2</v>
          </cell>
          <cell r="EY280">
            <v>5.8893414799728448E-2</v>
          </cell>
          <cell r="EZ280">
            <v>3.3863867253640365E-2</v>
          </cell>
          <cell r="FA280">
            <v>0.15022108447754248</v>
          </cell>
          <cell r="FB280">
            <v>7.9124387185041611E-2</v>
          </cell>
          <cell r="FD280">
            <v>2.4360535931790498E-2</v>
          </cell>
          <cell r="FE280">
            <v>5.8586918502973068E-2</v>
          </cell>
          <cell r="FF280">
            <v>1.5292190060076462E-2</v>
          </cell>
          <cell r="FG280">
            <v>0.10915049155533149</v>
          </cell>
          <cell r="FH280">
            <v>5.7247308372167766E-2</v>
          </cell>
          <cell r="FJ280">
            <v>4.5385779122541605E-3</v>
          </cell>
          <cell r="FK280">
            <v>5.3358561967833493E-2</v>
          </cell>
          <cell r="FL280">
            <v>1.6341689879294335E-2</v>
          </cell>
          <cell r="FM280">
            <v>0.13340045305814247</v>
          </cell>
          <cell r="FN280">
            <v>6.0826639892904953E-2</v>
          </cell>
          <cell r="FP280">
            <v>3.6419088625762472E-2</v>
          </cell>
          <cell r="FQ280">
            <v>6.6823189452772255E-2</v>
          </cell>
          <cell r="FR280">
            <v>3.1477858794237951E-2</v>
          </cell>
          <cell r="FS280">
            <v>0.14137138710847744</v>
          </cell>
          <cell r="FT280">
            <v>7.6750789905211378E-2</v>
          </cell>
          <cell r="FV280">
            <v>5.6036678553234846E-2</v>
          </cell>
          <cell r="FW280">
            <v>8.5199528540158276E-2</v>
          </cell>
          <cell r="FX280">
            <v>4.9718093285494619E-2</v>
          </cell>
          <cell r="FY280">
            <v>0.1443145346171481</v>
          </cell>
          <cell r="FZ280">
            <v>9.0361673925392919E-2</v>
          </cell>
          <cell r="GB280">
            <v>6.3649682565521726E-2</v>
          </cell>
          <cell r="GC280">
            <v>9.0552468126838842E-2</v>
          </cell>
          <cell r="GD280">
            <v>5.2290367560213769E-2</v>
          </cell>
          <cell r="GE280">
            <v>0.16013304866911451</v>
          </cell>
          <cell r="GF280">
            <v>9.9982205598335261E-2</v>
          </cell>
        </row>
        <row r="281">
          <cell r="AN281" t="str">
            <v>BPS Change</v>
          </cell>
          <cell r="EL281" t="str">
            <v>BPS Change</v>
          </cell>
        </row>
        <row r="283">
          <cell r="AN283" t="str">
            <v>Bear Case Assumptions</v>
          </cell>
          <cell r="EL283" t="str">
            <v>Bear Case Assumptions</v>
          </cell>
        </row>
        <row r="284">
          <cell r="AN284" t="str">
            <v>Consolidated Stores Monthly Sales ($)</v>
          </cell>
          <cell r="EL284" t="str">
            <v>Consolidated Stores Monthly Sales ($)</v>
          </cell>
          <cell r="EU284">
            <v>356</v>
          </cell>
        </row>
        <row r="285">
          <cell r="AN285" t="str">
            <v>Month 1</v>
          </cell>
          <cell r="EL285" t="str">
            <v>Month 1</v>
          </cell>
          <cell r="ER285">
            <v>1800</v>
          </cell>
          <cell r="ES285">
            <v>2026</v>
          </cell>
          <cell r="ET285">
            <v>1727</v>
          </cell>
          <cell r="EU285">
            <v>2385</v>
          </cell>
          <cell r="EX285">
            <v>1802</v>
          </cell>
          <cell r="EY285">
            <v>1976</v>
          </cell>
          <cell r="EZ285">
            <v>1788</v>
          </cell>
          <cell r="FA285">
            <v>2707</v>
          </cell>
          <cell r="FD285">
            <v>1737</v>
          </cell>
          <cell r="FE285">
            <v>1926</v>
          </cell>
          <cell r="FF285">
            <v>1686</v>
          </cell>
          <cell r="FG285">
            <v>2324</v>
          </cell>
          <cell r="FJ285">
            <v>1602.5975291456411</v>
          </cell>
          <cell r="FK285">
            <v>1783.7565582371458</v>
          </cell>
          <cell r="FL285">
            <v>1576.1490988530857</v>
          </cell>
          <cell r="FM285">
            <v>2202.7766574237457</v>
          </cell>
          <cell r="FP285">
            <v>1667</v>
          </cell>
          <cell r="FQ285">
            <v>1789</v>
          </cell>
          <cell r="FR285">
            <v>1638</v>
          </cell>
          <cell r="FS285">
            <v>2341</v>
          </cell>
          <cell r="FV285">
            <v>1763</v>
          </cell>
          <cell r="FW285">
            <v>1937</v>
          </cell>
          <cell r="FX285">
            <v>1714</v>
          </cell>
          <cell r="FY285">
            <v>2465</v>
          </cell>
          <cell r="GB285">
            <v>1860</v>
          </cell>
          <cell r="GC285">
            <v>2015</v>
          </cell>
          <cell r="GD285">
            <v>1812</v>
          </cell>
          <cell r="GE285">
            <v>2490.7341222077775</v>
          </cell>
        </row>
        <row r="286">
          <cell r="AN286" t="str">
            <v>Month 2</v>
          </cell>
          <cell r="EL286" t="str">
            <v>Month 2</v>
          </cell>
          <cell r="ER286">
            <v>2255</v>
          </cell>
          <cell r="ES286">
            <v>2367</v>
          </cell>
          <cell r="ET286">
            <v>2303</v>
          </cell>
          <cell r="EU286">
            <v>4997</v>
          </cell>
          <cell r="EX286">
            <v>2288</v>
          </cell>
          <cell r="EY286">
            <v>2321</v>
          </cell>
          <cell r="EZ286">
            <v>2274</v>
          </cell>
          <cell r="FA286">
            <v>4624</v>
          </cell>
          <cell r="FD286">
            <v>2142</v>
          </cell>
          <cell r="FE286">
            <v>2249</v>
          </cell>
          <cell r="FF286">
            <v>2093</v>
          </cell>
          <cell r="FG286">
            <v>4397</v>
          </cell>
          <cell r="FJ286">
            <v>1963.7990255785628</v>
          </cell>
          <cell r="FK286">
            <v>2092.5916404337181</v>
          </cell>
          <cell r="FL286">
            <v>2084.1512834516657</v>
          </cell>
          <cell r="FM286">
            <v>4474.7693471136881</v>
          </cell>
          <cell r="FP286">
            <v>2172</v>
          </cell>
          <cell r="FQ286">
            <v>2229</v>
          </cell>
          <cell r="FR286">
            <v>2181</v>
          </cell>
          <cell r="FS286">
            <v>4619</v>
          </cell>
          <cell r="FV286">
            <v>2206</v>
          </cell>
          <cell r="FW286">
            <v>2392</v>
          </cell>
          <cell r="FX286">
            <v>2298</v>
          </cell>
          <cell r="FY286">
            <v>4925</v>
          </cell>
          <cell r="GB286">
            <v>2358</v>
          </cell>
          <cell r="GC286">
            <v>2412</v>
          </cell>
          <cell r="GD286">
            <v>2293.892456048884</v>
          </cell>
          <cell r="GE286">
            <v>4976.4160453847071</v>
          </cell>
        </row>
        <row r="287">
          <cell r="AN287" t="str">
            <v>Month 3</v>
          </cell>
          <cell r="EL287" t="str">
            <v>Month 3</v>
          </cell>
          <cell r="ER287">
            <v>1878</v>
          </cell>
          <cell r="ES287">
            <v>1608</v>
          </cell>
          <cell r="ET287">
            <v>1863</v>
          </cell>
          <cell r="EU287">
            <v>1780</v>
          </cell>
          <cell r="EX287">
            <v>1837</v>
          </cell>
          <cell r="EY287">
            <v>1602</v>
          </cell>
          <cell r="EZ287">
            <v>1849</v>
          </cell>
          <cell r="FA287">
            <v>1273</v>
          </cell>
          <cell r="FD287">
            <v>1868</v>
          </cell>
          <cell r="FE287">
            <v>1543</v>
          </cell>
          <cell r="FF287">
            <v>1714</v>
          </cell>
          <cell r="FG287">
            <v>1213</v>
          </cell>
          <cell r="FJ287">
            <v>1720.603445275796</v>
          </cell>
          <cell r="FK287">
            <v>1409.6518013291361</v>
          </cell>
          <cell r="FL287">
            <v>1725.6996176952484</v>
          </cell>
          <cell r="FM287">
            <v>1268.4539954625661</v>
          </cell>
          <cell r="FP287">
            <v>1739</v>
          </cell>
          <cell r="FQ287">
            <v>1528</v>
          </cell>
          <cell r="FR287">
            <v>1806</v>
          </cell>
          <cell r="FS287">
            <v>1310</v>
          </cell>
          <cell r="FV287">
            <v>1920</v>
          </cell>
          <cell r="FW287">
            <v>1612</v>
          </cell>
          <cell r="FX287">
            <v>1842</v>
          </cell>
          <cell r="FY287">
            <v>1336</v>
          </cell>
          <cell r="GB287">
            <v>1928</v>
          </cell>
          <cell r="GC287">
            <v>1693</v>
          </cell>
          <cell r="GD287">
            <v>1882.0033631484798</v>
          </cell>
          <cell r="GE287">
            <v>1720.1677658275225</v>
          </cell>
        </row>
        <row r="288">
          <cell r="AN288" t="str">
            <v>Total</v>
          </cell>
          <cell r="EL288" t="str">
            <v>Total</v>
          </cell>
          <cell r="ER288">
            <v>5930</v>
          </cell>
          <cell r="ES288">
            <v>5995</v>
          </cell>
          <cell r="ET288">
            <v>5886</v>
          </cell>
          <cell r="EU288">
            <v>9159</v>
          </cell>
          <cell r="EV288">
            <v>26970</v>
          </cell>
          <cell r="EX288">
            <v>5921</v>
          </cell>
          <cell r="EY288">
            <v>5892</v>
          </cell>
          <cell r="EZ288">
            <v>5906</v>
          </cell>
          <cell r="FA288">
            <v>8594</v>
          </cell>
          <cell r="FB288">
            <v>26313</v>
          </cell>
          <cell r="FD288">
            <v>5747</v>
          </cell>
          <cell r="FE288">
            <v>5718</v>
          </cell>
          <cell r="FF288">
            <v>5493</v>
          </cell>
          <cell r="FG288">
            <v>7934</v>
          </cell>
          <cell r="FH288">
            <v>24892</v>
          </cell>
          <cell r="FJ288">
            <v>5288</v>
          </cell>
          <cell r="FK288">
            <v>5285</v>
          </cell>
          <cell r="FL288">
            <v>5385</v>
          </cell>
          <cell r="FM288">
            <v>7946</v>
          </cell>
          <cell r="FN288">
            <v>23904</v>
          </cell>
          <cell r="FP288">
            <v>5574</v>
          </cell>
          <cell r="FQ288">
            <v>5537</v>
          </cell>
          <cell r="FR288">
            <v>5623</v>
          </cell>
          <cell r="FS288">
            <v>8269</v>
          </cell>
          <cell r="FT288">
            <v>25003</v>
          </cell>
          <cell r="FV288">
            <v>5889</v>
          </cell>
          <cell r="FW288">
            <v>5939</v>
          </cell>
          <cell r="FX288">
            <v>5853</v>
          </cell>
          <cell r="FY288">
            <v>8724</v>
          </cell>
          <cell r="FZ288">
            <v>26405</v>
          </cell>
          <cell r="GB288">
            <v>6143</v>
          </cell>
          <cell r="GC288">
            <v>6118</v>
          </cell>
          <cell r="GD288">
            <v>5987.8958191973634</v>
          </cell>
          <cell r="GE288">
            <v>9187.3179334200067</v>
          </cell>
          <cell r="GF288">
            <v>27436.213752617372</v>
          </cell>
        </row>
        <row r="290">
          <cell r="AN290" t="str">
            <v xml:space="preserve">Consolidated Monthly Comps </v>
          </cell>
          <cell r="EL290" t="str">
            <v xml:space="preserve">Consolidated Monthly Comps </v>
          </cell>
        </row>
        <row r="291">
          <cell r="AN291" t="str">
            <v>Month 1</v>
          </cell>
          <cell r="EL291" t="str">
            <v>Month 1</v>
          </cell>
          <cell r="ER291">
            <v>0.01</v>
          </cell>
          <cell r="ES291">
            <v>9.1999999999999998E-2</v>
          </cell>
          <cell r="ET291">
            <v>3.7999999999999999E-2</v>
          </cell>
          <cell r="EU291">
            <v>8.5000000000000006E-2</v>
          </cell>
          <cell r="EX291">
            <v>1.2E-2</v>
          </cell>
          <cell r="EY291">
            <v>-3.3000000000000002E-2</v>
          </cell>
          <cell r="EZ291">
            <v>2.4E-2</v>
          </cell>
          <cell r="FA291">
            <v>0.13400000000000001</v>
          </cell>
          <cell r="FD291">
            <v>-3.5000000000000003E-2</v>
          </cell>
          <cell r="FE291">
            <v>-1.4999999999999999E-2</v>
          </cell>
          <cell r="FF291">
            <v>-4.8000000000000001E-2</v>
          </cell>
          <cell r="FG291">
            <v>-0.13300000000000001</v>
          </cell>
          <cell r="FJ291">
            <v>-8.5000000000000006E-2</v>
          </cell>
          <cell r="FK291">
            <v>-9.0999999999999998E-2</v>
          </cell>
          <cell r="FL291">
            <v>-8.1000000000000003E-2</v>
          </cell>
          <cell r="FM291">
            <v>-6.0999999999999999E-2</v>
          </cell>
          <cell r="FP291">
            <v>3.6999999999999998E-2</v>
          </cell>
          <cell r="FQ291">
            <v>1.4E-2</v>
          </cell>
          <cell r="FR291">
            <v>4.2999999999999997E-2</v>
          </cell>
          <cell r="FS291">
            <v>6.0999999999999999E-2</v>
          </cell>
          <cell r="FV291">
            <v>5.8000000000000003E-2</v>
          </cell>
          <cell r="FW291">
            <v>7.3999999999999996E-2</v>
          </cell>
          <cell r="FX291">
            <v>0.05</v>
          </cell>
          <cell r="FY291">
            <v>4.8000000000000001E-2</v>
          </cell>
          <cell r="GB291">
            <v>4.5999999999999999E-2</v>
          </cell>
          <cell r="GC291">
            <v>4.2000000000000003E-2</v>
          </cell>
          <cell r="GD291">
            <v>5.0999999999999997E-2</v>
          </cell>
          <cell r="GE291">
            <v>0.02</v>
          </cell>
        </row>
        <row r="292">
          <cell r="AN292" t="str">
            <v>Month 2</v>
          </cell>
          <cell r="EL292" t="str">
            <v>Month 2</v>
          </cell>
          <cell r="ER292">
            <v>0</v>
          </cell>
          <cell r="ES292">
            <v>1.7000000000000001E-2</v>
          </cell>
          <cell r="ET292">
            <v>6.5000000000000002E-2</v>
          </cell>
          <cell r="EU292">
            <v>4.3999999999999997E-2</v>
          </cell>
          <cell r="EX292">
            <v>2.3E-2</v>
          </cell>
          <cell r="EY292">
            <v>-2.7E-2</v>
          </cell>
          <cell r="EZ292">
            <v>-2.7E-2</v>
          </cell>
          <cell r="FA292">
            <v>-7.9000000000000001E-2</v>
          </cell>
          <cell r="FD292">
            <v>-6.2E-2</v>
          </cell>
          <cell r="FE292">
            <v>-2.1000000000000001E-2</v>
          </cell>
          <cell r="FF292">
            <v>-6.6000000000000003E-2</v>
          </cell>
          <cell r="FG292">
            <v>-0.04</v>
          </cell>
          <cell r="FJ292">
            <v>-9.1999999999999998E-2</v>
          </cell>
          <cell r="FK292">
            <v>-8.8999999999999996E-2</v>
          </cell>
          <cell r="FL292">
            <v>-2.3E-2</v>
          </cell>
          <cell r="FM292">
            <v>0.01</v>
          </cell>
          <cell r="FP292">
            <v>0.10800000000000001</v>
          </cell>
          <cell r="FQ292">
            <v>6.5000000000000002E-2</v>
          </cell>
          <cell r="FR292">
            <v>4.8000000000000001E-2</v>
          </cell>
          <cell r="FS292">
            <v>3.9E-2</v>
          </cell>
          <cell r="FV292">
            <v>8.9999999999999993E-3</v>
          </cell>
          <cell r="FW292">
            <v>6.7000000000000004E-2</v>
          </cell>
          <cell r="FX292">
            <v>4.9000000000000002E-2</v>
          </cell>
          <cell r="FY292">
            <v>6.2E-2</v>
          </cell>
          <cell r="GB292">
            <v>7.2999999999999995E-2</v>
          </cell>
          <cell r="GC292">
            <v>1.2E-2</v>
          </cell>
          <cell r="GD292">
            <v>9.9999999999999985E-3</v>
          </cell>
          <cell r="GE292">
            <v>0.02</v>
          </cell>
        </row>
        <row r="293">
          <cell r="AN293" t="str">
            <v>Month 3</v>
          </cell>
          <cell r="EL293" t="str">
            <v>Month 3</v>
          </cell>
          <cell r="ER293">
            <v>-8.0000000000000002E-3</v>
          </cell>
          <cell r="ES293">
            <v>3.3000000000000002E-2</v>
          </cell>
          <cell r="ET293">
            <v>7.6999999999999999E-2</v>
          </cell>
          <cell r="EU293">
            <v>8.5999999999999993E-2</v>
          </cell>
          <cell r="EX293">
            <v>-2.1999999999999999E-2</v>
          </cell>
          <cell r="EY293">
            <v>-1.4E-2</v>
          </cell>
          <cell r="EZ293">
            <v>-1.4999999999999999E-2</v>
          </cell>
          <cell r="FA293">
            <v>-7.0999999999999994E-2</v>
          </cell>
          <cell r="FD293">
            <v>0.03</v>
          </cell>
          <cell r="FE293">
            <v>-2.9000000000000001E-2</v>
          </cell>
          <cell r="FF293">
            <v>-6.3E-2</v>
          </cell>
          <cell r="FG293">
            <v>-4.4999999999999998E-2</v>
          </cell>
          <cell r="FJ293">
            <v>-9.0999999999999998E-2</v>
          </cell>
          <cell r="FK293">
            <v>-0.107</v>
          </cell>
          <cell r="FL293">
            <v>-8.0000000000000002E-3</v>
          </cell>
          <cell r="FM293">
            <v>3.4000000000000002E-2</v>
          </cell>
          <cell r="FP293">
            <v>1.0999999999999999E-2</v>
          </cell>
          <cell r="FQ293">
            <v>7.2999999999999995E-2</v>
          </cell>
          <cell r="FR293">
            <v>2.5000000000000001E-2</v>
          </cell>
          <cell r="FS293">
            <v>2.5999999999999999E-2</v>
          </cell>
          <cell r="FV293">
            <v>0.108</v>
          </cell>
          <cell r="FW293">
            <v>0.05</v>
          </cell>
          <cell r="FX293">
            <v>2.1999999999999999E-2</v>
          </cell>
          <cell r="FY293">
            <v>2.4E-2</v>
          </cell>
          <cell r="GB293">
            <v>1.2E-2</v>
          </cell>
          <cell r="GC293">
            <v>4.1000000000000002E-2</v>
          </cell>
          <cell r="GD293">
            <v>3.5000000000000003E-2</v>
          </cell>
          <cell r="GE293">
            <v>3.0000000000000002E-2</v>
          </cell>
        </row>
        <row r="294">
          <cell r="AN294" t="str">
            <v>Total</v>
          </cell>
          <cell r="EL294" t="str">
            <v>Total</v>
          </cell>
          <cell r="ER294">
            <v>0</v>
          </cell>
          <cell r="ES294">
            <v>4.5999999999999999E-2</v>
          </cell>
          <cell r="ET294">
            <v>5.8999999999999997E-2</v>
          </cell>
          <cell r="EU294">
            <v>6.0999999999999999E-2</v>
          </cell>
          <cell r="EV294">
            <v>4.3999999999999997E-2</v>
          </cell>
          <cell r="EX294">
            <v>6.0000000000000001E-3</v>
          </cell>
          <cell r="EY294">
            <v>-2.5999999999999999E-2</v>
          </cell>
          <cell r="EZ294">
            <v>-8.0000000000000002E-3</v>
          </cell>
          <cell r="FA294">
            <v>-0.02</v>
          </cell>
          <cell r="FB294">
            <v>-1.2999999999999999E-2</v>
          </cell>
          <cell r="FD294">
            <v>-2.5999999999999999E-2</v>
          </cell>
          <cell r="FE294">
            <v>-2.1000000000000001E-2</v>
          </cell>
          <cell r="FF294">
            <v>-0.06</v>
          </cell>
          <cell r="FG294">
            <v>-7.0000000000000007E-2</v>
          </cell>
          <cell r="FH294">
            <v>-4.4999999999999998E-2</v>
          </cell>
          <cell r="FJ294">
            <v>-0.09</v>
          </cell>
          <cell r="FK294">
            <v>-9.5000000000000001E-2</v>
          </cell>
          <cell r="FL294">
            <v>-3.5999999999999997E-2</v>
          </cell>
          <cell r="FM294">
            <v>-5.8512769677805648E-3</v>
          </cell>
          <cell r="FN294">
            <v>-5.0968425652024113E-2</v>
          </cell>
          <cell r="FP294">
            <v>5.5E-2</v>
          </cell>
          <cell r="FQ294">
            <v>4.9000000000000002E-2</v>
          </cell>
          <cell r="FR294">
            <v>3.9E-2</v>
          </cell>
          <cell r="FS294">
            <v>4.2999999999999997E-2</v>
          </cell>
          <cell r="FT294">
            <v>4.610434747830261E-2</v>
          </cell>
          <cell r="FV294">
            <v>5.3999999999999999E-2</v>
          </cell>
          <cell r="FW294">
            <v>6.4000000000000001E-2</v>
          </cell>
          <cell r="FX294">
            <v>0.04</v>
          </cell>
          <cell r="FY294">
            <v>5.1999999999999998E-2</v>
          </cell>
          <cell r="FZ294">
            <v>5.2999999999999999E-2</v>
          </cell>
          <cell r="GB294">
            <v>4.3999999999999997E-2</v>
          </cell>
          <cell r="GC294">
            <v>0.03</v>
          </cell>
          <cell r="GD294">
            <v>3.0264561666167575E-2</v>
          </cell>
          <cell r="GE294">
            <v>2.1872328549304036E-2</v>
          </cell>
          <cell r="GF294">
            <v>3.0470716044687752E-2</v>
          </cell>
        </row>
        <row r="296">
          <cell r="AN296" t="str">
            <v xml:space="preserve">Consolidated Productivity Factor </v>
          </cell>
          <cell r="EL296" t="str">
            <v xml:space="preserve">Consolidated Productivity Factor </v>
          </cell>
        </row>
        <row r="297">
          <cell r="AN297" t="str">
            <v>Month 1</v>
          </cell>
          <cell r="EL297" t="str">
            <v>Month 1</v>
          </cell>
          <cell r="ER297">
            <v>0.85379589916801657</v>
          </cell>
          <cell r="ES297">
            <v>0.82852877251430668</v>
          </cell>
          <cell r="ET297">
            <v>0.83475030563790842</v>
          </cell>
          <cell r="EU297">
            <v>0.91480422703367681</v>
          </cell>
          <cell r="EX297">
            <v>1.0042251017232908</v>
          </cell>
          <cell r="EY297">
            <v>1.0108075527611304</v>
          </cell>
          <cell r="EZ297">
            <v>1.0032705612197608</v>
          </cell>
          <cell r="FA297">
            <v>0.99617129302855612</v>
          </cell>
          <cell r="FD297">
            <v>1.0047260256693704</v>
          </cell>
          <cell r="FE297">
            <v>1.0011731147187122</v>
          </cell>
          <cell r="FF297">
            <v>1.0015681684828099</v>
          </cell>
          <cell r="FG297">
            <v>0.9980273685296247</v>
          </cell>
          <cell r="FJ297">
            <v>1.0146680194879518</v>
          </cell>
          <cell r="FK297">
            <v>1.0229325701507319</v>
          </cell>
          <cell r="FL297">
            <v>1.0237530410429481</v>
          </cell>
          <cell r="FM297">
            <v>1.0168796021749338</v>
          </cell>
          <cell r="FP297">
            <v>1.0016060228776302</v>
          </cell>
          <cell r="FQ297">
            <v>0.98881215735067063</v>
          </cell>
          <cell r="FR297">
            <v>1.0007452413933455</v>
          </cell>
          <cell r="FS297">
            <v>1.0028115913956974</v>
          </cell>
          <cell r="FV297">
            <v>1.0005096291516782</v>
          </cell>
          <cell r="FW297">
            <v>1.0081721608307339</v>
          </cell>
          <cell r="FX297">
            <v>0.99435769750356207</v>
          </cell>
          <cell r="FY297">
            <v>1.0114048185081832</v>
          </cell>
          <cell r="GB297">
            <v>1.0253009585429893</v>
          </cell>
          <cell r="GC297">
            <v>1.0133052611979987</v>
          </cell>
          <cell r="GD297">
            <v>1.018088666893139</v>
          </cell>
          <cell r="GE297">
            <v>1</v>
          </cell>
        </row>
        <row r="298">
          <cell r="AN298" t="str">
            <v>Month 2</v>
          </cell>
          <cell r="EL298" t="str">
            <v>Month 2</v>
          </cell>
          <cell r="ER298">
            <v>0.87143545576033965</v>
          </cell>
          <cell r="ES298">
            <v>0.86259214604526391</v>
          </cell>
          <cell r="ET298">
            <v>0.95476655228407081</v>
          </cell>
          <cell r="EU298">
            <v>0.95390310394604827</v>
          </cell>
          <cell r="EX298">
            <v>0.99756383077735888</v>
          </cell>
          <cell r="EY298">
            <v>1.0076309712339664</v>
          </cell>
          <cell r="EZ298">
            <v>1.0058439901456568</v>
          </cell>
          <cell r="FA298">
            <v>1.0104925603418453</v>
          </cell>
          <cell r="FD298">
            <v>1.0038919718017412</v>
          </cell>
          <cell r="FE298">
            <v>1.0002262623646179</v>
          </cell>
          <cell r="FF298">
            <v>1.0022779610885877</v>
          </cell>
          <cell r="FG298">
            <v>0.98797059201406712</v>
          </cell>
          <cell r="FJ298">
            <v>1.0172356632303496</v>
          </cell>
          <cell r="FK298">
            <v>1.0266388149144143</v>
          </cell>
          <cell r="FL298">
            <v>1.0185440088098592</v>
          </cell>
          <cell r="FM298">
            <v>1.0150644106268683</v>
          </cell>
          <cell r="FP298">
            <v>0.9967530496300272</v>
          </cell>
          <cell r="FQ298">
            <v>0.99989171377441255</v>
          </cell>
          <cell r="FR298">
            <v>1.0028971230689774</v>
          </cell>
          <cell r="FS298">
            <v>0.9946391314592461</v>
          </cell>
          <cell r="FV298">
            <v>1.0074992903911262</v>
          </cell>
          <cell r="FW298">
            <v>1.0057878604073234</v>
          </cell>
          <cell r="FX298">
            <v>1.0057401642886414</v>
          </cell>
          <cell r="FY298">
            <v>1.0118477756232767</v>
          </cell>
          <cell r="GB298">
            <v>1.0102541230632647</v>
          </cell>
          <cell r="GC298">
            <v>1.011143062170935</v>
          </cell>
          <cell r="GD298">
            <v>1</v>
          </cell>
          <cell r="GE298">
            <v>1</v>
          </cell>
        </row>
        <row r="299">
          <cell r="AN299" t="str">
            <v>Month 3</v>
          </cell>
          <cell r="EL299" t="str">
            <v>Month 3</v>
          </cell>
          <cell r="ER299">
            <v>0.85509041472763314</v>
          </cell>
          <cell r="ES299">
            <v>0.83302342705472399</v>
          </cell>
          <cell r="ET299">
            <v>0.9300581404093593</v>
          </cell>
          <cell r="EU299">
            <v>0.88885616548937241</v>
          </cell>
          <cell r="EX299">
            <v>1.0012993536198342</v>
          </cell>
          <cell r="EY299">
            <v>1.0067406823426219</v>
          </cell>
          <cell r="EZ299">
            <v>1.0010354929971583</v>
          </cell>
          <cell r="FA299">
            <v>0.77697496531497701</v>
          </cell>
          <cell r="FD299">
            <v>0.99998610863561077</v>
          </cell>
          <cell r="FE299">
            <v>1.0000776716315167</v>
          </cell>
          <cell r="FF299">
            <v>1.0026881239876493</v>
          </cell>
          <cell r="FG299">
            <v>1.0034001517037674</v>
          </cell>
          <cell r="FJ299">
            <v>1.017274065207098</v>
          </cell>
          <cell r="FK299">
            <v>1.0307481774152398</v>
          </cell>
          <cell r="FL299">
            <v>1.0154616377110075</v>
          </cell>
          <cell r="FM299">
            <v>1.009307170702717</v>
          </cell>
          <cell r="FP299">
            <v>1.0005893323256754</v>
          </cell>
          <cell r="FQ299">
            <v>1.0111137394005785</v>
          </cell>
          <cell r="FR299">
            <v>1.0254628236300125</v>
          </cell>
          <cell r="FS299">
            <v>1.00775043725629</v>
          </cell>
          <cell r="FV299">
            <v>0.99618702023241001</v>
          </cell>
          <cell r="FW299">
            <v>1.0047825549823146</v>
          </cell>
          <cell r="FX299">
            <v>1.0004489851343907</v>
          </cell>
          <cell r="FY299">
            <v>1.008520012530175</v>
          </cell>
          <cell r="GB299">
            <v>1.0062765433093959</v>
          </cell>
          <cell r="GC299">
            <v>1.0227639737625074</v>
          </cell>
          <cell r="GD299">
            <v>1</v>
          </cell>
          <cell r="GE299">
            <v>1</v>
          </cell>
        </row>
        <row r="300">
          <cell r="AN300" t="str">
            <v>Total</v>
          </cell>
          <cell r="EL300" t="str">
            <v>Total</v>
          </cell>
        </row>
        <row r="302">
          <cell r="AN302" t="str">
            <v>Cost of Goods Sold</v>
          </cell>
          <cell r="EL302" t="str">
            <v>Cost of Goods Sold</v>
          </cell>
          <cell r="ER302">
            <v>3627</v>
          </cell>
          <cell r="ES302">
            <v>3470</v>
          </cell>
          <cell r="ET302">
            <v>3513</v>
          </cell>
          <cell r="EU302">
            <v>5409</v>
          </cell>
          <cell r="EV302">
            <v>16019</v>
          </cell>
          <cell r="EX302">
            <v>3564</v>
          </cell>
          <cell r="EY302">
            <v>3507</v>
          </cell>
          <cell r="EZ302">
            <v>3585</v>
          </cell>
          <cell r="FA302">
            <v>5021</v>
          </cell>
          <cell r="FB302">
            <v>15677</v>
          </cell>
          <cell r="FD302">
            <v>3527</v>
          </cell>
          <cell r="FE302">
            <v>3346</v>
          </cell>
          <cell r="FF302">
            <v>3324</v>
          </cell>
          <cell r="FG302">
            <v>4812</v>
          </cell>
          <cell r="FH302">
            <v>15009</v>
          </cell>
          <cell r="FJ302">
            <v>3279</v>
          </cell>
          <cell r="FK302">
            <v>3117</v>
          </cell>
          <cell r="FL302">
            <v>3241</v>
          </cell>
          <cell r="FM302">
            <v>4641</v>
          </cell>
          <cell r="FN302">
            <v>14278</v>
          </cell>
          <cell r="FP302">
            <v>3378</v>
          </cell>
          <cell r="FQ302">
            <v>3214</v>
          </cell>
          <cell r="FR302">
            <v>3377</v>
          </cell>
          <cell r="FS302">
            <v>4855</v>
          </cell>
          <cell r="FT302">
            <v>14824</v>
          </cell>
          <cell r="FV302">
            <v>3586</v>
          </cell>
          <cell r="FW302">
            <v>3457</v>
          </cell>
          <cell r="FX302">
            <v>3544</v>
          </cell>
          <cell r="FY302">
            <v>5151</v>
          </cell>
          <cell r="FZ302">
            <v>15738</v>
          </cell>
          <cell r="GB302">
            <v>3757</v>
          </cell>
          <cell r="GC302">
            <v>3555</v>
          </cell>
          <cell r="GD302">
            <v>3637.655406064408</v>
          </cell>
          <cell r="GE302">
            <v>5421.68776484106</v>
          </cell>
          <cell r="GF302">
            <v>16371.343170905468</v>
          </cell>
        </row>
        <row r="303">
          <cell r="AN303" t="str">
            <v>% of Sales</v>
          </cell>
          <cell r="EL303" t="str">
            <v>% of Sales</v>
          </cell>
          <cell r="ER303">
            <v>0.61163575042158513</v>
          </cell>
          <cell r="ES303">
            <v>0.57881567973311088</v>
          </cell>
          <cell r="ET303">
            <v>0.59683995922528033</v>
          </cell>
          <cell r="EU303">
            <v>0.59056665574844414</v>
          </cell>
          <cell r="EV303">
            <v>0.59395624768261035</v>
          </cell>
          <cell r="EX303">
            <v>0.60192535044755957</v>
          </cell>
          <cell r="EY303">
            <v>0.59521384928716903</v>
          </cell>
          <cell r="EZ303">
            <v>0.60700982052150354</v>
          </cell>
          <cell r="FA303">
            <v>0.58424482196881544</v>
          </cell>
          <cell r="FB303">
            <v>0.59578915365028695</v>
          </cell>
          <cell r="FD303">
            <v>0.61371150165303634</v>
          </cell>
          <cell r="FE303">
            <v>0.5851696397341728</v>
          </cell>
          <cell r="FF303">
            <v>0.60513380666302563</v>
          </cell>
          <cell r="FG303">
            <v>0.60650365515502902</v>
          </cell>
          <cell r="FH303">
            <v>0.60296480797043228</v>
          </cell>
          <cell r="FJ303">
            <v>0.62008320726172461</v>
          </cell>
          <cell r="FK303">
            <v>0.58978240302743612</v>
          </cell>
          <cell r="FL303">
            <v>0.6018570102135562</v>
          </cell>
          <cell r="FM303">
            <v>0.58406745532343318</v>
          </cell>
          <cell r="FN303">
            <v>0.59730589022757696</v>
          </cell>
          <cell r="FP303">
            <v>0.60602798708288486</v>
          </cell>
          <cell r="FQ303">
            <v>0.58045873216543253</v>
          </cell>
          <cell r="FR303">
            <v>0.60056909123243818</v>
          </cell>
          <cell r="FS303">
            <v>0.58713266416737209</v>
          </cell>
          <cell r="FT303">
            <v>0.59288885333759944</v>
          </cell>
          <cell r="FV303">
            <v>0.60893190694515198</v>
          </cell>
          <cell r="FW303">
            <v>0.58208452601448057</v>
          </cell>
          <cell r="FX303">
            <v>0.60550145224671104</v>
          </cell>
          <cell r="FY303">
            <v>0.59044016506189823</v>
          </cell>
          <cell r="FZ303">
            <v>0.59602348040143915</v>
          </cell>
          <cell r="GB303">
            <v>0.61159042812957842</v>
          </cell>
          <cell r="GC303">
            <v>0.58107224583197126</v>
          </cell>
          <cell r="GD303">
            <v>0.60750145224671104</v>
          </cell>
          <cell r="GE303">
            <v>0.59012736950345424</v>
          </cell>
          <cell r="GF303">
            <v>0.59670562849962006</v>
          </cell>
        </row>
        <row r="304">
          <cell r="AN304" t="str">
            <v>BPS Change</v>
          </cell>
          <cell r="EL304" t="str">
            <v>BPS Change</v>
          </cell>
          <cell r="ER304">
            <v>139.97738886292632</v>
          </cell>
          <cell r="ES304">
            <v>-79.90834205613973</v>
          </cell>
          <cell r="ET304">
            <v>6.2033726308408088</v>
          </cell>
          <cell r="EU304">
            <v>-5.9414249625333593</v>
          </cell>
          <cell r="EV304">
            <v>11.916206169559906</v>
          </cell>
          <cell r="EX304">
            <v>-97.103999740255631</v>
          </cell>
          <cell r="EY304">
            <v>163.98169554058151</v>
          </cell>
          <cell r="EZ304">
            <v>101.69861296223215</v>
          </cell>
          <cell r="FA304">
            <v>-63.218337796286939</v>
          </cell>
          <cell r="FB304">
            <v>18.329059676766015</v>
          </cell>
          <cell r="FD304">
            <v>117.86151205476769</v>
          </cell>
          <cell r="FE304">
            <v>-100.4420955299623</v>
          </cell>
          <cell r="FF304">
            <v>-18.760138584779096</v>
          </cell>
          <cell r="FG304">
            <v>222.58833186213579</v>
          </cell>
          <cell r="FH304">
            <v>71.756543201453297</v>
          </cell>
          <cell r="FJ304">
            <v>63.717056086882721</v>
          </cell>
          <cell r="FK304">
            <v>46.127632932633219</v>
          </cell>
          <cell r="FL304">
            <v>-32.767964494694326</v>
          </cell>
          <cell r="FM304">
            <v>-224.36199831595837</v>
          </cell>
          <cell r="FN304">
            <v>-56.589177428553185</v>
          </cell>
          <cell r="FP304">
            <v>-140.55220178839755</v>
          </cell>
          <cell r="FQ304">
            <v>-93.236708620035856</v>
          </cell>
          <cell r="FR304">
            <v>-12.879189811180192</v>
          </cell>
          <cell r="FS304">
            <v>30.652088439389047</v>
          </cell>
          <cell r="FT304">
            <v>-44.170368899775212</v>
          </cell>
          <cell r="FV304">
            <v>29.039198622671236</v>
          </cell>
          <cell r="FW304">
            <v>16.257938490480406</v>
          </cell>
          <cell r="FX304">
            <v>49.323610142728569</v>
          </cell>
          <cell r="FY304">
            <v>33.075008945261388</v>
          </cell>
          <cell r="FZ304">
            <v>31.346270638397122</v>
          </cell>
          <cell r="GB304">
            <v>26.585211844264435</v>
          </cell>
          <cell r="GC304">
            <v>-10.122801825093175</v>
          </cell>
          <cell r="GD304">
            <v>20.000000000000018</v>
          </cell>
          <cell r="GE304">
            <v>-3.127955584439901</v>
          </cell>
          <cell r="GF304">
            <v>6.8214809818090139</v>
          </cell>
        </row>
        <row r="306">
          <cell r="AN306" t="str">
            <v>Gross Income</v>
          </cell>
          <cell r="EL306" t="str">
            <v>Gross Income</v>
          </cell>
          <cell r="ER306">
            <v>2303</v>
          </cell>
          <cell r="ES306">
            <v>2525</v>
          </cell>
          <cell r="ET306">
            <v>2373</v>
          </cell>
          <cell r="EU306">
            <v>3750</v>
          </cell>
          <cell r="EV306">
            <v>10951</v>
          </cell>
          <cell r="EX306">
            <v>2357</v>
          </cell>
          <cell r="EY306">
            <v>2385</v>
          </cell>
          <cell r="EZ306">
            <v>2321</v>
          </cell>
          <cell r="FA306">
            <v>3573</v>
          </cell>
          <cell r="FB306">
            <v>10636</v>
          </cell>
          <cell r="FD306">
            <v>2220</v>
          </cell>
          <cell r="FE306">
            <v>2372</v>
          </cell>
          <cell r="FF306">
            <v>2169</v>
          </cell>
          <cell r="FG306">
            <v>3122</v>
          </cell>
          <cell r="FH306">
            <v>9883</v>
          </cell>
          <cell r="FJ306">
            <v>2009</v>
          </cell>
          <cell r="FK306">
            <v>2168</v>
          </cell>
          <cell r="FL306">
            <v>2144</v>
          </cell>
          <cell r="FM306">
            <v>3296</v>
          </cell>
          <cell r="FN306">
            <v>9617</v>
          </cell>
          <cell r="FP306">
            <v>2196</v>
          </cell>
          <cell r="FQ306">
            <v>2323</v>
          </cell>
          <cell r="FR306">
            <v>2246</v>
          </cell>
          <cell r="FS306">
            <v>3414</v>
          </cell>
          <cell r="FT306">
            <v>10179</v>
          </cell>
          <cell r="FV306">
            <v>2303</v>
          </cell>
          <cell r="FW306">
            <v>2482</v>
          </cell>
          <cell r="FX306">
            <v>2309</v>
          </cell>
          <cell r="FY306">
            <v>3573</v>
          </cell>
          <cell r="FZ306">
            <v>10667</v>
          </cell>
          <cell r="GB306">
            <v>2386</v>
          </cell>
          <cell r="GC306">
            <v>2563</v>
          </cell>
          <cell r="GD306">
            <v>2350.2404131329554</v>
          </cell>
          <cell r="GE306">
            <v>3765.6301685789467</v>
          </cell>
          <cell r="GF306">
            <v>11064.870581711901</v>
          </cell>
        </row>
        <row r="307">
          <cell r="AN307" t="str">
            <v>Gross Margin</v>
          </cell>
          <cell r="EL307" t="str">
            <v>Gross Margin</v>
          </cell>
          <cell r="ER307">
            <v>0.38836424957841487</v>
          </cell>
          <cell r="ES307">
            <v>0.42118432026688907</v>
          </cell>
          <cell r="ET307">
            <v>0.40316004077471967</v>
          </cell>
          <cell r="EU307">
            <v>0.40943334425155586</v>
          </cell>
          <cell r="EV307">
            <v>0.40604375231738971</v>
          </cell>
          <cell r="EX307">
            <v>0.39807464955244048</v>
          </cell>
          <cell r="EY307">
            <v>0.40478615071283097</v>
          </cell>
          <cell r="EZ307">
            <v>0.39299017947849646</v>
          </cell>
          <cell r="FA307">
            <v>0.41575517803118456</v>
          </cell>
          <cell r="FB307">
            <v>0.40421084634971305</v>
          </cell>
          <cell r="FD307">
            <v>0.38628849834696366</v>
          </cell>
          <cell r="FE307">
            <v>0.4148303602658272</v>
          </cell>
          <cell r="FF307">
            <v>0.39486619333697431</v>
          </cell>
          <cell r="FG307">
            <v>0.39349634484497104</v>
          </cell>
          <cell r="FH307">
            <v>0.39703519202956772</v>
          </cell>
          <cell r="FJ307">
            <v>0.37991679273827533</v>
          </cell>
          <cell r="FK307">
            <v>0.41021759697256388</v>
          </cell>
          <cell r="FL307">
            <v>0.3981429897864438</v>
          </cell>
          <cell r="FM307">
            <v>0.41479989932041278</v>
          </cell>
          <cell r="FN307">
            <v>0.40231760374832665</v>
          </cell>
          <cell r="FP307">
            <v>0.3939720129171152</v>
          </cell>
          <cell r="FQ307">
            <v>0.41954126783456747</v>
          </cell>
          <cell r="FR307">
            <v>0.39943090876756182</v>
          </cell>
          <cell r="FS307">
            <v>0.41286733583262791</v>
          </cell>
          <cell r="FT307">
            <v>0.4071111466624005</v>
          </cell>
          <cell r="FV307">
            <v>0.39106809305484802</v>
          </cell>
          <cell r="FW307">
            <v>0.41791547398551943</v>
          </cell>
          <cell r="FX307">
            <v>0.39449854775328891</v>
          </cell>
          <cell r="FY307">
            <v>0.40955983493810177</v>
          </cell>
          <cell r="FZ307">
            <v>0.4039765195985609</v>
          </cell>
          <cell r="GB307">
            <v>0.38840957187042163</v>
          </cell>
          <cell r="GC307">
            <v>0.41892775416802874</v>
          </cell>
          <cell r="GD307">
            <v>0.39249854775328891</v>
          </cell>
          <cell r="GE307">
            <v>0.40987263049654576</v>
          </cell>
          <cell r="GF307">
            <v>0.40329437150037983</v>
          </cell>
        </row>
        <row r="308">
          <cell r="AN308" t="str">
            <v>BPS Change</v>
          </cell>
          <cell r="EL308" t="str">
            <v>BPS Change</v>
          </cell>
          <cell r="ER308">
            <v>-139.97738886292632</v>
          </cell>
          <cell r="ES308">
            <v>79.908342056138622</v>
          </cell>
          <cell r="ET308">
            <v>-6.2033726308408088</v>
          </cell>
          <cell r="EU308">
            <v>5.9414249625339144</v>
          </cell>
          <cell r="EV308">
            <v>-11.916206169559906</v>
          </cell>
          <cell r="EX308">
            <v>97.103999740256185</v>
          </cell>
          <cell r="EY308">
            <v>-163.98169554058094</v>
          </cell>
          <cell r="EZ308">
            <v>-101.69861296223215</v>
          </cell>
          <cell r="FA308">
            <v>63.218337796286939</v>
          </cell>
          <cell r="FB308">
            <v>-18.329059676766569</v>
          </cell>
          <cell r="FD308">
            <v>-117.86151205476824</v>
          </cell>
          <cell r="FE308">
            <v>100.4420955299623</v>
          </cell>
          <cell r="FF308">
            <v>18.760138584778542</v>
          </cell>
          <cell r="FG308">
            <v>-222.58833186213522</v>
          </cell>
          <cell r="FH308">
            <v>-71.756543201453297</v>
          </cell>
          <cell r="FJ308">
            <v>-63.717056086883275</v>
          </cell>
          <cell r="FK308">
            <v>-46.127632932633219</v>
          </cell>
          <cell r="FL308">
            <v>32.76796449469488</v>
          </cell>
          <cell r="FM308">
            <v>213.03554475441743</v>
          </cell>
          <cell r="FN308">
            <v>52.82411718758928</v>
          </cell>
          <cell r="FP308">
            <v>140.55220178839866</v>
          </cell>
          <cell r="FQ308">
            <v>93.236708620035856</v>
          </cell>
          <cell r="FR308">
            <v>12.879189811180192</v>
          </cell>
          <cell r="FS308">
            <v>-19.325634877848664</v>
          </cell>
          <cell r="FT308">
            <v>47.935429140738563</v>
          </cell>
          <cell r="FV308">
            <v>-29.03919862267179</v>
          </cell>
          <cell r="FW308">
            <v>-16.257938490480406</v>
          </cell>
          <cell r="FX308">
            <v>-49.323610142729123</v>
          </cell>
          <cell r="FY308">
            <v>-33.075008945261388</v>
          </cell>
          <cell r="FZ308">
            <v>-31.346270638396014</v>
          </cell>
          <cell r="GB308">
            <v>-26.585211844263878</v>
          </cell>
          <cell r="GC308">
            <v>10.122801825093175</v>
          </cell>
          <cell r="GD308">
            <v>-20</v>
          </cell>
          <cell r="GE308">
            <v>3.1279555844399312</v>
          </cell>
          <cell r="GF308">
            <v>-6.8214809818106792</v>
          </cell>
        </row>
        <row r="310">
          <cell r="AN310" t="str">
            <v>Total SG&amp;A</v>
          </cell>
          <cell r="EL310" t="str">
            <v>Total SG&amp;A</v>
          </cell>
          <cell r="ER310">
            <v>2154</v>
          </cell>
          <cell r="ES310">
            <v>2117</v>
          </cell>
          <cell r="ET310">
            <v>2094</v>
          </cell>
          <cell r="EU310">
            <v>2313</v>
          </cell>
          <cell r="EV310">
            <v>8678</v>
          </cell>
          <cell r="EX310">
            <v>2113</v>
          </cell>
          <cell r="EY310">
            <v>2038</v>
          </cell>
          <cell r="EZ310">
            <v>2121</v>
          </cell>
          <cell r="FA310">
            <v>2282</v>
          </cell>
          <cell r="FB310">
            <v>8554</v>
          </cell>
          <cell r="FD310">
            <v>2080</v>
          </cell>
          <cell r="FE310">
            <v>2037</v>
          </cell>
          <cell r="FF310">
            <v>2085</v>
          </cell>
          <cell r="FG310">
            <v>2256</v>
          </cell>
          <cell r="FH310">
            <v>8458</v>
          </cell>
          <cell r="FJ310">
            <v>1985</v>
          </cell>
          <cell r="FK310">
            <v>1886</v>
          </cell>
          <cell r="FL310">
            <v>2056</v>
          </cell>
          <cell r="FM310">
            <v>2236</v>
          </cell>
          <cell r="FN310">
            <v>8163</v>
          </cell>
          <cell r="FP310">
            <v>1993</v>
          </cell>
          <cell r="FQ310">
            <v>1953</v>
          </cell>
          <cell r="FR310">
            <v>2069</v>
          </cell>
          <cell r="FS310">
            <v>2245</v>
          </cell>
          <cell r="FT310">
            <v>8260</v>
          </cell>
          <cell r="FV310">
            <v>1973</v>
          </cell>
          <cell r="FW310">
            <v>1976</v>
          </cell>
          <cell r="FX310">
            <v>2018</v>
          </cell>
          <cell r="FY310">
            <v>2314</v>
          </cell>
          <cell r="FZ310">
            <v>8281</v>
          </cell>
          <cell r="GB310">
            <v>1995</v>
          </cell>
          <cell r="GC310">
            <v>2009</v>
          </cell>
          <cell r="GD310">
            <v>2108.3871000833064</v>
          </cell>
          <cell r="GE310">
            <v>2403.7660222156705</v>
          </cell>
          <cell r="GF310">
            <v>8516.1531222989761</v>
          </cell>
        </row>
        <row r="311">
          <cell r="AN311" t="str">
            <v>SG&amp;A Ratio</v>
          </cell>
          <cell r="EL311" t="str">
            <v>SG&amp;A Ratio</v>
          </cell>
          <cell r="ER311">
            <v>0.36323777403035412</v>
          </cell>
          <cell r="ES311">
            <v>0.35312760633861551</v>
          </cell>
          <cell r="ET311">
            <v>0.35575942915392456</v>
          </cell>
          <cell r="EU311">
            <v>0.25253848673435964</v>
          </cell>
          <cell r="EV311">
            <v>0.32176492398961809</v>
          </cell>
          <cell r="EX311">
            <v>0.35686539435906095</v>
          </cell>
          <cell r="EY311">
            <v>0.34589273591310249</v>
          </cell>
          <cell r="EZ311">
            <v>0.35912631222485608</v>
          </cell>
          <cell r="FA311">
            <v>0.2655340935536421</v>
          </cell>
          <cell r="FB311">
            <v>0.32508645916467144</v>
          </cell>
          <cell r="FD311">
            <v>0.36192796241517311</v>
          </cell>
          <cell r="FE311">
            <v>0.35624344176285416</v>
          </cell>
          <cell r="FF311">
            <v>0.37957400327689789</v>
          </cell>
          <cell r="FG311">
            <v>0.28434585328963952</v>
          </cell>
          <cell r="FH311">
            <v>0.33978788365739998</v>
          </cell>
          <cell r="FJ311">
            <v>0.37537821482602118</v>
          </cell>
          <cell r="FK311">
            <v>0.35685903500473037</v>
          </cell>
          <cell r="FL311">
            <v>0.38180129990714951</v>
          </cell>
          <cell r="FM311">
            <v>0.28139944626227031</v>
          </cell>
          <cell r="FN311">
            <v>0.34149096385542171</v>
          </cell>
          <cell r="FP311">
            <v>0.35755292429135271</v>
          </cell>
          <cell r="FQ311">
            <v>0.3527180783817952</v>
          </cell>
          <cell r="FR311">
            <v>0.36795304997332384</v>
          </cell>
          <cell r="FS311">
            <v>0.27149594872415045</v>
          </cell>
          <cell r="FT311">
            <v>0.33036035675718911</v>
          </cell>
          <cell r="FV311">
            <v>0.33503141450161317</v>
          </cell>
          <cell r="FW311">
            <v>0.33271594544536115</v>
          </cell>
          <cell r="FX311">
            <v>0.34478045446779432</v>
          </cell>
          <cell r="FY311">
            <v>0.26524530032095367</v>
          </cell>
          <cell r="FZ311">
            <v>0.31361484567316794</v>
          </cell>
          <cell r="GB311">
            <v>0.32475988930489991</v>
          </cell>
          <cell r="GC311">
            <v>0.32837528604118993</v>
          </cell>
          <cell r="GD311">
            <v>0.35210818019307516</v>
          </cell>
          <cell r="GE311">
            <v>0.26163958182743124</v>
          </cell>
          <cell r="GF311">
            <v>0.31039826410036436</v>
          </cell>
        </row>
        <row r="312">
          <cell r="AN312" t="str">
            <v>BPS Change</v>
          </cell>
          <cell r="EL312" t="str">
            <v>BPS Change</v>
          </cell>
          <cell r="ER312">
            <v>300.87540578005888</v>
          </cell>
          <cell r="ES312">
            <v>202.54296926526084</v>
          </cell>
          <cell r="ET312">
            <v>5.8391160216936244</v>
          </cell>
          <cell r="EU312">
            <v>-178.61680437304796</v>
          </cell>
          <cell r="EV312">
            <v>100.18608670279094</v>
          </cell>
          <cell r="EX312">
            <v>-63.723796712931716</v>
          </cell>
          <cell r="EY312">
            <v>-72.348704255130187</v>
          </cell>
          <cell r="EZ312">
            <v>33.668830709315259</v>
          </cell>
          <cell r="FA312">
            <v>129.95606819282469</v>
          </cell>
          <cell r="FB312">
            <v>33.215351750533472</v>
          </cell>
          <cell r="FD312">
            <v>50.625680561121598</v>
          </cell>
          <cell r="FE312">
            <v>103.50705849751674</v>
          </cell>
          <cell r="FF312">
            <v>204.47691052041804</v>
          </cell>
          <cell r="FG312">
            <v>188.11759735997413</v>
          </cell>
          <cell r="FH312">
            <v>147.01424492728543</v>
          </cell>
          <cell r="FJ312">
            <v>134.50252410848074</v>
          </cell>
          <cell r="FK312">
            <v>6.1559324187621112</v>
          </cell>
          <cell r="FL312">
            <v>22.272966302516185</v>
          </cell>
          <cell r="FM312">
            <v>-29.464070273692023</v>
          </cell>
          <cell r="FN312">
            <v>17.030801980217337</v>
          </cell>
          <cell r="FP312">
            <v>-178.25290534668468</v>
          </cell>
          <cell r="FQ312">
            <v>-41.409566229351768</v>
          </cell>
          <cell r="FR312">
            <v>-138.48249933825662</v>
          </cell>
          <cell r="FS312">
            <v>-99.034975381198649</v>
          </cell>
          <cell r="FT312">
            <v>-111.30607098232603</v>
          </cell>
          <cell r="FV312">
            <v>-225.21509789739548</v>
          </cell>
          <cell r="FW312">
            <v>-200.02132936434046</v>
          </cell>
          <cell r="FX312">
            <v>-231.72595505529526</v>
          </cell>
          <cell r="FY312">
            <v>-62.506484031967787</v>
          </cell>
          <cell r="FZ312">
            <v>-167.45511084021169</v>
          </cell>
          <cell r="GB312">
            <v>-102.7152519671326</v>
          </cell>
          <cell r="GC312">
            <v>-43.406594041712211</v>
          </cell>
          <cell r="GD312">
            <v>73.277257252808397</v>
          </cell>
          <cell r="GE312">
            <v>-36.057184935224271</v>
          </cell>
          <cell r="GF312">
            <v>-32.165815728035781</v>
          </cell>
        </row>
        <row r="314">
          <cell r="AN314" t="str">
            <v>Operating Income</v>
          </cell>
          <cell r="EL314" t="str">
            <v>Operating Income</v>
          </cell>
          <cell r="ER314">
            <v>149</v>
          </cell>
          <cell r="ES314">
            <v>408</v>
          </cell>
          <cell r="ET314">
            <v>279</v>
          </cell>
          <cell r="EU314">
            <v>1437</v>
          </cell>
          <cell r="EV314">
            <v>2273</v>
          </cell>
          <cell r="EX314">
            <v>244</v>
          </cell>
          <cell r="EY314">
            <v>347</v>
          </cell>
          <cell r="EZ314">
            <v>200</v>
          </cell>
          <cell r="FA314">
            <v>1291</v>
          </cell>
          <cell r="FB314">
            <v>2082</v>
          </cell>
          <cell r="FD314">
            <v>140</v>
          </cell>
          <cell r="FE314">
            <v>335</v>
          </cell>
          <cell r="FF314">
            <v>84</v>
          </cell>
          <cell r="FG314">
            <v>866</v>
          </cell>
          <cell r="FH314">
            <v>1425</v>
          </cell>
          <cell r="FJ314">
            <v>24</v>
          </cell>
          <cell r="FK314">
            <v>282</v>
          </cell>
          <cell r="FL314">
            <v>88</v>
          </cell>
          <cell r="FM314">
            <v>1060</v>
          </cell>
          <cell r="FN314">
            <v>1454</v>
          </cell>
          <cell r="FP314">
            <v>203</v>
          </cell>
          <cell r="FQ314">
            <v>370</v>
          </cell>
          <cell r="FR314">
            <v>177</v>
          </cell>
          <cell r="FS314">
            <v>1169</v>
          </cell>
          <cell r="FT314">
            <v>1919</v>
          </cell>
          <cell r="FV314">
            <v>330</v>
          </cell>
          <cell r="FW314">
            <v>506</v>
          </cell>
          <cell r="FX314">
            <v>291</v>
          </cell>
          <cell r="FY314">
            <v>1259</v>
          </cell>
          <cell r="FZ314">
            <v>2386</v>
          </cell>
          <cell r="GB314">
            <v>391</v>
          </cell>
          <cell r="GC314">
            <v>554</v>
          </cell>
          <cell r="GD314">
            <v>241.85331304964893</v>
          </cell>
          <cell r="GE314">
            <v>1361.8641463632762</v>
          </cell>
          <cell r="GF314">
            <v>2548.7174594129251</v>
          </cell>
        </row>
        <row r="315">
          <cell r="AN315" t="str">
            <v>Operating Margin</v>
          </cell>
          <cell r="EL315" t="str">
            <v>Operating Margin</v>
          </cell>
          <cell r="ER315">
            <v>2.5126475548060707E-2</v>
          </cell>
          <cell r="ES315">
            <v>6.805671392827356E-2</v>
          </cell>
          <cell r="ET315">
            <v>4.7400611620795105E-2</v>
          </cell>
          <cell r="EU315">
            <v>0.1568948575171962</v>
          </cell>
          <cell r="EV315">
            <v>8.4278828327771602E-2</v>
          </cell>
          <cell r="EX315">
            <v>4.12092551933795E-2</v>
          </cell>
          <cell r="EY315">
            <v>5.8893414799728448E-2</v>
          </cell>
          <cell r="EZ315">
            <v>3.3863867253640365E-2</v>
          </cell>
          <cell r="FA315">
            <v>0.15022108447754248</v>
          </cell>
          <cell r="FB315">
            <v>7.9124387185041611E-2</v>
          </cell>
          <cell r="FD315">
            <v>2.4360535931790498E-2</v>
          </cell>
          <cell r="FE315">
            <v>5.8586918502973068E-2</v>
          </cell>
          <cell r="FF315">
            <v>1.5292190060076462E-2</v>
          </cell>
          <cell r="FG315">
            <v>0.10915049155533149</v>
          </cell>
          <cell r="FH315">
            <v>5.7247308372167766E-2</v>
          </cell>
          <cell r="FJ315">
            <v>4.5385779122541605E-3</v>
          </cell>
          <cell r="FK315">
            <v>5.3358561967833493E-2</v>
          </cell>
          <cell r="FL315">
            <v>1.6341689879294335E-2</v>
          </cell>
          <cell r="FM315">
            <v>0.13340045305814247</v>
          </cell>
          <cell r="FN315">
            <v>6.0826639892904953E-2</v>
          </cell>
          <cell r="FP315">
            <v>3.6419088625762472E-2</v>
          </cell>
          <cell r="FQ315">
            <v>6.6823189452772255E-2</v>
          </cell>
          <cell r="FR315">
            <v>3.1477858794237951E-2</v>
          </cell>
          <cell r="FS315">
            <v>0.14137138710847744</v>
          </cell>
          <cell r="FT315">
            <v>7.6750789905211378E-2</v>
          </cell>
          <cell r="FV315">
            <v>5.6036678553234846E-2</v>
          </cell>
          <cell r="FW315">
            <v>8.5199528540158276E-2</v>
          </cell>
          <cell r="FX315">
            <v>4.9718093285494619E-2</v>
          </cell>
          <cell r="FY315">
            <v>0.1443145346171481</v>
          </cell>
          <cell r="FZ315">
            <v>9.0361673925392919E-2</v>
          </cell>
          <cell r="GB315">
            <v>6.3649682565521726E-2</v>
          </cell>
          <cell r="GC315">
            <v>9.0552468126838842E-2</v>
          </cell>
          <cell r="GD315">
            <v>4.0390367560213782E-2</v>
          </cell>
          <cell r="GE315">
            <v>0.14823304866911449</v>
          </cell>
          <cell r="GF315">
            <v>9.2896107400015485E-2</v>
          </cell>
        </row>
        <row r="316">
          <cell r="AN316" t="str">
            <v>BPS Change</v>
          </cell>
          <cell r="EL316" t="str">
            <v>BPS Change</v>
          </cell>
          <cell r="ER316">
            <v>-440.85279464298537</v>
          </cell>
          <cell r="ES316">
            <v>-122.63462720912194</v>
          </cell>
          <cell r="ET316">
            <v>-12.042488652534988</v>
          </cell>
          <cell r="EU316">
            <v>184.5582293355813</v>
          </cell>
          <cell r="EV316">
            <v>-112.10229287235099</v>
          </cell>
          <cell r="EX316">
            <v>160.82779645318794</v>
          </cell>
          <cell r="EY316">
            <v>-91.632991285451112</v>
          </cell>
          <cell r="EZ316">
            <v>-135.36744367154739</v>
          </cell>
          <cell r="FA316">
            <v>-66.737730396537188</v>
          </cell>
          <cell r="FB316">
            <v>-51.544411427299899</v>
          </cell>
          <cell r="FD316">
            <v>-168.48719261589002</v>
          </cell>
          <cell r="FE316">
            <v>-3.0649629675538055</v>
          </cell>
          <cell r="FF316">
            <v>-185.71677193563903</v>
          </cell>
          <cell r="FG316">
            <v>-410.70592922210989</v>
          </cell>
          <cell r="FJ316">
            <v>-198.21958019536339</v>
          </cell>
          <cell r="FK316">
            <v>-52.283565351395751</v>
          </cell>
          <cell r="FL316">
            <v>10.494998192178731</v>
          </cell>
          <cell r="FM316">
            <v>242.49961502810973</v>
          </cell>
          <cell r="FP316">
            <v>318.80510713508306</v>
          </cell>
          <cell r="FQ316">
            <v>134.64627484938762</v>
          </cell>
          <cell r="FR316">
            <v>151.36168914943616</v>
          </cell>
          <cell r="FS316">
            <v>78.196673151046397</v>
          </cell>
          <cell r="FV316">
            <v>196.17589927472375</v>
          </cell>
          <cell r="FW316">
            <v>183.7633908738602</v>
          </cell>
          <cell r="FX316">
            <v>182.40234491256669</v>
          </cell>
          <cell r="FY316">
            <v>29.431475086706683</v>
          </cell>
          <cell r="GB316">
            <v>76.130040122868792</v>
          </cell>
          <cell r="GC316">
            <v>53.529395866805665</v>
          </cell>
          <cell r="GD316">
            <v>-93.277257252808369</v>
          </cell>
          <cell r="GE316">
            <v>39.185140519663875</v>
          </cell>
        </row>
        <row r="318">
          <cell r="AN318" t="str">
            <v>Assumptions Spreads</v>
          </cell>
        </row>
        <row r="319">
          <cell r="AN319" t="str">
            <v>Bull Case Assumptions</v>
          </cell>
        </row>
        <row r="320">
          <cell r="AN320" t="str">
            <v>Monthly Comps</v>
          </cell>
        </row>
        <row r="321">
          <cell r="AN321" t="str">
            <v>Month 1</v>
          </cell>
          <cell r="GE321">
            <v>0.02</v>
          </cell>
        </row>
        <row r="322">
          <cell r="AN322" t="str">
            <v>Month 2</v>
          </cell>
          <cell r="GD322">
            <v>0.02</v>
          </cell>
          <cell r="GE322">
            <v>0.02</v>
          </cell>
        </row>
        <row r="323">
          <cell r="AN323" t="str">
            <v>Month 3</v>
          </cell>
          <cell r="GD323">
            <v>0.02</v>
          </cell>
          <cell r="GE323">
            <v>0.02</v>
          </cell>
        </row>
        <row r="324">
          <cell r="AN324" t="str">
            <v xml:space="preserve">  Total</v>
          </cell>
        </row>
        <row r="325">
          <cell r="AN325" t="str">
            <v>Y/Y ∆ Gross Margin (bps)</v>
          </cell>
          <cell r="GD325">
            <v>35</v>
          </cell>
          <cell r="GE325">
            <v>35</v>
          </cell>
        </row>
        <row r="326">
          <cell r="AN326" t="str">
            <v>Y/Y ∆ SG&amp;A Ratio (bps)</v>
          </cell>
          <cell r="GD326">
            <v>-24</v>
          </cell>
          <cell r="GE326">
            <v>-24</v>
          </cell>
        </row>
        <row r="328">
          <cell r="AN328" t="str">
            <v>Bear Case Assumptions</v>
          </cell>
        </row>
        <row r="329">
          <cell r="AN329" t="str">
            <v>Monthly Comps</v>
          </cell>
        </row>
        <row r="330">
          <cell r="AN330" t="str">
            <v>Month 1</v>
          </cell>
          <cell r="GE330">
            <v>-0.02</v>
          </cell>
        </row>
        <row r="331">
          <cell r="AN331" t="str">
            <v>Month 2</v>
          </cell>
          <cell r="GD331">
            <v>-0.02</v>
          </cell>
          <cell r="GE331">
            <v>-0.02</v>
          </cell>
        </row>
        <row r="332">
          <cell r="AN332" t="str">
            <v>Month 3</v>
          </cell>
          <cell r="GD332">
            <v>-0.02</v>
          </cell>
          <cell r="GE332">
            <v>-0.02</v>
          </cell>
        </row>
        <row r="333">
          <cell r="AN333" t="str">
            <v xml:space="preserve">  Total</v>
          </cell>
        </row>
        <row r="334">
          <cell r="AN334" t="str">
            <v>Y/Y ∆ Gross Margin (bps)</v>
          </cell>
          <cell r="GD334">
            <v>-35</v>
          </cell>
          <cell r="GE334">
            <v>-35</v>
          </cell>
        </row>
        <row r="335">
          <cell r="AN335" t="str">
            <v>Y/Y ∆ SG&amp;A Ratio (bps)</v>
          </cell>
          <cell r="GD335">
            <v>25</v>
          </cell>
          <cell r="GE335">
            <v>25</v>
          </cell>
        </row>
        <row r="338">
          <cell r="AN338" t="str">
            <v>Pension Expense (Benefit)</v>
          </cell>
          <cell r="EX338">
            <v>35</v>
          </cell>
          <cell r="EY338">
            <v>40</v>
          </cell>
          <cell r="EZ338">
            <v>39</v>
          </cell>
          <cell r="FA338">
            <v>39</v>
          </cell>
          <cell r="FB338">
            <v>153</v>
          </cell>
          <cell r="FD338">
            <v>38</v>
          </cell>
          <cell r="FE338">
            <v>37</v>
          </cell>
          <cell r="FF338">
            <v>38</v>
          </cell>
          <cell r="FG338">
            <v>17</v>
          </cell>
          <cell r="FH338">
            <v>130</v>
          </cell>
          <cell r="FJ338">
            <v>34</v>
          </cell>
          <cell r="FK338">
            <v>35</v>
          </cell>
          <cell r="FL338">
            <v>35</v>
          </cell>
          <cell r="FM338">
            <v>35</v>
          </cell>
          <cell r="FN338">
            <v>139</v>
          </cell>
          <cell r="FP338">
            <v>34.75</v>
          </cell>
          <cell r="FQ338">
            <v>34.75</v>
          </cell>
          <cell r="FR338">
            <v>34.75</v>
          </cell>
          <cell r="FS338">
            <v>34.75</v>
          </cell>
          <cell r="FT338">
            <v>139</v>
          </cell>
          <cell r="FV338">
            <v>34.75</v>
          </cell>
          <cell r="FW338">
            <v>38</v>
          </cell>
          <cell r="FX338">
            <v>38</v>
          </cell>
          <cell r="FY338">
            <v>39</v>
          </cell>
          <cell r="FZ338">
            <v>149.75</v>
          </cell>
          <cell r="GB338">
            <v>50.75</v>
          </cell>
          <cell r="GC338">
            <v>57</v>
          </cell>
          <cell r="GD338">
            <v>56</v>
          </cell>
          <cell r="GE338">
            <v>57</v>
          </cell>
          <cell r="GF338">
            <v>220.75</v>
          </cell>
        </row>
        <row r="339">
          <cell r="GB339">
            <v>16</v>
          </cell>
          <cell r="GC339">
            <v>19</v>
          </cell>
          <cell r="GD339">
            <v>18</v>
          </cell>
          <cell r="GE339">
            <v>18</v>
          </cell>
          <cell r="GF339">
            <v>71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4Q12A"/>
      <sheetName val="bal"/>
      <sheetName val="flow"/>
      <sheetName val="qtrP&amp;L"/>
      <sheetName val="Flow-through"/>
      <sheetName val="mthSales-Total"/>
      <sheetName val="sumry"/>
      <sheetName val="FY13 Guidance"/>
      <sheetName val="BBB"/>
      <sheetName val="yrP&amp;L"/>
      <sheetName val="qtrSales"/>
      <sheetName val="qtrSales-seg"/>
      <sheetName val="stores"/>
      <sheetName val="qtlycomp"/>
      <sheetName val="yrSales"/>
      <sheetName val="qtrP&amp;L-seg"/>
      <sheetName val="JWN ROIC"/>
      <sheetName val="turn"/>
      <sheetName val="wc"/>
      <sheetName val="Debt"/>
      <sheetName val="Earnings"/>
      <sheetName val="E-comm chart"/>
      <sheetName val="MWA RR"/>
      <sheetName val="dtc"/>
      <sheetName val="LEASES NEW"/>
      <sheetName val="mwareDates"/>
      <sheetName val="mwareSettings"/>
      <sheetName val="MW-Cach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B2" t="str">
            <v>2001-Q1</v>
          </cell>
          <cell r="C2">
            <v>36557</v>
          </cell>
          <cell r="D2">
            <v>36646</v>
          </cell>
          <cell r="E2" t="str">
            <v>A</v>
          </cell>
        </row>
        <row r="3">
          <cell r="B3" t="str">
            <v>2001-Q2</v>
          </cell>
          <cell r="C3">
            <v>36647</v>
          </cell>
          <cell r="D3">
            <v>36738</v>
          </cell>
          <cell r="E3" t="str">
            <v>A</v>
          </cell>
        </row>
        <row r="4">
          <cell r="B4" t="str">
            <v>2001-Q3</v>
          </cell>
          <cell r="C4">
            <v>36739</v>
          </cell>
          <cell r="D4">
            <v>36830</v>
          </cell>
          <cell r="E4" t="str">
            <v>A</v>
          </cell>
        </row>
        <row r="5">
          <cell r="B5" t="str">
            <v>2001-Q4</v>
          </cell>
          <cell r="C5">
            <v>36831</v>
          </cell>
          <cell r="D5">
            <v>36922</v>
          </cell>
          <cell r="E5" t="str">
            <v>A</v>
          </cell>
        </row>
        <row r="6">
          <cell r="B6" t="str">
            <v>2001-FY</v>
          </cell>
          <cell r="C6">
            <v>36557</v>
          </cell>
          <cell r="D6">
            <v>36922</v>
          </cell>
          <cell r="E6" t="str">
            <v>A</v>
          </cell>
        </row>
        <row r="7">
          <cell r="B7" t="str">
            <v>2002-Q1</v>
          </cell>
          <cell r="C7">
            <v>36923</v>
          </cell>
          <cell r="D7">
            <v>37011</v>
          </cell>
          <cell r="E7" t="str">
            <v>A</v>
          </cell>
        </row>
        <row r="8">
          <cell r="B8" t="str">
            <v>2002-Q2</v>
          </cell>
          <cell r="C8">
            <v>37012</v>
          </cell>
          <cell r="D8">
            <v>37103</v>
          </cell>
          <cell r="E8" t="str">
            <v>A</v>
          </cell>
        </row>
        <row r="9">
          <cell r="B9" t="str">
            <v>2002-Q3</v>
          </cell>
          <cell r="C9">
            <v>37104</v>
          </cell>
          <cell r="D9">
            <v>37195</v>
          </cell>
          <cell r="E9" t="str">
            <v>A</v>
          </cell>
        </row>
        <row r="10">
          <cell r="B10" t="str">
            <v>2002-Q4</v>
          </cell>
          <cell r="C10">
            <v>37196</v>
          </cell>
          <cell r="D10">
            <v>37287</v>
          </cell>
          <cell r="E10" t="str">
            <v>A</v>
          </cell>
        </row>
        <row r="11">
          <cell r="B11" t="str">
            <v>2002-FY</v>
          </cell>
          <cell r="C11">
            <v>36923</v>
          </cell>
          <cell r="D11">
            <v>37287</v>
          </cell>
          <cell r="E11" t="str">
            <v>A</v>
          </cell>
        </row>
        <row r="12">
          <cell r="B12" t="str">
            <v>2003-Q1</v>
          </cell>
          <cell r="C12">
            <v>37288</v>
          </cell>
          <cell r="D12">
            <v>37376</v>
          </cell>
          <cell r="E12" t="str">
            <v>A</v>
          </cell>
        </row>
        <row r="13">
          <cell r="B13" t="str">
            <v>2003-Q2</v>
          </cell>
          <cell r="C13">
            <v>37377</v>
          </cell>
          <cell r="D13">
            <v>37468</v>
          </cell>
          <cell r="E13" t="str">
            <v>A</v>
          </cell>
        </row>
        <row r="14">
          <cell r="B14" t="str">
            <v>2003-Q3</v>
          </cell>
          <cell r="C14">
            <v>37469</v>
          </cell>
          <cell r="D14">
            <v>37560</v>
          </cell>
          <cell r="E14" t="str">
            <v>A</v>
          </cell>
        </row>
        <row r="15">
          <cell r="B15" t="str">
            <v>2003-Q4</v>
          </cell>
          <cell r="C15">
            <v>37561</v>
          </cell>
          <cell r="D15">
            <v>37652</v>
          </cell>
          <cell r="E15" t="str">
            <v>A</v>
          </cell>
        </row>
        <row r="16">
          <cell r="B16" t="str">
            <v>2003-FY</v>
          </cell>
          <cell r="C16">
            <v>37288</v>
          </cell>
          <cell r="D16">
            <v>37652</v>
          </cell>
          <cell r="E16" t="str">
            <v>A</v>
          </cell>
        </row>
        <row r="17">
          <cell r="B17" t="str">
            <v>2004-Q1</v>
          </cell>
          <cell r="C17">
            <v>37653</v>
          </cell>
          <cell r="D17">
            <v>37741</v>
          </cell>
          <cell r="E17" t="str">
            <v>A</v>
          </cell>
        </row>
        <row r="18">
          <cell r="B18" t="str">
            <v>2004-Q2</v>
          </cell>
          <cell r="C18">
            <v>37742</v>
          </cell>
          <cell r="D18">
            <v>37833</v>
          </cell>
          <cell r="E18" t="str">
            <v>A</v>
          </cell>
        </row>
        <row r="19">
          <cell r="B19" t="str">
            <v>2004-Q3</v>
          </cell>
          <cell r="C19">
            <v>37834</v>
          </cell>
          <cell r="D19">
            <v>37925</v>
          </cell>
          <cell r="E19" t="str">
            <v>A</v>
          </cell>
        </row>
        <row r="20">
          <cell r="B20" t="str">
            <v>2004-Q4</v>
          </cell>
          <cell r="C20">
            <v>37926</v>
          </cell>
          <cell r="D20">
            <v>38017</v>
          </cell>
          <cell r="E20" t="str">
            <v>A</v>
          </cell>
        </row>
        <row r="21">
          <cell r="B21" t="str">
            <v>2004-FY</v>
          </cell>
          <cell r="C21">
            <v>37653</v>
          </cell>
          <cell r="D21">
            <v>38017</v>
          </cell>
          <cell r="E21" t="str">
            <v>A</v>
          </cell>
        </row>
        <row r="22">
          <cell r="B22" t="str">
            <v>2005-Q1</v>
          </cell>
          <cell r="C22">
            <v>38018</v>
          </cell>
          <cell r="D22">
            <v>38107</v>
          </cell>
          <cell r="E22" t="str">
            <v>A</v>
          </cell>
        </row>
        <row r="23">
          <cell r="B23" t="str">
            <v>2005-Q2</v>
          </cell>
          <cell r="C23">
            <v>38108</v>
          </cell>
          <cell r="D23">
            <v>38199</v>
          </cell>
          <cell r="E23" t="str">
            <v>A</v>
          </cell>
        </row>
        <row r="24">
          <cell r="B24" t="str">
            <v>2005-Q3</v>
          </cell>
          <cell r="C24">
            <v>38200</v>
          </cell>
          <cell r="D24">
            <v>38291</v>
          </cell>
          <cell r="E24" t="str">
            <v>A</v>
          </cell>
        </row>
        <row r="25">
          <cell r="B25" t="str">
            <v>2005-Q4</v>
          </cell>
          <cell r="C25">
            <v>38292</v>
          </cell>
          <cell r="D25">
            <v>38383</v>
          </cell>
          <cell r="E25" t="str">
            <v>A</v>
          </cell>
        </row>
        <row r="26">
          <cell r="B26" t="str">
            <v>2005-FY</v>
          </cell>
          <cell r="C26">
            <v>38018</v>
          </cell>
          <cell r="D26">
            <v>38383</v>
          </cell>
          <cell r="E26" t="str">
            <v>A</v>
          </cell>
        </row>
        <row r="27">
          <cell r="B27" t="str">
            <v>2006-Q1</v>
          </cell>
          <cell r="C27">
            <v>38384</v>
          </cell>
          <cell r="D27">
            <v>38472</v>
          </cell>
          <cell r="E27" t="str">
            <v>A</v>
          </cell>
        </row>
        <row r="28">
          <cell r="B28" t="str">
            <v>2006-Q2</v>
          </cell>
          <cell r="C28">
            <v>38473</v>
          </cell>
          <cell r="D28">
            <v>38564</v>
          </cell>
          <cell r="E28" t="str">
            <v>A</v>
          </cell>
        </row>
        <row r="29">
          <cell r="B29" t="str">
            <v>2006-Q3</v>
          </cell>
          <cell r="C29">
            <v>38565</v>
          </cell>
          <cell r="D29">
            <v>38656</v>
          </cell>
          <cell r="E29" t="str">
            <v>A</v>
          </cell>
        </row>
        <row r="30">
          <cell r="B30" t="str">
            <v>2006-Q4</v>
          </cell>
          <cell r="C30">
            <v>38657</v>
          </cell>
          <cell r="D30">
            <v>38748</v>
          </cell>
          <cell r="E30" t="str">
            <v>A</v>
          </cell>
        </row>
        <row r="31">
          <cell r="B31" t="str">
            <v>2006-FY</v>
          </cell>
          <cell r="C31">
            <v>38384</v>
          </cell>
          <cell r="D31">
            <v>38748</v>
          </cell>
          <cell r="E31" t="str">
            <v>A</v>
          </cell>
        </row>
        <row r="32">
          <cell r="B32" t="str">
            <v>2007-Q1</v>
          </cell>
          <cell r="C32">
            <v>38749</v>
          </cell>
          <cell r="D32">
            <v>38837</v>
          </cell>
          <cell r="E32" t="str">
            <v>A</v>
          </cell>
        </row>
        <row r="33">
          <cell r="B33" t="str">
            <v>2007-Q2</v>
          </cell>
          <cell r="C33">
            <v>38838</v>
          </cell>
          <cell r="D33">
            <v>38929</v>
          </cell>
          <cell r="E33" t="str">
            <v>A</v>
          </cell>
        </row>
        <row r="34">
          <cell r="B34" t="str">
            <v>2007-Q3</v>
          </cell>
          <cell r="C34">
            <v>38930</v>
          </cell>
          <cell r="D34">
            <v>39021</v>
          </cell>
          <cell r="E34" t="str">
            <v>A</v>
          </cell>
        </row>
        <row r="35">
          <cell r="B35" t="str">
            <v>2007-Q4</v>
          </cell>
          <cell r="C35">
            <v>39022</v>
          </cell>
          <cell r="D35">
            <v>39113</v>
          </cell>
          <cell r="E35" t="str">
            <v>A</v>
          </cell>
        </row>
        <row r="36">
          <cell r="B36" t="str">
            <v>2007-FY</v>
          </cell>
          <cell r="C36">
            <v>38749</v>
          </cell>
          <cell r="D36">
            <v>39113</v>
          </cell>
          <cell r="E36" t="str">
            <v>A</v>
          </cell>
        </row>
        <row r="37">
          <cell r="B37" t="str">
            <v>2008-Q1</v>
          </cell>
          <cell r="C37">
            <v>39114</v>
          </cell>
          <cell r="D37">
            <v>39202</v>
          </cell>
          <cell r="E37" t="str">
            <v>A</v>
          </cell>
        </row>
        <row r="38">
          <cell r="B38" t="str">
            <v>2008-Q2</v>
          </cell>
          <cell r="C38">
            <v>39203</v>
          </cell>
          <cell r="D38">
            <v>39294</v>
          </cell>
          <cell r="E38" t="str">
            <v>A</v>
          </cell>
        </row>
        <row r="39">
          <cell r="B39" t="str">
            <v>2008-Q3</v>
          </cell>
          <cell r="C39">
            <v>39295</v>
          </cell>
          <cell r="D39">
            <v>39386</v>
          </cell>
          <cell r="E39" t="str">
            <v>A</v>
          </cell>
        </row>
        <row r="40">
          <cell r="B40" t="str">
            <v>2008-Q4</v>
          </cell>
          <cell r="C40">
            <v>39387</v>
          </cell>
          <cell r="D40">
            <v>39478</v>
          </cell>
          <cell r="E40" t="str">
            <v>A</v>
          </cell>
        </row>
        <row r="41">
          <cell r="B41" t="str">
            <v>2008-FY</v>
          </cell>
          <cell r="C41">
            <v>39114</v>
          </cell>
          <cell r="D41">
            <v>39478</v>
          </cell>
          <cell r="E41" t="str">
            <v>A</v>
          </cell>
        </row>
        <row r="42">
          <cell r="B42" t="str">
            <v>2009-Q1</v>
          </cell>
          <cell r="C42">
            <v>39479</v>
          </cell>
          <cell r="D42">
            <v>39568</v>
          </cell>
          <cell r="E42" t="str">
            <v>A</v>
          </cell>
        </row>
        <row r="43">
          <cell r="B43" t="str">
            <v>2009-Q2</v>
          </cell>
          <cell r="C43">
            <v>39569</v>
          </cell>
          <cell r="D43">
            <v>39660</v>
          </cell>
          <cell r="E43" t="str">
            <v>A</v>
          </cell>
        </row>
        <row r="44">
          <cell r="B44" t="str">
            <v>2009-Q3</v>
          </cell>
          <cell r="C44">
            <v>39661</v>
          </cell>
          <cell r="D44">
            <v>39752</v>
          </cell>
          <cell r="E44" t="str">
            <v>A</v>
          </cell>
        </row>
        <row r="45">
          <cell r="B45" t="str">
            <v>2009-Q4</v>
          </cell>
          <cell r="C45">
            <v>39753</v>
          </cell>
          <cell r="D45">
            <v>39844</v>
          </cell>
          <cell r="E45" t="str">
            <v>A</v>
          </cell>
        </row>
        <row r="46">
          <cell r="B46" t="str">
            <v>2009-FY</v>
          </cell>
          <cell r="C46">
            <v>39479</v>
          </cell>
          <cell r="D46">
            <v>39844</v>
          </cell>
          <cell r="E46" t="str">
            <v>A</v>
          </cell>
        </row>
        <row r="47">
          <cell r="B47" t="str">
            <v>2010-Q1</v>
          </cell>
          <cell r="C47">
            <v>39845</v>
          </cell>
          <cell r="D47">
            <v>39933</v>
          </cell>
          <cell r="E47" t="str">
            <v>A</v>
          </cell>
        </row>
        <row r="48">
          <cell r="B48" t="str">
            <v>2010-Q2</v>
          </cell>
          <cell r="C48">
            <v>39934</v>
          </cell>
          <cell r="D48">
            <v>40025</v>
          </cell>
          <cell r="E48" t="str">
            <v>A</v>
          </cell>
        </row>
        <row r="49">
          <cell r="B49" t="str">
            <v>2010-Q3</v>
          </cell>
          <cell r="C49">
            <v>40026</v>
          </cell>
          <cell r="D49">
            <v>40117</v>
          </cell>
          <cell r="E49" t="str">
            <v>A</v>
          </cell>
        </row>
        <row r="50">
          <cell r="B50" t="str">
            <v>2010-Q4</v>
          </cell>
          <cell r="C50">
            <v>40118</v>
          </cell>
          <cell r="D50">
            <v>40209</v>
          </cell>
          <cell r="E50" t="str">
            <v>A</v>
          </cell>
        </row>
        <row r="51">
          <cell r="B51" t="str">
            <v>2010-FY</v>
          </cell>
          <cell r="C51">
            <v>39845</v>
          </cell>
          <cell r="D51">
            <v>40209</v>
          </cell>
          <cell r="E51" t="str">
            <v>A</v>
          </cell>
        </row>
        <row r="52">
          <cell r="B52" t="str">
            <v>2011-Q1</v>
          </cell>
          <cell r="C52">
            <v>40210</v>
          </cell>
          <cell r="D52">
            <v>40298</v>
          </cell>
          <cell r="E52" t="str">
            <v>A</v>
          </cell>
        </row>
        <row r="53">
          <cell r="B53" t="str">
            <v>2011-Q2</v>
          </cell>
          <cell r="C53">
            <v>40299</v>
          </cell>
          <cell r="D53">
            <v>40390</v>
          </cell>
          <cell r="E53" t="str">
            <v>A</v>
          </cell>
        </row>
        <row r="54">
          <cell r="B54" t="str">
            <v>2011-Q3</v>
          </cell>
          <cell r="C54">
            <v>40391</v>
          </cell>
          <cell r="D54">
            <v>40482</v>
          </cell>
          <cell r="E54" t="str">
            <v>A</v>
          </cell>
        </row>
        <row r="55">
          <cell r="B55" t="str">
            <v>2011-Q4</v>
          </cell>
          <cell r="C55">
            <v>40483</v>
          </cell>
          <cell r="D55">
            <v>40574</v>
          </cell>
          <cell r="E55" t="str">
            <v>A</v>
          </cell>
        </row>
        <row r="56">
          <cell r="B56" t="str">
            <v>2011-FY</v>
          </cell>
          <cell r="C56">
            <v>40210</v>
          </cell>
          <cell r="D56">
            <v>40574</v>
          </cell>
          <cell r="E56" t="str">
            <v>A</v>
          </cell>
        </row>
        <row r="57">
          <cell r="B57" t="str">
            <v>2012-Q1</v>
          </cell>
          <cell r="C57">
            <v>40575</v>
          </cell>
          <cell r="D57">
            <v>40663</v>
          </cell>
          <cell r="E57" t="str">
            <v>A</v>
          </cell>
        </row>
        <row r="58">
          <cell r="B58" t="str">
            <v>2012-Q2</v>
          </cell>
          <cell r="C58">
            <v>40664</v>
          </cell>
          <cell r="D58">
            <v>40755</v>
          </cell>
          <cell r="E58" t="str">
            <v>A</v>
          </cell>
        </row>
        <row r="59">
          <cell r="B59" t="str">
            <v>2012-Q3</v>
          </cell>
          <cell r="C59">
            <v>40756</v>
          </cell>
          <cell r="D59">
            <v>40847</v>
          </cell>
          <cell r="E59" t="str">
            <v>A</v>
          </cell>
        </row>
        <row r="60">
          <cell r="B60" t="str">
            <v>2012-Q4</v>
          </cell>
          <cell r="C60">
            <v>40848</v>
          </cell>
          <cell r="D60">
            <v>40939</v>
          </cell>
          <cell r="E60" t="str">
            <v>A</v>
          </cell>
        </row>
        <row r="61">
          <cell r="B61" t="str">
            <v>2012-FY</v>
          </cell>
          <cell r="C61">
            <v>40575</v>
          </cell>
          <cell r="D61">
            <v>40939</v>
          </cell>
          <cell r="E61" t="str">
            <v>A</v>
          </cell>
        </row>
        <row r="62">
          <cell r="B62" t="str">
            <v>2013-Q1</v>
          </cell>
          <cell r="C62">
            <v>40940</v>
          </cell>
          <cell r="D62">
            <v>41029</v>
          </cell>
          <cell r="E62" t="str">
            <v>A</v>
          </cell>
        </row>
        <row r="63">
          <cell r="B63" t="str">
            <v>2013-Q2</v>
          </cell>
          <cell r="C63">
            <v>41030</v>
          </cell>
          <cell r="D63">
            <v>41121</v>
          </cell>
          <cell r="E63" t="str">
            <v>A</v>
          </cell>
        </row>
        <row r="64">
          <cell r="B64" t="str">
            <v>2013-Q3</v>
          </cell>
          <cell r="C64">
            <v>41122</v>
          </cell>
          <cell r="D64">
            <v>41213</v>
          </cell>
          <cell r="E64" t="str">
            <v>E</v>
          </cell>
        </row>
        <row r="65">
          <cell r="B65" t="str">
            <v>2013-Q4</v>
          </cell>
          <cell r="C65">
            <v>41214</v>
          </cell>
          <cell r="D65">
            <v>41305</v>
          </cell>
          <cell r="E65" t="str">
            <v>E</v>
          </cell>
        </row>
        <row r="66">
          <cell r="B66" t="str">
            <v>2013-FY</v>
          </cell>
          <cell r="C66">
            <v>40940</v>
          </cell>
          <cell r="D66">
            <v>41305</v>
          </cell>
          <cell r="E66" t="str">
            <v>E</v>
          </cell>
        </row>
        <row r="67">
          <cell r="B67" t="str">
            <v>2014-Q1</v>
          </cell>
          <cell r="C67">
            <v>41306</v>
          </cell>
          <cell r="D67">
            <v>41394</v>
          </cell>
          <cell r="E67" t="str">
            <v>E</v>
          </cell>
        </row>
        <row r="68">
          <cell r="B68" t="str">
            <v>2014-Q2</v>
          </cell>
          <cell r="C68">
            <v>41395</v>
          </cell>
          <cell r="D68">
            <v>41486</v>
          </cell>
          <cell r="E68" t="str">
            <v>E</v>
          </cell>
        </row>
        <row r="69">
          <cell r="B69" t="str">
            <v>2014-Q3</v>
          </cell>
          <cell r="C69">
            <v>41487</v>
          </cell>
          <cell r="D69">
            <v>41578</v>
          </cell>
          <cell r="E69" t="str">
            <v>E</v>
          </cell>
        </row>
        <row r="70">
          <cell r="B70" t="str">
            <v>2014-Q4</v>
          </cell>
          <cell r="C70">
            <v>41579</v>
          </cell>
          <cell r="D70">
            <v>41670</v>
          </cell>
          <cell r="E70" t="str">
            <v>E</v>
          </cell>
        </row>
        <row r="71">
          <cell r="B71" t="str">
            <v>2014-FY</v>
          </cell>
          <cell r="C71">
            <v>41306</v>
          </cell>
          <cell r="D71">
            <v>41670</v>
          </cell>
          <cell r="E71" t="str">
            <v>E</v>
          </cell>
        </row>
        <row r="72">
          <cell r="B72" t="str">
            <v>2015-Q1</v>
          </cell>
          <cell r="C72">
            <v>41671</v>
          </cell>
          <cell r="D72">
            <v>41759</v>
          </cell>
          <cell r="E72" t="str">
            <v>E</v>
          </cell>
        </row>
        <row r="73">
          <cell r="B73" t="str">
            <v>2015-Q2</v>
          </cell>
          <cell r="C73">
            <v>41760</v>
          </cell>
          <cell r="D73">
            <v>41851</v>
          </cell>
          <cell r="E73" t="str">
            <v>E</v>
          </cell>
        </row>
        <row r="74">
          <cell r="B74" t="str">
            <v>2015-Q3</v>
          </cell>
          <cell r="C74">
            <v>41852</v>
          </cell>
          <cell r="D74">
            <v>41943</v>
          </cell>
          <cell r="E74" t="str">
            <v>E</v>
          </cell>
        </row>
        <row r="75">
          <cell r="B75" t="str">
            <v>2015-Q4</v>
          </cell>
          <cell r="C75">
            <v>41944</v>
          </cell>
          <cell r="D75">
            <v>42035</v>
          </cell>
          <cell r="E75" t="str">
            <v>E</v>
          </cell>
        </row>
        <row r="76">
          <cell r="B76" t="str">
            <v>2015-FY</v>
          </cell>
          <cell r="C76">
            <v>41671</v>
          </cell>
          <cell r="D76">
            <v>42035</v>
          </cell>
          <cell r="E76" t="str">
            <v>E</v>
          </cell>
        </row>
      </sheetData>
      <sheetData sheetId="26"/>
      <sheetData sheetId="27"/>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drawing2.xml" Type="http://schemas.openxmlformats.org/officeDocument/2006/relationships/drawing"/>
<Relationship Id="rId3" Target="../drawings/vmlDrawing13.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comments13.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B1"/>
  <sheetViews>
    <sheetView workbookViewId="0">
      <selection activeCell="BK7" sqref="BK7"/>
    </sheetView>
  </sheetViews>
  <sheetFormatPr defaultRowHeight="12.75"/>
  <sheetData>
    <row r="1" spans="1:2">
      <c r="A1" s="258"/>
      <c r="B1" t="s">
        <v>506</v>
      </c>
    </row>
  </sheetData>
  <phoneticPr fontId="37"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75"/>
  <sheetViews>
    <sheetView showGridLines="0" tabSelected="1" workbookViewId="0">
      <selection activeCell="Z1" sqref="Z1"/>
    </sheetView>
  </sheetViews>
  <sheetFormatPr defaultRowHeight="12.75"/>
  <cols>
    <col min="1" max="1" width="25.7109375" style="1684" customWidth="1"/>
    <col min="2" max="5" width="9.140625" style="1684"/>
    <col min="6" max="6" width="18.7109375" style="1684" customWidth="1"/>
    <col min="7" max="256" width="9.140625" style="1684"/>
    <col min="257" max="257" width="100.7109375" style="1684" customWidth="1"/>
    <col min="258" max="512" width="9.140625" style="1684"/>
    <col min="513" max="513" width="100.7109375" style="1684" customWidth="1"/>
    <col min="514" max="768" width="9.140625" style="1684"/>
    <col min="769" max="769" width="100.7109375" style="1684" customWidth="1"/>
    <col min="770" max="1024" width="9.140625" style="1684"/>
    <col min="1025" max="1025" width="100.7109375" style="1684" customWidth="1"/>
    <col min="1026" max="1280" width="9.140625" style="1684"/>
    <col min="1281" max="1281" width="100.7109375" style="1684" customWidth="1"/>
    <col min="1282" max="1536" width="9.140625" style="1684"/>
    <col min="1537" max="1537" width="100.7109375" style="1684" customWidth="1"/>
    <col min="1538" max="1792" width="9.140625" style="1684"/>
    <col min="1793" max="1793" width="100.7109375" style="1684" customWidth="1"/>
    <col min="1794" max="2048" width="9.140625" style="1684"/>
    <col min="2049" max="2049" width="100.7109375" style="1684" customWidth="1"/>
    <col min="2050" max="2304" width="9.140625" style="1684"/>
    <col min="2305" max="2305" width="100.7109375" style="1684" customWidth="1"/>
    <col min="2306" max="2560" width="9.140625" style="1684"/>
    <col min="2561" max="2561" width="100.7109375" style="1684" customWidth="1"/>
    <col min="2562" max="2816" width="9.140625" style="1684"/>
    <col min="2817" max="2817" width="100.7109375" style="1684" customWidth="1"/>
    <col min="2818" max="3072" width="9.140625" style="1684"/>
    <col min="3073" max="3073" width="100.7109375" style="1684" customWidth="1"/>
    <col min="3074" max="3328" width="9.140625" style="1684"/>
    <col min="3329" max="3329" width="100.7109375" style="1684" customWidth="1"/>
    <col min="3330" max="3584" width="9.140625" style="1684"/>
    <col min="3585" max="3585" width="100.7109375" style="1684" customWidth="1"/>
    <col min="3586" max="3840" width="9.140625" style="1684"/>
    <col min="3841" max="3841" width="100.7109375" style="1684" customWidth="1"/>
    <col min="3842" max="4096" width="9.140625" style="1684"/>
    <col min="4097" max="4097" width="100.7109375" style="1684" customWidth="1"/>
    <col min="4098" max="4352" width="9.140625" style="1684"/>
    <col min="4353" max="4353" width="100.7109375" style="1684" customWidth="1"/>
    <col min="4354" max="4608" width="9.140625" style="1684"/>
    <col min="4609" max="4609" width="100.7109375" style="1684" customWidth="1"/>
    <col min="4610" max="4864" width="9.140625" style="1684"/>
    <col min="4865" max="4865" width="100.7109375" style="1684" customWidth="1"/>
    <col min="4866" max="5120" width="9.140625" style="1684"/>
    <col min="5121" max="5121" width="100.7109375" style="1684" customWidth="1"/>
    <col min="5122" max="5376" width="9.140625" style="1684"/>
    <col min="5377" max="5377" width="100.7109375" style="1684" customWidth="1"/>
    <col min="5378" max="5632" width="9.140625" style="1684"/>
    <col min="5633" max="5633" width="100.7109375" style="1684" customWidth="1"/>
    <col min="5634" max="5888" width="9.140625" style="1684"/>
    <col min="5889" max="5889" width="100.7109375" style="1684" customWidth="1"/>
    <col min="5890" max="6144" width="9.140625" style="1684"/>
    <col min="6145" max="6145" width="100.7109375" style="1684" customWidth="1"/>
    <col min="6146" max="6400" width="9.140625" style="1684"/>
    <col min="6401" max="6401" width="100.7109375" style="1684" customWidth="1"/>
    <col min="6402" max="6656" width="9.140625" style="1684"/>
    <col min="6657" max="6657" width="100.7109375" style="1684" customWidth="1"/>
    <col min="6658" max="6912" width="9.140625" style="1684"/>
    <col min="6913" max="6913" width="100.7109375" style="1684" customWidth="1"/>
    <col min="6914" max="7168" width="9.140625" style="1684"/>
    <col min="7169" max="7169" width="100.7109375" style="1684" customWidth="1"/>
    <col min="7170" max="7424" width="9.140625" style="1684"/>
    <col min="7425" max="7425" width="100.7109375" style="1684" customWidth="1"/>
    <col min="7426" max="7680" width="9.140625" style="1684"/>
    <col min="7681" max="7681" width="100.7109375" style="1684" customWidth="1"/>
    <col min="7682" max="7936" width="9.140625" style="1684"/>
    <col min="7937" max="7937" width="100.7109375" style="1684" customWidth="1"/>
    <col min="7938" max="8192" width="9.140625" style="1684"/>
    <col min="8193" max="8193" width="100.7109375" style="1684" customWidth="1"/>
    <col min="8194" max="8448" width="9.140625" style="1684"/>
    <col min="8449" max="8449" width="100.7109375" style="1684" customWidth="1"/>
    <col min="8450" max="8704" width="9.140625" style="1684"/>
    <col min="8705" max="8705" width="100.7109375" style="1684" customWidth="1"/>
    <col min="8706" max="8960" width="9.140625" style="1684"/>
    <col min="8961" max="8961" width="100.7109375" style="1684" customWidth="1"/>
    <col min="8962" max="9216" width="9.140625" style="1684"/>
    <col min="9217" max="9217" width="100.7109375" style="1684" customWidth="1"/>
    <col min="9218" max="9472" width="9.140625" style="1684"/>
    <col min="9473" max="9473" width="100.7109375" style="1684" customWidth="1"/>
    <col min="9474" max="9728" width="9.140625" style="1684"/>
    <col min="9729" max="9729" width="100.7109375" style="1684" customWidth="1"/>
    <col min="9730" max="9984" width="9.140625" style="1684"/>
    <col min="9985" max="9985" width="100.7109375" style="1684" customWidth="1"/>
    <col min="9986" max="10240" width="9.140625" style="1684"/>
    <col min="10241" max="10241" width="100.7109375" style="1684" customWidth="1"/>
    <col min="10242" max="10496" width="9.140625" style="1684"/>
    <col min="10497" max="10497" width="100.7109375" style="1684" customWidth="1"/>
    <col min="10498" max="10752" width="9.140625" style="1684"/>
    <col min="10753" max="10753" width="100.7109375" style="1684" customWidth="1"/>
    <col min="10754" max="11008" width="9.140625" style="1684"/>
    <col min="11009" max="11009" width="100.7109375" style="1684" customWidth="1"/>
    <col min="11010" max="11264" width="9.140625" style="1684"/>
    <col min="11265" max="11265" width="100.7109375" style="1684" customWidth="1"/>
    <col min="11266" max="11520" width="9.140625" style="1684"/>
    <col min="11521" max="11521" width="100.7109375" style="1684" customWidth="1"/>
    <col min="11522" max="11776" width="9.140625" style="1684"/>
    <col min="11777" max="11777" width="100.7109375" style="1684" customWidth="1"/>
    <col min="11778" max="12032" width="9.140625" style="1684"/>
    <col min="12033" max="12033" width="100.7109375" style="1684" customWidth="1"/>
    <col min="12034" max="12288" width="9.140625" style="1684"/>
    <col min="12289" max="12289" width="100.7109375" style="1684" customWidth="1"/>
    <col min="12290" max="12544" width="9.140625" style="1684"/>
    <col min="12545" max="12545" width="100.7109375" style="1684" customWidth="1"/>
    <col min="12546" max="12800" width="9.140625" style="1684"/>
    <col min="12801" max="12801" width="100.7109375" style="1684" customWidth="1"/>
    <col min="12802" max="13056" width="9.140625" style="1684"/>
    <col min="13057" max="13057" width="100.7109375" style="1684" customWidth="1"/>
    <col min="13058" max="13312" width="9.140625" style="1684"/>
    <col min="13313" max="13313" width="100.7109375" style="1684" customWidth="1"/>
    <col min="13314" max="13568" width="9.140625" style="1684"/>
    <col min="13569" max="13569" width="100.7109375" style="1684" customWidth="1"/>
    <col min="13570" max="13824" width="9.140625" style="1684"/>
    <col min="13825" max="13825" width="100.7109375" style="1684" customWidth="1"/>
    <col min="13826" max="14080" width="9.140625" style="1684"/>
    <col min="14081" max="14081" width="100.7109375" style="1684" customWidth="1"/>
    <col min="14082" max="14336" width="9.140625" style="1684"/>
    <col min="14337" max="14337" width="100.7109375" style="1684" customWidth="1"/>
    <col min="14338" max="14592" width="9.140625" style="1684"/>
    <col min="14593" max="14593" width="100.7109375" style="1684" customWidth="1"/>
    <col min="14594" max="14848" width="9.140625" style="1684"/>
    <col min="14849" max="14849" width="100.7109375" style="1684" customWidth="1"/>
    <col min="14850" max="15104" width="9.140625" style="1684"/>
    <col min="15105" max="15105" width="100.7109375" style="1684" customWidth="1"/>
    <col min="15106" max="15360" width="9.140625" style="1684"/>
    <col min="15361" max="15361" width="100.7109375" style="1684" customWidth="1"/>
    <col min="15362" max="15616" width="9.140625" style="1684"/>
    <col min="15617" max="15617" width="100.7109375" style="1684" customWidth="1"/>
    <col min="15618" max="15872" width="9.140625" style="1684"/>
    <col min="15873" max="15873" width="100.7109375" style="1684" customWidth="1"/>
    <col min="15874" max="16128" width="9.140625" style="1684"/>
    <col min="16129" max="16129" width="100.7109375" style="1684" customWidth="1"/>
    <col min="16130" max="16384" width="9.140625" style="1684"/>
  </cols>
  <sheetData>
    <row r="1" spans="1:8" ht="30" customHeight="1">
      <c r="A1" s="1682"/>
      <c r="B1" s="1683"/>
      <c r="C1" s="1683"/>
      <c r="D1" s="1683"/>
      <c r="E1" s="1683"/>
      <c r="F1" s="1683"/>
      <c r="G1" s="1683"/>
      <c r="H1" s="1683"/>
    </row>
    <row r="2" spans="1:8" ht="14.25">
      <c r="A2" s="1685" t="s">
        <v>808</v>
      </c>
      <c r="B2" s="1683"/>
      <c r="C2" s="1683"/>
      <c r="D2" s="1683"/>
      <c r="E2" s="1683"/>
      <c r="F2" s="1683"/>
      <c r="G2" s="1683"/>
      <c r="H2" s="1683"/>
    </row>
    <row r="3" spans="1:8" ht="14.25">
      <c r="A3" s="1685" t="s">
        <v>809</v>
      </c>
      <c r="B3" s="1683"/>
      <c r="C3" s="1683"/>
      <c r="D3" s="1683"/>
      <c r="E3" s="1683"/>
      <c r="F3" s="1683"/>
      <c r="G3" s="1683"/>
      <c r="H3" s="1683"/>
    </row>
    <row r="4" spans="1:8" ht="14.25">
      <c r="A4" s="1685" t="s">
        <v>810</v>
      </c>
      <c r="B4" s="1683"/>
      <c r="C4" s="1683"/>
      <c r="D4" s="1683"/>
      <c r="E4" s="1683"/>
      <c r="F4" s="1683"/>
      <c r="G4" s="1683"/>
      <c r="H4" s="1683"/>
    </row>
    <row r="5" spans="1:8" ht="14.25">
      <c r="A5" s="1685" t="s">
        <v>811</v>
      </c>
      <c r="B5" s="1683"/>
      <c r="C5" s="1683"/>
      <c r="D5" s="1683"/>
      <c r="E5" s="1683"/>
      <c r="F5" s="1683"/>
      <c r="G5" s="1683"/>
      <c r="H5" s="1683"/>
    </row>
    <row r="6" spans="1:8" ht="14.25">
      <c r="A6" s="1685"/>
      <c r="B6" s="1683"/>
      <c r="C6" s="1683"/>
      <c r="D6" s="1683"/>
      <c r="E6" s="1683"/>
      <c r="F6" s="1683"/>
      <c r="G6" s="1683"/>
      <c r="H6" s="1683"/>
    </row>
    <row r="7" spans="1:8">
      <c r="A7" s="1682" t="s">
        <v>812</v>
      </c>
      <c r="B7" s="1683"/>
      <c r="C7" s="1683"/>
      <c r="D7" s="1683"/>
      <c r="E7" s="1683"/>
      <c r="F7" s="1683"/>
      <c r="G7" s="1683"/>
      <c r="H7" s="1683"/>
    </row>
    <row r="8" spans="1:8">
      <c r="A8" s="1682" t="s">
        <v>813</v>
      </c>
      <c r="B8" s="1683"/>
      <c r="C8" s="1683"/>
      <c r="D8" s="1683"/>
      <c r="E8" s="1683"/>
      <c r="F8" s="1683"/>
      <c r="G8" s="1683"/>
      <c r="H8" s="1683"/>
    </row>
    <row r="9" spans="1:8">
      <c r="A9" s="1682"/>
      <c r="B9" s="1683"/>
      <c r="C9" s="1683"/>
      <c r="D9" s="1683"/>
      <c r="E9" s="1683"/>
      <c r="F9" s="1683"/>
      <c r="G9" s="1683"/>
      <c r="H9" s="1683"/>
    </row>
    <row r="10" spans="1:8">
      <c r="A10" s="1686" t="s">
        <v>814</v>
      </c>
      <c r="B10" s="1683"/>
      <c r="C10" s="1683"/>
      <c r="D10" s="1683"/>
      <c r="E10" s="1683"/>
      <c r="F10" s="1683"/>
      <c r="G10" s="1683"/>
      <c r="H10" s="1683"/>
    </row>
    <row r="11" spans="1:8">
      <c r="A11" s="1686" t="s">
        <v>815</v>
      </c>
      <c r="B11" s="1683"/>
      <c r="C11" s="1683"/>
      <c r="D11" s="1683"/>
      <c r="E11" s="1683"/>
      <c r="F11" s="1683"/>
      <c r="G11" s="1683"/>
      <c r="H11" s="1683"/>
    </row>
    <row r="12" spans="1:8">
      <c r="A12" s="1686" t="s">
        <v>816</v>
      </c>
      <c r="B12" s="1683"/>
      <c r="C12" s="1683"/>
      <c r="D12" s="1683"/>
      <c r="E12" s="1683"/>
      <c r="F12" s="1683"/>
      <c r="G12" s="1683"/>
      <c r="H12" s="1683"/>
    </row>
    <row r="13" spans="1:8">
      <c r="A13" s="1686" t="s">
        <v>817</v>
      </c>
      <c r="B13" s="1683"/>
      <c r="C13" s="1683"/>
      <c r="D13" s="1683"/>
      <c r="E13" s="1683"/>
      <c r="F13" s="1683"/>
      <c r="G13" s="1683"/>
      <c r="H13" s="1683"/>
    </row>
    <row r="14" spans="1:8">
      <c r="A14" s="1686" t="s">
        <v>818</v>
      </c>
      <c r="B14" s="1683"/>
      <c r="C14" s="1683"/>
      <c r="D14" s="1683"/>
      <c r="E14" s="1683"/>
      <c r="F14" s="1683"/>
      <c r="G14" s="1683"/>
      <c r="H14" s="1683"/>
    </row>
    <row r="15" spans="1:8">
      <c r="A15" s="1686" t="s">
        <v>819</v>
      </c>
      <c r="B15" s="1683"/>
      <c r="C15" s="1683"/>
      <c r="D15" s="1683"/>
      <c r="E15" s="1683"/>
      <c r="F15" s="1683"/>
      <c r="G15" s="1683"/>
      <c r="H15" s="1683"/>
    </row>
    <row r="16" spans="1:8">
      <c r="A16" s="1686"/>
      <c r="B16" s="1683"/>
      <c r="C16" s="1683"/>
      <c r="D16" s="1683"/>
      <c r="E16" s="1683"/>
      <c r="F16" s="1683"/>
      <c r="G16" s="1683"/>
      <c r="H16" s="1683"/>
    </row>
    <row r="17" spans="1:8">
      <c r="A17" s="1686" t="s">
        <v>805</v>
      </c>
      <c r="B17" s="1683"/>
      <c r="C17" s="1683"/>
      <c r="D17" s="1683"/>
      <c r="E17" s="1683"/>
      <c r="F17" s="1683"/>
      <c r="G17" s="1683"/>
      <c r="H17" s="1683"/>
    </row>
    <row r="18" spans="1:8">
      <c r="A18" s="1686"/>
      <c r="B18" s="1683"/>
      <c r="C18" s="1683"/>
      <c r="D18" s="1683"/>
      <c r="E18" s="1683"/>
      <c r="F18" s="1683"/>
      <c r="G18" s="1683"/>
      <c r="H18" s="1683"/>
    </row>
    <row r="19" spans="1:8">
      <c r="A19" s="1686" t="s">
        <v>806</v>
      </c>
      <c r="B19" s="1683"/>
      <c r="C19" s="1683"/>
      <c r="D19" s="1683"/>
      <c r="E19" s="1683"/>
      <c r="F19" s="1683"/>
      <c r="G19" s="1683"/>
      <c r="H19" s="1683"/>
    </row>
    <row r="20" spans="1:8">
      <c r="A20" s="1682"/>
      <c r="B20" s="1683"/>
      <c r="C20" s="1683"/>
      <c r="D20" s="1683"/>
      <c r="E20" s="1683"/>
      <c r="F20" s="1683"/>
      <c r="G20" s="1683"/>
      <c r="H20" s="1683"/>
    </row>
    <row r="21" spans="1:8">
      <c r="A21" s="1687" t="s">
        <v>807</v>
      </c>
      <c r="B21" s="1683"/>
      <c r="C21" s="1683"/>
      <c r="D21" s="1683"/>
      <c r="E21" s="1683"/>
      <c r="F21" s="1683"/>
      <c r="G21" s="1683"/>
      <c r="H21" s="1683"/>
    </row>
    <row r="22" spans="1:8">
      <c r="A22" s="1688"/>
      <c r="B22" s="1688"/>
      <c r="C22" s="1688"/>
      <c r="D22" s="1688"/>
      <c r="E22" s="1688"/>
      <c r="F22" s="1688"/>
      <c r="G22" s="1688"/>
      <c r="H22" s="1688"/>
    </row>
    <row r="23" spans="1:8">
      <c r="A23" s="1689" t="s">
        <v>1086</v>
      </c>
      <c r="B23" s="1688"/>
      <c r="C23" s="1688"/>
      <c r="D23" s="1688"/>
      <c r="E23" s="1688"/>
      <c r="F23" s="1688"/>
      <c r="G23" s="1688"/>
      <c r="H23" s="1688"/>
    </row>
    <row r="24" spans="1:8">
      <c r="A24" s="1689" t="s">
        <v>1087</v>
      </c>
      <c r="B24" s="1688"/>
      <c r="C24" s="1688"/>
      <c r="D24" s="1688"/>
      <c r="E24" s="1688"/>
      <c r="F24" s="1688"/>
      <c r="G24" s="1688"/>
      <c r="H24" s="1688"/>
    </row>
    <row r="25" spans="1:8">
      <c r="A25" s="1689" t="s">
        <v>1088</v>
      </c>
      <c r="B25" s="1688"/>
      <c r="C25" s="1688"/>
      <c r="D25" s="1688"/>
      <c r="E25" s="1688"/>
      <c r="F25" s="1688"/>
      <c r="G25" s="1688"/>
      <c r="H25" s="1688"/>
    </row>
    <row r="26" spans="1:8">
      <c r="A26" s="1689" t="s">
        <v>1089</v>
      </c>
      <c r="B26" s="1688"/>
      <c r="C26" s="1688"/>
      <c r="D26" s="1688"/>
      <c r="E26" s="1688"/>
      <c r="F26" s="1688"/>
      <c r="G26" s="1688"/>
      <c r="H26" s="1688"/>
    </row>
    <row r="27" spans="1:8">
      <c r="A27" s="1688"/>
      <c r="B27" s="1688"/>
      <c r="C27" s="1688"/>
      <c r="D27" s="1688"/>
      <c r="E27" s="1688"/>
      <c r="F27" s="1688"/>
      <c r="G27" s="1688"/>
      <c r="H27" s="1688"/>
    </row>
    <row r="28" spans="1:8">
      <c r="A28" s="1688"/>
      <c r="B28" s="1688"/>
      <c r="C28" s="1688"/>
      <c r="D28" s="1688"/>
      <c r="E28" s="1688"/>
      <c r="F28" s="1688"/>
      <c r="G28" s="1688"/>
      <c r="H28" s="1688"/>
    </row>
    <row r="29" spans="1:8">
      <c r="A29" s="1689" t="s">
        <v>1081</v>
      </c>
      <c r="B29" s="1688"/>
      <c r="C29" s="1688"/>
      <c r="D29" s="1688"/>
      <c r="E29" s="1688"/>
      <c r="F29" s="1688"/>
      <c r="G29" s="1688"/>
      <c r="H29" s="1688"/>
    </row>
    <row r="30" spans="1:8">
      <c r="A30" s="1689" t="s">
        <v>1082</v>
      </c>
      <c r="B30" s="1688"/>
      <c r="C30" s="1688"/>
      <c r="D30" s="1688"/>
      <c r="E30" s="1688"/>
      <c r="F30" s="1688"/>
      <c r="G30" s="1688"/>
      <c r="H30" s="1688"/>
    </row>
    <row r="31" spans="1:8">
      <c r="A31" s="1689" t="s">
        <v>1083</v>
      </c>
      <c r="B31" s="1688"/>
      <c r="C31" s="1688"/>
      <c r="D31" s="1688"/>
      <c r="E31" s="1688"/>
      <c r="F31" s="1688"/>
      <c r="G31" s="1688"/>
      <c r="H31" s="1688"/>
    </row>
    <row r="32" spans="1:8">
      <c r="A32" s="1689" t="s">
        <v>1084</v>
      </c>
      <c r="B32" s="1688"/>
      <c r="C32" s="1688"/>
      <c r="D32" s="1688"/>
      <c r="E32" s="1688"/>
      <c r="F32" s="1688"/>
      <c r="G32" s="1688"/>
      <c r="H32" s="1688"/>
    </row>
    <row r="33" spans="1:8">
      <c r="A33" s="1689" t="s">
        <v>1085</v>
      </c>
      <c r="B33" s="1688"/>
      <c r="C33" s="1688"/>
      <c r="D33" s="1688"/>
      <c r="E33" s="1688"/>
      <c r="F33" s="1688"/>
      <c r="G33" s="1688"/>
      <c r="H33" s="1688"/>
    </row>
    <row r="34" spans="1:8">
      <c r="A34" s="1688"/>
      <c r="B34" s="1688"/>
      <c r="C34" s="1688"/>
      <c r="D34" s="1688"/>
      <c r="E34" s="1688"/>
      <c r="F34" s="1688"/>
      <c r="G34" s="1688"/>
      <c r="H34" s="1688"/>
    </row>
    <row r="35" spans="1:8">
      <c r="A35" s="1689" t="s">
        <v>1077</v>
      </c>
      <c r="B35" s="1688"/>
      <c r="C35" s="1688"/>
      <c r="D35" s="1688"/>
      <c r="E35" s="1688"/>
      <c r="F35" s="1688"/>
      <c r="G35" s="1688"/>
      <c r="H35" s="1688"/>
    </row>
    <row r="36" spans="1:8">
      <c r="A36" s="1689" t="s">
        <v>1078</v>
      </c>
      <c r="B36" s="1688"/>
      <c r="C36" s="1688"/>
      <c r="D36" s="1688"/>
      <c r="E36" s="1688"/>
      <c r="F36" s="1688"/>
      <c r="G36" s="1688"/>
      <c r="H36" s="1688"/>
    </row>
    <row r="37" spans="1:8">
      <c r="A37" s="1689" t="s">
        <v>1079</v>
      </c>
      <c r="B37" s="1688"/>
      <c r="C37" s="1688"/>
      <c r="D37" s="1688"/>
      <c r="E37" s="1688"/>
      <c r="F37" s="1688"/>
      <c r="G37" s="1688"/>
      <c r="H37" s="1688"/>
    </row>
    <row r="38" spans="1:8">
      <c r="A38" s="1689" t="s">
        <v>1080</v>
      </c>
      <c r="B38" s="1688"/>
      <c r="C38" s="1688"/>
      <c r="D38" s="1688"/>
      <c r="E38" s="1688"/>
      <c r="F38" s="1688"/>
      <c r="G38" s="1688"/>
      <c r="H38" s="1688"/>
    </row>
    <row r="39" spans="1:8">
      <c r="A39" s="1688"/>
      <c r="B39" s="1688"/>
      <c r="C39" s="1688"/>
      <c r="D39" s="1688"/>
      <c r="E39" s="1688"/>
      <c r="F39" s="1688"/>
      <c r="G39" s="1688"/>
      <c r="H39" s="1688"/>
    </row>
    <row r="40" spans="1:8">
      <c r="A40" s="1689" t="s">
        <v>1071</v>
      </c>
      <c r="B40" s="1688"/>
      <c r="C40" s="1688"/>
      <c r="D40" s="1688"/>
      <c r="E40" s="1688"/>
      <c r="F40" s="1688"/>
      <c r="G40" s="1688"/>
      <c r="H40" s="1688"/>
    </row>
    <row r="41" spans="1:8">
      <c r="A41" s="1689" t="s">
        <v>1072</v>
      </c>
      <c r="B41" s="1688"/>
      <c r="C41" s="1688"/>
      <c r="D41" s="1688"/>
      <c r="E41" s="1688"/>
      <c r="F41" s="1688"/>
      <c r="G41" s="1688"/>
      <c r="H41" s="1688"/>
    </row>
    <row r="42" spans="1:8">
      <c r="A42" s="1689" t="s">
        <v>1073</v>
      </c>
      <c r="B42" s="1688"/>
      <c r="C42" s="1688"/>
      <c r="D42" s="1688"/>
      <c r="E42" s="1688"/>
      <c r="F42" s="1688"/>
      <c r="G42" s="1688"/>
      <c r="H42" s="1688"/>
    </row>
    <row r="43" spans="1:8">
      <c r="A43" s="1689" t="s">
        <v>1074</v>
      </c>
      <c r="B43" s="1688"/>
      <c r="C43" s="1688"/>
      <c r="D43" s="1688"/>
      <c r="E43" s="1688"/>
      <c r="F43" s="1688"/>
      <c r="G43" s="1688"/>
      <c r="H43" s="1688"/>
    </row>
    <row r="44" spans="1:8">
      <c r="A44" s="1689" t="s">
        <v>1075</v>
      </c>
      <c r="B44" s="1688"/>
      <c r="C44" s="1688"/>
      <c r="D44" s="1688"/>
      <c r="E44" s="1688"/>
      <c r="F44" s="1688"/>
      <c r="G44" s="1688"/>
      <c r="H44" s="1688"/>
    </row>
    <row r="45" spans="1:8">
      <c r="A45" s="1689" t="s">
        <v>1076</v>
      </c>
      <c r="B45" s="1688"/>
      <c r="C45" s="1688"/>
      <c r="D45" s="1688"/>
      <c r="E45" s="1688"/>
      <c r="F45" s="1688"/>
      <c r="G45" s="1688"/>
      <c r="H45" s="1688"/>
    </row>
    <row r="46" spans="1:8">
      <c r="A46" s="1688"/>
      <c r="B46" s="1688"/>
      <c r="C46" s="1688"/>
      <c r="D46" s="1688"/>
      <c r="E46" s="1688"/>
      <c r="F46" s="1688"/>
      <c r="G46" s="1688"/>
      <c r="H46" s="1688"/>
    </row>
    <row r="47" spans="1:8" ht="15.75">
      <c r="A47" s="1690" t="s">
        <v>820</v>
      </c>
      <c r="B47" s="1688"/>
      <c r="C47" s="1688"/>
      <c r="D47" s="1688"/>
      <c r="E47" s="1688"/>
      <c r="F47" s="1688"/>
      <c r="G47" s="1688"/>
      <c r="H47" s="1688"/>
    </row>
    <row r="48" spans="1:8">
      <c r="A48" s="1688"/>
      <c r="B48" s="1688"/>
      <c r="C48" s="1688"/>
      <c r="D48" s="1688"/>
      <c r="E48" s="1688"/>
      <c r="F48" s="1688"/>
      <c r="G48" s="1688"/>
      <c r="H48" s="1688"/>
    </row>
    <row r="49" spans="1:8">
      <c r="A49" s="1689" t="s">
        <v>1067</v>
      </c>
      <c r="B49" s="1688"/>
      <c r="C49" s="1688"/>
      <c r="D49" s="1688"/>
      <c r="E49" s="1688"/>
      <c r="F49" s="1688"/>
      <c r="G49" s="1688"/>
      <c r="H49" s="1688"/>
    </row>
    <row r="50" spans="1:8">
      <c r="A50" s="1689" t="s">
        <v>1068</v>
      </c>
      <c r="B50" s="1688"/>
      <c r="C50" s="1688"/>
      <c r="D50" s="1688"/>
      <c r="E50" s="1688"/>
      <c r="F50" s="1688"/>
      <c r="G50" s="1688"/>
      <c r="H50" s="1688"/>
    </row>
    <row r="51" spans="1:8">
      <c r="A51" s="1689" t="s">
        <v>1069</v>
      </c>
      <c r="B51" s="1688"/>
      <c r="C51" s="1688"/>
      <c r="D51" s="1688"/>
      <c r="E51" s="1688"/>
      <c r="F51" s="1688"/>
      <c r="G51" s="1688"/>
      <c r="H51" s="1688"/>
    </row>
    <row r="52" spans="1:8">
      <c r="A52" s="1689" t="s">
        <v>1070</v>
      </c>
      <c r="B52" s="1688"/>
      <c r="C52" s="1688"/>
      <c r="D52" s="1688"/>
      <c r="E52" s="1688"/>
      <c r="F52" s="1688"/>
      <c r="G52" s="1688"/>
      <c r="H52" s="1688"/>
    </row>
    <row r="53" spans="1:8">
      <c r="A53" s="1688"/>
      <c r="B53" s="1688"/>
      <c r="C53" s="1688"/>
      <c r="D53" s="1688"/>
      <c r="E53" s="1688"/>
      <c r="F53" s="1688"/>
      <c r="G53" s="1688"/>
      <c r="H53" s="1688"/>
    </row>
    <row r="54" spans="1:8">
      <c r="A54" s="1689" t="s">
        <v>821</v>
      </c>
      <c r="B54" s="1688"/>
      <c r="C54" s="1688"/>
      <c r="D54" s="1688"/>
      <c r="E54" s="1688"/>
      <c r="F54" s="1688"/>
      <c r="G54" s="1688"/>
      <c r="H54" s="1688"/>
    </row>
    <row r="55" spans="1:8">
      <c r="A55" s="1688"/>
      <c r="B55" s="1688"/>
      <c r="C55" s="1688"/>
      <c r="D55" s="1688"/>
      <c r="E55" s="1688"/>
      <c r="F55" s="1688"/>
      <c r="G55" s="1688"/>
      <c r="H55" s="1688"/>
    </row>
    <row r="56" spans="1:8" ht="15.75">
      <c r="A56" s="1690" t="s">
        <v>822</v>
      </c>
      <c r="B56" s="1688"/>
      <c r="C56" s="1688"/>
      <c r="D56" s="1688"/>
      <c r="E56" s="1688"/>
      <c r="F56" s="1688"/>
      <c r="G56" s="1688"/>
      <c r="H56" s="1688"/>
    </row>
    <row r="57" spans="1:8">
      <c r="A57" s="1688"/>
      <c r="B57" s="1688"/>
      <c r="C57" s="1688"/>
      <c r="D57" s="1688"/>
      <c r="E57" s="1688"/>
      <c r="F57" s="1688"/>
      <c r="G57" s="1688"/>
      <c r="H57" s="1688"/>
    </row>
    <row r="58" spans="1:8">
      <c r="A58" s="1689" t="s">
        <v>1065</v>
      </c>
      <c r="B58" s="1688"/>
      <c r="C58" s="1688"/>
      <c r="D58" s="1688"/>
      <c r="E58" s="1688"/>
      <c r="F58" s="1688"/>
      <c r="G58" s="1688"/>
      <c r="H58" s="1688"/>
    </row>
    <row r="59" spans="1:8">
      <c r="A59" s="1689" t="s">
        <v>1066</v>
      </c>
      <c r="B59" s="1688"/>
      <c r="C59" s="1688"/>
      <c r="D59" s="1688"/>
      <c r="E59" s="1688"/>
      <c r="F59" s="1688"/>
      <c r="G59" s="1688"/>
      <c r="H59" s="1688"/>
    </row>
    <row r="60" spans="1:8">
      <c r="A60" s="1688"/>
      <c r="B60" s="1688"/>
      <c r="C60" s="1688"/>
      <c r="D60" s="1688"/>
      <c r="E60" s="1688"/>
      <c r="F60" s="1688"/>
      <c r="G60" s="1688"/>
      <c r="H60" s="1688"/>
    </row>
    <row r="61" spans="1:8" ht="15.75">
      <c r="A61" s="1690" t="s">
        <v>823</v>
      </c>
      <c r="B61" s="1688"/>
      <c r="C61" s="1688"/>
      <c r="D61" s="1688"/>
      <c r="E61" s="1688"/>
      <c r="F61" s="1688"/>
      <c r="G61" s="1688"/>
      <c r="H61" s="1688"/>
    </row>
    <row r="62" spans="1:8">
      <c r="A62" s="1688"/>
      <c r="B62" s="1688"/>
      <c r="C62" s="1688"/>
      <c r="D62" s="1688"/>
      <c r="E62" s="1688"/>
      <c r="F62" s="1688"/>
      <c r="G62" s="1688"/>
      <c r="H62" s="1688"/>
    </row>
    <row r="63" spans="1:8">
      <c r="A63" s="1689" t="s">
        <v>824</v>
      </c>
      <c r="B63" s="1688"/>
      <c r="C63" s="1688"/>
      <c r="D63" s="1688"/>
      <c r="E63" s="1688"/>
      <c r="F63" s="1688"/>
      <c r="G63" s="1688"/>
      <c r="H63" s="1688"/>
    </row>
    <row r="64" spans="1:8">
      <c r="A64" s="1688"/>
      <c r="B64" s="1688"/>
      <c r="C64" s="1688"/>
      <c r="D64" s="1688"/>
      <c r="E64" s="1688"/>
      <c r="F64" s="1688"/>
      <c r="G64" s="1688"/>
      <c r="H64" s="1688"/>
    </row>
    <row r="65" spans="1:8">
      <c r="A65" s="1689" t="s">
        <v>1060</v>
      </c>
      <c r="B65" s="1688"/>
      <c r="C65" s="1688"/>
      <c r="D65" s="1688"/>
      <c r="E65" s="1688"/>
      <c r="F65" s="1688"/>
      <c r="G65" s="1688"/>
      <c r="H65" s="1688"/>
    </row>
    <row r="66" spans="1:8">
      <c r="A66" s="1689" t="s">
        <v>1061</v>
      </c>
      <c r="B66" s="1688"/>
      <c r="C66" s="1688"/>
      <c r="D66" s="1688"/>
      <c r="E66" s="1688"/>
      <c r="F66" s="1688"/>
      <c r="G66" s="1688"/>
      <c r="H66" s="1688"/>
    </row>
    <row r="67" spans="1:8">
      <c r="A67" s="1689" t="s">
        <v>1062</v>
      </c>
      <c r="B67" s="1688"/>
      <c r="C67" s="1688"/>
      <c r="D67" s="1688"/>
      <c r="E67" s="1688"/>
      <c r="F67" s="1688"/>
      <c r="G67" s="1688"/>
      <c r="H67" s="1688"/>
    </row>
    <row r="68" spans="1:8">
      <c r="A68" s="1689" t="s">
        <v>1063</v>
      </c>
      <c r="B68" s="1688"/>
      <c r="C68" s="1688"/>
      <c r="D68" s="1688"/>
      <c r="E68" s="1688"/>
      <c r="F68" s="1688"/>
      <c r="G68" s="1688"/>
      <c r="H68" s="1688"/>
    </row>
    <row r="69" spans="1:8">
      <c r="A69" s="1689" t="s">
        <v>1064</v>
      </c>
      <c r="B69" s="1688"/>
      <c r="C69" s="1688"/>
      <c r="D69" s="1688"/>
      <c r="E69" s="1688"/>
      <c r="F69" s="1688"/>
      <c r="G69" s="1688"/>
      <c r="H69" s="1688"/>
    </row>
    <row r="70" spans="1:8">
      <c r="A70" s="1689" t="s">
        <v>949</v>
      </c>
      <c r="B70" s="1688"/>
      <c r="C70" s="1688"/>
      <c r="D70" s="1688"/>
      <c r="E70" s="1688"/>
      <c r="F70" s="1688"/>
      <c r="G70" s="1688"/>
      <c r="H70" s="1688"/>
    </row>
    <row r="71" spans="1:8">
      <c r="A71" s="1688"/>
      <c r="B71" s="1688"/>
      <c r="C71" s="1688"/>
      <c r="D71" s="1688"/>
      <c r="E71" s="1688"/>
      <c r="F71" s="1688"/>
      <c r="G71" s="1688"/>
      <c r="H71" s="1688"/>
    </row>
    <row r="72" spans="1:8">
      <c r="A72" s="1689" t="s">
        <v>1053</v>
      </c>
      <c r="B72" s="1688"/>
      <c r="C72" s="1688"/>
      <c r="D72" s="1688"/>
      <c r="E72" s="1688"/>
      <c r="F72" s="1688"/>
      <c r="G72" s="1688"/>
      <c r="H72" s="1688"/>
    </row>
    <row r="73" spans="1:8">
      <c r="A73" s="1689" t="s">
        <v>1054</v>
      </c>
      <c r="B73" s="1688"/>
      <c r="C73" s="1688"/>
      <c r="D73" s="1688"/>
      <c r="E73" s="1688"/>
      <c r="F73" s="1688"/>
      <c r="G73" s="1688"/>
      <c r="H73" s="1688"/>
    </row>
    <row r="74" spans="1:8">
      <c r="A74" s="1689" t="s">
        <v>1055</v>
      </c>
      <c r="B74" s="1688"/>
      <c r="C74" s="1688"/>
      <c r="D74" s="1688"/>
      <c r="E74" s="1688"/>
      <c r="F74" s="1688"/>
      <c r="G74" s="1688"/>
      <c r="H74" s="1688"/>
    </row>
    <row r="75" spans="1:8">
      <c r="A75" s="1689" t="s">
        <v>1056</v>
      </c>
      <c r="B75" s="1688"/>
      <c r="C75" s="1688"/>
      <c r="D75" s="1688"/>
      <c r="E75" s="1688"/>
      <c r="F75" s="1688"/>
      <c r="G75" s="1688"/>
      <c r="H75" s="1688"/>
    </row>
    <row r="76" spans="1:8">
      <c r="A76" s="1689" t="s">
        <v>1057</v>
      </c>
      <c r="B76" s="1688"/>
      <c r="C76" s="1688"/>
      <c r="D76" s="1688"/>
      <c r="E76" s="1688"/>
      <c r="F76" s="1688"/>
      <c r="G76" s="1688"/>
      <c r="H76" s="1688"/>
    </row>
    <row r="77" spans="1:8">
      <c r="A77" s="1689" t="s">
        <v>1058</v>
      </c>
      <c r="B77" s="1688"/>
      <c r="C77" s="1688"/>
      <c r="D77" s="1688"/>
      <c r="E77" s="1688"/>
      <c r="F77" s="1688"/>
      <c r="G77" s="1688"/>
      <c r="H77" s="1688"/>
    </row>
    <row r="78" spans="1:8">
      <c r="A78" s="1689" t="s">
        <v>1059</v>
      </c>
      <c r="B78" s="1688"/>
      <c r="C78" s="1688"/>
      <c r="D78" s="1688"/>
      <c r="E78" s="1688"/>
      <c r="F78" s="1688"/>
      <c r="G78" s="1688"/>
      <c r="H78" s="1688"/>
    </row>
    <row r="79" spans="1:8">
      <c r="A79" s="1688"/>
      <c r="B79" s="1688"/>
      <c r="C79" s="1688"/>
      <c r="D79" s="1688"/>
      <c r="E79" s="1688"/>
      <c r="F79" s="1688"/>
      <c r="G79" s="1688"/>
      <c r="H79" s="1688"/>
    </row>
    <row r="80" spans="1:8">
      <c r="A80" s="1689" t="s">
        <v>1051</v>
      </c>
      <c r="B80" s="1688"/>
      <c r="C80" s="1688"/>
      <c r="D80" s="1688"/>
      <c r="E80" s="1688"/>
      <c r="F80" s="1688"/>
      <c r="G80" s="1688"/>
      <c r="H80" s="1688"/>
    </row>
    <row r="81" spans="1:8">
      <c r="A81" s="1689" t="s">
        <v>1052</v>
      </c>
      <c r="B81" s="1688"/>
      <c r="C81" s="1688"/>
      <c r="D81" s="1688"/>
      <c r="E81" s="1688"/>
      <c r="F81" s="1688"/>
      <c r="G81" s="1688"/>
      <c r="H81" s="1688"/>
    </row>
    <row r="82" spans="1:8">
      <c r="A82" s="1688"/>
      <c r="B82" s="1688"/>
      <c r="C82" s="1688"/>
      <c r="D82" s="1688"/>
      <c r="E82" s="1688"/>
      <c r="F82" s="1688"/>
      <c r="G82" s="1688"/>
      <c r="H82" s="1688"/>
    </row>
    <row r="83" spans="1:8" ht="15.75">
      <c r="A83" s="1690" t="s">
        <v>825</v>
      </c>
      <c r="B83" s="1688"/>
      <c r="C83" s="1688"/>
      <c r="D83" s="1688"/>
      <c r="E83" s="1688"/>
      <c r="F83" s="1688"/>
      <c r="G83" s="1688"/>
      <c r="H83" s="1688"/>
    </row>
    <row r="84" spans="1:8">
      <c r="A84" s="1688"/>
      <c r="B84" s="1688"/>
      <c r="C84" s="1688"/>
      <c r="D84" s="1688"/>
      <c r="E84" s="1688"/>
      <c r="F84" s="1688"/>
      <c r="G84" s="1688"/>
      <c r="H84" s="1688"/>
    </row>
    <row r="85" spans="1:8">
      <c r="A85" s="1689" t="s">
        <v>1042</v>
      </c>
      <c r="B85" s="1688"/>
      <c r="C85" s="1688"/>
      <c r="D85" s="1688"/>
      <c r="E85" s="1688"/>
      <c r="F85" s="1688"/>
      <c r="G85" s="1688"/>
      <c r="H85" s="1688"/>
    </row>
    <row r="86" spans="1:8">
      <c r="A86" s="1689" t="s">
        <v>1043</v>
      </c>
      <c r="B86" s="1688"/>
      <c r="C86" s="1688"/>
      <c r="D86" s="1688"/>
      <c r="E86" s="1688"/>
      <c r="F86" s="1688"/>
      <c r="G86" s="1688"/>
      <c r="H86" s="1688"/>
    </row>
    <row r="87" spans="1:8">
      <c r="A87" s="1689" t="s">
        <v>1044</v>
      </c>
      <c r="B87" s="1688"/>
      <c r="C87" s="1688"/>
      <c r="D87" s="1688"/>
      <c r="E87" s="1688"/>
      <c r="F87" s="1688"/>
      <c r="G87" s="1688"/>
      <c r="H87" s="1688"/>
    </row>
    <row r="88" spans="1:8">
      <c r="A88" s="1689" t="s">
        <v>1045</v>
      </c>
      <c r="B88" s="1688"/>
      <c r="C88" s="1688"/>
      <c r="D88" s="1688"/>
      <c r="E88" s="1688"/>
      <c r="F88" s="1688"/>
      <c r="G88" s="1688"/>
      <c r="H88" s="1688"/>
    </row>
    <row r="89" spans="1:8">
      <c r="A89" s="1689" t="s">
        <v>1046</v>
      </c>
      <c r="B89" s="1688"/>
      <c r="C89" s="1688"/>
      <c r="D89" s="1688"/>
      <c r="E89" s="1688"/>
      <c r="F89" s="1688"/>
      <c r="G89" s="1688"/>
      <c r="H89" s="1688"/>
    </row>
    <row r="90" spans="1:8">
      <c r="A90" s="1689" t="s">
        <v>1047</v>
      </c>
      <c r="B90" s="1688"/>
      <c r="C90" s="1688"/>
      <c r="D90" s="1688"/>
      <c r="E90" s="1688"/>
      <c r="F90" s="1688"/>
      <c r="G90" s="1688"/>
      <c r="H90" s="1688"/>
    </row>
    <row r="91" spans="1:8">
      <c r="A91" s="1689" t="s">
        <v>1048</v>
      </c>
      <c r="B91" s="1688"/>
      <c r="C91" s="1688"/>
      <c r="D91" s="1688"/>
      <c r="E91" s="1688"/>
      <c r="F91" s="1688"/>
      <c r="G91" s="1688"/>
      <c r="H91" s="1688"/>
    </row>
    <row r="92" spans="1:8">
      <c r="A92" s="1689" t="s">
        <v>1049</v>
      </c>
      <c r="B92" s="1688"/>
      <c r="C92" s="1688"/>
      <c r="D92" s="1688"/>
      <c r="E92" s="1688"/>
      <c r="F92" s="1688"/>
      <c r="G92" s="1688"/>
      <c r="H92" s="1688"/>
    </row>
    <row r="93" spans="1:8">
      <c r="A93" s="1689" t="s">
        <v>1050</v>
      </c>
      <c r="B93" s="1688"/>
      <c r="C93" s="1688"/>
      <c r="D93" s="1688"/>
      <c r="E93" s="1688"/>
      <c r="F93" s="1688"/>
      <c r="G93" s="1688"/>
      <c r="H93" s="1688"/>
    </row>
    <row r="94" spans="1:8">
      <c r="A94" s="1688"/>
      <c r="B94" s="1688"/>
      <c r="C94" s="1688"/>
      <c r="D94" s="1688"/>
      <c r="E94" s="1688"/>
      <c r="F94" s="1688"/>
      <c r="G94" s="1688"/>
      <c r="H94" s="1688"/>
    </row>
    <row r="95" spans="1:8" ht="15.75">
      <c r="A95" s="1691" t="s">
        <v>826</v>
      </c>
      <c r="B95" s="1691"/>
      <c r="C95" s="1691"/>
      <c r="D95" s="1691"/>
      <c r="E95" s="1691"/>
      <c r="F95" s="1691"/>
      <c r="G95" s="1691"/>
      <c r="H95" s="1691"/>
    </row>
    <row r="96" spans="1:8">
      <c r="A96" s="1692" t="s">
        <v>827</v>
      </c>
      <c r="B96" s="1692"/>
      <c r="C96" s="1692"/>
      <c r="D96" s="1692"/>
      <c r="E96" s="1692"/>
      <c r="F96" s="1692"/>
      <c r="G96" s="1692"/>
      <c r="H96" s="1692"/>
    </row>
    <row r="97" spans="1:8">
      <c r="A97" s="1693"/>
      <c r="B97" s="1693"/>
      <c r="C97" s="1693"/>
      <c r="D97" s="1693"/>
      <c r="E97" s="1693"/>
      <c r="F97" s="1693"/>
      <c r="G97" s="1693"/>
      <c r="H97" s="1693"/>
    </row>
    <row r="98" spans="1:8">
      <c r="A98" s="1692" t="s">
        <v>1040</v>
      </c>
      <c r="B98" s="1692"/>
      <c r="C98" s="1692"/>
      <c r="D98" s="1692"/>
      <c r="E98" s="1692"/>
      <c r="F98" s="1692"/>
      <c r="G98" s="1692"/>
      <c r="H98" s="1692"/>
    </row>
    <row r="99" spans="1:8">
      <c r="A99" s="1689" t="s">
        <v>1041</v>
      </c>
      <c r="B99" s="1689"/>
      <c r="C99" s="1689"/>
      <c r="D99" s="1689"/>
      <c r="E99" s="1689"/>
      <c r="F99" s="1689"/>
      <c r="G99" s="1689"/>
      <c r="H99" s="1689"/>
    </row>
    <row r="100" spans="1:8">
      <c r="A100" s="1693"/>
      <c r="B100" s="1693"/>
      <c r="C100" s="1693"/>
      <c r="D100" s="1693"/>
      <c r="E100" s="1693"/>
      <c r="F100" s="1693"/>
      <c r="G100" s="1693"/>
      <c r="H100" s="1693"/>
    </row>
    <row r="101" spans="1:8">
      <c r="A101" s="1692" t="s">
        <v>1033</v>
      </c>
      <c r="B101" s="1692"/>
      <c r="C101" s="1692"/>
      <c r="D101" s="1692"/>
      <c r="E101" s="1692"/>
      <c r="F101" s="1692"/>
      <c r="G101" s="1692"/>
      <c r="H101" s="1692"/>
    </row>
    <row r="102" spans="1:8">
      <c r="A102" s="1689" t="s">
        <v>1034</v>
      </c>
      <c r="B102" s="1689"/>
      <c r="C102" s="1689"/>
      <c r="D102" s="1689"/>
      <c r="E102" s="1689"/>
      <c r="F102" s="1689"/>
      <c r="G102" s="1689"/>
      <c r="H102" s="1689"/>
    </row>
    <row r="103" spans="1:8">
      <c r="A103" s="1689" t="s">
        <v>1035</v>
      </c>
      <c r="B103" s="1689"/>
      <c r="C103" s="1689"/>
      <c r="D103" s="1689"/>
      <c r="E103" s="1689"/>
      <c r="F103" s="1689"/>
      <c r="G103" s="1689"/>
      <c r="H103" s="1689"/>
    </row>
    <row r="104" spans="1:8">
      <c r="A104" s="1689" t="s">
        <v>1036</v>
      </c>
      <c r="B104" s="1689"/>
      <c r="C104" s="1689"/>
      <c r="D104" s="1689"/>
      <c r="E104" s="1689"/>
      <c r="F104" s="1689"/>
      <c r="G104" s="1689"/>
      <c r="H104" s="1689"/>
    </row>
    <row r="105" spans="1:8">
      <c r="A105" s="1689" t="s">
        <v>1037</v>
      </c>
      <c r="B105" s="1689"/>
      <c r="C105" s="1689"/>
      <c r="D105" s="1689"/>
      <c r="E105" s="1689"/>
      <c r="F105" s="1689"/>
      <c r="G105" s="1689"/>
      <c r="H105" s="1689"/>
    </row>
    <row r="106" spans="1:8">
      <c r="A106" s="1689" t="s">
        <v>1038</v>
      </c>
      <c r="B106" s="1689"/>
      <c r="C106" s="1689"/>
      <c r="D106" s="1689"/>
      <c r="E106" s="1689"/>
      <c r="F106" s="1689"/>
      <c r="G106" s="1689"/>
      <c r="H106" s="1689"/>
    </row>
    <row r="107" spans="1:8">
      <c r="A107" s="1689" t="s">
        <v>1039</v>
      </c>
      <c r="B107" s="1689"/>
      <c r="C107" s="1689"/>
      <c r="D107" s="1689"/>
      <c r="E107" s="1689"/>
      <c r="F107" s="1689"/>
      <c r="G107" s="1689"/>
      <c r="H107" s="1689"/>
    </row>
    <row r="108" spans="1:8">
      <c r="A108" s="1694"/>
      <c r="B108" s="1694"/>
      <c r="C108" s="1694"/>
      <c r="D108" s="1694"/>
      <c r="E108" s="1694"/>
      <c r="F108" s="1694"/>
      <c r="G108" s="1694"/>
      <c r="H108" s="1694"/>
    </row>
    <row r="109" spans="1:8">
      <c r="A109" s="1695"/>
      <c r="B109" s="1696" t="s">
        <v>828</v>
      </c>
      <c r="C109" s="1697"/>
      <c r="D109" s="1696" t="s">
        <v>829</v>
      </c>
      <c r="E109" s="1698"/>
      <c r="F109" s="1697"/>
      <c r="G109" s="1696" t="s">
        <v>830</v>
      </c>
      <c r="H109" s="1697"/>
    </row>
    <row r="110" spans="1:8">
      <c r="A110" s="1695" t="s">
        <v>831</v>
      </c>
      <c r="B110" s="1695" t="s">
        <v>400</v>
      </c>
      <c r="C110" s="1695" t="s">
        <v>832</v>
      </c>
      <c r="D110" s="1695" t="s">
        <v>400</v>
      </c>
      <c r="E110" s="1695" t="s">
        <v>833</v>
      </c>
      <c r="F110" s="1695" t="s">
        <v>834</v>
      </c>
      <c r="G110" s="1695" t="s">
        <v>400</v>
      </c>
      <c r="H110" s="1695" t="s">
        <v>835</v>
      </c>
    </row>
    <row r="111" spans="1:8">
      <c r="A111" s="1695" t="s">
        <v>836</v>
      </c>
      <c r="B111" s="1695">
        <v>1189</v>
      </c>
      <c r="C111" s="1699">
        <v>0.38</v>
      </c>
      <c r="D111" s="1695">
        <v>315</v>
      </c>
      <c r="E111" s="1699">
        <v>0.41</v>
      </c>
      <c r="F111" s="1699">
        <v>0.26</v>
      </c>
      <c r="G111" s="1695">
        <v>555</v>
      </c>
      <c r="H111" s="1699">
        <v>0.39</v>
      </c>
    </row>
    <row r="112" spans="1:8">
      <c r="A112" s="1695" t="s">
        <v>837</v>
      </c>
      <c r="B112" s="1695">
        <v>1355</v>
      </c>
      <c r="C112" s="1699">
        <v>0.43</v>
      </c>
      <c r="D112" s="1695">
        <v>364</v>
      </c>
      <c r="E112" s="1699">
        <v>0.47</v>
      </c>
      <c r="F112" s="1699">
        <v>0.27</v>
      </c>
      <c r="G112" s="1695">
        <v>644</v>
      </c>
      <c r="H112" s="1699">
        <v>0.45</v>
      </c>
    </row>
    <row r="113" spans="1:8">
      <c r="A113" s="1695" t="s">
        <v>838</v>
      </c>
      <c r="B113" s="1695">
        <v>53</v>
      </c>
      <c r="C113" s="1699">
        <v>0.02</v>
      </c>
      <c r="D113" s="1695">
        <v>4</v>
      </c>
      <c r="E113" s="1699">
        <v>0.01</v>
      </c>
      <c r="F113" s="1699">
        <v>0.08</v>
      </c>
      <c r="G113" s="1695">
        <v>7</v>
      </c>
      <c r="H113" s="1699">
        <v>0</v>
      </c>
    </row>
    <row r="114" spans="1:8">
      <c r="A114" s="1695" t="s">
        <v>839</v>
      </c>
      <c r="B114" s="1695">
        <v>545</v>
      </c>
      <c r="C114" s="1699">
        <v>0.17</v>
      </c>
      <c r="D114" s="1695">
        <v>84</v>
      </c>
      <c r="E114" s="1699">
        <v>0.11</v>
      </c>
      <c r="F114" s="1699">
        <v>0.15</v>
      </c>
      <c r="G114" s="1695">
        <v>214</v>
      </c>
      <c r="H114" s="1699">
        <v>0.15</v>
      </c>
    </row>
    <row r="115" spans="1:8">
      <c r="A115" s="1695" t="s">
        <v>101</v>
      </c>
      <c r="B115" s="1700">
        <v>3142</v>
      </c>
      <c r="C115" s="1695"/>
      <c r="D115" s="1695">
        <v>767</v>
      </c>
      <c r="E115" s="1695"/>
      <c r="F115" s="1695"/>
      <c r="G115" s="1695">
        <v>1420</v>
      </c>
      <c r="H115" s="1695"/>
    </row>
    <row r="116" spans="1:8">
      <c r="A116" s="1701"/>
      <c r="B116" s="1701"/>
      <c r="C116" s="1701"/>
      <c r="D116" s="1701"/>
      <c r="E116" s="1701"/>
      <c r="F116" s="1701"/>
      <c r="G116" s="1701"/>
      <c r="H116" s="1701"/>
    </row>
    <row r="117" spans="1:8">
      <c r="A117" s="1692" t="s">
        <v>1029</v>
      </c>
      <c r="B117" s="1692"/>
      <c r="C117" s="1692"/>
      <c r="D117" s="1692"/>
      <c r="E117" s="1692"/>
      <c r="F117" s="1692"/>
      <c r="G117" s="1692"/>
      <c r="H117" s="1692"/>
    </row>
    <row r="118" spans="1:8">
      <c r="A118" s="1689" t="s">
        <v>1030</v>
      </c>
      <c r="B118" s="1689"/>
      <c r="C118" s="1689"/>
      <c r="D118" s="1689"/>
      <c r="E118" s="1689"/>
      <c r="F118" s="1689"/>
      <c r="G118" s="1689"/>
      <c r="H118" s="1689"/>
    </row>
    <row r="119" spans="1:8">
      <c r="A119" s="1689" t="s">
        <v>1031</v>
      </c>
      <c r="B119" s="1689"/>
      <c r="C119" s="1689"/>
      <c r="D119" s="1689"/>
      <c r="E119" s="1689"/>
      <c r="F119" s="1689"/>
      <c r="G119" s="1689"/>
      <c r="H119" s="1689"/>
    </row>
    <row r="120" spans="1:8">
      <c r="A120" s="1689" t="s">
        <v>1032</v>
      </c>
      <c r="B120" s="1689"/>
      <c r="C120" s="1689"/>
      <c r="D120" s="1689"/>
      <c r="E120" s="1689"/>
      <c r="F120" s="1689"/>
      <c r="G120" s="1689"/>
      <c r="H120" s="1689"/>
    </row>
    <row r="121" spans="1:8">
      <c r="A121" s="1688"/>
      <c r="B121" s="1688"/>
      <c r="C121" s="1688"/>
      <c r="D121" s="1688"/>
      <c r="E121" s="1688"/>
      <c r="F121" s="1688"/>
      <c r="G121" s="1688"/>
      <c r="H121" s="1688"/>
    </row>
    <row r="122" spans="1:8" ht="15.75">
      <c r="A122" s="1690" t="s">
        <v>840</v>
      </c>
      <c r="B122" s="1688"/>
      <c r="C122" s="1688"/>
      <c r="D122" s="1688"/>
      <c r="E122" s="1688"/>
      <c r="F122" s="1688"/>
      <c r="G122" s="1688"/>
      <c r="H122" s="1688"/>
    </row>
    <row r="123" spans="1:8">
      <c r="A123" s="1688"/>
      <c r="B123" s="1688"/>
      <c r="C123" s="1688"/>
      <c r="D123" s="1688"/>
      <c r="E123" s="1688"/>
      <c r="F123" s="1688"/>
      <c r="G123" s="1688"/>
      <c r="H123" s="1688"/>
    </row>
    <row r="124" spans="1:8">
      <c r="A124" s="1689" t="s">
        <v>1027</v>
      </c>
      <c r="B124" s="1688"/>
      <c r="C124" s="1688"/>
      <c r="D124" s="1688"/>
      <c r="E124" s="1688"/>
      <c r="F124" s="1688"/>
      <c r="G124" s="1688"/>
      <c r="H124" s="1688"/>
    </row>
    <row r="125" spans="1:8">
      <c r="A125" s="1689" t="s">
        <v>1028</v>
      </c>
      <c r="B125" s="1688"/>
      <c r="C125" s="1688"/>
      <c r="D125" s="1688"/>
      <c r="E125" s="1688"/>
      <c r="F125" s="1688"/>
      <c r="G125" s="1688"/>
      <c r="H125" s="1688"/>
    </row>
    <row r="126" spans="1:8">
      <c r="A126" s="1688"/>
      <c r="B126" s="1688"/>
      <c r="C126" s="1688"/>
      <c r="D126" s="1688"/>
      <c r="E126" s="1688"/>
      <c r="F126" s="1688"/>
      <c r="G126" s="1688"/>
      <c r="H126" s="1688"/>
    </row>
    <row r="127" spans="1:8">
      <c r="A127" s="1689" t="s">
        <v>1024</v>
      </c>
      <c r="B127" s="1688"/>
      <c r="C127" s="1688"/>
      <c r="D127" s="1688"/>
      <c r="E127" s="1688"/>
      <c r="F127" s="1688"/>
      <c r="G127" s="1688"/>
      <c r="H127" s="1688"/>
    </row>
    <row r="128" spans="1:8">
      <c r="A128" s="1689" t="s">
        <v>1025</v>
      </c>
      <c r="B128" s="1688"/>
      <c r="C128" s="1688"/>
      <c r="D128" s="1688"/>
      <c r="E128" s="1688"/>
      <c r="F128" s="1688"/>
      <c r="G128" s="1688"/>
      <c r="H128" s="1688"/>
    </row>
    <row r="129" spans="1:8">
      <c r="A129" s="1689" t="s">
        <v>1026</v>
      </c>
      <c r="B129" s="1688"/>
      <c r="C129" s="1688"/>
      <c r="D129" s="1688"/>
      <c r="E129" s="1688"/>
      <c r="F129" s="1688"/>
      <c r="G129" s="1688"/>
      <c r="H129" s="1688"/>
    </row>
    <row r="130" spans="1:8">
      <c r="A130" s="1688"/>
      <c r="B130" s="1688"/>
      <c r="C130" s="1688"/>
      <c r="D130" s="1688"/>
      <c r="E130" s="1688"/>
      <c r="F130" s="1688"/>
      <c r="G130" s="1688"/>
      <c r="H130" s="1688"/>
    </row>
    <row r="131" spans="1:8">
      <c r="A131" s="1689" t="s">
        <v>1021</v>
      </c>
      <c r="B131" s="1688"/>
      <c r="C131" s="1688"/>
      <c r="D131" s="1688"/>
      <c r="E131" s="1688"/>
      <c r="F131" s="1688"/>
      <c r="G131" s="1688"/>
      <c r="H131" s="1688"/>
    </row>
    <row r="132" spans="1:8">
      <c r="A132" s="1689" t="s">
        <v>1022</v>
      </c>
      <c r="B132" s="1688"/>
      <c r="C132" s="1688"/>
      <c r="D132" s="1688"/>
      <c r="E132" s="1688"/>
      <c r="F132" s="1688"/>
      <c r="G132" s="1688"/>
      <c r="H132" s="1688"/>
    </row>
    <row r="133" spans="1:8">
      <c r="A133" s="1689" t="s">
        <v>1023</v>
      </c>
      <c r="B133" s="1688"/>
      <c r="C133" s="1688"/>
      <c r="D133" s="1688"/>
      <c r="E133" s="1688"/>
      <c r="F133" s="1688"/>
      <c r="G133" s="1688"/>
      <c r="H133" s="1688"/>
    </row>
    <row r="134" spans="1:8">
      <c r="A134" s="1688"/>
      <c r="B134" s="1688"/>
      <c r="C134" s="1688"/>
      <c r="D134" s="1688"/>
      <c r="E134" s="1688"/>
      <c r="F134" s="1688"/>
      <c r="G134" s="1688"/>
      <c r="H134" s="1688"/>
    </row>
    <row r="135" spans="1:8">
      <c r="A135" s="1689" t="s">
        <v>1018</v>
      </c>
      <c r="B135" s="1688"/>
      <c r="C135" s="1688"/>
      <c r="D135" s="1688"/>
      <c r="E135" s="1688"/>
      <c r="F135" s="1688"/>
      <c r="G135" s="1688"/>
      <c r="H135" s="1688"/>
    </row>
    <row r="136" spans="1:8">
      <c r="A136" s="1689" t="s">
        <v>1019</v>
      </c>
      <c r="B136" s="1688"/>
      <c r="C136" s="1688"/>
      <c r="D136" s="1688"/>
      <c r="E136" s="1688"/>
      <c r="F136" s="1688"/>
      <c r="G136" s="1688"/>
      <c r="H136" s="1688"/>
    </row>
    <row r="137" spans="1:8">
      <c r="A137" s="1689" t="s">
        <v>1020</v>
      </c>
      <c r="B137" s="1688"/>
      <c r="C137" s="1688"/>
      <c r="D137" s="1688"/>
      <c r="E137" s="1688"/>
      <c r="F137" s="1688"/>
      <c r="G137" s="1688"/>
      <c r="H137" s="1688"/>
    </row>
    <row r="138" spans="1:8">
      <c r="A138" s="1688"/>
      <c r="B138" s="1688"/>
      <c r="C138" s="1688"/>
      <c r="D138" s="1688"/>
      <c r="E138" s="1688"/>
      <c r="F138" s="1688"/>
      <c r="G138" s="1688"/>
      <c r="H138" s="1688"/>
    </row>
    <row r="139" spans="1:8">
      <c r="A139" s="1689" t="s">
        <v>1016</v>
      </c>
      <c r="B139" s="1688"/>
      <c r="C139" s="1688"/>
      <c r="D139" s="1688"/>
      <c r="E139" s="1688"/>
      <c r="F139" s="1688"/>
      <c r="G139" s="1688"/>
      <c r="H139" s="1688"/>
    </row>
    <row r="140" spans="1:8">
      <c r="A140" s="1689" t="s">
        <v>1017</v>
      </c>
      <c r="B140" s="1688"/>
      <c r="C140" s="1688"/>
      <c r="D140" s="1688"/>
      <c r="E140" s="1688"/>
      <c r="F140" s="1688"/>
      <c r="G140" s="1688"/>
      <c r="H140" s="1688"/>
    </row>
    <row r="141" spans="1:8">
      <c r="A141" s="1688"/>
      <c r="B141" s="1688"/>
      <c r="C141" s="1688"/>
      <c r="D141" s="1688"/>
      <c r="E141" s="1688"/>
      <c r="F141" s="1688"/>
      <c r="G141" s="1688"/>
      <c r="H141" s="1688"/>
    </row>
    <row r="142" spans="1:8" ht="15.75">
      <c r="A142" s="1690" t="s">
        <v>841</v>
      </c>
      <c r="B142" s="1688"/>
      <c r="C142" s="1688"/>
      <c r="D142" s="1688"/>
      <c r="E142" s="1688"/>
      <c r="F142" s="1688"/>
      <c r="G142" s="1688"/>
      <c r="H142" s="1688"/>
    </row>
    <row r="143" spans="1:8">
      <c r="A143" s="1688"/>
      <c r="B143" s="1688"/>
      <c r="C143" s="1688"/>
      <c r="D143" s="1688"/>
      <c r="E143" s="1688"/>
      <c r="F143" s="1688"/>
      <c r="G143" s="1688"/>
      <c r="H143" s="1688"/>
    </row>
    <row r="144" spans="1:8">
      <c r="A144" s="1689" t="s">
        <v>1014</v>
      </c>
      <c r="B144" s="1688"/>
      <c r="C144" s="1688"/>
      <c r="D144" s="1688"/>
      <c r="E144" s="1688"/>
      <c r="F144" s="1688"/>
      <c r="G144" s="1688"/>
      <c r="H144" s="1688"/>
    </row>
    <row r="145" spans="1:8">
      <c r="A145" s="1689" t="s">
        <v>1015</v>
      </c>
      <c r="B145" s="1688"/>
      <c r="C145" s="1688"/>
      <c r="D145" s="1688"/>
      <c r="E145" s="1688"/>
      <c r="F145" s="1688"/>
      <c r="G145" s="1688"/>
      <c r="H145" s="1688"/>
    </row>
    <row r="146" spans="1:8">
      <c r="A146" s="1688"/>
      <c r="B146" s="1688"/>
      <c r="C146" s="1688"/>
      <c r="D146" s="1688"/>
      <c r="E146" s="1688"/>
      <c r="F146" s="1688"/>
      <c r="G146" s="1688"/>
      <c r="H146" s="1688"/>
    </row>
    <row r="147" spans="1:8">
      <c r="A147" s="1689" t="s">
        <v>1012</v>
      </c>
      <c r="B147" s="1688"/>
      <c r="C147" s="1688"/>
      <c r="D147" s="1688"/>
      <c r="E147" s="1688"/>
      <c r="F147" s="1688"/>
      <c r="G147" s="1688"/>
      <c r="H147" s="1688"/>
    </row>
    <row r="148" spans="1:8">
      <c r="A148" s="1689" t="s">
        <v>1013</v>
      </c>
      <c r="B148" s="1688"/>
      <c r="C148" s="1688"/>
      <c r="D148" s="1688"/>
      <c r="E148" s="1688"/>
      <c r="F148" s="1688"/>
      <c r="G148" s="1688"/>
      <c r="H148" s="1688"/>
    </row>
    <row r="149" spans="1:8">
      <c r="A149" s="1688"/>
      <c r="B149" s="1688"/>
      <c r="C149" s="1688"/>
      <c r="D149" s="1688"/>
      <c r="E149" s="1688"/>
      <c r="F149" s="1688"/>
      <c r="G149" s="1688"/>
      <c r="H149" s="1688"/>
    </row>
    <row r="150" spans="1:8">
      <c r="A150" s="1689" t="s">
        <v>1010</v>
      </c>
      <c r="B150" s="1688"/>
      <c r="C150" s="1688"/>
      <c r="D150" s="1688"/>
      <c r="E150" s="1688"/>
      <c r="F150" s="1688"/>
      <c r="G150" s="1688"/>
      <c r="H150" s="1688"/>
    </row>
    <row r="151" spans="1:8">
      <c r="A151" s="1689" t="s">
        <v>1011</v>
      </c>
      <c r="B151" s="1688"/>
      <c r="C151" s="1688"/>
      <c r="D151" s="1688"/>
      <c r="E151" s="1688"/>
      <c r="F151" s="1688"/>
      <c r="G151" s="1688"/>
      <c r="H151" s="1688"/>
    </row>
    <row r="152" spans="1:8">
      <c r="A152" s="1688"/>
      <c r="B152" s="1688"/>
      <c r="C152" s="1688"/>
      <c r="D152" s="1688"/>
      <c r="E152" s="1688"/>
      <c r="F152" s="1688"/>
      <c r="G152" s="1688"/>
      <c r="H152" s="1688"/>
    </row>
    <row r="153" spans="1:8">
      <c r="A153" s="1689" t="s">
        <v>1007</v>
      </c>
      <c r="B153" s="1688"/>
      <c r="C153" s="1688"/>
      <c r="D153" s="1688"/>
      <c r="E153" s="1688"/>
      <c r="F153" s="1688"/>
      <c r="G153" s="1688"/>
      <c r="H153" s="1688"/>
    </row>
    <row r="154" spans="1:8">
      <c r="A154" s="1689" t="s">
        <v>1008</v>
      </c>
      <c r="B154" s="1688"/>
      <c r="C154" s="1688"/>
      <c r="D154" s="1688"/>
      <c r="E154" s="1688"/>
      <c r="F154" s="1688"/>
      <c r="G154" s="1688"/>
      <c r="H154" s="1688"/>
    </row>
    <row r="155" spans="1:8">
      <c r="A155" s="1689" t="s">
        <v>1009</v>
      </c>
      <c r="B155" s="1688"/>
      <c r="C155" s="1688"/>
      <c r="D155" s="1688"/>
      <c r="E155" s="1688"/>
      <c r="F155" s="1688"/>
      <c r="G155" s="1688"/>
      <c r="H155" s="1688"/>
    </row>
    <row r="156" spans="1:8">
      <c r="A156" s="1688"/>
      <c r="B156" s="1688"/>
      <c r="C156" s="1688"/>
      <c r="D156" s="1688"/>
      <c r="E156" s="1688"/>
      <c r="F156" s="1688"/>
      <c r="G156" s="1688"/>
      <c r="H156" s="1688"/>
    </row>
    <row r="157" spans="1:8">
      <c r="A157" s="1688"/>
      <c r="B157" s="1688"/>
      <c r="C157" s="1688"/>
      <c r="D157" s="1688"/>
      <c r="E157" s="1688"/>
      <c r="F157" s="1688"/>
      <c r="G157" s="1688"/>
      <c r="H157" s="1688"/>
    </row>
    <row r="158" spans="1:8">
      <c r="A158" s="1689" t="s">
        <v>457</v>
      </c>
      <c r="B158" s="1688"/>
      <c r="C158" s="1688"/>
      <c r="D158" s="1688"/>
      <c r="E158" s="1688"/>
      <c r="F158" s="1688"/>
      <c r="G158" s="1688"/>
      <c r="H158" s="1688"/>
    </row>
    <row r="159" spans="1:8">
      <c r="A159" s="1688"/>
      <c r="B159" s="1688"/>
      <c r="C159" s="1688"/>
      <c r="D159" s="1688"/>
      <c r="E159" s="1688"/>
      <c r="F159" s="1688"/>
      <c r="G159" s="1688"/>
      <c r="H159" s="1688"/>
    </row>
    <row r="160" spans="1:8" ht="15.75">
      <c r="A160" s="1690" t="s">
        <v>842</v>
      </c>
      <c r="B160" s="1688"/>
      <c r="C160" s="1688"/>
      <c r="D160" s="1688"/>
      <c r="E160" s="1688"/>
      <c r="F160" s="1688"/>
      <c r="G160" s="1688"/>
      <c r="H160" s="1688"/>
    </row>
    <row r="161" spans="1:8">
      <c r="A161" s="1688"/>
      <c r="B161" s="1688"/>
      <c r="C161" s="1688"/>
      <c r="D161" s="1688"/>
      <c r="E161" s="1688"/>
      <c r="F161" s="1688"/>
      <c r="G161" s="1688"/>
      <c r="H161" s="1688"/>
    </row>
    <row r="162" spans="1:8">
      <c r="A162" s="1688"/>
      <c r="B162" s="1688"/>
      <c r="C162" s="1688"/>
      <c r="D162" s="1688"/>
      <c r="E162" s="1688"/>
      <c r="F162" s="1688"/>
      <c r="G162" s="1688"/>
      <c r="H162" s="1688"/>
    </row>
    <row r="163" spans="1:8">
      <c r="A163" s="1688"/>
      <c r="B163" s="1688"/>
      <c r="C163" s="1688"/>
      <c r="D163" s="1688"/>
      <c r="E163" s="1688"/>
      <c r="F163" s="1688"/>
      <c r="G163" s="1688"/>
      <c r="H163" s="1688"/>
    </row>
    <row r="164" spans="1:8">
      <c r="A164" s="1688"/>
      <c r="B164" s="1688"/>
      <c r="C164" s="1688"/>
      <c r="D164" s="1688"/>
      <c r="E164" s="1688"/>
      <c r="F164" s="1688"/>
      <c r="G164" s="1688"/>
      <c r="H164" s="1688"/>
    </row>
    <row r="165" spans="1:8">
      <c r="A165" s="1688"/>
      <c r="B165" s="1688"/>
      <c r="C165" s="1688"/>
      <c r="D165" s="1688"/>
      <c r="E165" s="1688"/>
      <c r="F165" s="1688"/>
      <c r="G165" s="1688"/>
      <c r="H165" s="1688"/>
    </row>
    <row r="166" spans="1:8">
      <c r="A166" s="1688"/>
      <c r="B166" s="1688"/>
      <c r="C166" s="1688"/>
      <c r="D166" s="1688"/>
      <c r="E166" s="1688"/>
      <c r="F166" s="1688"/>
      <c r="G166" s="1688"/>
      <c r="H166" s="1688"/>
    </row>
    <row r="167" spans="1:8">
      <c r="A167" s="1688"/>
      <c r="B167" s="1688"/>
      <c r="C167" s="1688"/>
      <c r="D167" s="1688"/>
      <c r="E167" s="1688"/>
      <c r="F167" s="1688"/>
      <c r="G167" s="1688"/>
      <c r="H167" s="1688"/>
    </row>
    <row r="168" spans="1:8">
      <c r="A168" s="1688"/>
      <c r="B168" s="1688"/>
      <c r="C168" s="1688"/>
      <c r="D168" s="1688"/>
      <c r="E168" s="1688"/>
      <c r="F168" s="1688"/>
      <c r="G168" s="1688"/>
      <c r="H168" s="1688"/>
    </row>
    <row r="169" spans="1:8">
      <c r="A169" s="1688"/>
      <c r="B169" s="1688"/>
      <c r="C169" s="1688"/>
      <c r="D169" s="1688"/>
      <c r="E169" s="1688"/>
      <c r="F169" s="1688"/>
      <c r="G169" s="1688"/>
      <c r="H169" s="1688"/>
    </row>
    <row r="170" spans="1:8">
      <c r="A170" s="1688"/>
      <c r="B170" s="1688"/>
      <c r="C170" s="1688"/>
      <c r="D170" s="1688"/>
      <c r="E170" s="1688"/>
      <c r="F170" s="1688"/>
      <c r="G170" s="1688"/>
      <c r="H170" s="1688"/>
    </row>
    <row r="171" spans="1:8">
      <c r="A171" s="1688"/>
      <c r="B171" s="1688"/>
      <c r="C171" s="1688"/>
      <c r="D171" s="1688"/>
      <c r="E171" s="1688"/>
      <c r="F171" s="1688"/>
      <c r="G171" s="1688"/>
      <c r="H171" s="1688"/>
    </row>
    <row r="172" spans="1:8">
      <c r="A172" s="1688"/>
      <c r="B172" s="1688"/>
      <c r="C172" s="1688"/>
      <c r="D172" s="1688"/>
      <c r="E172" s="1688"/>
      <c r="F172" s="1688"/>
      <c r="G172" s="1688"/>
      <c r="H172" s="1688"/>
    </row>
    <row r="173" spans="1:8">
      <c r="A173" s="1688"/>
      <c r="B173" s="1688"/>
      <c r="C173" s="1688"/>
      <c r="D173" s="1688"/>
      <c r="E173" s="1688"/>
      <c r="F173" s="1688"/>
      <c r="G173" s="1688"/>
      <c r="H173" s="1688"/>
    </row>
    <row r="174" spans="1:8">
      <c r="A174" s="1688"/>
      <c r="B174" s="1688"/>
      <c r="C174" s="1688"/>
      <c r="D174" s="1688"/>
      <c r="E174" s="1688"/>
      <c r="F174" s="1688"/>
      <c r="G174" s="1688"/>
      <c r="H174" s="1688"/>
    </row>
    <row r="175" spans="1:8">
      <c r="A175" s="1688"/>
      <c r="B175" s="1688"/>
      <c r="C175" s="1688"/>
      <c r="D175" s="1688"/>
      <c r="E175" s="1688"/>
      <c r="F175" s="1688"/>
      <c r="G175" s="1688"/>
      <c r="H175" s="1688"/>
    </row>
    <row r="176" spans="1:8">
      <c r="A176" s="1688"/>
      <c r="B176" s="1688"/>
      <c r="C176" s="1688"/>
      <c r="D176" s="1688"/>
      <c r="E176" s="1688"/>
      <c r="F176" s="1688"/>
      <c r="G176" s="1688"/>
      <c r="H176" s="1688"/>
    </row>
    <row r="177" spans="1:8">
      <c r="A177" s="1688"/>
      <c r="B177" s="1688"/>
      <c r="C177" s="1688"/>
      <c r="D177" s="1688"/>
      <c r="E177" s="1688"/>
      <c r="F177" s="1688"/>
      <c r="G177" s="1688"/>
      <c r="H177" s="1688"/>
    </row>
    <row r="178" spans="1:8">
      <c r="A178" s="1688"/>
      <c r="B178" s="1688"/>
      <c r="C178" s="1688"/>
      <c r="D178" s="1688"/>
      <c r="E178" s="1688"/>
      <c r="F178" s="1688"/>
      <c r="G178" s="1688"/>
      <c r="H178" s="1688"/>
    </row>
    <row r="179" spans="1:8">
      <c r="A179" s="1688"/>
      <c r="B179" s="1688"/>
      <c r="C179" s="1688"/>
      <c r="D179" s="1688"/>
      <c r="E179" s="1688"/>
      <c r="F179" s="1688"/>
      <c r="G179" s="1688"/>
      <c r="H179" s="1688"/>
    </row>
    <row r="180" spans="1:8">
      <c r="A180" s="1688"/>
      <c r="B180" s="1688"/>
      <c r="C180" s="1688"/>
      <c r="D180" s="1688"/>
      <c r="E180" s="1688"/>
      <c r="F180" s="1688"/>
      <c r="G180" s="1688"/>
      <c r="H180" s="1688"/>
    </row>
    <row r="181" spans="1:8">
      <c r="A181" s="1688"/>
      <c r="B181" s="1688"/>
      <c r="C181" s="1688"/>
      <c r="D181" s="1688"/>
      <c r="E181" s="1688"/>
      <c r="F181" s="1688"/>
      <c r="G181" s="1688"/>
      <c r="H181" s="1688"/>
    </row>
    <row r="182" spans="1:8">
      <c r="A182" s="1688"/>
      <c r="B182" s="1688"/>
      <c r="C182" s="1688"/>
      <c r="D182" s="1688"/>
      <c r="E182" s="1688"/>
      <c r="F182" s="1688"/>
      <c r="G182" s="1688"/>
      <c r="H182" s="1688"/>
    </row>
    <row r="183" spans="1:8">
      <c r="A183" s="1688"/>
      <c r="B183" s="1688"/>
      <c r="C183" s="1688"/>
      <c r="D183" s="1688"/>
      <c r="E183" s="1688"/>
      <c r="F183" s="1688"/>
      <c r="G183" s="1688"/>
      <c r="H183" s="1688"/>
    </row>
    <row r="184" spans="1:8">
      <c r="A184" s="1688"/>
      <c r="B184" s="1688"/>
      <c r="C184" s="1688"/>
      <c r="D184" s="1688"/>
      <c r="E184" s="1688"/>
      <c r="F184" s="1688"/>
      <c r="G184" s="1688"/>
      <c r="H184" s="1688"/>
    </row>
    <row r="185" spans="1:8">
      <c r="A185" s="1688"/>
      <c r="B185" s="1688"/>
      <c r="C185" s="1688"/>
      <c r="D185" s="1688"/>
      <c r="E185" s="1688"/>
      <c r="F185" s="1688"/>
      <c r="G185" s="1688"/>
      <c r="H185" s="1688"/>
    </row>
    <row r="186" spans="1:8">
      <c r="A186" s="1688"/>
      <c r="B186" s="1688"/>
      <c r="C186" s="1688"/>
      <c r="D186" s="1688"/>
      <c r="E186" s="1688"/>
      <c r="F186" s="1688"/>
      <c r="G186" s="1688"/>
      <c r="H186" s="1688"/>
    </row>
    <row r="187" spans="1:8" ht="15.75">
      <c r="A187" s="1690" t="s">
        <v>843</v>
      </c>
      <c r="B187" s="1688"/>
      <c r="C187" s="1688"/>
      <c r="D187" s="1688"/>
      <c r="E187" s="1688"/>
      <c r="F187" s="1688"/>
      <c r="G187" s="1688"/>
      <c r="H187" s="1688"/>
    </row>
    <row r="188" spans="1:8">
      <c r="A188" s="1688"/>
      <c r="B188" s="1688"/>
      <c r="C188" s="1688"/>
      <c r="D188" s="1688"/>
      <c r="E188" s="1688"/>
      <c r="F188" s="1688"/>
      <c r="G188" s="1688"/>
      <c r="H188" s="1688"/>
    </row>
    <row r="189" spans="1:8">
      <c r="A189" s="1689" t="s">
        <v>1002</v>
      </c>
      <c r="B189" s="1688"/>
      <c r="C189" s="1688"/>
      <c r="D189" s="1688"/>
      <c r="E189" s="1688"/>
      <c r="F189" s="1688"/>
      <c r="G189" s="1688"/>
      <c r="H189" s="1688"/>
    </row>
    <row r="190" spans="1:8">
      <c r="A190" s="1689" t="s">
        <v>1003</v>
      </c>
      <c r="B190" s="1688"/>
      <c r="C190" s="1688"/>
      <c r="D190" s="1688"/>
      <c r="E190" s="1688"/>
      <c r="F190" s="1688"/>
      <c r="G190" s="1688"/>
      <c r="H190" s="1688"/>
    </row>
    <row r="191" spans="1:8">
      <c r="A191" s="1689" t="s">
        <v>1004</v>
      </c>
      <c r="B191" s="1688"/>
      <c r="C191" s="1688"/>
      <c r="D191" s="1688"/>
      <c r="E191" s="1688"/>
      <c r="F191" s="1688"/>
      <c r="G191" s="1688"/>
      <c r="H191" s="1688"/>
    </row>
    <row r="192" spans="1:8">
      <c r="A192" s="1689" t="s">
        <v>1005</v>
      </c>
      <c r="B192" s="1688"/>
      <c r="C192" s="1688"/>
      <c r="D192" s="1688"/>
      <c r="E192" s="1688"/>
      <c r="F192" s="1688"/>
      <c r="G192" s="1688"/>
      <c r="H192" s="1688"/>
    </row>
    <row r="193" spans="1:8">
      <c r="A193" s="1689" t="s">
        <v>1006</v>
      </c>
      <c r="B193" s="1688"/>
      <c r="C193" s="1688"/>
      <c r="D193" s="1688"/>
      <c r="E193" s="1688"/>
      <c r="F193" s="1688"/>
      <c r="G193" s="1688"/>
      <c r="H193" s="1688"/>
    </row>
    <row r="194" spans="1:8">
      <c r="A194" s="1688"/>
      <c r="B194" s="1688"/>
      <c r="C194" s="1688"/>
      <c r="D194" s="1688"/>
      <c r="E194" s="1688"/>
      <c r="F194" s="1688"/>
      <c r="G194" s="1688"/>
      <c r="H194" s="1688"/>
    </row>
    <row r="195" spans="1:8">
      <c r="A195" s="1689" t="s">
        <v>999</v>
      </c>
      <c r="B195" s="1688"/>
      <c r="C195" s="1688"/>
      <c r="D195" s="1688"/>
      <c r="E195" s="1688"/>
      <c r="F195" s="1688"/>
      <c r="G195" s="1688"/>
      <c r="H195" s="1688"/>
    </row>
    <row r="196" spans="1:8">
      <c r="A196" s="1689" t="s">
        <v>1000</v>
      </c>
      <c r="B196" s="1688"/>
      <c r="C196" s="1688"/>
      <c r="D196" s="1688"/>
      <c r="E196" s="1688"/>
      <c r="F196" s="1688"/>
      <c r="G196" s="1688"/>
      <c r="H196" s="1688"/>
    </row>
    <row r="197" spans="1:8">
      <c r="A197" s="1689" t="s">
        <v>1001</v>
      </c>
      <c r="B197" s="1688"/>
      <c r="C197" s="1688"/>
      <c r="D197" s="1688"/>
      <c r="E197" s="1688"/>
      <c r="F197" s="1688"/>
      <c r="G197" s="1688"/>
      <c r="H197" s="1688"/>
    </row>
    <row r="198" spans="1:8" ht="15.75">
      <c r="A198" s="1690" t="s">
        <v>844</v>
      </c>
      <c r="B198" s="1688"/>
      <c r="C198" s="1688"/>
      <c r="D198" s="1688"/>
      <c r="E198" s="1688"/>
      <c r="F198" s="1688"/>
      <c r="G198" s="1688"/>
      <c r="H198" s="1688"/>
    </row>
    <row r="199" spans="1:8">
      <c r="A199" s="1688"/>
      <c r="B199" s="1688"/>
      <c r="C199" s="1688"/>
      <c r="D199" s="1688"/>
      <c r="E199" s="1688"/>
      <c r="F199" s="1688"/>
      <c r="G199" s="1688"/>
      <c r="H199" s="1688"/>
    </row>
    <row r="200" spans="1:8">
      <c r="A200" s="1689" t="s">
        <v>992</v>
      </c>
      <c r="B200" s="1688"/>
      <c r="C200" s="1688"/>
      <c r="D200" s="1688"/>
      <c r="E200" s="1688"/>
      <c r="F200" s="1688"/>
      <c r="G200" s="1688"/>
      <c r="H200" s="1688"/>
    </row>
    <row r="201" spans="1:8">
      <c r="A201" s="1689" t="s">
        <v>993</v>
      </c>
      <c r="B201" s="1688"/>
      <c r="C201" s="1688"/>
      <c r="D201" s="1688"/>
      <c r="E201" s="1688"/>
      <c r="F201" s="1688"/>
      <c r="G201" s="1688"/>
      <c r="H201" s="1688"/>
    </row>
    <row r="202" spans="1:8">
      <c r="A202" s="1689" t="s">
        <v>994</v>
      </c>
      <c r="B202" s="1688"/>
      <c r="C202" s="1688"/>
      <c r="D202" s="1688"/>
      <c r="E202" s="1688"/>
      <c r="F202" s="1688"/>
      <c r="G202" s="1688"/>
      <c r="H202" s="1688"/>
    </row>
    <row r="203" spans="1:8">
      <c r="A203" s="1689" t="s">
        <v>995</v>
      </c>
      <c r="B203" s="1688"/>
      <c r="C203" s="1688"/>
      <c r="D203" s="1688"/>
      <c r="E203" s="1688"/>
      <c r="F203" s="1688"/>
      <c r="G203" s="1688"/>
      <c r="H203" s="1688"/>
    </row>
    <row r="204" spans="1:8">
      <c r="A204" s="1689" t="s">
        <v>996</v>
      </c>
      <c r="B204" s="1688"/>
      <c r="C204" s="1688"/>
      <c r="D204" s="1688"/>
      <c r="E204" s="1688"/>
      <c r="F204" s="1688"/>
      <c r="G204" s="1688"/>
      <c r="H204" s="1688"/>
    </row>
    <row r="205" spans="1:8">
      <c r="A205" s="1689" t="s">
        <v>997</v>
      </c>
      <c r="B205" s="1688"/>
      <c r="C205" s="1688"/>
      <c r="D205" s="1688"/>
      <c r="E205" s="1688"/>
      <c r="F205" s="1688"/>
      <c r="G205" s="1688"/>
      <c r="H205" s="1688"/>
    </row>
    <row r="206" spans="1:8">
      <c r="A206" s="1689" t="s">
        <v>998</v>
      </c>
      <c r="B206" s="1688"/>
      <c r="C206" s="1688"/>
      <c r="D206" s="1688"/>
      <c r="E206" s="1688"/>
      <c r="F206" s="1688"/>
      <c r="G206" s="1688"/>
      <c r="H206" s="1688"/>
    </row>
    <row r="207" spans="1:8">
      <c r="A207" s="1688"/>
      <c r="B207" s="1688"/>
      <c r="C207" s="1688"/>
      <c r="D207" s="1688"/>
      <c r="E207" s="1688"/>
      <c r="F207" s="1688"/>
      <c r="G207" s="1688"/>
      <c r="H207" s="1688"/>
    </row>
    <row r="208" spans="1:8">
      <c r="A208" s="1689" t="s">
        <v>989</v>
      </c>
      <c r="B208" s="1688"/>
      <c r="C208" s="1688"/>
      <c r="D208" s="1688"/>
      <c r="E208" s="1688"/>
      <c r="F208" s="1688"/>
      <c r="G208" s="1688"/>
      <c r="H208" s="1688"/>
    </row>
    <row r="209" spans="1:8">
      <c r="A209" s="1689" t="s">
        <v>990</v>
      </c>
      <c r="B209" s="1688"/>
      <c r="C209" s="1688"/>
      <c r="D209" s="1688"/>
      <c r="E209" s="1688"/>
      <c r="F209" s="1688"/>
      <c r="G209" s="1688"/>
      <c r="H209" s="1688"/>
    </row>
    <row r="210" spans="1:8">
      <c r="A210" s="1689" t="s">
        <v>991</v>
      </c>
      <c r="B210" s="1688"/>
      <c r="C210" s="1688"/>
      <c r="D210" s="1688"/>
      <c r="E210" s="1688"/>
      <c r="F210" s="1688"/>
      <c r="G210" s="1688"/>
      <c r="H210" s="1688"/>
    </row>
    <row r="211" spans="1:8">
      <c r="A211" s="1688"/>
      <c r="B211" s="1688"/>
      <c r="C211" s="1688"/>
      <c r="D211" s="1688"/>
      <c r="E211" s="1688"/>
      <c r="F211" s="1688"/>
      <c r="G211" s="1688"/>
      <c r="H211" s="1688"/>
    </row>
    <row r="212" spans="1:8">
      <c r="A212" s="1689" t="s">
        <v>984</v>
      </c>
      <c r="B212" s="1688"/>
      <c r="C212" s="1688"/>
      <c r="D212" s="1688"/>
      <c r="E212" s="1688"/>
      <c r="F212" s="1688"/>
      <c r="G212" s="1688"/>
      <c r="H212" s="1688"/>
    </row>
    <row r="213" spans="1:8">
      <c r="A213" s="1689" t="s">
        <v>985</v>
      </c>
      <c r="B213" s="1688"/>
      <c r="C213" s="1688"/>
      <c r="D213" s="1688"/>
      <c r="E213" s="1688"/>
      <c r="F213" s="1688"/>
      <c r="G213" s="1688"/>
      <c r="H213" s="1688"/>
    </row>
    <row r="214" spans="1:8">
      <c r="A214" s="1689" t="s">
        <v>986</v>
      </c>
      <c r="B214" s="1688"/>
      <c r="C214" s="1688"/>
      <c r="D214" s="1688"/>
      <c r="E214" s="1688"/>
      <c r="F214" s="1688"/>
      <c r="G214" s="1688"/>
      <c r="H214" s="1688"/>
    </row>
    <row r="215" spans="1:8">
      <c r="A215" s="1689" t="s">
        <v>987</v>
      </c>
      <c r="B215" s="1688"/>
      <c r="C215" s="1688"/>
      <c r="D215" s="1688"/>
      <c r="E215" s="1688"/>
      <c r="F215" s="1688"/>
      <c r="G215" s="1688"/>
      <c r="H215" s="1688"/>
    </row>
    <row r="216" spans="1:8">
      <c r="A216" s="1689" t="s">
        <v>988</v>
      </c>
      <c r="B216" s="1688"/>
      <c r="C216" s="1688"/>
      <c r="D216" s="1688"/>
      <c r="E216" s="1688"/>
      <c r="F216" s="1688"/>
      <c r="G216" s="1688"/>
      <c r="H216" s="1688"/>
    </row>
    <row r="217" spans="1:8">
      <c r="A217" s="1688"/>
      <c r="B217" s="1688"/>
      <c r="C217" s="1688"/>
      <c r="D217" s="1688"/>
      <c r="E217" s="1688"/>
      <c r="F217" s="1688"/>
      <c r="G217" s="1688"/>
      <c r="H217" s="1688"/>
    </row>
    <row r="218" spans="1:8">
      <c r="A218" s="1689" t="s">
        <v>978</v>
      </c>
      <c r="B218" s="1688"/>
      <c r="C218" s="1688"/>
      <c r="D218" s="1688"/>
      <c r="E218" s="1688"/>
      <c r="F218" s="1688"/>
      <c r="G218" s="1688"/>
      <c r="H218" s="1688"/>
    </row>
    <row r="219" spans="1:8">
      <c r="A219" s="1689" t="s">
        <v>979</v>
      </c>
      <c r="B219" s="1688"/>
      <c r="C219" s="1688"/>
      <c r="D219" s="1688"/>
      <c r="E219" s="1688"/>
      <c r="F219" s="1688"/>
      <c r="G219" s="1688"/>
      <c r="H219" s="1688"/>
    </row>
    <row r="220" spans="1:8">
      <c r="A220" s="1689" t="s">
        <v>980</v>
      </c>
      <c r="B220" s="1688"/>
      <c r="C220" s="1688"/>
      <c r="D220" s="1688"/>
      <c r="E220" s="1688"/>
      <c r="F220" s="1688"/>
      <c r="G220" s="1688"/>
      <c r="H220" s="1688"/>
    </row>
    <row r="221" spans="1:8">
      <c r="A221" s="1689" t="s">
        <v>981</v>
      </c>
      <c r="B221" s="1688"/>
      <c r="C221" s="1688"/>
      <c r="D221" s="1688"/>
      <c r="E221" s="1688"/>
      <c r="F221" s="1688"/>
      <c r="G221" s="1688"/>
      <c r="H221" s="1688"/>
    </row>
    <row r="222" spans="1:8">
      <c r="A222" s="1689" t="s">
        <v>982</v>
      </c>
      <c r="B222" s="1688"/>
      <c r="C222" s="1688"/>
      <c r="D222" s="1688"/>
      <c r="E222" s="1688"/>
      <c r="F222" s="1688"/>
      <c r="G222" s="1688"/>
      <c r="H222" s="1688"/>
    </row>
    <row r="223" spans="1:8">
      <c r="A223" s="1689" t="s">
        <v>983</v>
      </c>
      <c r="B223" s="1688"/>
      <c r="C223" s="1688"/>
      <c r="D223" s="1688"/>
      <c r="E223" s="1688"/>
      <c r="F223" s="1688"/>
      <c r="G223" s="1688"/>
      <c r="H223" s="1688"/>
    </row>
    <row r="224" spans="1:8">
      <c r="A224" s="1688"/>
      <c r="B224" s="1688"/>
      <c r="C224" s="1688"/>
      <c r="D224" s="1688"/>
      <c r="E224" s="1688"/>
      <c r="F224" s="1688"/>
      <c r="G224" s="1688"/>
      <c r="H224" s="1688"/>
    </row>
    <row r="225" spans="1:8">
      <c r="A225" s="1689" t="s">
        <v>968</v>
      </c>
      <c r="B225" s="1688"/>
      <c r="C225" s="1688"/>
      <c r="D225" s="1688"/>
      <c r="E225" s="1688"/>
      <c r="F225" s="1688"/>
      <c r="G225" s="1688"/>
      <c r="H225" s="1688"/>
    </row>
    <row r="226" spans="1:8">
      <c r="A226" s="1689" t="s">
        <v>969</v>
      </c>
      <c r="B226" s="1688"/>
      <c r="C226" s="1688"/>
      <c r="D226" s="1688"/>
      <c r="E226" s="1688"/>
      <c r="F226" s="1688"/>
      <c r="G226" s="1688"/>
      <c r="H226" s="1688"/>
    </row>
    <row r="227" spans="1:8">
      <c r="A227" s="1689" t="s">
        <v>970</v>
      </c>
      <c r="B227" s="1688"/>
      <c r="C227" s="1688"/>
      <c r="D227" s="1688"/>
      <c r="E227" s="1688"/>
      <c r="F227" s="1688"/>
      <c r="G227" s="1688"/>
      <c r="H227" s="1688"/>
    </row>
    <row r="228" spans="1:8">
      <c r="A228" s="1689" t="s">
        <v>971</v>
      </c>
      <c r="B228" s="1688"/>
      <c r="C228" s="1688"/>
      <c r="D228" s="1688"/>
      <c r="E228" s="1688"/>
      <c r="F228" s="1688"/>
      <c r="G228" s="1688"/>
      <c r="H228" s="1688"/>
    </row>
    <row r="229" spans="1:8">
      <c r="A229" s="1689" t="s">
        <v>972</v>
      </c>
      <c r="B229" s="1688"/>
      <c r="C229" s="1688"/>
      <c r="D229" s="1688"/>
      <c r="E229" s="1688"/>
      <c r="F229" s="1688"/>
      <c r="G229" s="1688"/>
      <c r="H229" s="1688"/>
    </row>
    <row r="230" spans="1:8">
      <c r="A230" s="1689" t="s">
        <v>973</v>
      </c>
      <c r="B230" s="1688"/>
      <c r="C230" s="1688"/>
      <c r="D230" s="1688"/>
      <c r="E230" s="1688"/>
      <c r="F230" s="1688"/>
      <c r="G230" s="1688"/>
      <c r="H230" s="1688"/>
    </row>
    <row r="231" spans="1:8">
      <c r="A231" s="1689" t="s">
        <v>974</v>
      </c>
      <c r="B231" s="1688"/>
      <c r="C231" s="1688"/>
      <c r="D231" s="1688"/>
      <c r="E231" s="1688"/>
      <c r="F231" s="1688"/>
      <c r="G231" s="1688"/>
      <c r="H231" s="1688"/>
    </row>
    <row r="232" spans="1:8">
      <c r="A232" s="1689" t="s">
        <v>975</v>
      </c>
      <c r="B232" s="1688"/>
      <c r="C232" s="1688"/>
      <c r="D232" s="1688"/>
      <c r="E232" s="1688"/>
      <c r="F232" s="1688"/>
      <c r="G232" s="1688"/>
      <c r="H232" s="1688"/>
    </row>
    <row r="233" spans="1:8">
      <c r="A233" s="1689" t="s">
        <v>976</v>
      </c>
      <c r="B233" s="1688"/>
      <c r="C233" s="1688"/>
      <c r="D233" s="1688"/>
      <c r="E233" s="1688"/>
      <c r="F233" s="1688"/>
      <c r="G233" s="1688"/>
      <c r="H233" s="1688"/>
    </row>
    <row r="234" spans="1:8">
      <c r="A234" s="1689" t="s">
        <v>977</v>
      </c>
      <c r="B234" s="1688"/>
      <c r="C234" s="1688"/>
      <c r="D234" s="1688"/>
      <c r="E234" s="1688"/>
      <c r="F234" s="1688"/>
      <c r="G234" s="1688"/>
      <c r="H234" s="1688"/>
    </row>
    <row r="235" spans="1:8">
      <c r="A235" s="1688"/>
      <c r="B235" s="1688"/>
      <c r="C235" s="1688"/>
      <c r="D235" s="1688"/>
      <c r="E235" s="1688"/>
      <c r="F235" s="1688"/>
      <c r="G235" s="1688"/>
      <c r="H235" s="1688"/>
    </row>
    <row r="236" spans="1:8">
      <c r="A236" s="1689" t="s">
        <v>966</v>
      </c>
      <c r="B236" s="1688"/>
      <c r="C236" s="1688"/>
      <c r="D236" s="1688"/>
      <c r="E236" s="1688"/>
      <c r="F236" s="1688"/>
      <c r="G236" s="1688"/>
      <c r="H236" s="1688"/>
    </row>
    <row r="237" spans="1:8">
      <c r="A237" s="1689" t="s">
        <v>967</v>
      </c>
      <c r="B237" s="1688"/>
      <c r="C237" s="1688"/>
      <c r="D237" s="1688"/>
      <c r="E237" s="1688"/>
      <c r="F237" s="1688"/>
      <c r="G237" s="1688"/>
      <c r="H237" s="1688"/>
    </row>
    <row r="238" spans="1:8">
      <c r="A238" s="1688"/>
      <c r="B238" s="1688"/>
      <c r="C238" s="1688"/>
      <c r="D238" s="1688"/>
      <c r="E238" s="1688"/>
      <c r="F238" s="1688"/>
      <c r="G238" s="1688"/>
      <c r="H238" s="1688"/>
    </row>
    <row r="239" spans="1:8">
      <c r="A239" s="1689" t="s">
        <v>950</v>
      </c>
      <c r="B239" s="1688"/>
      <c r="C239" s="1688"/>
      <c r="D239" s="1688"/>
      <c r="E239" s="1688"/>
      <c r="F239" s="1688"/>
      <c r="G239" s="1688"/>
      <c r="H239" s="1688"/>
    </row>
    <row r="240" spans="1:8">
      <c r="A240" s="1689" t="s">
        <v>951</v>
      </c>
      <c r="B240" s="1688"/>
      <c r="C240" s="1688"/>
      <c r="D240" s="1688"/>
      <c r="E240" s="1688"/>
      <c r="F240" s="1688"/>
      <c r="G240" s="1688"/>
      <c r="H240" s="1688"/>
    </row>
    <row r="241" spans="1:8">
      <c r="A241" s="1689" t="s">
        <v>952</v>
      </c>
      <c r="B241" s="1688"/>
      <c r="C241" s="1688"/>
      <c r="D241" s="1688"/>
      <c r="E241" s="1688"/>
      <c r="F241" s="1688"/>
      <c r="G241" s="1688"/>
      <c r="H241" s="1688"/>
    </row>
    <row r="242" spans="1:8">
      <c r="A242" s="1689" t="s">
        <v>953</v>
      </c>
      <c r="B242" s="1688"/>
      <c r="C242" s="1688"/>
      <c r="D242" s="1688"/>
      <c r="E242" s="1688"/>
      <c r="F242" s="1688"/>
      <c r="G242" s="1688"/>
      <c r="H242" s="1688"/>
    </row>
    <row r="243" spans="1:8">
      <c r="A243" s="1689" t="s">
        <v>954</v>
      </c>
      <c r="B243" s="1688"/>
      <c r="C243" s="1688"/>
      <c r="D243" s="1688"/>
      <c r="E243" s="1688"/>
      <c r="F243" s="1688"/>
      <c r="G243" s="1688"/>
      <c r="H243" s="1688"/>
    </row>
    <row r="244" spans="1:8">
      <c r="A244" s="1689" t="s">
        <v>955</v>
      </c>
      <c r="B244" s="1688"/>
      <c r="C244" s="1688"/>
      <c r="D244" s="1688"/>
      <c r="E244" s="1688"/>
      <c r="F244" s="1688"/>
      <c r="G244" s="1688"/>
      <c r="H244" s="1688"/>
    </row>
    <row r="245" spans="1:8">
      <c r="A245" s="1689" t="s">
        <v>956</v>
      </c>
      <c r="B245" s="1688"/>
      <c r="C245" s="1688"/>
      <c r="D245" s="1688"/>
      <c r="E245" s="1688"/>
      <c r="F245" s="1688"/>
      <c r="G245" s="1688"/>
      <c r="H245" s="1688"/>
    </row>
    <row r="246" spans="1:8">
      <c r="A246" s="1689" t="s">
        <v>957</v>
      </c>
      <c r="B246" s="1688"/>
      <c r="C246" s="1688"/>
      <c r="D246" s="1688"/>
      <c r="E246" s="1688"/>
      <c r="F246" s="1688"/>
      <c r="G246" s="1688"/>
      <c r="H246" s="1688"/>
    </row>
    <row r="247" spans="1:8">
      <c r="A247" s="1689" t="s">
        <v>958</v>
      </c>
      <c r="B247" s="1688"/>
      <c r="C247" s="1688"/>
      <c r="D247" s="1688"/>
      <c r="E247" s="1688"/>
      <c r="F247" s="1688"/>
      <c r="G247" s="1688"/>
      <c r="H247" s="1688"/>
    </row>
    <row r="248" spans="1:8">
      <c r="A248" s="1689" t="s">
        <v>959</v>
      </c>
      <c r="B248" s="1688"/>
      <c r="C248" s="1688"/>
      <c r="D248" s="1688"/>
      <c r="E248" s="1688"/>
      <c r="F248" s="1688"/>
      <c r="G248" s="1688"/>
      <c r="H248" s="1688"/>
    </row>
    <row r="249" spans="1:8">
      <c r="A249" s="1689" t="s">
        <v>960</v>
      </c>
      <c r="B249" s="1688"/>
      <c r="C249" s="1688"/>
      <c r="D249" s="1688"/>
      <c r="E249" s="1688"/>
      <c r="F249" s="1688"/>
      <c r="G249" s="1688"/>
      <c r="H249" s="1688"/>
    </row>
    <row r="250" spans="1:8">
      <c r="A250" s="1689" t="s">
        <v>961</v>
      </c>
      <c r="B250" s="1688"/>
      <c r="C250" s="1688"/>
      <c r="D250" s="1688"/>
      <c r="E250" s="1688"/>
      <c r="F250" s="1688"/>
      <c r="G250" s="1688"/>
      <c r="H250" s="1688"/>
    </row>
    <row r="251" spans="1:8">
      <c r="A251" s="1689" t="s">
        <v>962</v>
      </c>
      <c r="B251" s="1688"/>
      <c r="C251" s="1688"/>
      <c r="D251" s="1688"/>
      <c r="E251" s="1688"/>
      <c r="F251" s="1688"/>
      <c r="G251" s="1688"/>
      <c r="H251" s="1688"/>
    </row>
    <row r="252" spans="1:8">
      <c r="A252" s="1689" t="s">
        <v>963</v>
      </c>
      <c r="B252" s="1688"/>
      <c r="C252" s="1688"/>
      <c r="D252" s="1688"/>
      <c r="E252" s="1688"/>
      <c r="F252" s="1688"/>
      <c r="G252" s="1688"/>
      <c r="H252" s="1688"/>
    </row>
    <row r="253" spans="1:8">
      <c r="A253" s="1689" t="s">
        <v>964</v>
      </c>
      <c r="B253" s="1688"/>
      <c r="C253" s="1688"/>
      <c r="D253" s="1688"/>
      <c r="E253" s="1688"/>
      <c r="F253" s="1688"/>
      <c r="G253" s="1688"/>
      <c r="H253" s="1688"/>
    </row>
    <row r="254" spans="1:8">
      <c r="A254" s="1689" t="s">
        <v>965</v>
      </c>
      <c r="B254" s="1688"/>
      <c r="C254" s="1688"/>
      <c r="D254" s="1688"/>
      <c r="E254" s="1688"/>
      <c r="F254" s="1688"/>
      <c r="G254" s="1688"/>
      <c r="H254" s="1688"/>
    </row>
    <row r="255" spans="1:8">
      <c r="A255" s="1688"/>
      <c r="B255" s="1688"/>
      <c r="C255" s="1688"/>
      <c r="D255" s="1688"/>
      <c r="E255" s="1688"/>
      <c r="F255" s="1688"/>
      <c r="G255" s="1688"/>
      <c r="H255" s="1688"/>
    </row>
    <row r="256" spans="1:8">
      <c r="A256" s="1689" t="s">
        <v>943</v>
      </c>
      <c r="B256" s="1688"/>
      <c r="C256" s="1688"/>
      <c r="D256" s="1688"/>
      <c r="E256" s="1688"/>
      <c r="F256" s="1688"/>
      <c r="G256" s="1688"/>
      <c r="H256" s="1688"/>
    </row>
    <row r="257" spans="1:8">
      <c r="A257" s="1689" t="s">
        <v>944</v>
      </c>
      <c r="B257" s="1688"/>
      <c r="C257" s="1688"/>
      <c r="D257" s="1688"/>
      <c r="E257" s="1688"/>
      <c r="F257" s="1688"/>
      <c r="G257" s="1688"/>
      <c r="H257" s="1688"/>
    </row>
    <row r="258" spans="1:8">
      <c r="A258" s="1689" t="s">
        <v>945</v>
      </c>
      <c r="B258" s="1688"/>
      <c r="C258" s="1688"/>
      <c r="D258" s="1688"/>
      <c r="E258" s="1688"/>
      <c r="F258" s="1688"/>
      <c r="G258" s="1688"/>
      <c r="H258" s="1688"/>
    </row>
    <row r="259" spans="1:8">
      <c r="A259" s="1689" t="s">
        <v>946</v>
      </c>
      <c r="B259" s="1688"/>
      <c r="C259" s="1688"/>
      <c r="D259" s="1688"/>
      <c r="E259" s="1688"/>
      <c r="F259" s="1688"/>
      <c r="G259" s="1688"/>
      <c r="H259" s="1688"/>
    </row>
    <row r="260" spans="1:8">
      <c r="A260" s="1689" t="s">
        <v>947</v>
      </c>
      <c r="B260" s="1688"/>
      <c r="C260" s="1688"/>
      <c r="D260" s="1688"/>
      <c r="E260" s="1688"/>
      <c r="F260" s="1688"/>
      <c r="G260" s="1688"/>
      <c r="H260" s="1688"/>
    </row>
    <row r="261" spans="1:8">
      <c r="A261" s="1689" t="s">
        <v>948</v>
      </c>
      <c r="B261" s="1688"/>
      <c r="C261" s="1688"/>
      <c r="D261" s="1688"/>
      <c r="E261" s="1688"/>
      <c r="F261" s="1688"/>
      <c r="G261" s="1688"/>
      <c r="H261" s="1688"/>
    </row>
    <row r="262" spans="1:8">
      <c r="A262" s="1689" t="s">
        <v>949</v>
      </c>
      <c r="B262" s="1688"/>
      <c r="C262" s="1688"/>
      <c r="D262" s="1688"/>
      <c r="E262" s="1688"/>
      <c r="F262" s="1688"/>
      <c r="G262" s="1688"/>
      <c r="H262" s="1688"/>
    </row>
    <row r="263" spans="1:8">
      <c r="A263" s="1688"/>
      <c r="B263" s="1688"/>
      <c r="C263" s="1688"/>
      <c r="D263" s="1688"/>
      <c r="E263" s="1688"/>
      <c r="F263" s="1688"/>
      <c r="G263" s="1688"/>
      <c r="H263" s="1688"/>
    </row>
    <row r="264" spans="1:8">
      <c r="A264" s="1689" t="s">
        <v>934</v>
      </c>
      <c r="B264" s="1688"/>
      <c r="C264" s="1688"/>
      <c r="D264" s="1688"/>
      <c r="E264" s="1688"/>
      <c r="F264" s="1688"/>
      <c r="G264" s="1688"/>
      <c r="H264" s="1688"/>
    </row>
    <row r="265" spans="1:8">
      <c r="A265" s="1689" t="s">
        <v>935</v>
      </c>
      <c r="B265" s="1688"/>
      <c r="C265" s="1688"/>
      <c r="D265" s="1688"/>
      <c r="E265" s="1688"/>
      <c r="F265" s="1688"/>
      <c r="G265" s="1688"/>
      <c r="H265" s="1688"/>
    </row>
    <row r="266" spans="1:8">
      <c r="A266" s="1689" t="s">
        <v>936</v>
      </c>
      <c r="B266" s="1688"/>
      <c r="C266" s="1688"/>
      <c r="D266" s="1688"/>
      <c r="E266" s="1688"/>
      <c r="F266" s="1688"/>
      <c r="G266" s="1688"/>
      <c r="H266" s="1688"/>
    </row>
    <row r="267" spans="1:8">
      <c r="A267" s="1689" t="s">
        <v>937</v>
      </c>
      <c r="B267" s="1688"/>
      <c r="C267" s="1688"/>
      <c r="D267" s="1688"/>
      <c r="E267" s="1688"/>
      <c r="F267" s="1688"/>
      <c r="G267" s="1688"/>
      <c r="H267" s="1688"/>
    </row>
    <row r="268" spans="1:8">
      <c r="A268" s="1689" t="s">
        <v>938</v>
      </c>
      <c r="B268" s="1688"/>
      <c r="C268" s="1688"/>
      <c r="D268" s="1688"/>
      <c r="E268" s="1688"/>
      <c r="F268" s="1688"/>
      <c r="G268" s="1688"/>
      <c r="H268" s="1688"/>
    </row>
    <row r="269" spans="1:8">
      <c r="A269" s="1689" t="s">
        <v>939</v>
      </c>
      <c r="B269" s="1688"/>
      <c r="C269" s="1688"/>
      <c r="D269" s="1688"/>
      <c r="E269" s="1688"/>
      <c r="F269" s="1688"/>
      <c r="G269" s="1688"/>
      <c r="H269" s="1688"/>
    </row>
    <row r="270" spans="1:8">
      <c r="A270" s="1689" t="s">
        <v>940</v>
      </c>
      <c r="B270" s="1688"/>
      <c r="C270" s="1688"/>
      <c r="D270" s="1688"/>
      <c r="E270" s="1688"/>
      <c r="F270" s="1688"/>
      <c r="G270" s="1688"/>
      <c r="H270" s="1688"/>
    </row>
    <row r="271" spans="1:8">
      <c r="A271" s="1689" t="s">
        <v>941</v>
      </c>
      <c r="B271" s="1688"/>
      <c r="C271" s="1688"/>
      <c r="D271" s="1688"/>
      <c r="E271" s="1688"/>
      <c r="F271" s="1688"/>
      <c r="G271" s="1688"/>
      <c r="H271" s="1688"/>
    </row>
    <row r="272" spans="1:8">
      <c r="A272" s="1689" t="s">
        <v>942</v>
      </c>
      <c r="B272" s="1688"/>
      <c r="C272" s="1688"/>
      <c r="D272" s="1688"/>
      <c r="E272" s="1688"/>
      <c r="F272" s="1688"/>
      <c r="G272" s="1688"/>
      <c r="H272" s="1688"/>
    </row>
    <row r="273" spans="1:8">
      <c r="A273" s="1688"/>
      <c r="B273" s="1688"/>
      <c r="C273" s="1688"/>
      <c r="D273" s="1688"/>
      <c r="E273" s="1688"/>
      <c r="F273" s="1688"/>
      <c r="G273" s="1688"/>
      <c r="H273" s="1688"/>
    </row>
    <row r="274" spans="1:8">
      <c r="A274" s="1689" t="s">
        <v>927</v>
      </c>
      <c r="B274" s="1688"/>
      <c r="C274" s="1688"/>
      <c r="D274" s="1688"/>
      <c r="E274" s="1688"/>
      <c r="F274" s="1688"/>
      <c r="G274" s="1688"/>
      <c r="H274" s="1688"/>
    </row>
    <row r="275" spans="1:8">
      <c r="A275" s="1689" t="s">
        <v>928</v>
      </c>
      <c r="B275" s="1688"/>
      <c r="C275" s="1688"/>
      <c r="D275" s="1688"/>
      <c r="E275" s="1688"/>
      <c r="F275" s="1688"/>
      <c r="G275" s="1688"/>
      <c r="H275" s="1688"/>
    </row>
    <row r="276" spans="1:8">
      <c r="A276" s="1689" t="s">
        <v>929</v>
      </c>
      <c r="B276" s="1688"/>
      <c r="C276" s="1688"/>
      <c r="D276" s="1688"/>
      <c r="E276" s="1688"/>
      <c r="F276" s="1688"/>
      <c r="G276" s="1688"/>
      <c r="H276" s="1688"/>
    </row>
    <row r="277" spans="1:8">
      <c r="A277" s="1689" t="s">
        <v>930</v>
      </c>
      <c r="B277" s="1688"/>
      <c r="C277" s="1688"/>
      <c r="D277" s="1688"/>
      <c r="E277" s="1688"/>
      <c r="F277" s="1688"/>
      <c r="G277" s="1688"/>
      <c r="H277" s="1688"/>
    </row>
    <row r="278" spans="1:8">
      <c r="A278" s="1689" t="s">
        <v>931</v>
      </c>
      <c r="B278" s="1688"/>
      <c r="C278" s="1688"/>
      <c r="D278" s="1688"/>
      <c r="E278" s="1688"/>
      <c r="F278" s="1688"/>
      <c r="G278" s="1688"/>
      <c r="H278" s="1688"/>
    </row>
    <row r="279" spans="1:8">
      <c r="A279" s="1689" t="s">
        <v>932</v>
      </c>
      <c r="B279" s="1688"/>
      <c r="C279" s="1688"/>
      <c r="D279" s="1688"/>
      <c r="E279" s="1688"/>
      <c r="F279" s="1688"/>
      <c r="G279" s="1688"/>
      <c r="H279" s="1688"/>
    </row>
    <row r="280" spans="1:8">
      <c r="A280" s="1689" t="s">
        <v>933</v>
      </c>
      <c r="B280" s="1688"/>
      <c r="C280" s="1688"/>
      <c r="D280" s="1688"/>
      <c r="E280" s="1688"/>
      <c r="F280" s="1688"/>
      <c r="G280" s="1688"/>
      <c r="H280" s="1688"/>
    </row>
    <row r="281" spans="1:8">
      <c r="A281" s="1688"/>
      <c r="B281" s="1688"/>
      <c r="C281" s="1688"/>
      <c r="D281" s="1688"/>
      <c r="E281" s="1688"/>
      <c r="F281" s="1688"/>
      <c r="G281" s="1688"/>
      <c r="H281" s="1688"/>
    </row>
    <row r="282" spans="1:8">
      <c r="A282" s="1689" t="s">
        <v>924</v>
      </c>
      <c r="B282" s="1688"/>
      <c r="C282" s="1688"/>
      <c r="D282" s="1688"/>
      <c r="E282" s="1688"/>
      <c r="F282" s="1688"/>
      <c r="G282" s="1688"/>
      <c r="H282" s="1688"/>
    </row>
    <row r="283" spans="1:8">
      <c r="A283" s="1689" t="s">
        <v>925</v>
      </c>
      <c r="B283" s="1688"/>
      <c r="C283" s="1688"/>
      <c r="D283" s="1688"/>
      <c r="E283" s="1688"/>
      <c r="F283" s="1688"/>
      <c r="G283" s="1688"/>
      <c r="H283" s="1688"/>
    </row>
    <row r="284" spans="1:8">
      <c r="A284" s="1689" t="s">
        <v>926</v>
      </c>
      <c r="B284" s="1688"/>
      <c r="C284" s="1688"/>
      <c r="D284" s="1688"/>
      <c r="E284" s="1688"/>
      <c r="F284" s="1688"/>
      <c r="G284" s="1688"/>
      <c r="H284" s="1688"/>
    </row>
    <row r="285" spans="1:8">
      <c r="A285" s="1688"/>
      <c r="B285" s="1688"/>
      <c r="C285" s="1688"/>
      <c r="D285" s="1688"/>
      <c r="E285" s="1688"/>
      <c r="F285" s="1688"/>
      <c r="G285" s="1688"/>
      <c r="H285" s="1688"/>
    </row>
    <row r="286" spans="1:8">
      <c r="A286" s="1689" t="s">
        <v>922</v>
      </c>
      <c r="B286" s="1688"/>
      <c r="C286" s="1688"/>
      <c r="D286" s="1688"/>
      <c r="E286" s="1688"/>
      <c r="F286" s="1688"/>
      <c r="G286" s="1688"/>
      <c r="H286" s="1688"/>
    </row>
    <row r="287" spans="1:8">
      <c r="A287" s="1689" t="s">
        <v>923</v>
      </c>
      <c r="B287" s="1688"/>
      <c r="C287" s="1688"/>
      <c r="D287" s="1688"/>
      <c r="E287" s="1688"/>
      <c r="F287" s="1688"/>
      <c r="G287" s="1688"/>
      <c r="H287" s="1688"/>
    </row>
    <row r="288" spans="1:8">
      <c r="A288" s="1688"/>
      <c r="B288" s="1688"/>
      <c r="C288" s="1688"/>
      <c r="D288" s="1688"/>
      <c r="E288" s="1688"/>
      <c r="F288" s="1688"/>
      <c r="G288" s="1688"/>
      <c r="H288" s="1688"/>
    </row>
    <row r="289" spans="1:8">
      <c r="A289" s="1689" t="s">
        <v>909</v>
      </c>
      <c r="B289" s="1688"/>
      <c r="C289" s="1688"/>
      <c r="D289" s="1688"/>
      <c r="E289" s="1688"/>
      <c r="F289" s="1688"/>
      <c r="G289" s="1688"/>
      <c r="H289" s="1688"/>
    </row>
    <row r="290" spans="1:8">
      <c r="A290" s="1689" t="s">
        <v>910</v>
      </c>
      <c r="B290" s="1688"/>
      <c r="C290" s="1688"/>
      <c r="D290" s="1688"/>
      <c r="E290" s="1688"/>
      <c r="F290" s="1688"/>
      <c r="G290" s="1688"/>
      <c r="H290" s="1688"/>
    </row>
    <row r="291" spans="1:8">
      <c r="A291" s="1689" t="s">
        <v>911</v>
      </c>
      <c r="B291" s="1688"/>
      <c r="C291" s="1688"/>
      <c r="D291" s="1688"/>
      <c r="E291" s="1688"/>
      <c r="F291" s="1688"/>
      <c r="G291" s="1688"/>
      <c r="H291" s="1688"/>
    </row>
    <row r="292" spans="1:8">
      <c r="A292" s="1689" t="s">
        <v>912</v>
      </c>
      <c r="B292" s="1688"/>
      <c r="C292" s="1688"/>
      <c r="D292" s="1688"/>
      <c r="E292" s="1688"/>
      <c r="F292" s="1688"/>
      <c r="G292" s="1688"/>
      <c r="H292" s="1688"/>
    </row>
    <row r="293" spans="1:8">
      <c r="A293" s="1689" t="s">
        <v>913</v>
      </c>
      <c r="B293" s="1688"/>
      <c r="C293" s="1688"/>
      <c r="D293" s="1688"/>
      <c r="E293" s="1688"/>
      <c r="F293" s="1688"/>
      <c r="G293" s="1688"/>
      <c r="H293" s="1688"/>
    </row>
    <row r="294" spans="1:8">
      <c r="A294" s="1689" t="s">
        <v>914</v>
      </c>
      <c r="B294" s="1688"/>
      <c r="C294" s="1688"/>
      <c r="D294" s="1688"/>
      <c r="E294" s="1688"/>
      <c r="F294" s="1688"/>
      <c r="G294" s="1688"/>
      <c r="H294" s="1688"/>
    </row>
    <row r="295" spans="1:8">
      <c r="A295" s="1689" t="s">
        <v>915</v>
      </c>
      <c r="B295" s="1688"/>
      <c r="C295" s="1688"/>
      <c r="D295" s="1688"/>
      <c r="E295" s="1688"/>
      <c r="F295" s="1688"/>
      <c r="G295" s="1688"/>
      <c r="H295" s="1688"/>
    </row>
    <row r="296" spans="1:8">
      <c r="A296" s="1689" t="s">
        <v>916</v>
      </c>
      <c r="B296" s="1688"/>
      <c r="C296" s="1688"/>
      <c r="D296" s="1688"/>
      <c r="E296" s="1688"/>
      <c r="F296" s="1688"/>
      <c r="G296" s="1688"/>
      <c r="H296" s="1688"/>
    </row>
    <row r="297" spans="1:8">
      <c r="A297" s="1689" t="s">
        <v>917</v>
      </c>
      <c r="B297" s="1688"/>
      <c r="C297" s="1688"/>
      <c r="D297" s="1688"/>
      <c r="E297" s="1688"/>
      <c r="F297" s="1688"/>
      <c r="G297" s="1688"/>
      <c r="H297" s="1688"/>
    </row>
    <row r="298" spans="1:8">
      <c r="A298" s="1689" t="s">
        <v>918</v>
      </c>
      <c r="B298" s="1688"/>
      <c r="C298" s="1688"/>
      <c r="D298" s="1688"/>
      <c r="E298" s="1688"/>
      <c r="F298" s="1688"/>
      <c r="G298" s="1688"/>
      <c r="H298" s="1688"/>
    </row>
    <row r="299" spans="1:8">
      <c r="A299" s="1689" t="s">
        <v>919</v>
      </c>
      <c r="B299" s="1688"/>
      <c r="C299" s="1688"/>
      <c r="D299" s="1688"/>
      <c r="E299" s="1688"/>
      <c r="F299" s="1688"/>
      <c r="G299" s="1688"/>
      <c r="H299" s="1688"/>
    </row>
    <row r="300" spans="1:8">
      <c r="A300" s="1689" t="s">
        <v>920</v>
      </c>
      <c r="B300" s="1688"/>
      <c r="C300" s="1688"/>
      <c r="D300" s="1688"/>
      <c r="E300" s="1688"/>
      <c r="F300" s="1688"/>
      <c r="G300" s="1688"/>
      <c r="H300" s="1688"/>
    </row>
    <row r="301" spans="1:8">
      <c r="A301" s="1689" t="s">
        <v>921</v>
      </c>
      <c r="B301" s="1688"/>
      <c r="C301" s="1688"/>
      <c r="D301" s="1688"/>
      <c r="E301" s="1688"/>
      <c r="F301" s="1688"/>
      <c r="G301" s="1688"/>
      <c r="H301" s="1688"/>
    </row>
    <row r="302" spans="1:8">
      <c r="A302" s="1688"/>
      <c r="B302" s="1688"/>
      <c r="C302" s="1688"/>
      <c r="D302" s="1688"/>
      <c r="E302" s="1688"/>
      <c r="F302" s="1688"/>
      <c r="G302" s="1688"/>
      <c r="H302" s="1688"/>
    </row>
    <row r="303" spans="1:8">
      <c r="A303" s="1689" t="s">
        <v>901</v>
      </c>
      <c r="B303" s="1688"/>
      <c r="C303" s="1688"/>
      <c r="D303" s="1688"/>
      <c r="E303" s="1688"/>
      <c r="F303" s="1688"/>
      <c r="G303" s="1688"/>
      <c r="H303" s="1688"/>
    </row>
    <row r="304" spans="1:8">
      <c r="A304" s="1689" t="s">
        <v>902</v>
      </c>
      <c r="B304" s="1688"/>
      <c r="C304" s="1688"/>
      <c r="D304" s="1688"/>
      <c r="E304" s="1688"/>
      <c r="F304" s="1688"/>
      <c r="G304" s="1688"/>
      <c r="H304" s="1688"/>
    </row>
    <row r="305" spans="1:8">
      <c r="A305" s="1689" t="s">
        <v>903</v>
      </c>
      <c r="B305" s="1688"/>
      <c r="C305" s="1688"/>
      <c r="D305" s="1688"/>
      <c r="E305" s="1688"/>
      <c r="F305" s="1688"/>
      <c r="G305" s="1688"/>
      <c r="H305" s="1688"/>
    </row>
    <row r="306" spans="1:8">
      <c r="A306" s="1689" t="s">
        <v>904</v>
      </c>
      <c r="B306" s="1688"/>
      <c r="C306" s="1688"/>
      <c r="D306" s="1688"/>
      <c r="E306" s="1688"/>
      <c r="F306" s="1688"/>
      <c r="G306" s="1688"/>
      <c r="H306" s="1688"/>
    </row>
    <row r="307" spans="1:8">
      <c r="A307" s="1689" t="s">
        <v>905</v>
      </c>
      <c r="B307" s="1688"/>
      <c r="C307" s="1688"/>
      <c r="D307" s="1688"/>
      <c r="E307" s="1688"/>
      <c r="F307" s="1688"/>
      <c r="G307" s="1688"/>
      <c r="H307" s="1688"/>
    </row>
    <row r="308" spans="1:8">
      <c r="A308" s="1689" t="s">
        <v>906</v>
      </c>
      <c r="B308" s="1688"/>
      <c r="C308" s="1688"/>
      <c r="D308" s="1688"/>
      <c r="E308" s="1688"/>
      <c r="F308" s="1688"/>
      <c r="G308" s="1688"/>
      <c r="H308" s="1688"/>
    </row>
    <row r="309" spans="1:8">
      <c r="A309" s="1689" t="s">
        <v>907</v>
      </c>
      <c r="B309" s="1688"/>
      <c r="C309" s="1688"/>
      <c r="D309" s="1688"/>
      <c r="E309" s="1688"/>
      <c r="F309" s="1688"/>
      <c r="G309" s="1688"/>
      <c r="H309" s="1688"/>
    </row>
    <row r="310" spans="1:8">
      <c r="A310" s="1689" t="s">
        <v>908</v>
      </c>
      <c r="B310" s="1688"/>
      <c r="C310" s="1688"/>
      <c r="D310" s="1688"/>
      <c r="E310" s="1688"/>
      <c r="F310" s="1688"/>
      <c r="G310" s="1688"/>
      <c r="H310" s="1688"/>
    </row>
    <row r="311" spans="1:8">
      <c r="A311" s="1688"/>
      <c r="B311" s="1688"/>
      <c r="C311" s="1688"/>
      <c r="D311" s="1688"/>
      <c r="E311" s="1688"/>
      <c r="F311" s="1688"/>
      <c r="G311" s="1688"/>
      <c r="H311" s="1688"/>
    </row>
    <row r="312" spans="1:8">
      <c r="A312" s="1689" t="s">
        <v>866</v>
      </c>
      <c r="B312" s="1688"/>
      <c r="C312" s="1688"/>
      <c r="D312" s="1688"/>
      <c r="E312" s="1688"/>
      <c r="F312" s="1688"/>
      <c r="G312" s="1688"/>
      <c r="H312" s="1688"/>
    </row>
    <row r="313" spans="1:8">
      <c r="A313" s="1689" t="s">
        <v>867</v>
      </c>
      <c r="B313" s="1688"/>
      <c r="C313" s="1688"/>
      <c r="D313" s="1688"/>
      <c r="E313" s="1688"/>
      <c r="F313" s="1688"/>
      <c r="G313" s="1688"/>
      <c r="H313" s="1688"/>
    </row>
    <row r="314" spans="1:8">
      <c r="A314" s="1689" t="s">
        <v>868</v>
      </c>
      <c r="B314" s="1688"/>
      <c r="C314" s="1688"/>
      <c r="D314" s="1688"/>
      <c r="E314" s="1688"/>
      <c r="F314" s="1688"/>
      <c r="G314" s="1688"/>
      <c r="H314" s="1688"/>
    </row>
    <row r="315" spans="1:8">
      <c r="A315" s="1689" t="s">
        <v>869</v>
      </c>
      <c r="B315" s="1688"/>
      <c r="C315" s="1688"/>
      <c r="D315" s="1688"/>
      <c r="E315" s="1688"/>
      <c r="F315" s="1688"/>
      <c r="G315" s="1688"/>
      <c r="H315" s="1688"/>
    </row>
    <row r="316" spans="1:8">
      <c r="A316" s="1689" t="s">
        <v>870</v>
      </c>
      <c r="B316" s="1688"/>
      <c r="C316" s="1688"/>
      <c r="D316" s="1688"/>
      <c r="E316" s="1688"/>
      <c r="F316" s="1688"/>
      <c r="G316" s="1688"/>
      <c r="H316" s="1688"/>
    </row>
    <row r="317" spans="1:8">
      <c r="A317" s="1689" t="s">
        <v>871</v>
      </c>
      <c r="B317" s="1688"/>
      <c r="C317" s="1688"/>
      <c r="D317" s="1688"/>
      <c r="E317" s="1688"/>
      <c r="F317" s="1688"/>
      <c r="G317" s="1688"/>
      <c r="H317" s="1688"/>
    </row>
    <row r="318" spans="1:8">
      <c r="A318" s="1689" t="s">
        <v>872</v>
      </c>
      <c r="B318" s="1688"/>
      <c r="C318" s="1688"/>
      <c r="D318" s="1688"/>
      <c r="E318" s="1688"/>
      <c r="F318" s="1688"/>
      <c r="G318" s="1688"/>
      <c r="H318" s="1688"/>
    </row>
    <row r="319" spans="1:8">
      <c r="A319" s="1689" t="s">
        <v>873</v>
      </c>
      <c r="B319" s="1688"/>
      <c r="C319" s="1688"/>
      <c r="D319" s="1688"/>
      <c r="E319" s="1688"/>
      <c r="F319" s="1688"/>
      <c r="G319" s="1688"/>
      <c r="H319" s="1688"/>
    </row>
    <row r="320" spans="1:8">
      <c r="A320" s="1689" t="s">
        <v>874</v>
      </c>
      <c r="B320" s="1688"/>
      <c r="C320" s="1688"/>
      <c r="D320" s="1688"/>
      <c r="E320" s="1688"/>
      <c r="F320" s="1688"/>
      <c r="G320" s="1688"/>
      <c r="H320" s="1688"/>
    </row>
    <row r="321" spans="1:8">
      <c r="A321" s="1689" t="s">
        <v>875</v>
      </c>
      <c r="B321" s="1688"/>
      <c r="C321" s="1688"/>
      <c r="D321" s="1688"/>
      <c r="E321" s="1688"/>
      <c r="F321" s="1688"/>
      <c r="G321" s="1688"/>
      <c r="H321" s="1688"/>
    </row>
    <row r="322" spans="1:8">
      <c r="A322" s="1689" t="s">
        <v>876</v>
      </c>
      <c r="B322" s="1688"/>
      <c r="C322" s="1688"/>
      <c r="D322" s="1688"/>
      <c r="E322" s="1688"/>
      <c r="F322" s="1688"/>
      <c r="G322" s="1688"/>
      <c r="H322" s="1688"/>
    </row>
    <row r="323" spans="1:8">
      <c r="A323" s="1689" t="s">
        <v>877</v>
      </c>
      <c r="B323" s="1688"/>
      <c r="C323" s="1688"/>
      <c r="D323" s="1688"/>
      <c r="E323" s="1688"/>
      <c r="F323" s="1688"/>
      <c r="G323" s="1688"/>
      <c r="H323" s="1688"/>
    </row>
    <row r="324" spans="1:8">
      <c r="A324" s="1689" t="s">
        <v>878</v>
      </c>
      <c r="B324" s="1688"/>
      <c r="C324" s="1688"/>
      <c r="D324" s="1688"/>
      <c r="E324" s="1688"/>
      <c r="F324" s="1688"/>
      <c r="G324" s="1688"/>
      <c r="H324" s="1688"/>
    </row>
    <row r="325" spans="1:8">
      <c r="A325" s="1689" t="s">
        <v>879</v>
      </c>
      <c r="B325" s="1688"/>
      <c r="C325" s="1688"/>
      <c r="D325" s="1688"/>
      <c r="E325" s="1688"/>
      <c r="F325" s="1688"/>
      <c r="G325" s="1688"/>
      <c r="H325" s="1688"/>
    </row>
    <row r="326" spans="1:8">
      <c r="A326" s="1689" t="s">
        <v>880</v>
      </c>
      <c r="B326" s="1688"/>
      <c r="C326" s="1688"/>
      <c r="D326" s="1688"/>
      <c r="E326" s="1688"/>
      <c r="F326" s="1688"/>
      <c r="G326" s="1688"/>
      <c r="H326" s="1688"/>
    </row>
    <row r="327" spans="1:8">
      <c r="A327" s="1689" t="s">
        <v>881</v>
      </c>
      <c r="B327" s="1688"/>
      <c r="C327" s="1688"/>
      <c r="D327" s="1688"/>
      <c r="E327" s="1688"/>
      <c r="F327" s="1688"/>
      <c r="G327" s="1688"/>
      <c r="H327" s="1688"/>
    </row>
    <row r="328" spans="1:8">
      <c r="A328" s="1689" t="s">
        <v>882</v>
      </c>
      <c r="B328" s="1688"/>
      <c r="C328" s="1688"/>
      <c r="D328" s="1688"/>
      <c r="E328" s="1688"/>
      <c r="F328" s="1688"/>
      <c r="G328" s="1688"/>
      <c r="H328" s="1688"/>
    </row>
    <row r="329" spans="1:8">
      <c r="A329" s="1689" t="s">
        <v>883</v>
      </c>
      <c r="B329" s="1688"/>
      <c r="C329" s="1688"/>
      <c r="D329" s="1688"/>
      <c r="E329" s="1688"/>
      <c r="F329" s="1688"/>
      <c r="G329" s="1688"/>
      <c r="H329" s="1688"/>
    </row>
    <row r="330" spans="1:8">
      <c r="A330" s="1689" t="s">
        <v>884</v>
      </c>
      <c r="B330" s="1688"/>
      <c r="C330" s="1688"/>
      <c r="D330" s="1688"/>
      <c r="E330" s="1688"/>
      <c r="F330" s="1688"/>
      <c r="G330" s="1688"/>
      <c r="H330" s="1688"/>
    </row>
    <row r="331" spans="1:8">
      <c r="A331" s="1689" t="s">
        <v>885</v>
      </c>
      <c r="B331" s="1688"/>
      <c r="C331" s="1688"/>
      <c r="D331" s="1688"/>
      <c r="E331" s="1688"/>
      <c r="F331" s="1688"/>
      <c r="G331" s="1688"/>
      <c r="H331" s="1688"/>
    </row>
    <row r="332" spans="1:8">
      <c r="A332" s="1689" t="s">
        <v>886</v>
      </c>
      <c r="B332" s="1688"/>
      <c r="C332" s="1688"/>
      <c r="D332" s="1688"/>
      <c r="E332" s="1688"/>
      <c r="F332" s="1688"/>
      <c r="G332" s="1688"/>
      <c r="H332" s="1688"/>
    </row>
    <row r="333" spans="1:8">
      <c r="A333" s="1689" t="s">
        <v>887</v>
      </c>
      <c r="B333" s="1688"/>
      <c r="C333" s="1688"/>
      <c r="D333" s="1688"/>
      <c r="E333" s="1688"/>
      <c r="F333" s="1688"/>
      <c r="G333" s="1688"/>
      <c r="H333" s="1688"/>
    </row>
    <row r="334" spans="1:8">
      <c r="A334" s="1689" t="s">
        <v>888</v>
      </c>
      <c r="B334" s="1688"/>
      <c r="C334" s="1688"/>
      <c r="D334" s="1688"/>
      <c r="E334" s="1688"/>
      <c r="F334" s="1688"/>
      <c r="G334" s="1688"/>
      <c r="H334" s="1688"/>
    </row>
    <row r="335" spans="1:8">
      <c r="A335" s="1689" t="s">
        <v>889</v>
      </c>
      <c r="B335" s="1688"/>
      <c r="C335" s="1688"/>
      <c r="D335" s="1688"/>
      <c r="E335" s="1688"/>
      <c r="F335" s="1688"/>
      <c r="G335" s="1688"/>
      <c r="H335" s="1688"/>
    </row>
    <row r="336" spans="1:8">
      <c r="A336" s="1689" t="s">
        <v>890</v>
      </c>
      <c r="B336" s="1688"/>
      <c r="C336" s="1688"/>
      <c r="D336" s="1688"/>
      <c r="E336" s="1688"/>
      <c r="F336" s="1688"/>
      <c r="G336" s="1688"/>
      <c r="H336" s="1688"/>
    </row>
    <row r="337" spans="1:8">
      <c r="A337" s="1689" t="s">
        <v>891</v>
      </c>
      <c r="B337" s="1688"/>
      <c r="C337" s="1688"/>
      <c r="D337" s="1688"/>
      <c r="E337" s="1688"/>
      <c r="F337" s="1688"/>
      <c r="G337" s="1688"/>
      <c r="H337" s="1688"/>
    </row>
    <row r="338" spans="1:8">
      <c r="A338" s="1689" t="s">
        <v>892</v>
      </c>
      <c r="B338" s="1688"/>
      <c r="C338" s="1688"/>
      <c r="D338" s="1688"/>
      <c r="E338" s="1688"/>
      <c r="F338" s="1688"/>
      <c r="G338" s="1688"/>
      <c r="H338" s="1688"/>
    </row>
    <row r="339" spans="1:8">
      <c r="A339" s="1689" t="s">
        <v>893</v>
      </c>
      <c r="B339" s="1688"/>
      <c r="C339" s="1688"/>
      <c r="D339" s="1688"/>
      <c r="E339" s="1688"/>
      <c r="F339" s="1688"/>
      <c r="G339" s="1688"/>
      <c r="H339" s="1688"/>
    </row>
    <row r="340" spans="1:8">
      <c r="A340" s="1689" t="s">
        <v>894</v>
      </c>
      <c r="B340" s="1688"/>
      <c r="C340" s="1688"/>
      <c r="D340" s="1688"/>
      <c r="E340" s="1688"/>
      <c r="F340" s="1688"/>
      <c r="G340" s="1688"/>
      <c r="H340" s="1688"/>
    </row>
    <row r="341" spans="1:8">
      <c r="A341" s="1689" t="s">
        <v>895</v>
      </c>
      <c r="B341" s="1688"/>
      <c r="C341" s="1688"/>
      <c r="D341" s="1688"/>
      <c r="E341" s="1688"/>
      <c r="F341" s="1688"/>
      <c r="G341" s="1688"/>
      <c r="H341" s="1688"/>
    </row>
    <row r="342" spans="1:8">
      <c r="A342" s="1689" t="s">
        <v>896</v>
      </c>
      <c r="B342" s="1688"/>
      <c r="C342" s="1688"/>
      <c r="D342" s="1688"/>
      <c r="E342" s="1688"/>
      <c r="F342" s="1688"/>
      <c r="G342" s="1688"/>
      <c r="H342" s="1688"/>
    </row>
    <row r="343" spans="1:8">
      <c r="A343" s="1689" t="s">
        <v>897</v>
      </c>
      <c r="B343" s="1688"/>
      <c r="C343" s="1688"/>
      <c r="D343" s="1688"/>
      <c r="E343" s="1688"/>
      <c r="F343" s="1688"/>
      <c r="G343" s="1688"/>
      <c r="H343" s="1688"/>
    </row>
    <row r="344" spans="1:8">
      <c r="A344" s="1689" t="s">
        <v>898</v>
      </c>
      <c r="B344" s="1688"/>
      <c r="C344" s="1688"/>
      <c r="D344" s="1688"/>
      <c r="E344" s="1688"/>
      <c r="F344" s="1688"/>
      <c r="G344" s="1688"/>
      <c r="H344" s="1688"/>
    </row>
    <row r="345" spans="1:8">
      <c r="A345" s="1689" t="s">
        <v>899</v>
      </c>
      <c r="B345" s="1688"/>
      <c r="C345" s="1688"/>
      <c r="D345" s="1688"/>
      <c r="E345" s="1688"/>
      <c r="F345" s="1688"/>
      <c r="G345" s="1688"/>
      <c r="H345" s="1688"/>
    </row>
    <row r="346" spans="1:8">
      <c r="A346" s="1689" t="s">
        <v>900</v>
      </c>
      <c r="B346" s="1688"/>
      <c r="C346" s="1688"/>
      <c r="D346" s="1688"/>
      <c r="E346" s="1688"/>
      <c r="F346" s="1688"/>
      <c r="G346" s="1688"/>
      <c r="H346" s="1688"/>
    </row>
    <row r="347" spans="1:8">
      <c r="A347" s="1688"/>
      <c r="B347" s="1688"/>
      <c r="C347" s="1688"/>
      <c r="D347" s="1688"/>
      <c r="E347" s="1688"/>
      <c r="F347" s="1688"/>
      <c r="G347" s="1688"/>
      <c r="H347" s="1688"/>
    </row>
    <row r="348" spans="1:8">
      <c r="A348" s="1689" t="s">
        <v>858</v>
      </c>
      <c r="B348" s="1688"/>
      <c r="C348" s="1688"/>
      <c r="D348" s="1688"/>
      <c r="E348" s="1688"/>
      <c r="F348" s="1688"/>
      <c r="G348" s="1688"/>
      <c r="H348" s="1688"/>
    </row>
    <row r="349" spans="1:8">
      <c r="A349" s="1689" t="s">
        <v>862</v>
      </c>
      <c r="B349" s="1688"/>
      <c r="C349" s="1688"/>
      <c r="D349" s="1688"/>
      <c r="E349" s="1688"/>
      <c r="F349" s="1688"/>
      <c r="G349" s="1688"/>
      <c r="H349" s="1688"/>
    </row>
    <row r="350" spans="1:8">
      <c r="A350" s="1689" t="s">
        <v>863</v>
      </c>
      <c r="B350" s="1688"/>
      <c r="C350" s="1688"/>
      <c r="D350" s="1688"/>
      <c r="E350" s="1688"/>
      <c r="F350" s="1688"/>
      <c r="G350" s="1688"/>
      <c r="H350" s="1688"/>
    </row>
    <row r="351" spans="1:8">
      <c r="A351" s="1689" t="s">
        <v>864</v>
      </c>
      <c r="B351" s="1688"/>
      <c r="C351" s="1688"/>
      <c r="D351" s="1688"/>
      <c r="E351" s="1688"/>
      <c r="F351" s="1688"/>
      <c r="G351" s="1688"/>
      <c r="H351" s="1688"/>
    </row>
    <row r="352" spans="1:8">
      <c r="A352" s="1689" t="s">
        <v>865</v>
      </c>
      <c r="B352" s="1688"/>
      <c r="C352" s="1688"/>
      <c r="D352" s="1688"/>
      <c r="E352" s="1688"/>
      <c r="F352" s="1688"/>
      <c r="G352" s="1688"/>
      <c r="H352" s="1688"/>
    </row>
    <row r="353" spans="1:8">
      <c r="A353" s="1688"/>
      <c r="B353" s="1688"/>
      <c r="C353" s="1688"/>
      <c r="D353" s="1688"/>
      <c r="E353" s="1688"/>
      <c r="F353" s="1688"/>
      <c r="G353" s="1688"/>
      <c r="H353" s="1688"/>
    </row>
    <row r="354" spans="1:8">
      <c r="A354" s="1689" t="s">
        <v>858</v>
      </c>
      <c r="B354" s="1688"/>
      <c r="C354" s="1688"/>
      <c r="D354" s="1688"/>
      <c r="E354" s="1688"/>
      <c r="F354" s="1688"/>
      <c r="G354" s="1688"/>
      <c r="H354" s="1688"/>
    </row>
    <row r="355" spans="1:8">
      <c r="A355" s="1689" t="s">
        <v>859</v>
      </c>
      <c r="B355" s="1688"/>
      <c r="C355" s="1688"/>
      <c r="D355" s="1688"/>
      <c r="E355" s="1688"/>
      <c r="F355" s="1688"/>
      <c r="G355" s="1688"/>
      <c r="H355" s="1688"/>
    </row>
    <row r="356" spans="1:8">
      <c r="A356" s="1689" t="s">
        <v>860</v>
      </c>
      <c r="B356" s="1688"/>
      <c r="C356" s="1688"/>
      <c r="D356" s="1688"/>
      <c r="E356" s="1688"/>
      <c r="F356" s="1688"/>
      <c r="G356" s="1688"/>
      <c r="H356" s="1688"/>
    </row>
    <row r="357" spans="1:8">
      <c r="A357" s="1689" t="s">
        <v>861</v>
      </c>
      <c r="B357" s="1688"/>
      <c r="C357" s="1688"/>
      <c r="D357" s="1688"/>
      <c r="E357" s="1688"/>
      <c r="F357" s="1688"/>
      <c r="G357" s="1688"/>
      <c r="H357" s="1688"/>
    </row>
    <row r="358" spans="1:8">
      <c r="A358" s="1688"/>
      <c r="B358" s="1688"/>
      <c r="C358" s="1688"/>
      <c r="D358" s="1688"/>
      <c r="E358" s="1688"/>
      <c r="F358" s="1688"/>
      <c r="G358" s="1688"/>
      <c r="H358" s="1688"/>
    </row>
    <row r="359" spans="1:8">
      <c r="A359" s="1689" t="s">
        <v>852</v>
      </c>
      <c r="B359" s="1688"/>
      <c r="C359" s="1688"/>
      <c r="D359" s="1688"/>
      <c r="E359" s="1688"/>
      <c r="F359" s="1688"/>
      <c r="G359" s="1688"/>
      <c r="H359" s="1688"/>
    </row>
    <row r="360" spans="1:8">
      <c r="A360" s="1689" t="s">
        <v>853</v>
      </c>
      <c r="B360" s="1688"/>
      <c r="C360" s="1688"/>
      <c r="D360" s="1688"/>
      <c r="E360" s="1688"/>
      <c r="F360" s="1688"/>
      <c r="G360" s="1688"/>
      <c r="H360" s="1688"/>
    </row>
    <row r="361" spans="1:8">
      <c r="A361" s="1689" t="s">
        <v>854</v>
      </c>
      <c r="B361" s="1688"/>
      <c r="C361" s="1688"/>
      <c r="D361" s="1688"/>
      <c r="E361" s="1688"/>
      <c r="F361" s="1688"/>
      <c r="G361" s="1688"/>
      <c r="H361" s="1688"/>
    </row>
    <row r="362" spans="1:8">
      <c r="A362" s="1689" t="s">
        <v>855</v>
      </c>
      <c r="B362" s="1688"/>
      <c r="C362" s="1688"/>
      <c r="D362" s="1688"/>
      <c r="E362" s="1688"/>
      <c r="F362" s="1688"/>
      <c r="G362" s="1688"/>
      <c r="H362" s="1688"/>
    </row>
    <row r="363" spans="1:8">
      <c r="A363" s="1689" t="s">
        <v>856</v>
      </c>
      <c r="B363" s="1688"/>
      <c r="C363" s="1688"/>
      <c r="D363" s="1688"/>
      <c r="E363" s="1688"/>
      <c r="F363" s="1688"/>
      <c r="G363" s="1688"/>
      <c r="H363" s="1688"/>
    </row>
    <row r="364" spans="1:8">
      <c r="A364" s="1689" t="s">
        <v>857</v>
      </c>
      <c r="B364" s="1688"/>
      <c r="C364" s="1688"/>
      <c r="D364" s="1688"/>
      <c r="E364" s="1688"/>
      <c r="F364" s="1688"/>
      <c r="G364" s="1688"/>
      <c r="H364" s="1688"/>
    </row>
    <row r="365" spans="1:8">
      <c r="A365" s="1688"/>
      <c r="B365" s="1688"/>
      <c r="C365" s="1688"/>
      <c r="D365" s="1688"/>
      <c r="E365" s="1688"/>
      <c r="F365" s="1688"/>
      <c r="G365" s="1688"/>
      <c r="H365" s="1688"/>
    </row>
    <row r="366" spans="1:8">
      <c r="A366" s="1689" t="s">
        <v>847</v>
      </c>
      <c r="B366" s="1688"/>
      <c r="C366" s="1688"/>
      <c r="D366" s="1688"/>
      <c r="E366" s="1688"/>
      <c r="F366" s="1688"/>
      <c r="G366" s="1688"/>
      <c r="H366" s="1688"/>
    </row>
    <row r="367" spans="1:8">
      <c r="A367" s="1689" t="s">
        <v>848</v>
      </c>
      <c r="B367" s="1688"/>
      <c r="C367" s="1688"/>
      <c r="D367" s="1688"/>
      <c r="E367" s="1688"/>
      <c r="F367" s="1688"/>
      <c r="G367" s="1688"/>
      <c r="H367" s="1688"/>
    </row>
    <row r="368" spans="1:8">
      <c r="A368" s="1689" t="s">
        <v>849</v>
      </c>
      <c r="B368" s="1688"/>
      <c r="C368" s="1688"/>
      <c r="D368" s="1688"/>
      <c r="E368" s="1688"/>
      <c r="F368" s="1688"/>
      <c r="G368" s="1688"/>
      <c r="H368" s="1688"/>
    </row>
    <row r="369" spans="1:8">
      <c r="A369" s="1689" t="s">
        <v>850</v>
      </c>
      <c r="B369" s="1688"/>
      <c r="C369" s="1688"/>
      <c r="D369" s="1688"/>
      <c r="E369" s="1688"/>
      <c r="F369" s="1688"/>
      <c r="G369" s="1688"/>
      <c r="H369" s="1688"/>
    </row>
    <row r="370" spans="1:8">
      <c r="A370" s="1689" t="s">
        <v>851</v>
      </c>
      <c r="B370" s="1688"/>
      <c r="C370" s="1688"/>
      <c r="D370" s="1688"/>
      <c r="E370" s="1688"/>
      <c r="F370" s="1688"/>
      <c r="G370" s="1688"/>
      <c r="H370" s="1688"/>
    </row>
    <row r="371" spans="1:8">
      <c r="A371" s="1688"/>
      <c r="B371" s="1688"/>
      <c r="C371" s="1688"/>
      <c r="D371" s="1688"/>
      <c r="E371" s="1688"/>
      <c r="F371" s="1688"/>
      <c r="G371" s="1688"/>
      <c r="H371" s="1688"/>
    </row>
    <row r="372" spans="1:8">
      <c r="A372" s="1689" t="s">
        <v>845</v>
      </c>
      <c r="B372" s="1688"/>
      <c r="C372" s="1688"/>
      <c r="D372" s="1688"/>
      <c r="E372" s="1688"/>
      <c r="F372" s="1688"/>
      <c r="G372" s="1688"/>
      <c r="H372" s="1688"/>
    </row>
    <row r="373" spans="1:8">
      <c r="A373" s="1689" t="s">
        <v>846</v>
      </c>
      <c r="B373" s="1688"/>
      <c r="C373" s="1688"/>
      <c r="D373" s="1688"/>
      <c r="E373" s="1688"/>
      <c r="F373" s="1688"/>
      <c r="G373" s="1688"/>
      <c r="H373" s="1688"/>
    </row>
    <row r="375" spans="1:8">
      <c r="A375" s="1684" t="s">
        <v>1090</v>
      </c>
    </row>
  </sheetData>
  <mergeCells count="12">
    <mergeCell ref="A116:H116"/>
    <mergeCell ref="A117:H117"/>
    <mergeCell ref="B109:C109"/>
    <mergeCell ref="D109:F109"/>
    <mergeCell ref="G109:H109"/>
    <mergeCell ref="A95:H95"/>
    <mergeCell ref="A96:H96"/>
    <mergeCell ref="A97:H97"/>
    <mergeCell ref="A98:H98"/>
    <mergeCell ref="A100:H100"/>
    <mergeCell ref="A101:H101"/>
    <mergeCell ref="A108:H108"/>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2:Z205"/>
  <sheetViews>
    <sheetView zoomScale="85" workbookViewId="0">
      <selection activeCell="AB36" sqref="AB36"/>
    </sheetView>
  </sheetViews>
  <sheetFormatPr defaultRowHeight="12.75" outlineLevelRow="1" outlineLevelCol="1"/>
  <cols>
    <col min="1" max="1" width="20" customWidth="1"/>
    <col min="2" max="2" width="1" customWidth="1"/>
    <col min="3" max="4" width="9.140625" hidden="1" customWidth="1" outlineLevel="1"/>
    <col min="5" max="9" width="0" hidden="1" customWidth="1" outlineLevel="1"/>
    <col min="10" max="10" width="0" hidden="1" customWidth="1" outlineLevel="1" collapsed="1"/>
    <col min="11" max="11" width="9.140625" collapsed="1"/>
    <col min="15" max="15" width="8.5703125" customWidth="1"/>
    <col min="19" max="19" width="9.140625" style="1566"/>
    <col min="20" max="20" width="9.42578125" bestFit="1" customWidth="1"/>
    <col min="21" max="21" width="7.42578125" customWidth="1"/>
    <col min="22" max="22" width="8.28515625" bestFit="1" customWidth="1"/>
  </cols>
  <sheetData>
    <row r="2" spans="1:20">
      <c r="T2" s="124"/>
    </row>
    <row r="3" spans="1:20">
      <c r="A3" s="406" t="s">
        <v>205</v>
      </c>
      <c r="B3" s="185"/>
      <c r="C3" s="407" t="s">
        <v>247</v>
      </c>
      <c r="D3" s="407" t="s">
        <v>282</v>
      </c>
      <c r="E3" s="407" t="s">
        <v>333</v>
      </c>
      <c r="F3" s="407" t="s">
        <v>381</v>
      </c>
      <c r="G3" s="407" t="s">
        <v>285</v>
      </c>
      <c r="H3" s="407" t="s">
        <v>178</v>
      </c>
      <c r="I3" s="407" t="s">
        <v>332</v>
      </c>
      <c r="J3" s="407" t="s">
        <v>664</v>
      </c>
      <c r="K3" s="407" t="s">
        <v>632</v>
      </c>
      <c r="L3" s="407" t="s">
        <v>221</v>
      </c>
      <c r="M3" s="407" t="s">
        <v>719</v>
      </c>
      <c r="N3" s="407" t="s">
        <v>759</v>
      </c>
      <c r="O3" s="407" t="s">
        <v>784</v>
      </c>
      <c r="P3" s="407" t="s">
        <v>207</v>
      </c>
      <c r="Q3" s="407" t="s">
        <v>586</v>
      </c>
      <c r="R3" s="407" t="s">
        <v>712</v>
      </c>
      <c r="S3" s="407" t="s">
        <v>796</v>
      </c>
      <c r="T3" s="452"/>
    </row>
    <row r="4" spans="1:20">
      <c r="A4" s="30" t="s">
        <v>250</v>
      </c>
      <c r="B4" s="185"/>
      <c r="C4" s="116" t="s">
        <v>595</v>
      </c>
      <c r="D4" s="116" t="s">
        <v>595</v>
      </c>
      <c r="E4" s="116" t="s">
        <v>595</v>
      </c>
      <c r="F4" s="116" t="s">
        <v>595</v>
      </c>
      <c r="G4" s="116" t="s">
        <v>595</v>
      </c>
      <c r="H4" s="116" t="s">
        <v>595</v>
      </c>
      <c r="I4" s="116" t="s">
        <v>595</v>
      </c>
      <c r="J4" s="116" t="s">
        <v>595</v>
      </c>
      <c r="K4" s="116" t="s">
        <v>595</v>
      </c>
      <c r="L4" s="116" t="s">
        <v>595</v>
      </c>
      <c r="M4" s="116" t="s">
        <v>595</v>
      </c>
      <c r="N4" s="116" t="s">
        <v>595</v>
      </c>
      <c r="O4" s="116" t="s">
        <v>595</v>
      </c>
      <c r="P4" s="116" t="s">
        <v>595</v>
      </c>
      <c r="Q4" s="116" t="s">
        <v>595</v>
      </c>
      <c r="R4" s="116" t="s">
        <v>595</v>
      </c>
      <c r="S4" s="116" t="s">
        <v>595</v>
      </c>
    </row>
    <row r="5" spans="1:20">
      <c r="C5" s="27"/>
      <c r="D5" s="27"/>
      <c r="E5" s="27"/>
      <c r="F5" s="27"/>
      <c r="G5" s="27"/>
      <c r="H5" s="27"/>
      <c r="I5" s="27"/>
      <c r="J5" s="27"/>
      <c r="K5" s="27"/>
      <c r="L5" s="27"/>
      <c r="M5" s="27"/>
    </row>
    <row r="6" spans="1:20">
      <c r="A6" s="260" t="s">
        <v>412</v>
      </c>
      <c r="C6" s="408">
        <f>'yrP&amp;L'!L7</f>
        <v>1066.8820000000001</v>
      </c>
      <c r="D6" s="408">
        <f>'yrP&amp;L'!M7</f>
        <v>1404.575</v>
      </c>
      <c r="E6" s="408">
        <f>'yrP&amp;L'!N7</f>
        <v>1640.9270000000001</v>
      </c>
      <c r="F6" s="408">
        <f>'yrP&amp;L'!O7</f>
        <v>1714.327</v>
      </c>
      <c r="G6" s="408">
        <f>'yrP&amp;L'!P7</f>
        <v>1582.404</v>
      </c>
      <c r="H6" s="408">
        <f>'yrP&amp;L'!Q7</f>
        <v>1713.1510000000001</v>
      </c>
      <c r="I6" s="408">
        <f>'yrP&amp;L'!R7</f>
        <v>1904.9839999999999</v>
      </c>
      <c r="J6" s="408">
        <f>'yrP&amp;L'!S7</f>
        <v>2196.36</v>
      </c>
      <c r="K6" s="408">
        <f>'yrP&amp;L'!T7</f>
        <v>2581.0569999999998</v>
      </c>
      <c r="L6" s="408">
        <f>'yrP&amp;L'!U7</f>
        <v>2586.0369999999998</v>
      </c>
      <c r="M6" s="408">
        <f>'yrP&amp;L'!V7</f>
        <v>2590.3340000000003</v>
      </c>
      <c r="N6" s="408">
        <f>'yrP&amp;L'!W7</f>
        <v>2573.5860000000002</v>
      </c>
      <c r="O6" s="408">
        <f>'yrP&amp;L'!X7</f>
        <v>2476.41</v>
      </c>
      <c r="P6" s="408">
        <f>'yrP&amp;L'!Y7</f>
        <v>2282.3789999999999</v>
      </c>
      <c r="Q6" s="408">
        <f>'yrP&amp;L'!Z7</f>
        <v>2185.2027758056843</v>
      </c>
      <c r="R6" s="408">
        <f>'yrP&amp;L'!AA7</f>
        <v>2146.131521367869</v>
      </c>
      <c r="S6" s="408">
        <f>'yrP&amp;L'!AB7</f>
        <v>2142.0178120702999</v>
      </c>
    </row>
    <row r="7" spans="1:20" hidden="1" outlineLevel="1">
      <c r="A7" s="260"/>
      <c r="C7" s="409"/>
      <c r="D7" s="409"/>
      <c r="E7" s="409"/>
      <c r="F7" s="409"/>
      <c r="G7" s="409"/>
      <c r="H7" s="409"/>
      <c r="I7" s="409"/>
      <c r="J7" s="409"/>
      <c r="K7" s="409"/>
      <c r="L7" s="409"/>
      <c r="M7" s="409"/>
    </row>
    <row r="8" spans="1:20" hidden="1" outlineLevel="1">
      <c r="A8" s="260" t="s">
        <v>251</v>
      </c>
      <c r="C8" s="408">
        <f>'yrP&amp;L'!L11</f>
        <v>411.90899999999999</v>
      </c>
      <c r="D8" s="408">
        <f>'yrP&amp;L'!M11</f>
        <v>547.53200000000004</v>
      </c>
      <c r="E8" s="408">
        <f>'yrP&amp;L'!N11</f>
        <v>673.74199999999996</v>
      </c>
      <c r="F8" s="408">
        <f>'yrP&amp;L'!O11</f>
        <v>745.2650000000001</v>
      </c>
      <c r="G8" s="408">
        <f>'yrP&amp;L'!P11</f>
        <v>762.91200000000003</v>
      </c>
      <c r="H8" s="408">
        <f>'yrP&amp;L'!Q11</f>
        <v>753.41100000000006</v>
      </c>
      <c r="I8" s="408">
        <f>'yrP&amp;L'!R11</f>
        <v>836.37800000000004</v>
      </c>
      <c r="J8" s="408">
        <f>'yrP&amp;L'!S11</f>
        <v>969.98900000000003</v>
      </c>
      <c r="K8" s="408">
        <f>'yrP&amp;L'!T11</f>
        <v>1129.2570000000001</v>
      </c>
      <c r="L8" s="408">
        <f>'yrP&amp;L'!U11</f>
        <v>1169.4059999999999</v>
      </c>
      <c r="M8" s="408">
        <f>'yrP&amp;L'!V11</f>
        <v>1592.7860000000001</v>
      </c>
      <c r="N8" s="408">
        <f>'yrP&amp;L'!W11</f>
        <v>1573.8579999999999</v>
      </c>
      <c r="O8" s="408">
        <f>'yrP&amp;L'!X11</f>
        <v>1529.5740000000001</v>
      </c>
      <c r="P8" s="408">
        <f>'yrP&amp;L'!Y11</f>
        <v>1417.6020000000001</v>
      </c>
      <c r="Q8" s="408">
        <f>'yrP&amp;L'!Z11</f>
        <v>1328.4791377312529</v>
      </c>
      <c r="R8" s="408">
        <f>'yrP&amp;L'!AA11</f>
        <v>1322.2316303147441</v>
      </c>
      <c r="S8" s="408">
        <f>'yrP&amp;L'!AB11</f>
        <v>1316.2699455171994</v>
      </c>
    </row>
    <row r="9" spans="1:20" hidden="1" outlineLevel="1">
      <c r="A9" s="260"/>
      <c r="C9" s="409"/>
      <c r="D9" s="409"/>
      <c r="E9" s="409"/>
      <c r="F9" s="409"/>
      <c r="G9" s="409"/>
      <c r="H9" s="409"/>
      <c r="I9" s="409"/>
      <c r="J9" s="409"/>
      <c r="K9" s="409"/>
      <c r="L9" s="409"/>
      <c r="M9" s="409"/>
    </row>
    <row r="10" spans="1:20" collapsed="1">
      <c r="A10" s="260" t="s">
        <v>252</v>
      </c>
      <c r="C10" s="408">
        <f t="shared" ref="C10:P10" si="0">C6-C8</f>
        <v>654.97300000000007</v>
      </c>
      <c r="D10" s="408">
        <f t="shared" si="0"/>
        <v>857.04300000000001</v>
      </c>
      <c r="E10" s="408">
        <f t="shared" si="0"/>
        <v>967.18500000000017</v>
      </c>
      <c r="F10" s="408">
        <f t="shared" si="0"/>
        <v>969.0619999999999</v>
      </c>
      <c r="G10" s="408">
        <f t="shared" si="0"/>
        <v>819.49199999999996</v>
      </c>
      <c r="H10" s="408">
        <f t="shared" si="0"/>
        <v>959.74</v>
      </c>
      <c r="I10" s="408">
        <f t="shared" si="0"/>
        <v>1068.6059999999998</v>
      </c>
      <c r="J10" s="408">
        <f t="shared" si="0"/>
        <v>1226.3710000000001</v>
      </c>
      <c r="K10" s="408">
        <f>K6-K8</f>
        <v>1451.7999999999997</v>
      </c>
      <c r="L10" s="408">
        <f t="shared" si="0"/>
        <v>1416.6309999999999</v>
      </c>
      <c r="M10" s="408">
        <f t="shared" si="0"/>
        <v>997.54800000000023</v>
      </c>
      <c r="N10" s="408">
        <f t="shared" si="0"/>
        <v>999.72800000000029</v>
      </c>
      <c r="O10" s="408">
        <f t="shared" si="0"/>
        <v>946.83599999999979</v>
      </c>
      <c r="P10" s="408">
        <f t="shared" si="0"/>
        <v>864.77699999999982</v>
      </c>
      <c r="Q10" s="408">
        <f>Q6-Q8</f>
        <v>856.72363807443139</v>
      </c>
      <c r="R10" s="408">
        <f>R6-R8</f>
        <v>823.89989105312497</v>
      </c>
      <c r="S10" s="408">
        <f>S6-S8</f>
        <v>825.74786655310049</v>
      </c>
    </row>
    <row r="11" spans="1:20">
      <c r="A11" s="260" t="s">
        <v>253</v>
      </c>
      <c r="C11" s="409">
        <f>'yrP&amp;L'!L14</f>
        <v>398.11699999999996</v>
      </c>
      <c r="D11" s="409">
        <f>'yrP&amp;L'!M14</f>
        <v>514.529</v>
      </c>
      <c r="E11" s="409">
        <f>'yrP&amp;L'!N14</f>
        <v>703.48500000000001</v>
      </c>
      <c r="F11" s="409">
        <f>'yrP&amp;L'!O14</f>
        <v>847.60400000000004</v>
      </c>
      <c r="G11" s="409">
        <f>'yrP&amp;L'!P14</f>
        <v>835.42100000000005</v>
      </c>
      <c r="H11" s="409">
        <f>'yrP&amp;L'!Q14</f>
        <v>836.56099999999992</v>
      </c>
      <c r="I11" s="409">
        <f>'yrP&amp;L'!R14</f>
        <v>890.44799999999998</v>
      </c>
      <c r="J11" s="409">
        <f>'yrP&amp;L'!S14</f>
        <v>998.86099999999988</v>
      </c>
      <c r="K11" s="409">
        <f>'yrP&amp;L'!T14</f>
        <v>1162.4259999999999</v>
      </c>
      <c r="L11" s="409">
        <f>'yrP&amp;L'!U14</f>
        <v>1202.981</v>
      </c>
      <c r="M11" s="409">
        <f>'yrP&amp;L'!V14</f>
        <v>821.21699999999998</v>
      </c>
      <c r="N11" s="409">
        <f>'yrP&amp;L'!W14</f>
        <v>830.77599999999995</v>
      </c>
      <c r="O11" s="409">
        <f>'yrP&amp;L'!X14</f>
        <v>779.12099999999998</v>
      </c>
      <c r="P11" s="409">
        <f>'yrP&amp;L'!Y14</f>
        <v>719.60699999999997</v>
      </c>
      <c r="Q11" s="409">
        <f>'yrP&amp;L'!Z14</f>
        <v>713.23508297819444</v>
      </c>
      <c r="R11" s="409">
        <f>'yrP&amp;L'!AA14</f>
        <v>658.86237705993574</v>
      </c>
      <c r="S11" s="409">
        <f>'yrP&amp;L'!AB14</f>
        <v>652.03022199419934</v>
      </c>
    </row>
    <row r="12" spans="1:20" hidden="1" outlineLevel="1">
      <c r="A12" s="260" t="s">
        <v>234</v>
      </c>
      <c r="C12" s="409">
        <f>'yrP&amp;L'!L34</f>
        <v>32.481000000000002</v>
      </c>
      <c r="D12" s="409">
        <f>'yrP&amp;L'!M34</f>
        <v>44.199999999999996</v>
      </c>
      <c r="E12" s="409">
        <f>'yrP&amp;L'!N34</f>
        <v>61.841000000000008</v>
      </c>
      <c r="F12" s="409">
        <f>'yrP&amp;L'!O34</f>
        <v>81.593000000000004</v>
      </c>
      <c r="G12" s="409">
        <f>'yrP&amp;L'!P34</f>
        <v>97.572000000000003</v>
      </c>
      <c r="H12" s="409">
        <f>'yrP&amp;L'!Q34</f>
        <v>96.372</v>
      </c>
      <c r="I12" s="409">
        <f>'yrP&amp;L'!R34</f>
        <v>94.113</v>
      </c>
      <c r="J12" s="409">
        <f>'yrP&amp;L'!S34</f>
        <v>99.43</v>
      </c>
      <c r="K12" s="409">
        <f>'yrP&amp;L'!T34</f>
        <v>108.471</v>
      </c>
      <c r="L12" s="409">
        <f>'yrP&amp;L'!U34</f>
        <v>118.303</v>
      </c>
      <c r="M12" s="409">
        <f>'yrP&amp;L'!V34</f>
        <v>122.26900000000001</v>
      </c>
      <c r="N12" s="409">
        <f>'yrP&amp;L'!W34</f>
        <v>118.8</v>
      </c>
      <c r="O12" s="409">
        <f>'yrP&amp;L'!X34</f>
        <v>109.251</v>
      </c>
      <c r="P12" s="409">
        <f>'yrP&amp;L'!Y34</f>
        <v>96.31</v>
      </c>
      <c r="Q12" s="409">
        <f>'yrP&amp;L'!Z34</f>
        <v>94</v>
      </c>
      <c r="R12" s="409">
        <f>'yrP&amp;L'!AA34</f>
        <v>96</v>
      </c>
      <c r="S12" s="409">
        <f>'yrP&amp;L'!AB34</f>
        <v>98</v>
      </c>
    </row>
    <row r="13" spans="1:20" collapsed="1">
      <c r="A13" s="410" t="s">
        <v>269</v>
      </c>
      <c r="C13" s="408">
        <f>C10-C11-C12</f>
        <v>224.37500000000011</v>
      </c>
      <c r="D13" s="408">
        <f>D10-D11-D12</f>
        <v>298.31400000000002</v>
      </c>
      <c r="E13" s="408">
        <f t="shared" ref="E13:J13" si="1">E10-E11</f>
        <v>263.70000000000016</v>
      </c>
      <c r="F13" s="408">
        <f t="shared" si="1"/>
        <v>121.45799999999986</v>
      </c>
      <c r="G13" s="408">
        <f t="shared" si="1"/>
        <v>-15.929000000000087</v>
      </c>
      <c r="H13" s="408">
        <f t="shared" si="1"/>
        <v>123.17900000000009</v>
      </c>
      <c r="I13" s="408">
        <f t="shared" si="1"/>
        <v>178.15799999999979</v>
      </c>
      <c r="J13" s="408">
        <f t="shared" si="1"/>
        <v>227.51000000000022</v>
      </c>
      <c r="K13" s="408">
        <f t="shared" ref="K13:P13" si="2">K10-K11</f>
        <v>289.3739999999998</v>
      </c>
      <c r="L13" s="408">
        <f t="shared" si="2"/>
        <v>213.64999999999986</v>
      </c>
      <c r="M13" s="408">
        <f t="shared" si="2"/>
        <v>176.33100000000024</v>
      </c>
      <c r="N13" s="408">
        <f t="shared" si="2"/>
        <v>168.95200000000034</v>
      </c>
      <c r="O13" s="408">
        <f t="shared" si="2"/>
        <v>167.7149999999998</v>
      </c>
      <c r="P13" s="408">
        <f t="shared" si="2"/>
        <v>145.16999999999985</v>
      </c>
      <c r="Q13" s="408">
        <f>Q10-Q11</f>
        <v>143.48855509623695</v>
      </c>
      <c r="R13" s="408">
        <f>R10-R11</f>
        <v>165.03751399318924</v>
      </c>
      <c r="S13" s="408">
        <f>S10-S11</f>
        <v>173.71764455890116</v>
      </c>
    </row>
    <row r="14" spans="1:20" hidden="1" outlineLevel="1">
      <c r="A14" s="260"/>
      <c r="C14" s="409"/>
      <c r="D14" s="409"/>
      <c r="E14" s="409"/>
      <c r="F14" s="409"/>
      <c r="G14" s="409"/>
      <c r="H14" s="409"/>
      <c r="I14" s="409"/>
      <c r="J14" s="409"/>
      <c r="K14" s="409"/>
      <c r="L14" s="409"/>
      <c r="M14" s="409"/>
    </row>
    <row r="15" spans="1:20" hidden="1" outlineLevel="1">
      <c r="A15" s="260" t="s">
        <v>208</v>
      </c>
      <c r="C15" s="409">
        <f>'yrP&amp;L'!L40</f>
        <v>2.3279999999999998</v>
      </c>
      <c r="D15" s="409">
        <f>'yrP&amp;L'!M40</f>
        <v>8.2349999999999994</v>
      </c>
      <c r="E15" s="409">
        <f>'yrP&amp;L'!N40</f>
        <v>10.626000000000001</v>
      </c>
      <c r="F15" s="409">
        <f>'yrP&amp;L'!O40</f>
        <v>10.868</v>
      </c>
      <c r="G15" s="409">
        <f>'yrP&amp;L'!P40</f>
        <v>7.7560000000000002</v>
      </c>
      <c r="H15" s="409">
        <f>'yrP&amp;L'!Q40</f>
        <v>1.6940000000000002</v>
      </c>
      <c r="I15" s="409">
        <f>'yrP&amp;L'!R40</f>
        <v>1.712</v>
      </c>
      <c r="J15" s="409">
        <f>'yrP&amp;L'!S40</f>
        <v>1.5970000000000004</v>
      </c>
      <c r="K15" s="409">
        <f>'yrP&amp;L'!T40</f>
        <v>0.88100000000000001</v>
      </c>
      <c r="L15" s="409">
        <f>'yrP&amp;L'!U40</f>
        <v>0.499</v>
      </c>
      <c r="M15" s="409">
        <f>'yrP&amp;L'!V40</f>
        <v>9.8000000000000004E-2</v>
      </c>
      <c r="N15" s="409">
        <f>'yrP&amp;L'!W40</f>
        <v>-1.87</v>
      </c>
      <c r="O15" s="409">
        <f>'yrP&amp;L'!X40</f>
        <v>-1.9729999999999999</v>
      </c>
      <c r="P15" s="409">
        <f>'yrP&amp;L'!Y40</f>
        <v>-1.57</v>
      </c>
      <c r="Q15" s="409">
        <f>'yrP&amp;L'!Z40</f>
        <v>-1.1359999999999999</v>
      </c>
      <c r="R15" s="409">
        <f>'yrP&amp;L'!AA40</f>
        <v>-1.1359999999999999</v>
      </c>
      <c r="S15" s="409">
        <f>'yrP&amp;L'!AB40</f>
        <v>-1.1359999999999999</v>
      </c>
    </row>
    <row r="16" spans="1:20" hidden="1" outlineLevel="1">
      <c r="A16" s="410" t="s">
        <v>419</v>
      </c>
      <c r="C16" s="408">
        <f>C13+C15</f>
        <v>226.70300000000012</v>
      </c>
      <c r="D16" s="408">
        <f>D13+D15</f>
        <v>306.54900000000004</v>
      </c>
      <c r="E16" s="408">
        <f t="shared" ref="E16:Q16" si="3">E13+E15</f>
        <v>274.32600000000014</v>
      </c>
      <c r="F16" s="408">
        <f t="shared" si="3"/>
        <v>132.32599999999985</v>
      </c>
      <c r="G16" s="408">
        <f t="shared" si="3"/>
        <v>-8.1730000000000871</v>
      </c>
      <c r="H16" s="408">
        <f t="shared" si="3"/>
        <v>124.87300000000009</v>
      </c>
      <c r="I16" s="408">
        <f t="shared" si="3"/>
        <v>179.86999999999978</v>
      </c>
      <c r="J16" s="408">
        <f t="shared" si="3"/>
        <v>229.10700000000023</v>
      </c>
      <c r="K16" s="408">
        <f t="shared" si="3"/>
        <v>290.25499999999977</v>
      </c>
      <c r="L16" s="408">
        <f t="shared" si="3"/>
        <v>214.14899999999986</v>
      </c>
      <c r="M16" s="408">
        <f t="shared" si="3"/>
        <v>176.42900000000026</v>
      </c>
      <c r="N16" s="408">
        <f t="shared" si="3"/>
        <v>167.08200000000033</v>
      </c>
      <c r="O16" s="408">
        <f t="shared" si="3"/>
        <v>165.74199999999979</v>
      </c>
      <c r="P16" s="408">
        <f t="shared" si="3"/>
        <v>143.59999999999985</v>
      </c>
      <c r="Q16" s="408">
        <f t="shared" si="3"/>
        <v>142.35255509623696</v>
      </c>
      <c r="R16" s="408">
        <f>R13+R15</f>
        <v>163.90151399318924</v>
      </c>
      <c r="S16" s="408">
        <f>S13+S15</f>
        <v>172.58164455890116</v>
      </c>
    </row>
    <row r="17" spans="1:22" hidden="1" outlineLevel="1">
      <c r="A17" s="260"/>
      <c r="C17" s="409"/>
      <c r="D17" s="409"/>
      <c r="E17" s="409"/>
      <c r="F17" s="409"/>
      <c r="G17" s="409"/>
      <c r="H17" s="409"/>
      <c r="I17" s="409"/>
      <c r="J17" s="409"/>
      <c r="K17" s="409"/>
      <c r="L17" s="409"/>
      <c r="M17" s="409"/>
    </row>
    <row r="18" spans="1:22" collapsed="1">
      <c r="A18" s="260" t="s">
        <v>256</v>
      </c>
      <c r="C18" s="409">
        <f>'yrP&amp;L'!L46</f>
        <v>85.496999999999986</v>
      </c>
      <c r="D18" s="409">
        <f>'yrP&amp;L'!M46</f>
        <v>112.56800000000001</v>
      </c>
      <c r="E18" s="409">
        <f>'yrP&amp;L'!N46</f>
        <v>99.635999999999996</v>
      </c>
      <c r="F18" s="409">
        <f>'yrP&amp;L'!O46</f>
        <v>48.012</v>
      </c>
      <c r="G18" s="409">
        <f>'yrP&amp;L'!P46</f>
        <v>-4.7360000000000015</v>
      </c>
      <c r="H18" s="409">
        <f>'yrP&amp;L'!Q46</f>
        <v>45.774000000000001</v>
      </c>
      <c r="I18" s="409">
        <f>'yrP&amp;L'!R46</f>
        <v>63.400000000000006</v>
      </c>
      <c r="J18" s="409">
        <f>'yrP&amp;L'!S46</f>
        <v>84.659000000000006</v>
      </c>
      <c r="K18" s="409">
        <f>'yrP&amp;L'!T46</f>
        <v>108.82424</v>
      </c>
      <c r="L18" s="409">
        <f>'yrP&amp;L'!U46</f>
        <v>77.8</v>
      </c>
      <c r="M18" s="409">
        <f>'yrP&amp;L'!V46</f>
        <v>60.290000000000006</v>
      </c>
      <c r="N18" s="409">
        <f>'yrP&amp;L'!W46</f>
        <v>61.527249999999981</v>
      </c>
      <c r="O18" s="409">
        <f>'yrP&amp;L'!X46</f>
        <v>58.503999999999998</v>
      </c>
      <c r="P18" s="409">
        <f>'yrP&amp;L'!Y46</f>
        <v>42.599999999999994</v>
      </c>
      <c r="Q18" s="409">
        <f>'yrP&amp;L'!Z46</f>
        <v>38.435189875984037</v>
      </c>
      <c r="R18" s="409">
        <f>'yrP&amp;L'!AA46</f>
        <v>44.253408778161159</v>
      </c>
      <c r="S18" s="409">
        <f>'yrP&amp;L'!AB46</f>
        <v>46.597044030903383</v>
      </c>
      <c r="T18" s="27"/>
      <c r="U18" s="27"/>
      <c r="V18" s="27"/>
    </row>
    <row r="19" spans="1:22" hidden="1" outlineLevel="1">
      <c r="A19" s="260"/>
      <c r="C19" s="409"/>
      <c r="D19" s="409"/>
      <c r="E19" s="409"/>
      <c r="F19" s="409"/>
      <c r="G19" s="409"/>
      <c r="H19" s="409"/>
      <c r="I19" s="409"/>
      <c r="J19" s="409"/>
      <c r="K19" s="409"/>
      <c r="L19" s="409"/>
      <c r="M19" s="409"/>
      <c r="T19" s="27"/>
      <c r="U19" s="27"/>
    </row>
    <row r="20" spans="1:22" hidden="1" outlineLevel="1">
      <c r="A20" s="260"/>
      <c r="C20" s="409"/>
      <c r="D20" s="409"/>
      <c r="E20" s="409"/>
      <c r="F20" s="409"/>
      <c r="G20" s="409"/>
      <c r="H20" s="409"/>
      <c r="I20" s="409"/>
      <c r="J20" s="409"/>
      <c r="K20" s="409"/>
      <c r="L20" s="409"/>
      <c r="M20" s="409"/>
      <c r="T20" s="27"/>
      <c r="U20" s="27"/>
    </row>
    <row r="21" spans="1:22" hidden="1" outlineLevel="1">
      <c r="A21" s="260" t="s">
        <v>209</v>
      </c>
      <c r="C21" s="408">
        <f>C16-C18</f>
        <v>141.20600000000013</v>
      </c>
      <c r="D21" s="408">
        <f t="shared" ref="D21:P21" si="4">D16-D18</f>
        <v>193.98100000000002</v>
      </c>
      <c r="E21" s="408">
        <f t="shared" si="4"/>
        <v>174.69000000000014</v>
      </c>
      <c r="F21" s="408">
        <f t="shared" si="4"/>
        <v>84.313999999999851</v>
      </c>
      <c r="G21" s="408">
        <f t="shared" si="4"/>
        <v>-3.4370000000000855</v>
      </c>
      <c r="H21" s="408">
        <f t="shared" si="4"/>
        <v>79.099000000000089</v>
      </c>
      <c r="I21" s="408">
        <f t="shared" si="4"/>
        <v>116.46999999999977</v>
      </c>
      <c r="J21" s="408">
        <f>J16-J18</f>
        <v>144.44800000000021</v>
      </c>
      <c r="K21" s="408">
        <f>K16-K18</f>
        <v>181.43075999999976</v>
      </c>
      <c r="L21" s="408">
        <f t="shared" si="4"/>
        <v>136.34899999999988</v>
      </c>
      <c r="M21" s="408">
        <f t="shared" si="4"/>
        <v>116.13900000000025</v>
      </c>
      <c r="N21" s="408">
        <f t="shared" si="4"/>
        <v>105.55475000000035</v>
      </c>
      <c r="O21" s="408">
        <f t="shared" si="4"/>
        <v>107.2379999999998</v>
      </c>
      <c r="P21" s="408">
        <f t="shared" si="4"/>
        <v>100.99999999999986</v>
      </c>
      <c r="Q21" s="408">
        <f>Q16-Q18</f>
        <v>103.91736522025292</v>
      </c>
      <c r="R21" s="408">
        <f>R16-R18</f>
        <v>119.64810521502808</v>
      </c>
      <c r="S21" s="408">
        <f>S16-S18</f>
        <v>125.98460052799777</v>
      </c>
      <c r="T21" s="27"/>
      <c r="U21" s="27"/>
    </row>
    <row r="22" spans="1:22" hidden="1" outlineLevel="1">
      <c r="A22" s="260"/>
      <c r="C22" s="409"/>
      <c r="D22" s="409"/>
      <c r="E22" s="409"/>
      <c r="F22" s="409"/>
      <c r="G22" s="409"/>
      <c r="H22" s="409"/>
      <c r="I22" s="409"/>
      <c r="J22" s="409"/>
      <c r="K22" s="409"/>
      <c r="L22" s="409"/>
      <c r="M22" s="409"/>
      <c r="T22" s="27"/>
      <c r="U22" s="27"/>
    </row>
    <row r="23" spans="1:22" collapsed="1">
      <c r="A23" s="411" t="s">
        <v>514</v>
      </c>
      <c r="B23" s="411"/>
      <c r="C23" s="412">
        <f>C21/C24</f>
        <v>0.78382894159834426</v>
      </c>
      <c r="D23" s="412">
        <f t="shared" ref="D23:P23" si="5">D21/D24</f>
        <v>1.0634456822069209</v>
      </c>
      <c r="E23" s="412">
        <f t="shared" si="5"/>
        <v>0.97891870082711396</v>
      </c>
      <c r="F23" s="412">
        <f t="shared" si="5"/>
        <v>0.47809248391029374</v>
      </c>
      <c r="G23" s="412">
        <f t="shared" si="5"/>
        <v>-1.9461399952436981E-2</v>
      </c>
      <c r="H23" s="412">
        <f t="shared" si="5"/>
        <v>0.44224468572834363</v>
      </c>
      <c r="I23" s="412">
        <f t="shared" si="5"/>
        <v>0.65420088297740753</v>
      </c>
      <c r="J23" s="412">
        <f t="shared" si="5"/>
        <v>0.84844640234948732</v>
      </c>
      <c r="K23" s="412">
        <f>K21/K24</f>
        <v>1.0913168266424875</v>
      </c>
      <c r="L23" s="412">
        <f t="shared" si="5"/>
        <v>0.8524892490376188</v>
      </c>
      <c r="M23" s="412">
        <f t="shared" si="5"/>
        <v>0.77361016745933586</v>
      </c>
      <c r="N23" s="412">
        <f>N21/N24</f>
        <v>0.76080430442335245</v>
      </c>
      <c r="O23" s="412">
        <f t="shared" si="5"/>
        <v>0.82977784999651649</v>
      </c>
      <c r="P23" s="412">
        <f t="shared" si="5"/>
        <v>0.80540337950447638</v>
      </c>
      <c r="Q23" s="412">
        <f>Q21/Q24</f>
        <v>0.86137447547208468</v>
      </c>
      <c r="R23" s="412">
        <f>R21/R24</f>
        <v>1.0539273757781109</v>
      </c>
      <c r="S23" s="412">
        <f>S21/S24</f>
        <v>1.1532802101971913</v>
      </c>
      <c r="T23" s="451"/>
      <c r="U23" s="123"/>
      <c r="V23" s="437"/>
    </row>
    <row r="24" spans="1:22">
      <c r="A24" s="260" t="s">
        <v>210</v>
      </c>
      <c r="C24" s="409">
        <f>'yrP&amp;L'!L57</f>
        <v>180.149</v>
      </c>
      <c r="D24" s="409">
        <f>'yrP&amp;L'!M57</f>
        <v>182.40799999999999</v>
      </c>
      <c r="E24" s="409">
        <f>'yrP&amp;L'!N57</f>
        <v>178.452</v>
      </c>
      <c r="F24" s="409">
        <f>'yrP&amp;L'!O57</f>
        <v>176.35499999999999</v>
      </c>
      <c r="G24" s="409">
        <f>'yrP&amp;L'!P57</f>
        <v>176.60599999999999</v>
      </c>
      <c r="H24" s="409">
        <f>'yrP&amp;L'!Q57</f>
        <v>178.858</v>
      </c>
      <c r="I24" s="409">
        <f>'yrP&amp;L'!R57</f>
        <v>178.03399999999999</v>
      </c>
      <c r="J24" s="409">
        <f>'yrP&amp;L'!S57</f>
        <v>170.25</v>
      </c>
      <c r="K24" s="409">
        <f>'yrP&amp;L'!T57</f>
        <v>166.249393</v>
      </c>
      <c r="L24" s="409">
        <f>'yrP&amp;L'!U57</f>
        <v>159.94219299999997</v>
      </c>
      <c r="M24" s="409">
        <f>'yrP&amp;L'!V57</f>
        <v>150.126</v>
      </c>
      <c r="N24" s="409">
        <f>'yrP&amp;L'!W57</f>
        <v>138.74100000000001</v>
      </c>
      <c r="O24" s="409">
        <f>'yrP&amp;L'!X57</f>
        <v>129.23699999999999</v>
      </c>
      <c r="P24" s="409">
        <f>'yrP&amp;L'!Y57</f>
        <v>125.40300000000001</v>
      </c>
      <c r="Q24" s="409">
        <f>'yrP&amp;L'!Z57</f>
        <v>120.64133333333332</v>
      </c>
      <c r="R24" s="409">
        <f>'yrP&amp;L'!AA57</f>
        <v>113.52594871794871</v>
      </c>
      <c r="S24" s="409">
        <f>'yrP&amp;L'!AB57</f>
        <v>109.24023443223442</v>
      </c>
    </row>
    <row r="25" spans="1:22" hidden="1" outlineLevel="1">
      <c r="A25" s="260"/>
      <c r="C25" s="301"/>
      <c r="D25" s="301"/>
      <c r="E25" s="301"/>
      <c r="F25" s="301"/>
      <c r="G25" s="301"/>
      <c r="H25" s="301"/>
      <c r="I25" s="301"/>
      <c r="J25" s="301"/>
      <c r="K25" s="301"/>
      <c r="L25" s="301"/>
      <c r="M25" s="409"/>
    </row>
    <row r="26" spans="1:22" hidden="1" outlineLevel="1">
      <c r="A26" s="260" t="s">
        <v>418</v>
      </c>
      <c r="C26" s="408">
        <f>C13+C12</f>
        <v>256.85600000000011</v>
      </c>
      <c r="D26" s="408">
        <f t="shared" ref="D26:P26" si="6">D13+D12</f>
        <v>342.51400000000001</v>
      </c>
      <c r="E26" s="408">
        <f t="shared" si="6"/>
        <v>325.54100000000017</v>
      </c>
      <c r="F26" s="408">
        <f t="shared" si="6"/>
        <v>203.05099999999987</v>
      </c>
      <c r="G26" s="408">
        <f t="shared" si="6"/>
        <v>81.642999999999915</v>
      </c>
      <c r="H26" s="408">
        <f t="shared" si="6"/>
        <v>219.5510000000001</v>
      </c>
      <c r="I26" s="408">
        <f t="shared" si="6"/>
        <v>272.27099999999979</v>
      </c>
      <c r="J26" s="408">
        <f t="shared" si="6"/>
        <v>326.94000000000023</v>
      </c>
      <c r="K26" s="408">
        <f>K13+K12</f>
        <v>397.8449999999998</v>
      </c>
      <c r="L26" s="408">
        <f t="shared" si="6"/>
        <v>331.95299999999986</v>
      </c>
      <c r="M26" s="408">
        <f t="shared" si="6"/>
        <v>298.60000000000025</v>
      </c>
      <c r="N26" s="408">
        <f t="shared" si="6"/>
        <v>287.75200000000035</v>
      </c>
      <c r="O26" s="408">
        <f t="shared" si="6"/>
        <v>276.96599999999978</v>
      </c>
      <c r="P26" s="408">
        <f t="shared" si="6"/>
        <v>241.47999999999985</v>
      </c>
      <c r="Q26" s="408">
        <f>Q13+Q12</f>
        <v>237.48855509623695</v>
      </c>
      <c r="R26" s="408">
        <f>R13+R12</f>
        <v>261.03751399318924</v>
      </c>
      <c r="S26" s="408">
        <f>S13+S12</f>
        <v>271.71764455890116</v>
      </c>
    </row>
    <row r="27" spans="1:22" collapsed="1">
      <c r="A27" s="260"/>
      <c r="C27" s="409"/>
      <c r="D27" s="409"/>
      <c r="E27" s="409"/>
      <c r="F27" s="409"/>
      <c r="G27" s="409"/>
      <c r="H27" s="409"/>
      <c r="I27" s="409"/>
      <c r="J27" s="409"/>
      <c r="K27" s="409"/>
      <c r="L27" s="409"/>
      <c r="M27" s="409"/>
    </row>
    <row r="28" spans="1:22">
      <c r="A28" s="404" t="s">
        <v>261</v>
      </c>
      <c r="C28" s="409"/>
      <c r="D28" s="409"/>
      <c r="E28" s="409"/>
      <c r="F28" s="409"/>
      <c r="G28" s="409"/>
      <c r="H28" s="409"/>
      <c r="I28" s="409"/>
      <c r="J28" s="409"/>
      <c r="K28" s="409"/>
      <c r="L28" s="409"/>
      <c r="M28" s="409"/>
    </row>
    <row r="29" spans="1:22">
      <c r="A29" s="260" t="s">
        <v>420</v>
      </c>
      <c r="C29" s="405">
        <f>C10/C6</f>
        <v>0.61391325376189687</v>
      </c>
      <c r="D29" s="405">
        <f t="shared" ref="D29:M29" si="7">D10/D6</f>
        <v>0.61017959169143687</v>
      </c>
      <c r="E29" s="405">
        <f t="shared" si="7"/>
        <v>0.58941378866945338</v>
      </c>
      <c r="F29" s="405">
        <f t="shared" si="7"/>
        <v>0.56527255301934809</v>
      </c>
      <c r="G29" s="405">
        <f t="shared" si="7"/>
        <v>0.5178778617849803</v>
      </c>
      <c r="H29" s="405">
        <f t="shared" si="7"/>
        <v>0.56021915172684722</v>
      </c>
      <c r="I29" s="405">
        <f t="shared" si="7"/>
        <v>0.5609527429101766</v>
      </c>
      <c r="J29" s="405">
        <f t="shared" si="7"/>
        <v>0.55836520424702696</v>
      </c>
      <c r="K29" s="405">
        <f>K10/K6</f>
        <v>0.56248273478656219</v>
      </c>
      <c r="L29" s="405">
        <f t="shared" si="7"/>
        <v>0.54779997347292397</v>
      </c>
      <c r="M29" s="405">
        <f t="shared" si="7"/>
        <v>0.38510400589267646</v>
      </c>
      <c r="N29" s="405">
        <f t="shared" ref="N29:S29" si="8">N10/N6</f>
        <v>0.38845719552406649</v>
      </c>
      <c r="O29" s="405">
        <f t="shared" si="8"/>
        <v>0.38234218081820048</v>
      </c>
      <c r="P29" s="405">
        <f t="shared" si="8"/>
        <v>0.37889281315679818</v>
      </c>
      <c r="Q29" s="405">
        <f t="shared" si="8"/>
        <v>0.3920568139304863</v>
      </c>
      <c r="R29" s="405">
        <f t="shared" si="8"/>
        <v>0.38390000000000002</v>
      </c>
      <c r="S29" s="405">
        <f t="shared" si="8"/>
        <v>0.38549999999999995</v>
      </c>
    </row>
    <row r="30" spans="1:22">
      <c r="A30" s="260" t="s">
        <v>263</v>
      </c>
      <c r="C30" s="405">
        <f>C11/C6</f>
        <v>0.37315935595501654</v>
      </c>
      <c r="D30" s="405">
        <f t="shared" ref="D30:M30" si="9">D11/D6</f>
        <v>0.36632362102415322</v>
      </c>
      <c r="E30" s="405">
        <f t="shared" si="9"/>
        <v>0.42871194148185748</v>
      </c>
      <c r="F30" s="405">
        <f t="shared" si="9"/>
        <v>0.49442375929446369</v>
      </c>
      <c r="G30" s="405">
        <f t="shared" si="9"/>
        <v>0.52794419124319714</v>
      </c>
      <c r="H30" s="405">
        <f t="shared" si="9"/>
        <v>0.48831714192152348</v>
      </c>
      <c r="I30" s="405">
        <f t="shared" si="9"/>
        <v>0.46743069758066208</v>
      </c>
      <c r="J30" s="405">
        <f t="shared" si="9"/>
        <v>0.45478018175526774</v>
      </c>
      <c r="K30" s="405">
        <f>K11/K6</f>
        <v>0.45036820186458493</v>
      </c>
      <c r="L30" s="405">
        <f t="shared" si="9"/>
        <v>0.46518321276919089</v>
      </c>
      <c r="M30" s="405">
        <f t="shared" si="9"/>
        <v>0.31703131719693284</v>
      </c>
      <c r="N30" s="405">
        <f t="shared" ref="N30:S30" si="10">N11/N6</f>
        <v>0.32280871904028069</v>
      </c>
      <c r="O30" s="405">
        <f t="shared" si="10"/>
        <v>0.314617127212376</v>
      </c>
      <c r="P30" s="405">
        <f t="shared" si="10"/>
        <v>0.31528812699380776</v>
      </c>
      <c r="Q30" s="405">
        <f t="shared" si="10"/>
        <v>0.32639308849277143</v>
      </c>
      <c r="R30" s="405">
        <f t="shared" si="10"/>
        <v>0.307</v>
      </c>
      <c r="S30" s="405">
        <f t="shared" si="10"/>
        <v>0.3044</v>
      </c>
    </row>
    <row r="31" spans="1:22">
      <c r="A31" s="260" t="s">
        <v>241</v>
      </c>
      <c r="C31" s="405">
        <f>C13/C6</f>
        <v>0.21030910634915587</v>
      </c>
      <c r="D31" s="405">
        <f t="shared" ref="D31:M31" si="11">D13/D6</f>
        <v>0.21238737696456225</v>
      </c>
      <c r="E31" s="405">
        <f t="shared" si="11"/>
        <v>0.16070184718759586</v>
      </c>
      <c r="F31" s="405">
        <f t="shared" si="11"/>
        <v>7.0848793724884382E-2</v>
      </c>
      <c r="G31" s="405">
        <f t="shared" si="11"/>
        <v>-1.0066329458216793E-2</v>
      </c>
      <c r="H31" s="405">
        <f t="shared" si="11"/>
        <v>7.1902009805323686E-2</v>
      </c>
      <c r="I31" s="405">
        <f t="shared" si="11"/>
        <v>9.3522045329514469E-2</v>
      </c>
      <c r="J31" s="405">
        <f t="shared" si="11"/>
        <v>0.10358502249175919</v>
      </c>
      <c r="K31" s="405">
        <f>K13/K6</f>
        <v>0.11211453292197725</v>
      </c>
      <c r="L31" s="453">
        <f t="shared" si="11"/>
        <v>8.2616760703733111E-2</v>
      </c>
      <c r="M31" s="453">
        <f t="shared" si="11"/>
        <v>6.8072688695743566E-2</v>
      </c>
      <c r="N31" s="453">
        <f t="shared" ref="N31:S31" si="12">N13/N6</f>
        <v>6.5648476483785786E-2</v>
      </c>
      <c r="O31" s="453">
        <f t="shared" si="12"/>
        <v>6.7725053605824481E-2</v>
      </c>
      <c r="P31" s="453">
        <f t="shared" si="12"/>
        <v>6.3604686162990393E-2</v>
      </c>
      <c r="Q31" s="453">
        <f t="shared" si="12"/>
        <v>6.5663725437714912E-2</v>
      </c>
      <c r="R31" s="453">
        <f t="shared" si="12"/>
        <v>7.6900000000000052E-2</v>
      </c>
      <c r="S31" s="453">
        <f t="shared" si="12"/>
        <v>8.1099999999999922E-2</v>
      </c>
    </row>
    <row r="32" spans="1:22">
      <c r="A32" s="260" t="s">
        <v>265</v>
      </c>
      <c r="C32" s="405">
        <f>C18/C16</f>
        <v>0.37713219498639161</v>
      </c>
      <c r="D32" s="405">
        <f t="shared" ref="D32:M32" si="13">D18/D16</f>
        <v>0.36721046227519905</v>
      </c>
      <c r="E32" s="405">
        <f t="shared" si="13"/>
        <v>0.36320290457339061</v>
      </c>
      <c r="F32" s="405">
        <f t="shared" si="13"/>
        <v>0.36283118963771332</v>
      </c>
      <c r="G32" s="405">
        <f t="shared" si="13"/>
        <v>0.5794689832374833</v>
      </c>
      <c r="H32" s="405">
        <f t="shared" si="13"/>
        <v>0.36656442946033146</v>
      </c>
      <c r="I32" s="405">
        <f t="shared" si="13"/>
        <v>0.35247678879190575</v>
      </c>
      <c r="J32" s="405">
        <f t="shared" si="13"/>
        <v>0.3695172997769598</v>
      </c>
      <c r="K32" s="405">
        <f>K18/K16</f>
        <v>0.37492632340528187</v>
      </c>
      <c r="L32" s="405">
        <f t="shared" si="13"/>
        <v>0.36329845107845493</v>
      </c>
      <c r="M32" s="405">
        <f t="shared" si="13"/>
        <v>0.34172386625781431</v>
      </c>
      <c r="N32" s="405">
        <f t="shared" ref="N32:S32" si="14">N18/N16</f>
        <v>0.36824583138817979</v>
      </c>
      <c r="O32" s="405">
        <f t="shared" si="14"/>
        <v>0.35298234605591866</v>
      </c>
      <c r="P32" s="405">
        <f t="shared" si="14"/>
        <v>0.29665738161559913</v>
      </c>
      <c r="Q32" s="405">
        <f t="shared" si="14"/>
        <v>0.27000000000000041</v>
      </c>
      <c r="R32" s="405">
        <f t="shared" si="14"/>
        <v>0.27000000000000041</v>
      </c>
      <c r="S32" s="405">
        <f t="shared" si="14"/>
        <v>0.27000000000000041</v>
      </c>
    </row>
    <row r="33" spans="1:19">
      <c r="A33" s="260"/>
      <c r="C33" s="409"/>
      <c r="D33" s="409"/>
      <c r="E33" s="409"/>
      <c r="F33" s="409"/>
      <c r="G33" s="409"/>
      <c r="H33" s="409"/>
      <c r="I33" s="409"/>
      <c r="J33" s="409"/>
      <c r="K33" s="409"/>
      <c r="L33" s="409"/>
      <c r="M33" s="409"/>
    </row>
    <row r="34" spans="1:19">
      <c r="A34" s="404" t="s">
        <v>266</v>
      </c>
      <c r="C34" s="409"/>
      <c r="D34" s="409"/>
      <c r="E34" s="409"/>
      <c r="F34" s="409"/>
      <c r="G34" s="409"/>
      <c r="H34" s="409"/>
      <c r="I34" s="409"/>
      <c r="J34" s="409"/>
      <c r="K34" s="409"/>
      <c r="L34" s="409"/>
      <c r="M34" s="409"/>
    </row>
    <row r="35" spans="1:19">
      <c r="A35" s="260" t="s">
        <v>64</v>
      </c>
      <c r="C35" s="413" t="s">
        <v>653</v>
      </c>
      <c r="D35" s="405">
        <f>((D6/C6)-1)</f>
        <v>0.31652328936096019</v>
      </c>
      <c r="E35" s="405">
        <f t="shared" ref="E35:M35" si="15">((E6/D6)-1)</f>
        <v>0.16827296513180157</v>
      </c>
      <c r="F35" s="405">
        <f t="shared" si="15"/>
        <v>4.4730813741257203E-2</v>
      </c>
      <c r="G35" s="405">
        <f t="shared" si="15"/>
        <v>-7.6953230043043108E-2</v>
      </c>
      <c r="H35" s="405">
        <f t="shared" si="15"/>
        <v>8.2625549480410898E-2</v>
      </c>
      <c r="I35" s="405">
        <f t="shared" si="15"/>
        <v>0.11197670257904879</v>
      </c>
      <c r="J35" s="405">
        <f t="shared" si="15"/>
        <v>0.15295456549766318</v>
      </c>
      <c r="K35" s="405">
        <f t="shared" si="15"/>
        <v>0.17515206978819475</v>
      </c>
      <c r="L35" s="405">
        <f t="shared" si="15"/>
        <v>1.9294420851612148E-3</v>
      </c>
      <c r="M35" s="405">
        <f t="shared" si="15"/>
        <v>1.6616158237490186E-3</v>
      </c>
      <c r="N35" s="405">
        <f t="shared" ref="N35:S35" si="16">((N6/M6)-1)</f>
        <v>-6.4655754817718458E-3</v>
      </c>
      <c r="O35" s="405">
        <f t="shared" si="16"/>
        <v>-3.7758986876677336E-2</v>
      </c>
      <c r="P35" s="405">
        <f t="shared" si="16"/>
        <v>-7.8351726894981044E-2</v>
      </c>
      <c r="Q35" s="405">
        <f t="shared" si="16"/>
        <v>-4.2576725510669156E-2</v>
      </c>
      <c r="R35" s="405">
        <f t="shared" si="16"/>
        <v>-1.7879921657801168E-2</v>
      </c>
      <c r="S35" s="405">
        <f t="shared" si="16"/>
        <v>-1.9168020489942483E-3</v>
      </c>
    </row>
    <row r="36" spans="1:19">
      <c r="A36" s="260" t="s">
        <v>211</v>
      </c>
      <c r="C36" s="405">
        <f>yrSales!L74</f>
        <v>0.129</v>
      </c>
      <c r="D36" s="405">
        <f>yrSales!M74</f>
        <v>0.14300000000000002</v>
      </c>
      <c r="E36" s="405">
        <f>yrSales!N74</f>
        <v>2.1000000000000001E-2</v>
      </c>
      <c r="F36" s="405">
        <f>yrSales!O74</f>
        <v>-8.1000000000000003E-2</v>
      </c>
      <c r="G36" s="405">
        <f>yrSales!P74</f>
        <v>-0.151</v>
      </c>
      <c r="H36" s="405">
        <f>yrSales!Q74</f>
        <v>7.5999999999999998E-2</v>
      </c>
      <c r="I36" s="405">
        <f>yrSales!R74</f>
        <v>8.3000000000000004E-2</v>
      </c>
      <c r="J36" s="405">
        <f>yrSales!S74</f>
        <v>8.199999999999999E-2</v>
      </c>
      <c r="K36" s="405">
        <f>yrSales!T74</f>
        <v>7.1889904612919081E-2</v>
      </c>
      <c r="L36" s="405">
        <f>yrSales!U74</f>
        <v>-1.8102416156077713E-2</v>
      </c>
      <c r="M36" s="405">
        <f>yrSales!V74</f>
        <v>0</v>
      </c>
      <c r="N36" s="405">
        <f>yrSales!W74</f>
        <v>-1.4999999999999999E-2</v>
      </c>
      <c r="O36" s="405">
        <f>yrSales!X74</f>
        <v>-3.7000000000000005E-2</v>
      </c>
      <c r="P36" s="405">
        <f>yrSales!Y74</f>
        <v>-7.6999999999999999E-2</v>
      </c>
      <c r="Q36" s="405">
        <f>yrSales!Z74</f>
        <v>-2.0894054329082014E-2</v>
      </c>
      <c r="R36" s="405">
        <f>yrSales!AA74</f>
        <v>-0.01</v>
      </c>
      <c r="S36" s="405">
        <f>yrSales!AB74</f>
        <v>-0.01</v>
      </c>
    </row>
    <row r="37" spans="1:19">
      <c r="A37" s="260" t="s">
        <v>253</v>
      </c>
      <c r="C37" s="414" t="s">
        <v>653</v>
      </c>
      <c r="D37" s="405">
        <f>((D11/C11)-1)</f>
        <v>0.29240650361577125</v>
      </c>
      <c r="E37" s="405">
        <f t="shared" ref="E37:M37" si="17">((E11/D11)-1)</f>
        <v>0.36724071918200929</v>
      </c>
      <c r="F37" s="405">
        <f t="shared" si="17"/>
        <v>0.20486435389525015</v>
      </c>
      <c r="G37" s="405">
        <f t="shared" si="17"/>
        <v>-1.4373457416435031E-2</v>
      </c>
      <c r="H37" s="405">
        <f t="shared" si="17"/>
        <v>1.364581450549851E-3</v>
      </c>
      <c r="I37" s="405">
        <f t="shared" si="17"/>
        <v>6.4414908177646391E-2</v>
      </c>
      <c r="J37" s="405">
        <f t="shared" si="17"/>
        <v>0.12175107361687587</v>
      </c>
      <c r="K37" s="405">
        <f t="shared" si="17"/>
        <v>0.16375151297327672</v>
      </c>
      <c r="L37" s="405">
        <f t="shared" si="17"/>
        <v>3.4888242348330101E-2</v>
      </c>
      <c r="M37" s="405">
        <f t="shared" si="17"/>
        <v>-0.3173483205470411</v>
      </c>
      <c r="N37" s="405">
        <f t="shared" ref="N37:S37" si="18">((N11/M11)-1)</f>
        <v>1.1640041548092617E-2</v>
      </c>
      <c r="O37" s="405">
        <f t="shared" si="18"/>
        <v>-6.2176808188970312E-2</v>
      </c>
      <c r="P37" s="405">
        <f t="shared" si="18"/>
        <v>-7.6386081237702519E-2</v>
      </c>
      <c r="Q37" s="405">
        <f t="shared" si="18"/>
        <v>-8.8547179527235231E-3</v>
      </c>
      <c r="R37" s="405">
        <f t="shared" si="18"/>
        <v>-7.6233919525129479E-2</v>
      </c>
      <c r="S37" s="405">
        <f t="shared" si="18"/>
        <v>-1.0369623920891913E-2</v>
      </c>
    </row>
    <row r="38" spans="1:19">
      <c r="A38" s="260" t="s">
        <v>269</v>
      </c>
      <c r="C38" s="414" t="s">
        <v>653</v>
      </c>
      <c r="D38" s="405">
        <f>((D13/C13)-1)</f>
        <v>0.32953314763231134</v>
      </c>
      <c r="E38" s="405">
        <f t="shared" ref="E38:M38" si="19">((E13/D13)-1)</f>
        <v>-0.11603210040427159</v>
      </c>
      <c r="F38" s="405">
        <f t="shared" si="19"/>
        <v>-0.53940841865756628</v>
      </c>
      <c r="G38" s="405">
        <f t="shared" si="19"/>
        <v>-1.131148215844161</v>
      </c>
      <c r="H38" s="405">
        <f t="shared" si="19"/>
        <v>-8.7330026994789005</v>
      </c>
      <c r="I38" s="405">
        <f t="shared" si="19"/>
        <v>0.44633419657571216</v>
      </c>
      <c r="J38" s="405">
        <f t="shared" si="19"/>
        <v>0.27701253943129411</v>
      </c>
      <c r="K38" s="405">
        <f t="shared" si="19"/>
        <v>0.27191771790250763</v>
      </c>
      <c r="L38" s="453">
        <f t="shared" si="19"/>
        <v>-0.26168211380428097</v>
      </c>
      <c r="M38" s="453">
        <f t="shared" si="19"/>
        <v>-0.17467353147671261</v>
      </c>
      <c r="N38" s="453">
        <f t="shared" ref="N38:S38" si="20">((N13/M13)-1)</f>
        <v>-4.18474346541442E-2</v>
      </c>
      <c r="O38" s="453">
        <f t="shared" si="20"/>
        <v>-7.3216061366573326E-3</v>
      </c>
      <c r="P38" s="453">
        <f t="shared" si="20"/>
        <v>-0.13442447008317671</v>
      </c>
      <c r="Q38" s="453">
        <f t="shared" si="20"/>
        <v>-1.158259215928148E-2</v>
      </c>
      <c r="R38" s="453">
        <f t="shared" si="20"/>
        <v>0.15017893853972897</v>
      </c>
      <c r="S38" s="453">
        <f t="shared" si="20"/>
        <v>5.2594894067964137E-2</v>
      </c>
    </row>
    <row r="39" spans="1:19">
      <c r="A39" s="260" t="s">
        <v>507</v>
      </c>
      <c r="C39" s="414" t="s">
        <v>653</v>
      </c>
      <c r="D39" s="405">
        <f>((D23/C23)-1)</f>
        <v>0.35673184003437841</v>
      </c>
      <c r="E39" s="405">
        <f t="shared" ref="E39:M39" si="21">((E23/D23)-1)</f>
        <v>-7.9484060910748111E-2</v>
      </c>
      <c r="F39" s="405">
        <f t="shared" si="21"/>
        <v>-0.51161165528215879</v>
      </c>
      <c r="G39" s="405">
        <f t="shared" si="21"/>
        <v>-1.0407063499372824</v>
      </c>
      <c r="H39" s="405">
        <f t="shared" si="21"/>
        <v>-23.724196964718626</v>
      </c>
      <c r="I39" s="405">
        <f t="shared" si="21"/>
        <v>0.47927358787814045</v>
      </c>
      <c r="J39" s="405">
        <f t="shared" si="21"/>
        <v>0.29692029531972963</v>
      </c>
      <c r="K39" s="405">
        <f t="shared" si="21"/>
        <v>0.28625311347947524</v>
      </c>
      <c r="L39" s="405">
        <f t="shared" si="21"/>
        <v>-0.21884348502133744</v>
      </c>
      <c r="M39" s="405">
        <f t="shared" si="21"/>
        <v>-9.2527948789184244E-2</v>
      </c>
      <c r="N39" s="405">
        <f t="shared" ref="N39:S39" si="22">((N23/M23)-1)</f>
        <v>-1.6553379951093405E-2</v>
      </c>
      <c r="O39" s="405">
        <f t="shared" si="22"/>
        <v>9.0658721529503161E-2</v>
      </c>
      <c r="P39" s="405">
        <f t="shared" si="22"/>
        <v>-2.9374694072808127E-2</v>
      </c>
      <c r="Q39" s="405">
        <f t="shared" si="22"/>
        <v>6.949448859035634E-2</v>
      </c>
      <c r="R39" s="405">
        <f t="shared" si="22"/>
        <v>0.22354145123756508</v>
      </c>
      <c r="S39" s="405">
        <f t="shared" si="22"/>
        <v>9.4269146719648145E-2</v>
      </c>
    </row>
    <row r="40" spans="1:19">
      <c r="A40" s="260" t="s">
        <v>418</v>
      </c>
      <c r="C40" s="414" t="s">
        <v>653</v>
      </c>
      <c r="D40" s="405">
        <f>((D26/C26)-1)</f>
        <v>0.33348646712554841</v>
      </c>
      <c r="E40" s="405">
        <f t="shared" ref="E40:M40" si="23">((E26/D26)-1)</f>
        <v>-4.9554178807289184E-2</v>
      </c>
      <c r="F40" s="405">
        <f t="shared" si="23"/>
        <v>-0.37626596957065384</v>
      </c>
      <c r="G40" s="405">
        <f t="shared" si="23"/>
        <v>-0.59791874947673262</v>
      </c>
      <c r="H40" s="405">
        <f t="shared" si="23"/>
        <v>1.6891588991095419</v>
      </c>
      <c r="I40" s="405">
        <f t="shared" si="23"/>
        <v>0.24012643987046145</v>
      </c>
      <c r="J40" s="405">
        <f t="shared" si="23"/>
        <v>0.20078891986293246</v>
      </c>
      <c r="K40" s="405">
        <f t="shared" si="23"/>
        <v>0.21687465590016375</v>
      </c>
      <c r="L40" s="405">
        <f t="shared" si="23"/>
        <v>-0.16562229008784823</v>
      </c>
      <c r="M40" s="405">
        <f t="shared" si="23"/>
        <v>-0.10047506725349564</v>
      </c>
      <c r="N40" s="405">
        <f t="shared" ref="N40:S40" si="24">((N26/M26)-1)</f>
        <v>-3.63295378432682E-2</v>
      </c>
      <c r="O40" s="405">
        <f t="shared" si="24"/>
        <v>-3.7483666490591094E-2</v>
      </c>
      <c r="P40" s="405">
        <f t="shared" si="24"/>
        <v>-0.12812402966429082</v>
      </c>
      <c r="Q40" s="405">
        <f t="shared" si="24"/>
        <v>-1.6529091037613464E-2</v>
      </c>
      <c r="R40" s="405">
        <f t="shared" si="24"/>
        <v>9.9158289490664409E-2</v>
      </c>
      <c r="S40" s="405">
        <f t="shared" si="24"/>
        <v>4.09141598168552E-2</v>
      </c>
    </row>
    <row r="41" spans="1:19">
      <c r="A41" s="415"/>
      <c r="B41" s="415"/>
      <c r="C41" s="415"/>
      <c r="D41" s="415"/>
      <c r="E41" s="415"/>
      <c r="F41" s="415"/>
      <c r="G41" s="415"/>
      <c r="H41" s="415"/>
      <c r="I41" s="415"/>
      <c r="J41" s="415"/>
      <c r="K41" s="415"/>
      <c r="L41" s="415"/>
      <c r="M41" s="415"/>
      <c r="N41" s="415"/>
      <c r="O41" s="415"/>
      <c r="P41" s="415"/>
      <c r="Q41" s="415"/>
      <c r="R41" s="415"/>
      <c r="S41" s="415"/>
    </row>
    <row r="42" spans="1:19">
      <c r="A42" s="406" t="s">
        <v>212</v>
      </c>
      <c r="C42" s="67" t="s">
        <v>247</v>
      </c>
      <c r="D42" s="67" t="s">
        <v>282</v>
      </c>
      <c r="E42" s="67" t="s">
        <v>333</v>
      </c>
      <c r="F42" s="67" t="s">
        <v>381</v>
      </c>
      <c r="G42" s="67" t="s">
        <v>285</v>
      </c>
      <c r="H42" s="67" t="s">
        <v>178</v>
      </c>
      <c r="I42" s="67" t="s">
        <v>332</v>
      </c>
      <c r="J42" s="67" t="s">
        <v>664</v>
      </c>
      <c r="K42" s="67" t="s">
        <v>632</v>
      </c>
      <c r="L42" s="67" t="str">
        <f>L3</f>
        <v>2013A</v>
      </c>
      <c r="M42" s="67" t="str">
        <f>M3</f>
        <v>2014A</v>
      </c>
      <c r="N42" s="67" t="str">
        <f>N3</f>
        <v>2015A</v>
      </c>
      <c r="O42" s="67" t="str">
        <f>O3</f>
        <v>2016A</v>
      </c>
      <c r="P42" s="67" t="s">
        <v>207</v>
      </c>
      <c r="Q42" s="67" t="s">
        <v>586</v>
      </c>
      <c r="R42" s="67" t="s">
        <v>712</v>
      </c>
      <c r="S42" s="67" t="str">
        <f>S3</f>
        <v>2020E</v>
      </c>
    </row>
    <row r="43" spans="1:19">
      <c r="A43" s="30" t="s">
        <v>250</v>
      </c>
      <c r="C43" s="116" t="s">
        <v>595</v>
      </c>
      <c r="D43" s="116" t="s">
        <v>595</v>
      </c>
      <c r="E43" s="116" t="s">
        <v>595</v>
      </c>
      <c r="F43" s="116" t="s">
        <v>595</v>
      </c>
      <c r="G43" s="116" t="s">
        <v>595</v>
      </c>
      <c r="H43" s="116" t="s">
        <v>595</v>
      </c>
      <c r="I43" s="116" t="s">
        <v>595</v>
      </c>
      <c r="J43" s="116" t="s">
        <v>595</v>
      </c>
      <c r="K43" s="116" t="s">
        <v>595</v>
      </c>
      <c r="L43" s="116" t="s">
        <v>595</v>
      </c>
      <c r="M43" s="116" t="s">
        <v>595</v>
      </c>
      <c r="N43" s="116" t="s">
        <v>595</v>
      </c>
      <c r="O43" s="116" t="s">
        <v>595</v>
      </c>
      <c r="P43" s="116" t="s">
        <v>595</v>
      </c>
      <c r="Q43" s="116" t="s">
        <v>595</v>
      </c>
      <c r="R43" s="116" t="s">
        <v>595</v>
      </c>
      <c r="S43" s="116" t="s">
        <v>595</v>
      </c>
    </row>
    <row r="44" spans="1:19">
      <c r="A44" s="185"/>
    </row>
    <row r="45" spans="1:19">
      <c r="A45" s="185" t="s">
        <v>412</v>
      </c>
      <c r="C45" s="416">
        <f>C6</f>
        <v>1066.8820000000001</v>
      </c>
      <c r="D45" s="416">
        <f t="shared" ref="D45:J45" si="25">D6</f>
        <v>1404.575</v>
      </c>
      <c r="E45" s="416">
        <f t="shared" si="25"/>
        <v>1640.9270000000001</v>
      </c>
      <c r="F45" s="416">
        <f t="shared" si="25"/>
        <v>1714.327</v>
      </c>
      <c r="G45" s="416">
        <f t="shared" si="25"/>
        <v>1582.404</v>
      </c>
      <c r="H45" s="416">
        <f t="shared" si="25"/>
        <v>1713.1510000000001</v>
      </c>
      <c r="I45" s="416">
        <f t="shared" si="25"/>
        <v>1904.9839999999999</v>
      </c>
      <c r="J45" s="416">
        <f t="shared" si="25"/>
        <v>2196.36</v>
      </c>
      <c r="K45" s="416">
        <f t="shared" ref="K45:P45" si="26">K6</f>
        <v>2581.0569999999998</v>
      </c>
      <c r="L45" s="416">
        <f t="shared" si="26"/>
        <v>2586.0369999999998</v>
      </c>
      <c r="M45" s="416">
        <f t="shared" si="26"/>
        <v>2590.3340000000003</v>
      </c>
      <c r="N45" s="416">
        <f t="shared" si="26"/>
        <v>2573.5860000000002</v>
      </c>
      <c r="O45" s="416">
        <f t="shared" si="26"/>
        <v>2476.41</v>
      </c>
      <c r="P45" s="416">
        <f t="shared" si="26"/>
        <v>2282.3789999999999</v>
      </c>
      <c r="Q45" s="416">
        <f>(P45*(1+Q74))</f>
        <v>2238.5968741312404</v>
      </c>
      <c r="R45" s="416">
        <f>(Q45*(1+R74))</f>
        <v>2226.5533983250157</v>
      </c>
      <c r="S45" s="416">
        <f>(R45*(1+S74))</f>
        <v>2250.1174536879739</v>
      </c>
    </row>
    <row r="46" spans="1:19" hidden="1" outlineLevel="1">
      <c r="A46" s="185"/>
      <c r="C46" s="140"/>
      <c r="D46" s="140"/>
      <c r="E46" s="140"/>
      <c r="F46" s="140"/>
      <c r="G46" s="140"/>
      <c r="H46" s="140"/>
      <c r="I46" s="140"/>
      <c r="J46" s="140"/>
      <c r="K46" s="140"/>
      <c r="L46" s="140"/>
      <c r="M46" s="140"/>
      <c r="N46" s="140"/>
      <c r="O46" s="140"/>
      <c r="P46" s="140"/>
    </row>
    <row r="47" spans="1:19" hidden="1" outlineLevel="1">
      <c r="A47" s="185" t="s">
        <v>251</v>
      </c>
      <c r="C47" s="416">
        <f>C8</f>
        <v>411.90899999999999</v>
      </c>
      <c r="D47" s="416">
        <f t="shared" ref="D47:J47" si="27">D8</f>
        <v>547.53200000000004</v>
      </c>
      <c r="E47" s="416">
        <f t="shared" si="27"/>
        <v>673.74199999999996</v>
      </c>
      <c r="F47" s="416">
        <f t="shared" si="27"/>
        <v>745.2650000000001</v>
      </c>
      <c r="G47" s="416">
        <f t="shared" si="27"/>
        <v>762.91200000000003</v>
      </c>
      <c r="H47" s="416">
        <f t="shared" si="27"/>
        <v>753.41100000000006</v>
      </c>
      <c r="I47" s="416">
        <f t="shared" si="27"/>
        <v>836.37800000000004</v>
      </c>
      <c r="J47" s="416">
        <f t="shared" si="27"/>
        <v>969.98900000000003</v>
      </c>
      <c r="K47" s="416">
        <f t="shared" ref="K47:P47" si="28">K8</f>
        <v>1129.2570000000001</v>
      </c>
      <c r="L47" s="416">
        <f t="shared" si="28"/>
        <v>1169.4059999999999</v>
      </c>
      <c r="M47" s="416">
        <f t="shared" si="28"/>
        <v>1592.7860000000001</v>
      </c>
      <c r="N47" s="416">
        <f t="shared" si="28"/>
        <v>1573.8579999999999</v>
      </c>
      <c r="O47" s="416">
        <f t="shared" si="28"/>
        <v>1529.5740000000001</v>
      </c>
      <c r="P47" s="416">
        <f t="shared" si="28"/>
        <v>1417.6020000000001</v>
      </c>
      <c r="Q47" s="416">
        <f>Q45-Q49</f>
        <v>1334.0765534950256</v>
      </c>
      <c r="R47" s="416">
        <f>R45-R49</f>
        <v>1349.5140147247921</v>
      </c>
      <c r="S47" s="416">
        <f>S45-S49</f>
        <v>1360.1960007543803</v>
      </c>
    </row>
    <row r="48" spans="1:19" hidden="1" outlineLevel="1">
      <c r="A48" s="185"/>
      <c r="C48" s="140"/>
      <c r="D48" s="140"/>
      <c r="E48" s="140"/>
      <c r="F48" s="140"/>
      <c r="G48" s="140"/>
      <c r="H48" s="140"/>
      <c r="I48" s="140"/>
      <c r="J48" s="140"/>
      <c r="K48" s="140"/>
      <c r="L48" s="140"/>
      <c r="M48" s="140"/>
      <c r="N48" s="140"/>
      <c r="O48" s="140"/>
      <c r="P48" s="140"/>
    </row>
    <row r="49" spans="1:22" collapsed="1">
      <c r="A49" s="185" t="s">
        <v>252</v>
      </c>
      <c r="C49" s="416">
        <f>C45-C47</f>
        <v>654.97300000000007</v>
      </c>
      <c r="D49" s="416">
        <f t="shared" ref="D49:J49" si="29">D45-D47</f>
        <v>857.04300000000001</v>
      </c>
      <c r="E49" s="416">
        <f t="shared" si="29"/>
        <v>967.18500000000017</v>
      </c>
      <c r="F49" s="416">
        <f t="shared" si="29"/>
        <v>969.0619999999999</v>
      </c>
      <c r="G49" s="416">
        <f t="shared" si="29"/>
        <v>819.49199999999996</v>
      </c>
      <c r="H49" s="416">
        <f t="shared" si="29"/>
        <v>959.74</v>
      </c>
      <c r="I49" s="416">
        <f t="shared" si="29"/>
        <v>1068.6059999999998</v>
      </c>
      <c r="J49" s="416">
        <f t="shared" si="29"/>
        <v>1226.3710000000001</v>
      </c>
      <c r="K49" s="416">
        <f t="shared" ref="K49:P49" si="30">K45-K47</f>
        <v>1451.7999999999997</v>
      </c>
      <c r="L49" s="416">
        <f t="shared" si="30"/>
        <v>1416.6309999999999</v>
      </c>
      <c r="M49" s="416">
        <f t="shared" si="30"/>
        <v>997.54800000000023</v>
      </c>
      <c r="N49" s="416">
        <f t="shared" si="30"/>
        <v>999.72800000000029</v>
      </c>
      <c r="O49" s="416">
        <f t="shared" si="30"/>
        <v>946.83599999999979</v>
      </c>
      <c r="P49" s="416">
        <f t="shared" si="30"/>
        <v>864.77699999999982</v>
      </c>
      <c r="Q49" s="416">
        <f>Q45*Q68</f>
        <v>904.52032063621493</v>
      </c>
      <c r="R49" s="416">
        <f>R45*R68</f>
        <v>877.03938360022369</v>
      </c>
      <c r="S49" s="416">
        <f>S45*S68</f>
        <v>889.92145293359363</v>
      </c>
    </row>
    <row r="50" spans="1:22">
      <c r="A50" s="185" t="s">
        <v>253</v>
      </c>
      <c r="C50" s="140">
        <f>C11</f>
        <v>398.11699999999996</v>
      </c>
      <c r="D50" s="140">
        <f t="shared" ref="D50:J50" si="31">D11</f>
        <v>514.529</v>
      </c>
      <c r="E50" s="140">
        <f t="shared" si="31"/>
        <v>703.48500000000001</v>
      </c>
      <c r="F50" s="140">
        <f t="shared" si="31"/>
        <v>847.60400000000004</v>
      </c>
      <c r="G50" s="140">
        <f t="shared" si="31"/>
        <v>835.42100000000005</v>
      </c>
      <c r="H50" s="140">
        <f t="shared" si="31"/>
        <v>836.56099999999992</v>
      </c>
      <c r="I50" s="140">
        <f t="shared" si="31"/>
        <v>890.44799999999998</v>
      </c>
      <c r="J50" s="140">
        <f t="shared" si="31"/>
        <v>998.86099999999988</v>
      </c>
      <c r="K50" s="140">
        <f t="shared" ref="K50:M51" si="32">K11</f>
        <v>1162.4259999999999</v>
      </c>
      <c r="L50" s="140">
        <f t="shared" si="32"/>
        <v>1202.981</v>
      </c>
      <c r="M50" s="140">
        <f t="shared" si="32"/>
        <v>821.21699999999998</v>
      </c>
      <c r="N50" s="140">
        <f t="shared" ref="N50:P51" si="33">N11</f>
        <v>830.77599999999995</v>
      </c>
      <c r="O50" s="140">
        <f t="shared" si="33"/>
        <v>779.12099999999998</v>
      </c>
      <c r="P50" s="140">
        <f t="shared" si="33"/>
        <v>719.60699999999997</v>
      </c>
      <c r="Q50" s="140">
        <f>Q45*Q69</f>
        <v>712.75377264490953</v>
      </c>
      <c r="R50" s="140">
        <f>R45*R69</f>
        <v>681.32533988745479</v>
      </c>
      <c r="S50" s="140">
        <f>S45*S69</f>
        <v>682.68563544893129</v>
      </c>
    </row>
    <row r="51" spans="1:22" hidden="1" outlineLevel="1">
      <c r="A51" s="185" t="s">
        <v>234</v>
      </c>
      <c r="C51" s="140">
        <f>C12</f>
        <v>32.481000000000002</v>
      </c>
      <c r="D51" s="140">
        <f t="shared" ref="D51:J51" si="34">D12</f>
        <v>44.199999999999996</v>
      </c>
      <c r="E51" s="140">
        <f t="shared" si="34"/>
        <v>61.841000000000008</v>
      </c>
      <c r="F51" s="140">
        <f t="shared" si="34"/>
        <v>81.593000000000004</v>
      </c>
      <c r="G51" s="140">
        <f t="shared" si="34"/>
        <v>97.572000000000003</v>
      </c>
      <c r="H51" s="140">
        <f t="shared" si="34"/>
        <v>96.372</v>
      </c>
      <c r="I51" s="140">
        <f t="shared" si="34"/>
        <v>94.113</v>
      </c>
      <c r="J51" s="140">
        <f t="shared" si="34"/>
        <v>99.43</v>
      </c>
      <c r="K51" s="140">
        <f t="shared" si="32"/>
        <v>108.471</v>
      </c>
      <c r="L51" s="140">
        <f t="shared" si="32"/>
        <v>118.303</v>
      </c>
      <c r="M51" s="140">
        <f t="shared" si="32"/>
        <v>122.26900000000001</v>
      </c>
      <c r="N51" s="140">
        <f t="shared" si="33"/>
        <v>118.8</v>
      </c>
      <c r="O51" s="140">
        <f t="shared" si="33"/>
        <v>109.251</v>
      </c>
      <c r="P51" s="140">
        <f t="shared" si="33"/>
        <v>96.31</v>
      </c>
      <c r="Q51" s="140">
        <f>Q12</f>
        <v>94</v>
      </c>
      <c r="R51" s="140">
        <f>R12</f>
        <v>96</v>
      </c>
      <c r="S51" s="140">
        <f>S12</f>
        <v>98</v>
      </c>
    </row>
    <row r="52" spans="1:22" collapsed="1">
      <c r="A52" s="186" t="s">
        <v>269</v>
      </c>
      <c r="C52" s="416">
        <f>C49-C50</f>
        <v>256.85600000000011</v>
      </c>
      <c r="D52" s="416">
        <f t="shared" ref="D52:J52" si="35">D49-D50</f>
        <v>342.51400000000001</v>
      </c>
      <c r="E52" s="416">
        <f t="shared" si="35"/>
        <v>263.70000000000016</v>
      </c>
      <c r="F52" s="416">
        <f t="shared" si="35"/>
        <v>121.45799999999986</v>
      </c>
      <c r="G52" s="416">
        <f t="shared" si="35"/>
        <v>-15.929000000000087</v>
      </c>
      <c r="H52" s="416">
        <f t="shared" si="35"/>
        <v>123.17900000000009</v>
      </c>
      <c r="I52" s="416">
        <f t="shared" si="35"/>
        <v>178.15799999999979</v>
      </c>
      <c r="J52" s="416">
        <f t="shared" si="35"/>
        <v>227.51000000000022</v>
      </c>
      <c r="K52" s="416">
        <f t="shared" ref="K52:S52" si="36">K49-K50</f>
        <v>289.3739999999998</v>
      </c>
      <c r="L52" s="416">
        <f t="shared" si="36"/>
        <v>213.64999999999986</v>
      </c>
      <c r="M52" s="416">
        <f t="shared" si="36"/>
        <v>176.33100000000024</v>
      </c>
      <c r="N52" s="416">
        <f t="shared" si="36"/>
        <v>168.95200000000034</v>
      </c>
      <c r="O52" s="416">
        <f t="shared" si="36"/>
        <v>167.7149999999998</v>
      </c>
      <c r="P52" s="416">
        <f t="shared" si="36"/>
        <v>145.16999999999985</v>
      </c>
      <c r="Q52" s="416">
        <f t="shared" si="36"/>
        <v>191.7665479913054</v>
      </c>
      <c r="R52" s="416">
        <f t="shared" si="36"/>
        <v>195.7140437127689</v>
      </c>
      <c r="S52" s="416">
        <f t="shared" si="36"/>
        <v>207.23581748466233</v>
      </c>
    </row>
    <row r="53" spans="1:22" hidden="1" outlineLevel="1">
      <c r="A53" s="185"/>
      <c r="C53" s="140"/>
      <c r="D53" s="140"/>
      <c r="E53" s="140"/>
      <c r="F53" s="140"/>
      <c r="G53" s="140"/>
      <c r="H53" s="140"/>
      <c r="I53" s="140"/>
      <c r="J53" s="140"/>
      <c r="K53" s="140"/>
      <c r="L53" s="140"/>
      <c r="M53" s="140"/>
      <c r="N53" s="140"/>
      <c r="O53" s="140"/>
      <c r="P53" s="140"/>
    </row>
    <row r="54" spans="1:22" hidden="1" outlineLevel="1">
      <c r="A54" s="185" t="s">
        <v>208</v>
      </c>
      <c r="C54" s="140">
        <f>C15</f>
        <v>2.3279999999999998</v>
      </c>
      <c r="D54" s="140">
        <f t="shared" ref="D54:J54" si="37">D15</f>
        <v>8.2349999999999994</v>
      </c>
      <c r="E54" s="140">
        <f t="shared" si="37"/>
        <v>10.626000000000001</v>
      </c>
      <c r="F54" s="140">
        <f t="shared" si="37"/>
        <v>10.868</v>
      </c>
      <c r="G54" s="140">
        <f t="shared" si="37"/>
        <v>7.7560000000000002</v>
      </c>
      <c r="H54" s="140">
        <f t="shared" si="37"/>
        <v>1.6940000000000002</v>
      </c>
      <c r="I54" s="140">
        <f t="shared" si="37"/>
        <v>1.712</v>
      </c>
      <c r="J54" s="140">
        <f t="shared" si="37"/>
        <v>1.5970000000000004</v>
      </c>
      <c r="K54" s="140">
        <f t="shared" ref="K54:S54" si="38">K15</f>
        <v>0.88100000000000001</v>
      </c>
      <c r="L54" s="140">
        <f t="shared" si="38"/>
        <v>0.499</v>
      </c>
      <c r="M54" s="140">
        <f t="shared" si="38"/>
        <v>9.8000000000000004E-2</v>
      </c>
      <c r="N54" s="140">
        <f t="shared" si="38"/>
        <v>-1.87</v>
      </c>
      <c r="O54" s="140">
        <f t="shared" si="38"/>
        <v>-1.9729999999999999</v>
      </c>
      <c r="P54" s="140">
        <f t="shared" si="38"/>
        <v>-1.57</v>
      </c>
      <c r="Q54" s="140">
        <f t="shared" si="38"/>
        <v>-1.1359999999999999</v>
      </c>
      <c r="R54" s="140">
        <f t="shared" si="38"/>
        <v>-1.1359999999999999</v>
      </c>
      <c r="S54" s="140">
        <f t="shared" si="38"/>
        <v>-1.1359999999999999</v>
      </c>
    </row>
    <row r="55" spans="1:22" hidden="1" outlineLevel="1">
      <c r="A55" s="186" t="s">
        <v>419</v>
      </c>
      <c r="C55" s="416">
        <f>C52+C54</f>
        <v>259.18400000000008</v>
      </c>
      <c r="D55" s="416">
        <f t="shared" ref="D55:Q55" si="39">D52+D54</f>
        <v>350.74900000000002</v>
      </c>
      <c r="E55" s="416">
        <f t="shared" si="39"/>
        <v>274.32600000000014</v>
      </c>
      <c r="F55" s="416">
        <f t="shared" si="39"/>
        <v>132.32599999999985</v>
      </c>
      <c r="G55" s="416">
        <f t="shared" si="39"/>
        <v>-8.1730000000000871</v>
      </c>
      <c r="H55" s="416">
        <f t="shared" si="39"/>
        <v>124.87300000000009</v>
      </c>
      <c r="I55" s="416">
        <f t="shared" si="39"/>
        <v>179.86999999999978</v>
      </c>
      <c r="J55" s="416">
        <f t="shared" si="39"/>
        <v>229.10700000000023</v>
      </c>
      <c r="K55" s="416">
        <f t="shared" si="39"/>
        <v>290.25499999999977</v>
      </c>
      <c r="L55" s="416">
        <f t="shared" si="39"/>
        <v>214.14899999999986</v>
      </c>
      <c r="M55" s="416">
        <f>M52+M54</f>
        <v>176.42900000000026</v>
      </c>
      <c r="N55" s="416">
        <f>N52+N54</f>
        <v>167.08200000000033</v>
      </c>
      <c r="O55" s="416">
        <f>O52+O54</f>
        <v>165.74199999999979</v>
      </c>
      <c r="P55" s="416">
        <f>P52+P54</f>
        <v>143.59999999999985</v>
      </c>
      <c r="Q55" s="416">
        <f t="shared" si="39"/>
        <v>190.63054799130541</v>
      </c>
      <c r="R55" s="416">
        <f>R52+R54</f>
        <v>194.5780437127689</v>
      </c>
      <c r="S55" s="416">
        <f>S52+S54</f>
        <v>206.09981748466234</v>
      </c>
    </row>
    <row r="56" spans="1:22" hidden="1" outlineLevel="1">
      <c r="A56" s="185"/>
      <c r="C56" s="140"/>
      <c r="D56" s="140"/>
      <c r="E56" s="140"/>
      <c r="F56" s="140"/>
      <c r="G56" s="140"/>
      <c r="H56" s="140"/>
      <c r="I56" s="140"/>
      <c r="J56" s="140"/>
      <c r="K56" s="140"/>
      <c r="L56" s="140"/>
      <c r="M56" s="140"/>
      <c r="N56" s="140"/>
      <c r="O56" s="140"/>
      <c r="P56" s="140"/>
    </row>
    <row r="57" spans="1:22" collapsed="1">
      <c r="A57" s="185" t="s">
        <v>256</v>
      </c>
      <c r="C57" s="140">
        <f>C18</f>
        <v>85.496999999999986</v>
      </c>
      <c r="D57" s="140">
        <f t="shared" ref="D57:J57" si="40">D18</f>
        <v>112.56800000000001</v>
      </c>
      <c r="E57" s="140">
        <f t="shared" si="40"/>
        <v>99.635999999999996</v>
      </c>
      <c r="F57" s="140">
        <f t="shared" si="40"/>
        <v>48.012</v>
      </c>
      <c r="G57" s="140">
        <f t="shared" si="40"/>
        <v>-4.7360000000000015</v>
      </c>
      <c r="H57" s="140">
        <f t="shared" si="40"/>
        <v>45.774000000000001</v>
      </c>
      <c r="I57" s="140">
        <f t="shared" si="40"/>
        <v>63.400000000000006</v>
      </c>
      <c r="J57" s="140">
        <f t="shared" si="40"/>
        <v>84.659000000000006</v>
      </c>
      <c r="K57" s="140">
        <f t="shared" ref="K57:P57" si="41">K18</f>
        <v>108.82424</v>
      </c>
      <c r="L57" s="140">
        <f t="shared" si="41"/>
        <v>77.8</v>
      </c>
      <c r="M57" s="140">
        <f t="shared" si="41"/>
        <v>60.290000000000006</v>
      </c>
      <c r="N57" s="140">
        <f t="shared" si="41"/>
        <v>61.527249999999981</v>
      </c>
      <c r="O57" s="140">
        <f t="shared" si="41"/>
        <v>58.503999999999998</v>
      </c>
      <c r="P57" s="140">
        <f t="shared" si="41"/>
        <v>42.599999999999994</v>
      </c>
      <c r="Q57" s="140">
        <f>Q55*Q71</f>
        <v>51.470247957652539</v>
      </c>
      <c r="R57" s="140">
        <f>R55*R71</f>
        <v>52.53607180244768</v>
      </c>
      <c r="S57" s="140">
        <f>S55*S71</f>
        <v>55.646950720858918</v>
      </c>
      <c r="T57" s="27"/>
      <c r="U57" s="27"/>
      <c r="V57" s="27"/>
    </row>
    <row r="58" spans="1:22" hidden="1" outlineLevel="1">
      <c r="A58" s="185"/>
      <c r="C58" s="140"/>
      <c r="D58" s="140"/>
      <c r="E58" s="140"/>
      <c r="F58" s="140"/>
      <c r="G58" s="140"/>
      <c r="H58" s="140"/>
      <c r="I58" s="140"/>
      <c r="J58" s="140"/>
      <c r="K58" s="140"/>
      <c r="L58" s="140"/>
      <c r="M58" s="140"/>
      <c r="N58" s="140"/>
      <c r="O58" s="140"/>
      <c r="P58" s="140"/>
      <c r="T58" s="27"/>
      <c r="U58" s="27"/>
    </row>
    <row r="59" spans="1:22" hidden="1" outlineLevel="1">
      <c r="A59" s="185"/>
      <c r="C59" s="140"/>
      <c r="D59" s="140"/>
      <c r="E59" s="140"/>
      <c r="F59" s="140"/>
      <c r="G59" s="140"/>
      <c r="H59" s="140"/>
      <c r="I59" s="140"/>
      <c r="J59" s="140"/>
      <c r="K59" s="140"/>
      <c r="L59" s="140"/>
      <c r="M59" s="140"/>
      <c r="N59" s="140"/>
      <c r="O59" s="140"/>
      <c r="P59" s="140"/>
      <c r="T59" s="27"/>
      <c r="U59" s="27"/>
    </row>
    <row r="60" spans="1:22" hidden="1" outlineLevel="1">
      <c r="A60" s="185" t="s">
        <v>209</v>
      </c>
      <c r="C60" s="416">
        <f>C55-C57</f>
        <v>173.6870000000001</v>
      </c>
      <c r="D60" s="416">
        <f t="shared" ref="D60:J60" si="42">D55-D57</f>
        <v>238.18100000000001</v>
      </c>
      <c r="E60" s="416">
        <f t="shared" si="42"/>
        <v>174.69000000000014</v>
      </c>
      <c r="F60" s="416">
        <f t="shared" si="42"/>
        <v>84.313999999999851</v>
      </c>
      <c r="G60" s="416">
        <f t="shared" si="42"/>
        <v>-3.4370000000000855</v>
      </c>
      <c r="H60" s="416">
        <f t="shared" si="42"/>
        <v>79.099000000000089</v>
      </c>
      <c r="I60" s="416">
        <f t="shared" si="42"/>
        <v>116.46999999999977</v>
      </c>
      <c r="J60" s="416">
        <f t="shared" si="42"/>
        <v>144.44800000000021</v>
      </c>
      <c r="K60" s="416">
        <f t="shared" ref="K60:S60" si="43">K55-K57</f>
        <v>181.43075999999976</v>
      </c>
      <c r="L60" s="416">
        <f t="shared" si="43"/>
        <v>136.34899999999988</v>
      </c>
      <c r="M60" s="416">
        <f t="shared" si="43"/>
        <v>116.13900000000025</v>
      </c>
      <c r="N60" s="416">
        <f t="shared" si="43"/>
        <v>105.55475000000035</v>
      </c>
      <c r="O60" s="416">
        <f t="shared" si="43"/>
        <v>107.2379999999998</v>
      </c>
      <c r="P60" s="416">
        <f t="shared" si="43"/>
        <v>100.99999999999986</v>
      </c>
      <c r="Q60" s="416">
        <f t="shared" si="43"/>
        <v>139.16030003365287</v>
      </c>
      <c r="R60" s="416">
        <f t="shared" si="43"/>
        <v>142.04197191032122</v>
      </c>
      <c r="S60" s="416">
        <f t="shared" si="43"/>
        <v>150.45286676380343</v>
      </c>
      <c r="T60" s="27"/>
      <c r="U60" s="27"/>
    </row>
    <row r="61" spans="1:22" hidden="1" outlineLevel="1">
      <c r="A61" s="185"/>
      <c r="C61" s="140"/>
      <c r="D61" s="140"/>
      <c r="E61" s="140"/>
      <c r="F61" s="140"/>
      <c r="G61" s="140"/>
      <c r="H61" s="140"/>
      <c r="I61" s="140"/>
      <c r="J61" s="140"/>
      <c r="K61" s="140"/>
      <c r="L61" s="140"/>
      <c r="M61" s="140"/>
      <c r="N61" s="140"/>
      <c r="O61" s="140"/>
      <c r="P61" s="140"/>
      <c r="T61" s="27"/>
      <c r="U61" s="27"/>
    </row>
    <row r="62" spans="1:22" collapsed="1">
      <c r="A62" s="411" t="s">
        <v>514</v>
      </c>
      <c r="B62" s="411"/>
      <c r="C62" s="412">
        <f>C60/C63</f>
        <v>0.9641296926433125</v>
      </c>
      <c r="D62" s="412">
        <f t="shared" ref="D62:J62" si="44">D60/D63</f>
        <v>1.3057596158063245</v>
      </c>
      <c r="E62" s="412">
        <f t="shared" si="44"/>
        <v>0.97891870082711396</v>
      </c>
      <c r="F62" s="412">
        <f t="shared" si="44"/>
        <v>0.47809248391029374</v>
      </c>
      <c r="G62" s="412">
        <f t="shared" si="44"/>
        <v>-1.9461399952436981E-2</v>
      </c>
      <c r="H62" s="412">
        <f t="shared" si="44"/>
        <v>0.44224468572834363</v>
      </c>
      <c r="I62" s="412">
        <f t="shared" si="44"/>
        <v>0.65420088297740753</v>
      </c>
      <c r="J62" s="412">
        <f t="shared" si="44"/>
        <v>0.84844640234948732</v>
      </c>
      <c r="K62" s="412">
        <f t="shared" ref="K62:Q62" si="45">K60/K63</f>
        <v>1.0913168266424875</v>
      </c>
      <c r="L62" s="412">
        <f t="shared" si="45"/>
        <v>0.8524892490376188</v>
      </c>
      <c r="M62" s="412">
        <f>M60/M63</f>
        <v>0.77361016745933586</v>
      </c>
      <c r="N62" s="412">
        <f>N60/N63</f>
        <v>0.76080430442335245</v>
      </c>
      <c r="O62" s="412">
        <f>O60/O63</f>
        <v>0.82977784999651649</v>
      </c>
      <c r="P62" s="412">
        <f>P60/P63</f>
        <v>0.80540337950447638</v>
      </c>
      <c r="Q62" s="412">
        <f t="shared" si="45"/>
        <v>1.1535043271542054</v>
      </c>
      <c r="R62" s="412">
        <f>R60/R63</f>
        <v>1.2511850683866081</v>
      </c>
      <c r="S62" s="412">
        <f>S60/S63</f>
        <v>1.3772660553665752</v>
      </c>
      <c r="T62" s="55"/>
      <c r="U62" s="141"/>
      <c r="V62" s="438"/>
    </row>
    <row r="63" spans="1:22">
      <c r="A63" s="185" t="s">
        <v>210</v>
      </c>
      <c r="C63" s="140">
        <f>C24</f>
        <v>180.149</v>
      </c>
      <c r="D63" s="140">
        <f t="shared" ref="D63:J63" si="46">D24</f>
        <v>182.40799999999999</v>
      </c>
      <c r="E63" s="140">
        <f t="shared" si="46"/>
        <v>178.452</v>
      </c>
      <c r="F63" s="140">
        <f t="shared" si="46"/>
        <v>176.35499999999999</v>
      </c>
      <c r="G63" s="140">
        <f t="shared" si="46"/>
        <v>176.60599999999999</v>
      </c>
      <c r="H63" s="140">
        <f t="shared" si="46"/>
        <v>178.858</v>
      </c>
      <c r="I63" s="140">
        <f t="shared" si="46"/>
        <v>178.03399999999999</v>
      </c>
      <c r="J63" s="140">
        <f t="shared" si="46"/>
        <v>170.25</v>
      </c>
      <c r="K63" s="140">
        <f t="shared" ref="K63:S63" si="47">K24</f>
        <v>166.249393</v>
      </c>
      <c r="L63" s="140">
        <f t="shared" si="47"/>
        <v>159.94219299999997</v>
      </c>
      <c r="M63" s="140">
        <f t="shared" si="47"/>
        <v>150.126</v>
      </c>
      <c r="N63" s="140">
        <f t="shared" si="47"/>
        <v>138.74100000000001</v>
      </c>
      <c r="O63" s="140">
        <f t="shared" si="47"/>
        <v>129.23699999999999</v>
      </c>
      <c r="P63" s="140">
        <f t="shared" si="47"/>
        <v>125.40300000000001</v>
      </c>
      <c r="Q63" s="140">
        <f t="shared" si="47"/>
        <v>120.64133333333332</v>
      </c>
      <c r="R63" s="140">
        <f t="shared" si="47"/>
        <v>113.52594871794871</v>
      </c>
      <c r="S63" s="140">
        <f t="shared" si="47"/>
        <v>109.24023443223442</v>
      </c>
    </row>
    <row r="64" spans="1:22" outlineLevel="1">
      <c r="A64" s="185"/>
      <c r="P64" s="1645"/>
    </row>
    <row r="65" spans="1:20" outlineLevel="1">
      <c r="A65" s="185" t="s">
        <v>418</v>
      </c>
      <c r="C65" s="416">
        <f>C51+C52</f>
        <v>289.3370000000001</v>
      </c>
      <c r="D65" s="416">
        <f t="shared" ref="D65:J65" si="48">D51+D52</f>
        <v>386.714</v>
      </c>
      <c r="E65" s="416">
        <f t="shared" si="48"/>
        <v>325.54100000000017</v>
      </c>
      <c r="F65" s="416">
        <f t="shared" si="48"/>
        <v>203.05099999999987</v>
      </c>
      <c r="G65" s="416">
        <f t="shared" si="48"/>
        <v>81.642999999999915</v>
      </c>
      <c r="H65" s="416">
        <f t="shared" si="48"/>
        <v>219.5510000000001</v>
      </c>
      <c r="I65" s="416">
        <f t="shared" si="48"/>
        <v>272.27099999999979</v>
      </c>
      <c r="J65" s="416">
        <f t="shared" si="48"/>
        <v>326.94000000000023</v>
      </c>
      <c r="K65" s="416">
        <f t="shared" ref="K65:S65" si="49">K51+K52</f>
        <v>397.8449999999998</v>
      </c>
      <c r="L65" s="416">
        <f t="shared" si="49"/>
        <v>331.95299999999986</v>
      </c>
      <c r="M65" s="416">
        <f t="shared" si="49"/>
        <v>298.60000000000025</v>
      </c>
      <c r="N65" s="416">
        <f t="shared" si="49"/>
        <v>287.75200000000035</v>
      </c>
      <c r="O65" s="416">
        <f t="shared" si="49"/>
        <v>276.96599999999978</v>
      </c>
      <c r="P65" s="416">
        <f t="shared" si="49"/>
        <v>241.47999999999985</v>
      </c>
      <c r="Q65" s="416">
        <f t="shared" si="49"/>
        <v>285.7665479913054</v>
      </c>
      <c r="R65" s="416">
        <f t="shared" si="49"/>
        <v>291.7140437127689</v>
      </c>
      <c r="S65" s="416">
        <f t="shared" si="49"/>
        <v>305.23581748466233</v>
      </c>
    </row>
    <row r="66" spans="1:20">
      <c r="A66" s="185"/>
    </row>
    <row r="67" spans="1:20">
      <c r="A67" s="30" t="s">
        <v>261</v>
      </c>
    </row>
    <row r="68" spans="1:20">
      <c r="A68" s="185" t="s">
        <v>420</v>
      </c>
      <c r="C68" s="113">
        <f>C49/C45</f>
        <v>0.61391325376189687</v>
      </c>
      <c r="D68" s="113">
        <f t="shared" ref="D68:J68" si="50">D49/D45</f>
        <v>0.61017959169143687</v>
      </c>
      <c r="E68" s="113">
        <f t="shared" si="50"/>
        <v>0.58941378866945338</v>
      </c>
      <c r="F68" s="113">
        <f t="shared" si="50"/>
        <v>0.56527255301934809</v>
      </c>
      <c r="G68" s="113">
        <f t="shared" si="50"/>
        <v>0.5178778617849803</v>
      </c>
      <c r="H68" s="113">
        <f t="shared" si="50"/>
        <v>0.56021915172684722</v>
      </c>
      <c r="I68" s="113">
        <f t="shared" si="50"/>
        <v>0.5609527429101766</v>
      </c>
      <c r="J68" s="113">
        <f t="shared" si="50"/>
        <v>0.55836520424702696</v>
      </c>
      <c r="K68" s="113">
        <f t="shared" ref="K68:P68" si="51">K49/K45</f>
        <v>0.56248273478656219</v>
      </c>
      <c r="L68" s="113">
        <f t="shared" si="51"/>
        <v>0.54779997347292397</v>
      </c>
      <c r="M68" s="113">
        <f t="shared" si="51"/>
        <v>0.38510400589267646</v>
      </c>
      <c r="N68" s="113">
        <f t="shared" si="51"/>
        <v>0.38845719552406649</v>
      </c>
      <c r="O68" s="113">
        <f t="shared" si="51"/>
        <v>0.38234218081820048</v>
      </c>
      <c r="P68" s="113">
        <f t="shared" si="51"/>
        <v>0.37889281315679818</v>
      </c>
      <c r="Q68" s="207">
        <f>Q29+0.012</f>
        <v>0.40405681393048631</v>
      </c>
      <c r="R68" s="207">
        <f>R29+0.01</f>
        <v>0.39390000000000003</v>
      </c>
      <c r="S68" s="207">
        <f>S29+0.01</f>
        <v>0.39549999999999996</v>
      </c>
    </row>
    <row r="69" spans="1:20">
      <c r="A69" s="185" t="s">
        <v>263</v>
      </c>
      <c r="C69" s="113">
        <f>C50/C45</f>
        <v>0.37315935595501654</v>
      </c>
      <c r="D69" s="113">
        <f t="shared" ref="D69:J69" si="52">D50/D45</f>
        <v>0.36632362102415322</v>
      </c>
      <c r="E69" s="113">
        <f t="shared" si="52"/>
        <v>0.42871194148185748</v>
      </c>
      <c r="F69" s="113">
        <f t="shared" si="52"/>
        <v>0.49442375929446369</v>
      </c>
      <c r="G69" s="113">
        <f t="shared" si="52"/>
        <v>0.52794419124319714</v>
      </c>
      <c r="H69" s="113">
        <f t="shared" si="52"/>
        <v>0.48831714192152348</v>
      </c>
      <c r="I69" s="113">
        <f t="shared" si="52"/>
        <v>0.46743069758066208</v>
      </c>
      <c r="J69" s="113">
        <f t="shared" si="52"/>
        <v>0.45478018175526774</v>
      </c>
      <c r="K69" s="113">
        <f t="shared" ref="K69:P69" si="53">K50/K45</f>
        <v>0.45036820186458493</v>
      </c>
      <c r="L69" s="113">
        <f t="shared" si="53"/>
        <v>0.46518321276919089</v>
      </c>
      <c r="M69" s="113">
        <f t="shared" si="53"/>
        <v>0.31703131719693284</v>
      </c>
      <c r="N69" s="113">
        <f t="shared" si="53"/>
        <v>0.32280871904028069</v>
      </c>
      <c r="O69" s="113">
        <f t="shared" si="53"/>
        <v>0.314617127212376</v>
      </c>
      <c r="P69" s="113">
        <f t="shared" si="53"/>
        <v>0.31528812699380776</v>
      </c>
      <c r="Q69" s="207">
        <f>Q30-0.008</f>
        <v>0.31839308849277143</v>
      </c>
      <c r="R69" s="207">
        <f>R30-0.001</f>
        <v>0.30599999999999999</v>
      </c>
      <c r="S69" s="207">
        <f>S30-0.001</f>
        <v>0.3034</v>
      </c>
    </row>
    <row r="70" spans="1:20">
      <c r="A70" s="185" t="s">
        <v>241</v>
      </c>
      <c r="C70" s="113">
        <f>C52/C45</f>
        <v>0.24075389780688033</v>
      </c>
      <c r="D70" s="113">
        <f t="shared" ref="D70:P70" si="54">D52/D45</f>
        <v>0.24385597066728371</v>
      </c>
      <c r="E70" s="113">
        <f t="shared" si="54"/>
        <v>0.16070184718759586</v>
      </c>
      <c r="F70" s="113">
        <f t="shared" si="54"/>
        <v>7.0848793724884382E-2</v>
      </c>
      <c r="G70" s="113">
        <f t="shared" si="54"/>
        <v>-1.0066329458216793E-2</v>
      </c>
      <c r="H70" s="113">
        <f t="shared" si="54"/>
        <v>7.1902009805323686E-2</v>
      </c>
      <c r="I70" s="113">
        <f t="shared" si="54"/>
        <v>9.3522045329514469E-2</v>
      </c>
      <c r="J70" s="113">
        <f t="shared" si="54"/>
        <v>0.10358502249175919</v>
      </c>
      <c r="K70" s="113">
        <f>K52/K45</f>
        <v>0.11211453292197725</v>
      </c>
      <c r="L70" s="113">
        <f>L52/L45</f>
        <v>8.2616760703733111E-2</v>
      </c>
      <c r="M70" s="113">
        <f>M52/M45</f>
        <v>6.8072688695743566E-2</v>
      </c>
      <c r="N70" s="113">
        <f>N52/N45</f>
        <v>6.5648476483785786E-2</v>
      </c>
      <c r="O70" s="113">
        <f>O52/O45</f>
        <v>6.7725053605824481E-2</v>
      </c>
      <c r="P70" s="212">
        <f t="shared" si="54"/>
        <v>6.3604686162990393E-2</v>
      </c>
      <c r="Q70" s="212">
        <f>Q52/Q45</f>
        <v>8.5663725437714902E-2</v>
      </c>
      <c r="R70" s="212">
        <f>R52/R45</f>
        <v>8.7900000000000006E-2</v>
      </c>
      <c r="S70" s="212">
        <f>S52/S45</f>
        <v>9.2099999999999974E-2</v>
      </c>
    </row>
    <row r="71" spans="1:20">
      <c r="A71" s="185" t="s">
        <v>265</v>
      </c>
      <c r="C71" s="113">
        <f>C57/C55</f>
        <v>0.32986989937650457</v>
      </c>
      <c r="D71" s="113">
        <f t="shared" ref="D71:J71" si="55">D57/D55</f>
        <v>0.32093605398732428</v>
      </c>
      <c r="E71" s="113">
        <f t="shared" si="55"/>
        <v>0.36320290457339061</v>
      </c>
      <c r="F71" s="113">
        <f t="shared" si="55"/>
        <v>0.36283118963771332</v>
      </c>
      <c r="G71" s="113">
        <f t="shared" si="55"/>
        <v>0.5794689832374833</v>
      </c>
      <c r="H71" s="113">
        <f t="shared" si="55"/>
        <v>0.36656442946033146</v>
      </c>
      <c r="I71" s="113">
        <f t="shared" si="55"/>
        <v>0.35247678879190575</v>
      </c>
      <c r="J71" s="113">
        <f t="shared" si="55"/>
        <v>0.3695172997769598</v>
      </c>
      <c r="K71" s="113">
        <f t="shared" ref="K71:P71" si="56">K57/K55</f>
        <v>0.37492632340528187</v>
      </c>
      <c r="L71" s="113">
        <f t="shared" si="56"/>
        <v>0.36329845107845493</v>
      </c>
      <c r="M71" s="113">
        <f t="shared" si="56"/>
        <v>0.34172386625781431</v>
      </c>
      <c r="N71" s="113">
        <f t="shared" si="56"/>
        <v>0.36824583138817979</v>
      </c>
      <c r="O71" s="113">
        <f t="shared" si="56"/>
        <v>0.35298234605591866</v>
      </c>
      <c r="P71" s="113">
        <f t="shared" si="56"/>
        <v>0.29665738161559913</v>
      </c>
      <c r="Q71" s="207">
        <f>Q32</f>
        <v>0.27000000000000041</v>
      </c>
      <c r="R71" s="207">
        <f>R32</f>
        <v>0.27000000000000041</v>
      </c>
      <c r="S71" s="207">
        <f>S32</f>
        <v>0.27000000000000041</v>
      </c>
    </row>
    <row r="72" spans="1:20">
      <c r="A72" s="185"/>
      <c r="P72" s="1297"/>
    </row>
    <row r="73" spans="1:20">
      <c r="A73" s="30" t="s">
        <v>266</v>
      </c>
    </row>
    <row r="74" spans="1:20">
      <c r="A74" s="185" t="s">
        <v>64</v>
      </c>
      <c r="C74" s="417" t="s">
        <v>653</v>
      </c>
      <c r="D74" s="113">
        <f>((D45/C45)-1)</f>
        <v>0.31652328936096019</v>
      </c>
      <c r="E74" s="113">
        <f t="shared" ref="E74:O74" si="57">((E45/D45)-1)</f>
        <v>0.16827296513180157</v>
      </c>
      <c r="F74" s="113">
        <f t="shared" si="57"/>
        <v>4.4730813741257203E-2</v>
      </c>
      <c r="G74" s="113">
        <f t="shared" si="57"/>
        <v>-7.6953230043043108E-2</v>
      </c>
      <c r="H74" s="113">
        <f t="shared" si="57"/>
        <v>8.2625549480410898E-2</v>
      </c>
      <c r="I74" s="113">
        <f t="shared" si="57"/>
        <v>0.11197670257904879</v>
      </c>
      <c r="J74" s="113">
        <f t="shared" si="57"/>
        <v>0.15295456549766318</v>
      </c>
      <c r="K74" s="113">
        <f t="shared" si="57"/>
        <v>0.17515206978819475</v>
      </c>
      <c r="L74" s="113">
        <f t="shared" si="57"/>
        <v>1.9294420851612148E-3</v>
      </c>
      <c r="M74" s="113">
        <f t="shared" si="57"/>
        <v>1.6616158237490186E-3</v>
      </c>
      <c r="N74" s="113">
        <f t="shared" si="57"/>
        <v>-6.4655754817718458E-3</v>
      </c>
      <c r="O74" s="113">
        <f t="shared" si="57"/>
        <v>-3.7758986876677336E-2</v>
      </c>
      <c r="P74" s="113">
        <f>P75+P81</f>
        <v>-7.8351726894981044E-2</v>
      </c>
      <c r="Q74" s="113">
        <f>Q75+Q81</f>
        <v>-1.9182671181587143E-2</v>
      </c>
      <c r="R74" s="113">
        <f>R75+R81</f>
        <v>-5.379921657801167E-3</v>
      </c>
      <c r="S74" s="113">
        <f>S75+S81</f>
        <v>1.0583197951005752E-2</v>
      </c>
    </row>
    <row r="75" spans="1:20">
      <c r="A75" s="185" t="s">
        <v>211</v>
      </c>
      <c r="C75" s="113">
        <f>C36</f>
        <v>0.129</v>
      </c>
      <c r="D75" s="113">
        <f t="shared" ref="D75:J75" si="58">D36</f>
        <v>0.14300000000000002</v>
      </c>
      <c r="E75" s="113">
        <f t="shared" si="58"/>
        <v>2.1000000000000001E-2</v>
      </c>
      <c r="F75" s="113">
        <f t="shared" si="58"/>
        <v>-8.1000000000000003E-2</v>
      </c>
      <c r="G75" s="113">
        <f t="shared" si="58"/>
        <v>-0.151</v>
      </c>
      <c r="H75" s="113">
        <f t="shared" si="58"/>
        <v>7.5999999999999998E-2</v>
      </c>
      <c r="I75" s="113">
        <f t="shared" si="58"/>
        <v>8.3000000000000004E-2</v>
      </c>
      <c r="J75" s="113">
        <f t="shared" si="58"/>
        <v>8.199999999999999E-2</v>
      </c>
      <c r="K75" s="113">
        <f t="shared" ref="K75:P75" si="59">K36</f>
        <v>7.1889904612919081E-2</v>
      </c>
      <c r="L75" s="113">
        <f t="shared" si="59"/>
        <v>-1.8102416156077713E-2</v>
      </c>
      <c r="M75" s="113">
        <f t="shared" si="59"/>
        <v>0</v>
      </c>
      <c r="N75" s="113">
        <f t="shared" si="59"/>
        <v>-1.4999999999999999E-2</v>
      </c>
      <c r="O75" s="113">
        <f t="shared" si="59"/>
        <v>-3.7000000000000005E-2</v>
      </c>
      <c r="P75" s="113">
        <f t="shared" si="59"/>
        <v>-7.6999999999999999E-2</v>
      </c>
      <c r="Q75" s="207">
        <v>0</v>
      </c>
      <c r="R75" s="207">
        <v>0</v>
      </c>
      <c r="S75" s="207">
        <v>0</v>
      </c>
    </row>
    <row r="76" spans="1:20">
      <c r="A76" s="185" t="s">
        <v>253</v>
      </c>
      <c r="C76" s="417" t="s">
        <v>653</v>
      </c>
      <c r="D76" s="113">
        <f>((D50/C50)-1)</f>
        <v>0.29240650361577125</v>
      </c>
      <c r="E76" s="113">
        <f t="shared" ref="E76:O76" si="60">((E50/D50)-1)</f>
        <v>0.36724071918200929</v>
      </c>
      <c r="F76" s="113">
        <f t="shared" si="60"/>
        <v>0.20486435389525015</v>
      </c>
      <c r="G76" s="113">
        <f t="shared" si="60"/>
        <v>-1.4373457416435031E-2</v>
      </c>
      <c r="H76" s="113">
        <f t="shared" si="60"/>
        <v>1.364581450549851E-3</v>
      </c>
      <c r="I76" s="113">
        <f t="shared" si="60"/>
        <v>6.4414908177646391E-2</v>
      </c>
      <c r="J76" s="113">
        <f t="shared" si="60"/>
        <v>0.12175107361687587</v>
      </c>
      <c r="K76" s="113">
        <f t="shared" si="60"/>
        <v>0.16375151297327672</v>
      </c>
      <c r="L76" s="113">
        <f t="shared" si="60"/>
        <v>3.4888242348330101E-2</v>
      </c>
      <c r="M76" s="113">
        <f t="shared" si="60"/>
        <v>-0.3173483205470411</v>
      </c>
      <c r="N76" s="113">
        <f t="shared" si="60"/>
        <v>1.1640041548092617E-2</v>
      </c>
      <c r="O76" s="113">
        <f t="shared" si="60"/>
        <v>-6.2176808188970312E-2</v>
      </c>
      <c r="P76" s="113">
        <f>((P50/O50)-1)</f>
        <v>-7.6386081237702519E-2</v>
      </c>
      <c r="Q76" s="113">
        <f>((Q50/P50)-1)</f>
        <v>-9.5235696082589527E-3</v>
      </c>
      <c r="R76" s="113">
        <f>((R50/Q50)-1)</f>
        <v>-4.4094375875176506E-2</v>
      </c>
      <c r="S76" s="113">
        <f>((S50/R50)-1)</f>
        <v>1.9965433278925637E-3</v>
      </c>
    </row>
    <row r="77" spans="1:20">
      <c r="A77" s="185" t="s">
        <v>269</v>
      </c>
      <c r="C77" s="417" t="s">
        <v>653</v>
      </c>
      <c r="D77" s="113">
        <f>((D52/C52)-1)</f>
        <v>0.33348646712554841</v>
      </c>
      <c r="E77" s="113">
        <f t="shared" ref="E77:O77" si="61">((E52/D52)-1)</f>
        <v>-0.23010446288326858</v>
      </c>
      <c r="F77" s="113">
        <f t="shared" si="61"/>
        <v>-0.53940841865756628</v>
      </c>
      <c r="G77" s="113">
        <f t="shared" si="61"/>
        <v>-1.131148215844161</v>
      </c>
      <c r="H77" s="113">
        <f t="shared" si="61"/>
        <v>-8.7330026994789005</v>
      </c>
      <c r="I77" s="113">
        <f t="shared" si="61"/>
        <v>0.44633419657571216</v>
      </c>
      <c r="J77" s="113">
        <f t="shared" si="61"/>
        <v>0.27701253943129411</v>
      </c>
      <c r="K77" s="113">
        <f t="shared" si="61"/>
        <v>0.27191771790250763</v>
      </c>
      <c r="L77" s="113">
        <f t="shared" si="61"/>
        <v>-0.26168211380428097</v>
      </c>
      <c r="M77" s="113">
        <f t="shared" si="61"/>
        <v>-0.17467353147671261</v>
      </c>
      <c r="N77" s="113">
        <f t="shared" si="61"/>
        <v>-4.18474346541442E-2</v>
      </c>
      <c r="O77" s="113">
        <f t="shared" si="61"/>
        <v>-7.3216061366573326E-3</v>
      </c>
      <c r="P77" s="113">
        <f>((P52/O52)-1)</f>
        <v>-0.13442447008317671</v>
      </c>
      <c r="Q77" s="113">
        <f>((Q52/P52)-1)</f>
        <v>0.32097918296690509</v>
      </c>
      <c r="R77" s="113">
        <f>((R52/Q52)-1)</f>
        <v>2.058490264757995E-2</v>
      </c>
      <c r="S77" s="113">
        <f>((S52/R52)-1)</f>
        <v>5.8870449730234364E-2</v>
      </c>
    </row>
    <row r="78" spans="1:20">
      <c r="A78" s="185" t="s">
        <v>507</v>
      </c>
      <c r="C78" s="417" t="s">
        <v>653</v>
      </c>
      <c r="D78" s="113">
        <f t="shared" ref="D78:O78" si="62">((D62/C62)-1)</f>
        <v>0.35434021560562057</v>
      </c>
      <c r="E78" s="113">
        <f t="shared" si="62"/>
        <v>-0.2503071093812177</v>
      </c>
      <c r="F78" s="113">
        <f t="shared" si="62"/>
        <v>-0.51161165528215879</v>
      </c>
      <c r="G78" s="113">
        <f t="shared" si="62"/>
        <v>-1.0407063499372824</v>
      </c>
      <c r="H78" s="113">
        <f t="shared" si="62"/>
        <v>-23.724196964718626</v>
      </c>
      <c r="I78" s="113">
        <f t="shared" si="62"/>
        <v>0.47927358787814045</v>
      </c>
      <c r="J78" s="113">
        <f t="shared" si="62"/>
        <v>0.29692029531972963</v>
      </c>
      <c r="K78" s="113">
        <f t="shared" si="62"/>
        <v>0.28625311347947524</v>
      </c>
      <c r="L78" s="113">
        <f t="shared" si="62"/>
        <v>-0.21884348502133744</v>
      </c>
      <c r="M78" s="113">
        <f t="shared" si="62"/>
        <v>-9.2527948789184244E-2</v>
      </c>
      <c r="N78" s="113">
        <f t="shared" si="62"/>
        <v>-1.6553379951093405E-2</v>
      </c>
      <c r="O78" s="113">
        <f t="shared" si="62"/>
        <v>9.0658721529503161E-2</v>
      </c>
      <c r="P78" s="113">
        <f>((P62/O62)-1)</f>
        <v>-2.9374694072808127E-2</v>
      </c>
      <c r="Q78" s="113">
        <f>((Q62/P62)-1)</f>
        <v>0.43220696176355466</v>
      </c>
      <c r="R78" s="113">
        <f>((R62/Q62)-1)</f>
        <v>8.4681729346772094E-2</v>
      </c>
      <c r="S78" s="113">
        <f>((S62/R62)-1)</f>
        <v>0.10076925481739263</v>
      </c>
    </row>
    <row r="79" spans="1:20" hidden="1" outlineLevel="1">
      <c r="A79" s="185" t="s">
        <v>418</v>
      </c>
      <c r="C79" s="417" t="s">
        <v>653</v>
      </c>
      <c r="D79" s="113">
        <f t="shared" ref="D79:O79" si="63">((D65/C65)-1)</f>
        <v>0.33655218655063068</v>
      </c>
      <c r="E79" s="113">
        <f t="shared" si="63"/>
        <v>-0.15818667025243416</v>
      </c>
      <c r="F79" s="113">
        <f t="shared" si="63"/>
        <v>-0.37626596957065384</v>
      </c>
      <c r="G79" s="113">
        <f t="shared" si="63"/>
        <v>-0.59791874947673262</v>
      </c>
      <c r="H79" s="113">
        <f t="shared" si="63"/>
        <v>1.6891588991095419</v>
      </c>
      <c r="I79" s="113">
        <f t="shared" si="63"/>
        <v>0.24012643987046145</v>
      </c>
      <c r="J79" s="113">
        <f t="shared" si="63"/>
        <v>0.20078891986293246</v>
      </c>
      <c r="K79" s="113">
        <f t="shared" si="63"/>
        <v>0.21687465590016375</v>
      </c>
      <c r="L79" s="113">
        <f t="shared" si="63"/>
        <v>-0.16562229008784823</v>
      </c>
      <c r="M79" s="113">
        <f t="shared" si="63"/>
        <v>-0.10047506725349564</v>
      </c>
      <c r="N79" s="113">
        <f t="shared" si="63"/>
        <v>-3.63295378432682E-2</v>
      </c>
      <c r="O79" s="113">
        <f t="shared" si="63"/>
        <v>-3.7483666490591094E-2</v>
      </c>
      <c r="P79" s="113">
        <f>((P65/O65)-1)</f>
        <v>-0.12812402966429082</v>
      </c>
      <c r="Q79" s="113">
        <f>((Q65/P65)-1)</f>
        <v>0.18339633920534038</v>
      </c>
      <c r="R79" s="113">
        <f>((R65/Q65)-1)</f>
        <v>2.0812428058039956E-2</v>
      </c>
      <c r="S79" s="113">
        <f>((S65/R65)-1)</f>
        <v>4.63528378675091E-2</v>
      </c>
    </row>
    <row r="80" spans="1:20" collapsed="1">
      <c r="A80" s="185" t="s">
        <v>213</v>
      </c>
      <c r="C80" s="417" t="s">
        <v>653</v>
      </c>
      <c r="D80" s="113">
        <f>D35-D36</f>
        <v>0.17352328936096018</v>
      </c>
      <c r="E80" s="113">
        <f t="shared" ref="E80:J80" si="64">E35-E36</f>
        <v>0.14727296513180158</v>
      </c>
      <c r="F80" s="113">
        <f t="shared" si="64"/>
        <v>0.12573081374125722</v>
      </c>
      <c r="G80" s="113">
        <f t="shared" si="64"/>
        <v>7.4046769956956887E-2</v>
      </c>
      <c r="H80" s="113">
        <f t="shared" si="64"/>
        <v>6.6255494804109E-3</v>
      </c>
      <c r="I80" s="113">
        <f t="shared" si="64"/>
        <v>2.8976702579048788E-2</v>
      </c>
      <c r="J80" s="113">
        <f t="shared" si="64"/>
        <v>7.0954565497663186E-2</v>
      </c>
      <c r="K80" s="113">
        <f t="shared" ref="K80:R80" si="65">K35-K36</f>
        <v>0.10326216517527567</v>
      </c>
      <c r="L80" s="113">
        <f t="shared" si="65"/>
        <v>2.0031858241238928E-2</v>
      </c>
      <c r="M80" s="113">
        <f t="shared" si="65"/>
        <v>1.6616158237490186E-3</v>
      </c>
      <c r="N80" s="113">
        <f t="shared" si="65"/>
        <v>8.5344245182281536E-3</v>
      </c>
      <c r="O80" s="113">
        <f t="shared" si="65"/>
        <v>-7.5898687667733111E-4</v>
      </c>
      <c r="P80" s="113">
        <f t="shared" si="65"/>
        <v>-1.3517268949810451E-3</v>
      </c>
      <c r="Q80" s="113">
        <f t="shared" si="65"/>
        <v>-2.1682671181587142E-2</v>
      </c>
      <c r="R80" s="113">
        <f t="shared" si="65"/>
        <v>-7.8799216578011675E-3</v>
      </c>
      <c r="S80" s="113">
        <f t="shared" ref="S80" si="66">S35-S36</f>
        <v>8.0831979510057519E-3</v>
      </c>
      <c r="T80" s="1125"/>
    </row>
    <row r="81" spans="1:20">
      <c r="A81" s="185" t="s">
        <v>214</v>
      </c>
      <c r="C81" s="417" t="s">
        <v>653</v>
      </c>
      <c r="D81" s="113">
        <f>D80</f>
        <v>0.17352328936096018</v>
      </c>
      <c r="E81" s="113">
        <f t="shared" ref="E81:L81" si="67">E80</f>
        <v>0.14727296513180158</v>
      </c>
      <c r="F81" s="113">
        <f t="shared" si="67"/>
        <v>0.12573081374125722</v>
      </c>
      <c r="G81" s="113">
        <f t="shared" si="67"/>
        <v>7.4046769956956887E-2</v>
      </c>
      <c r="H81" s="113">
        <f t="shared" si="67"/>
        <v>6.6255494804109E-3</v>
      </c>
      <c r="I81" s="113">
        <f t="shared" si="67"/>
        <v>2.8976702579048788E-2</v>
      </c>
      <c r="J81" s="113">
        <f t="shared" si="67"/>
        <v>7.0954565497663186E-2</v>
      </c>
      <c r="K81" s="113">
        <f t="shared" si="67"/>
        <v>0.10326216517527567</v>
      </c>
      <c r="L81" s="113">
        <f t="shared" si="67"/>
        <v>2.0031858241238928E-2</v>
      </c>
      <c r="M81" s="113">
        <f>M80</f>
        <v>1.6616158237490186E-3</v>
      </c>
      <c r="N81" s="113">
        <f>N80</f>
        <v>8.5344245182281536E-3</v>
      </c>
      <c r="O81" s="113">
        <f>O80</f>
        <v>-7.5898687667733111E-4</v>
      </c>
      <c r="P81" s="113">
        <f>P80</f>
        <v>-1.3517268949810451E-3</v>
      </c>
      <c r="Q81" s="207">
        <f>Q80+0.25%</f>
        <v>-1.9182671181587143E-2</v>
      </c>
      <c r="R81" s="207">
        <f>R80+0.25%</f>
        <v>-5.379921657801167E-3</v>
      </c>
      <c r="S81" s="207">
        <f>S80+0.25%</f>
        <v>1.0583197951005752E-2</v>
      </c>
      <c r="T81" s="1126"/>
    </row>
    <row r="82" spans="1:20">
      <c r="A82" s="415"/>
      <c r="B82" s="415"/>
      <c r="C82" s="415"/>
      <c r="D82" s="415"/>
      <c r="E82" s="415"/>
      <c r="F82" s="415"/>
      <c r="G82" s="415"/>
      <c r="H82" s="415"/>
      <c r="I82" s="415"/>
      <c r="J82" s="415"/>
      <c r="K82" s="415"/>
      <c r="L82" s="415"/>
      <c r="M82" s="415"/>
      <c r="N82" s="415"/>
      <c r="O82" s="415"/>
      <c r="P82" s="415"/>
      <c r="Q82" s="415"/>
      <c r="R82" s="415"/>
      <c r="S82" s="415"/>
    </row>
    <row r="83" spans="1:20">
      <c r="A83" s="406" t="s">
        <v>215</v>
      </c>
      <c r="C83" s="67" t="s">
        <v>247</v>
      </c>
      <c r="D83" s="67" t="s">
        <v>282</v>
      </c>
      <c r="E83" s="67" t="s">
        <v>333</v>
      </c>
      <c r="F83" s="67" t="s">
        <v>381</v>
      </c>
      <c r="G83" s="67" t="s">
        <v>285</v>
      </c>
      <c r="H83" s="67" t="s">
        <v>178</v>
      </c>
      <c r="I83" s="67" t="s">
        <v>332</v>
      </c>
      <c r="J83" s="67" t="s">
        <v>664</v>
      </c>
      <c r="K83" s="67" t="s">
        <v>632</v>
      </c>
      <c r="L83" s="67" t="str">
        <f>L3</f>
        <v>2013A</v>
      </c>
      <c r="M83" s="67" t="str">
        <f>M3</f>
        <v>2014A</v>
      </c>
      <c r="N83" s="67" t="str">
        <f>N3</f>
        <v>2015A</v>
      </c>
      <c r="O83" s="67" t="str">
        <f>O3</f>
        <v>2016A</v>
      </c>
      <c r="P83" s="67" t="s">
        <v>207</v>
      </c>
      <c r="Q83" s="67" t="s">
        <v>586</v>
      </c>
      <c r="R83" s="67" t="s">
        <v>712</v>
      </c>
      <c r="S83" s="67" t="str">
        <f>S42</f>
        <v>2020E</v>
      </c>
    </row>
    <row r="84" spans="1:20">
      <c r="A84" s="30" t="s">
        <v>250</v>
      </c>
      <c r="C84" s="116" t="s">
        <v>595</v>
      </c>
      <c r="D84" s="116" t="s">
        <v>595</v>
      </c>
      <c r="E84" s="116" t="s">
        <v>595</v>
      </c>
      <c r="F84" s="116" t="s">
        <v>595</v>
      </c>
      <c r="G84" s="116" t="s">
        <v>595</v>
      </c>
      <c r="H84" s="116" t="s">
        <v>595</v>
      </c>
      <c r="I84" s="116" t="s">
        <v>595</v>
      </c>
      <c r="J84" s="116" t="s">
        <v>595</v>
      </c>
      <c r="K84" s="116" t="s">
        <v>595</v>
      </c>
      <c r="L84" s="116" t="s">
        <v>595</v>
      </c>
      <c r="M84" s="116" t="s">
        <v>595</v>
      </c>
      <c r="N84" s="116" t="s">
        <v>595</v>
      </c>
      <c r="O84" s="116" t="s">
        <v>595</v>
      </c>
      <c r="P84" s="116" t="s">
        <v>595</v>
      </c>
      <c r="Q84" s="116" t="s">
        <v>595</v>
      </c>
      <c r="R84" s="116" t="s">
        <v>595</v>
      </c>
      <c r="S84" s="116" t="s">
        <v>595</v>
      </c>
    </row>
    <row r="85" spans="1:20">
      <c r="A85" s="185"/>
    </row>
    <row r="86" spans="1:20">
      <c r="A86" s="185" t="s">
        <v>412</v>
      </c>
      <c r="C86" s="416">
        <f>C6</f>
        <v>1066.8820000000001</v>
      </c>
      <c r="D86" s="416">
        <f t="shared" ref="D86:J86" si="68">D6</f>
        <v>1404.575</v>
      </c>
      <c r="E86" s="416">
        <f t="shared" si="68"/>
        <v>1640.9270000000001</v>
      </c>
      <c r="F86" s="416">
        <f t="shared" si="68"/>
        <v>1714.327</v>
      </c>
      <c r="G86" s="416">
        <f t="shared" si="68"/>
        <v>1582.404</v>
      </c>
      <c r="H86" s="416">
        <f t="shared" si="68"/>
        <v>1713.1510000000001</v>
      </c>
      <c r="I86" s="416">
        <f t="shared" si="68"/>
        <v>1904.9839999999999</v>
      </c>
      <c r="J86" s="416">
        <f t="shared" si="68"/>
        <v>2196.36</v>
      </c>
      <c r="K86" s="416">
        <f t="shared" ref="K86:P86" si="69">K6</f>
        <v>2581.0569999999998</v>
      </c>
      <c r="L86" s="416">
        <f t="shared" si="69"/>
        <v>2586.0369999999998</v>
      </c>
      <c r="M86" s="416">
        <f t="shared" si="69"/>
        <v>2590.3340000000003</v>
      </c>
      <c r="N86" s="416">
        <f t="shared" si="69"/>
        <v>2573.5860000000002</v>
      </c>
      <c r="O86" s="416">
        <f t="shared" si="69"/>
        <v>2476.41</v>
      </c>
      <c r="P86" s="416">
        <f t="shared" si="69"/>
        <v>2282.3789999999999</v>
      </c>
      <c r="Q86" s="416">
        <f>(P86*(1+Q115))</f>
        <v>2105.3195108056843</v>
      </c>
      <c r="R86" s="416">
        <f>(Q86*(1+R115))</f>
        <v>1993.9903800096395</v>
      </c>
      <c r="S86" s="416">
        <f>(R86*(1+S115))</f>
        <v>1920.3786318632247</v>
      </c>
    </row>
    <row r="87" spans="1:20" hidden="1" outlineLevel="1">
      <c r="A87" s="185"/>
      <c r="C87" s="140"/>
      <c r="D87" s="140"/>
      <c r="E87" s="140"/>
      <c r="F87" s="140"/>
      <c r="G87" s="140"/>
      <c r="H87" s="140"/>
      <c r="I87" s="140"/>
      <c r="J87" s="140"/>
      <c r="K87" s="140"/>
      <c r="L87" s="140"/>
      <c r="M87" s="140"/>
      <c r="N87" s="140"/>
      <c r="O87" s="140"/>
      <c r="P87" s="140"/>
    </row>
    <row r="88" spans="1:20" hidden="1" outlineLevel="1">
      <c r="A88" s="185" t="s">
        <v>251</v>
      </c>
      <c r="C88" s="416">
        <f>C8</f>
        <v>411.90899999999999</v>
      </c>
      <c r="D88" s="416">
        <f t="shared" ref="D88:J88" si="70">D8</f>
        <v>547.53200000000004</v>
      </c>
      <c r="E88" s="416">
        <f t="shared" si="70"/>
        <v>673.74199999999996</v>
      </c>
      <c r="F88" s="416">
        <f t="shared" si="70"/>
        <v>745.2650000000001</v>
      </c>
      <c r="G88" s="416">
        <f t="shared" si="70"/>
        <v>762.91200000000003</v>
      </c>
      <c r="H88" s="416">
        <f t="shared" si="70"/>
        <v>753.41100000000006</v>
      </c>
      <c r="I88" s="416">
        <f t="shared" si="70"/>
        <v>836.37800000000004</v>
      </c>
      <c r="J88" s="416">
        <f t="shared" si="70"/>
        <v>969.98900000000003</v>
      </c>
      <c r="K88" s="416">
        <f t="shared" ref="K88:P88" si="71">K8</f>
        <v>1129.2570000000001</v>
      </c>
      <c r="L88" s="416">
        <f t="shared" si="71"/>
        <v>1169.4059999999999</v>
      </c>
      <c r="M88" s="416">
        <f t="shared" si="71"/>
        <v>1592.7860000000001</v>
      </c>
      <c r="N88" s="416">
        <f t="shared" si="71"/>
        <v>1573.8579999999999</v>
      </c>
      <c r="O88" s="416">
        <f t="shared" si="71"/>
        <v>1529.5740000000001</v>
      </c>
      <c r="P88" s="416">
        <f t="shared" si="71"/>
        <v>1417.6020000000001</v>
      </c>
      <c r="Q88" s="416">
        <f>Q86-Q90</f>
        <v>1300.9678462015745</v>
      </c>
      <c r="R88" s="416">
        <f>R86-R90</f>
        <v>1260.4013192040929</v>
      </c>
      <c r="S88" s="416">
        <f>S86-S90</f>
        <v>1210.7987273897634</v>
      </c>
    </row>
    <row r="89" spans="1:20" hidden="1" outlineLevel="1">
      <c r="A89" s="185"/>
      <c r="C89" s="140"/>
      <c r="D89" s="140"/>
      <c r="E89" s="140"/>
      <c r="F89" s="140"/>
      <c r="G89" s="140"/>
      <c r="H89" s="140"/>
      <c r="I89" s="140"/>
      <c r="J89" s="140"/>
      <c r="K89" s="140"/>
      <c r="L89" s="140"/>
      <c r="M89" s="140"/>
      <c r="N89" s="140"/>
      <c r="O89" s="140"/>
      <c r="P89" s="140"/>
    </row>
    <row r="90" spans="1:20" collapsed="1">
      <c r="A90" s="185" t="s">
        <v>252</v>
      </c>
      <c r="C90" s="416">
        <f>C86-C88</f>
        <v>654.97300000000007</v>
      </c>
      <c r="D90" s="416">
        <f t="shared" ref="D90:J90" si="72">D86-D88</f>
        <v>857.04300000000001</v>
      </c>
      <c r="E90" s="416">
        <f t="shared" si="72"/>
        <v>967.18500000000017</v>
      </c>
      <c r="F90" s="416">
        <f t="shared" si="72"/>
        <v>969.0619999999999</v>
      </c>
      <c r="G90" s="416">
        <f t="shared" si="72"/>
        <v>819.49199999999996</v>
      </c>
      <c r="H90" s="416">
        <f t="shared" si="72"/>
        <v>959.74</v>
      </c>
      <c r="I90" s="416">
        <f t="shared" si="72"/>
        <v>1068.6059999999998</v>
      </c>
      <c r="J90" s="416">
        <f t="shared" si="72"/>
        <v>1226.3710000000001</v>
      </c>
      <c r="K90" s="416">
        <f t="shared" ref="K90:P90" si="73">K86-K88</f>
        <v>1451.7999999999997</v>
      </c>
      <c r="L90" s="416">
        <f t="shared" si="73"/>
        <v>1416.6309999999999</v>
      </c>
      <c r="M90" s="416">
        <f t="shared" si="73"/>
        <v>997.54800000000023</v>
      </c>
      <c r="N90" s="416">
        <f t="shared" si="73"/>
        <v>999.72800000000029</v>
      </c>
      <c r="O90" s="416">
        <f t="shared" si="73"/>
        <v>946.83599999999979</v>
      </c>
      <c r="P90" s="416">
        <f t="shared" si="73"/>
        <v>864.77699999999982</v>
      </c>
      <c r="Q90" s="416">
        <f>Q86*Q109</f>
        <v>804.35166460410971</v>
      </c>
      <c r="R90" s="416">
        <f>R86*R109</f>
        <v>733.58906080554641</v>
      </c>
      <c r="S90" s="416">
        <f>S86*S109</f>
        <v>709.5799044734614</v>
      </c>
      <c r="T90" s="416"/>
    </row>
    <row r="91" spans="1:20">
      <c r="A91" s="185" t="s">
        <v>253</v>
      </c>
      <c r="C91" s="140">
        <f>C11</f>
        <v>398.11699999999996</v>
      </c>
      <c r="D91" s="140">
        <f t="shared" ref="D91:J91" si="74">D11</f>
        <v>514.529</v>
      </c>
      <c r="E91" s="140">
        <f t="shared" si="74"/>
        <v>703.48500000000001</v>
      </c>
      <c r="F91" s="140">
        <f t="shared" si="74"/>
        <v>847.60400000000004</v>
      </c>
      <c r="G91" s="140">
        <f t="shared" si="74"/>
        <v>835.42100000000005</v>
      </c>
      <c r="H91" s="140">
        <f t="shared" si="74"/>
        <v>836.56099999999992</v>
      </c>
      <c r="I91" s="140">
        <f t="shared" si="74"/>
        <v>890.44799999999998</v>
      </c>
      <c r="J91" s="140">
        <f t="shared" si="74"/>
        <v>998.86099999999988</v>
      </c>
      <c r="K91" s="140">
        <f t="shared" ref="K91:M92" si="75">K11</f>
        <v>1162.4259999999999</v>
      </c>
      <c r="L91" s="140">
        <f t="shared" si="75"/>
        <v>1202.981</v>
      </c>
      <c r="M91" s="140">
        <f t="shared" si="75"/>
        <v>821.21699999999998</v>
      </c>
      <c r="N91" s="140">
        <f t="shared" ref="N91:P92" si="76">N11</f>
        <v>830.77599999999995</v>
      </c>
      <c r="O91" s="140">
        <f t="shared" si="76"/>
        <v>779.12099999999998</v>
      </c>
      <c r="P91" s="140">
        <f t="shared" si="76"/>
        <v>719.60699999999997</v>
      </c>
      <c r="Q91" s="140">
        <f>Q86*Q110</f>
        <v>739.79472516610019</v>
      </c>
      <c r="R91" s="140">
        <f>R86*R110</f>
        <v>681.94470996329665</v>
      </c>
      <c r="S91" s="140">
        <f>S86*S110</f>
        <v>651.77650765437852</v>
      </c>
      <c r="T91" s="1127"/>
    </row>
    <row r="92" spans="1:20" hidden="1" outlineLevel="1">
      <c r="A92" s="185" t="s">
        <v>234</v>
      </c>
      <c r="C92" s="140">
        <f>C12</f>
        <v>32.481000000000002</v>
      </c>
      <c r="D92" s="140">
        <f t="shared" ref="D92:J92" si="77">D12</f>
        <v>44.199999999999996</v>
      </c>
      <c r="E92" s="140">
        <f t="shared" si="77"/>
        <v>61.841000000000008</v>
      </c>
      <c r="F92" s="140">
        <f t="shared" si="77"/>
        <v>81.593000000000004</v>
      </c>
      <c r="G92" s="140">
        <f t="shared" si="77"/>
        <v>97.572000000000003</v>
      </c>
      <c r="H92" s="140">
        <f t="shared" si="77"/>
        <v>96.372</v>
      </c>
      <c r="I92" s="140">
        <f t="shared" si="77"/>
        <v>94.113</v>
      </c>
      <c r="J92" s="140">
        <f t="shared" si="77"/>
        <v>99.43</v>
      </c>
      <c r="K92" s="140">
        <f t="shared" si="75"/>
        <v>108.471</v>
      </c>
      <c r="L92" s="140">
        <f t="shared" si="75"/>
        <v>118.303</v>
      </c>
      <c r="M92" s="140">
        <f t="shared" si="75"/>
        <v>122.26900000000001</v>
      </c>
      <c r="N92" s="140">
        <f t="shared" si="76"/>
        <v>118.8</v>
      </c>
      <c r="O92" s="140">
        <f t="shared" si="76"/>
        <v>109.251</v>
      </c>
      <c r="P92" s="140">
        <f t="shared" si="76"/>
        <v>96.31</v>
      </c>
      <c r="Q92" s="140">
        <f>Q12</f>
        <v>94</v>
      </c>
      <c r="R92" s="140">
        <f>R12</f>
        <v>96</v>
      </c>
      <c r="S92" s="140">
        <f>S12</f>
        <v>98</v>
      </c>
    </row>
    <row r="93" spans="1:20" collapsed="1">
      <c r="A93" s="186" t="s">
        <v>269</v>
      </c>
      <c r="C93" s="416">
        <f>C90-C91</f>
        <v>256.85600000000011</v>
      </c>
      <c r="D93" s="416">
        <f t="shared" ref="D93:J93" si="78">D90-D91</f>
        <v>342.51400000000001</v>
      </c>
      <c r="E93" s="416">
        <f t="shared" si="78"/>
        <v>263.70000000000016</v>
      </c>
      <c r="F93" s="416">
        <f t="shared" si="78"/>
        <v>121.45799999999986</v>
      </c>
      <c r="G93" s="416">
        <f t="shared" si="78"/>
        <v>-15.929000000000087</v>
      </c>
      <c r="H93" s="416">
        <f t="shared" si="78"/>
        <v>123.17900000000009</v>
      </c>
      <c r="I93" s="416">
        <f t="shared" si="78"/>
        <v>178.15799999999979</v>
      </c>
      <c r="J93" s="416">
        <f t="shared" si="78"/>
        <v>227.51000000000022</v>
      </c>
      <c r="K93" s="416">
        <f t="shared" ref="K93:S93" si="79">K90-K91</f>
        <v>289.3739999999998</v>
      </c>
      <c r="L93" s="416">
        <f t="shared" si="79"/>
        <v>213.64999999999986</v>
      </c>
      <c r="M93" s="416">
        <f t="shared" si="79"/>
        <v>176.33100000000024</v>
      </c>
      <c r="N93" s="416">
        <f t="shared" si="79"/>
        <v>168.95200000000034</v>
      </c>
      <c r="O93" s="416">
        <f t="shared" si="79"/>
        <v>167.7149999999998</v>
      </c>
      <c r="P93" s="416">
        <f t="shared" si="79"/>
        <v>145.16999999999985</v>
      </c>
      <c r="Q93" s="416">
        <f t="shared" si="79"/>
        <v>64.556939438009522</v>
      </c>
      <c r="R93" s="416">
        <f t="shared" si="79"/>
        <v>51.644350842249764</v>
      </c>
      <c r="S93" s="416">
        <f t="shared" si="79"/>
        <v>57.803396819082877</v>
      </c>
      <c r="T93" s="1128"/>
    </row>
    <row r="94" spans="1:20" hidden="1" outlineLevel="1">
      <c r="A94" s="185"/>
      <c r="C94" s="140"/>
      <c r="D94" s="140"/>
      <c r="E94" s="140"/>
      <c r="F94" s="140"/>
      <c r="G94" s="140"/>
      <c r="H94" s="140"/>
      <c r="I94" s="140"/>
      <c r="J94" s="140"/>
      <c r="K94" s="140"/>
      <c r="L94" s="140"/>
      <c r="M94" s="140"/>
      <c r="N94" s="140"/>
      <c r="O94" s="140"/>
      <c r="P94" s="140"/>
    </row>
    <row r="95" spans="1:20" hidden="1" outlineLevel="1">
      <c r="A95" s="185" t="s">
        <v>208</v>
      </c>
      <c r="C95" s="140">
        <f>C15</f>
        <v>2.3279999999999998</v>
      </c>
      <c r="D95" s="140">
        <f t="shared" ref="D95:J95" si="80">D15</f>
        <v>8.2349999999999994</v>
      </c>
      <c r="E95" s="140">
        <f t="shared" si="80"/>
        <v>10.626000000000001</v>
      </c>
      <c r="F95" s="140">
        <f t="shared" si="80"/>
        <v>10.868</v>
      </c>
      <c r="G95" s="140">
        <f t="shared" si="80"/>
        <v>7.7560000000000002</v>
      </c>
      <c r="H95" s="140">
        <f t="shared" si="80"/>
        <v>1.6940000000000002</v>
      </c>
      <c r="I95" s="140">
        <f t="shared" si="80"/>
        <v>1.712</v>
      </c>
      <c r="J95" s="140">
        <f t="shared" si="80"/>
        <v>1.5970000000000004</v>
      </c>
      <c r="K95" s="140">
        <f t="shared" ref="K95:S95" si="81">K15</f>
        <v>0.88100000000000001</v>
      </c>
      <c r="L95" s="140">
        <f t="shared" si="81"/>
        <v>0.499</v>
      </c>
      <c r="M95" s="140">
        <f t="shared" si="81"/>
        <v>9.8000000000000004E-2</v>
      </c>
      <c r="N95" s="140">
        <f t="shared" si="81"/>
        <v>-1.87</v>
      </c>
      <c r="O95" s="140">
        <f t="shared" si="81"/>
        <v>-1.9729999999999999</v>
      </c>
      <c r="P95" s="140">
        <f t="shared" si="81"/>
        <v>-1.57</v>
      </c>
      <c r="Q95" s="140">
        <f t="shared" si="81"/>
        <v>-1.1359999999999999</v>
      </c>
      <c r="R95" s="140">
        <f t="shared" si="81"/>
        <v>-1.1359999999999999</v>
      </c>
      <c r="S95" s="140">
        <f t="shared" si="81"/>
        <v>-1.1359999999999999</v>
      </c>
    </row>
    <row r="96" spans="1:20" hidden="1" outlineLevel="1">
      <c r="A96" s="186" t="s">
        <v>419</v>
      </c>
      <c r="C96" s="416">
        <f>C93+C95</f>
        <v>259.18400000000008</v>
      </c>
      <c r="D96" s="416">
        <f t="shared" ref="D96:Q96" si="82">D93+D95</f>
        <v>350.74900000000002</v>
      </c>
      <c r="E96" s="416">
        <f t="shared" si="82"/>
        <v>274.32600000000014</v>
      </c>
      <c r="F96" s="416">
        <f t="shared" si="82"/>
        <v>132.32599999999985</v>
      </c>
      <c r="G96" s="416">
        <f t="shared" si="82"/>
        <v>-8.1730000000000871</v>
      </c>
      <c r="H96" s="416">
        <f t="shared" si="82"/>
        <v>124.87300000000009</v>
      </c>
      <c r="I96" s="416">
        <f t="shared" si="82"/>
        <v>179.86999999999978</v>
      </c>
      <c r="J96" s="416">
        <f t="shared" si="82"/>
        <v>229.10700000000023</v>
      </c>
      <c r="K96" s="416">
        <f t="shared" si="82"/>
        <v>290.25499999999977</v>
      </c>
      <c r="L96" s="416">
        <f t="shared" si="82"/>
        <v>214.14899999999986</v>
      </c>
      <c r="M96" s="416">
        <f>M93+M95</f>
        <v>176.42900000000026</v>
      </c>
      <c r="N96" s="416">
        <f>N93+N95</f>
        <v>167.08200000000033</v>
      </c>
      <c r="O96" s="416">
        <f>O93+O95</f>
        <v>165.74199999999979</v>
      </c>
      <c r="P96" s="416">
        <f>P93+P95</f>
        <v>143.59999999999985</v>
      </c>
      <c r="Q96" s="416">
        <f t="shared" si="82"/>
        <v>63.420939438009519</v>
      </c>
      <c r="R96" s="416">
        <f>R93+R95</f>
        <v>50.508350842249762</v>
      </c>
      <c r="S96" s="416">
        <f>S93+S95</f>
        <v>56.667396819082875</v>
      </c>
    </row>
    <row r="97" spans="1:22" hidden="1" outlineLevel="1">
      <c r="A97" s="185"/>
      <c r="C97" s="140"/>
      <c r="D97" s="140"/>
      <c r="E97" s="140"/>
      <c r="F97" s="140"/>
      <c r="G97" s="140"/>
      <c r="H97" s="140"/>
      <c r="I97" s="140"/>
      <c r="J97" s="140"/>
      <c r="K97" s="140"/>
      <c r="L97" s="140"/>
      <c r="M97" s="140"/>
      <c r="N97" s="140"/>
      <c r="O97" s="140"/>
      <c r="P97" s="140"/>
    </row>
    <row r="98" spans="1:22" collapsed="1">
      <c r="A98" s="185" t="s">
        <v>256</v>
      </c>
      <c r="C98" s="140">
        <f>C18</f>
        <v>85.496999999999986</v>
      </c>
      <c r="D98" s="140">
        <f t="shared" ref="D98:J98" si="83">D18</f>
        <v>112.56800000000001</v>
      </c>
      <c r="E98" s="140">
        <f t="shared" si="83"/>
        <v>99.635999999999996</v>
      </c>
      <c r="F98" s="140">
        <f t="shared" si="83"/>
        <v>48.012</v>
      </c>
      <c r="G98" s="140">
        <f t="shared" si="83"/>
        <v>-4.7360000000000015</v>
      </c>
      <c r="H98" s="140">
        <f t="shared" si="83"/>
        <v>45.774000000000001</v>
      </c>
      <c r="I98" s="140">
        <f t="shared" si="83"/>
        <v>63.400000000000006</v>
      </c>
      <c r="J98" s="140">
        <f t="shared" si="83"/>
        <v>84.659000000000006</v>
      </c>
      <c r="K98" s="140">
        <f t="shared" ref="K98:P98" si="84">K18</f>
        <v>108.82424</v>
      </c>
      <c r="L98" s="140">
        <f t="shared" si="84"/>
        <v>77.8</v>
      </c>
      <c r="M98" s="140">
        <f t="shared" si="84"/>
        <v>60.290000000000006</v>
      </c>
      <c r="N98" s="140">
        <f t="shared" si="84"/>
        <v>61.527249999999981</v>
      </c>
      <c r="O98" s="140">
        <f t="shared" si="84"/>
        <v>58.503999999999998</v>
      </c>
      <c r="P98" s="140">
        <f t="shared" si="84"/>
        <v>42.599999999999994</v>
      </c>
      <c r="Q98" s="140">
        <f>Q96*Q112</f>
        <v>17.123653648262597</v>
      </c>
      <c r="R98" s="140">
        <f>R96*R112</f>
        <v>13.637254727407456</v>
      </c>
      <c r="S98" s="140">
        <f>S96*S112</f>
        <v>15.300197141152399</v>
      </c>
      <c r="T98" s="27"/>
      <c r="U98" s="27"/>
      <c r="V98" s="27"/>
    </row>
    <row r="99" spans="1:22" hidden="1" outlineLevel="1">
      <c r="A99" s="185"/>
      <c r="C99" s="140"/>
      <c r="D99" s="140"/>
      <c r="E99" s="140"/>
      <c r="F99" s="140"/>
      <c r="G99" s="140"/>
      <c r="H99" s="140"/>
      <c r="I99" s="140"/>
      <c r="J99" s="140"/>
      <c r="K99" s="140"/>
      <c r="L99" s="140"/>
      <c r="M99" s="140"/>
      <c r="N99" s="140"/>
      <c r="O99" s="140"/>
      <c r="P99" s="140"/>
      <c r="T99" s="27"/>
      <c r="U99" s="27"/>
    </row>
    <row r="100" spans="1:22" hidden="1" outlineLevel="1">
      <c r="A100" s="185"/>
      <c r="C100" s="140"/>
      <c r="D100" s="140"/>
      <c r="E100" s="140"/>
      <c r="F100" s="140"/>
      <c r="G100" s="140"/>
      <c r="H100" s="140"/>
      <c r="I100" s="140"/>
      <c r="J100" s="140"/>
      <c r="K100" s="140"/>
      <c r="L100" s="140"/>
      <c r="M100" s="140"/>
      <c r="N100" s="140"/>
      <c r="O100" s="140"/>
      <c r="P100" s="140"/>
      <c r="T100" s="27"/>
      <c r="U100" s="27"/>
    </row>
    <row r="101" spans="1:22" hidden="1" outlineLevel="1">
      <c r="A101" s="185" t="s">
        <v>209</v>
      </c>
      <c r="C101" s="416">
        <f>C96-C98</f>
        <v>173.6870000000001</v>
      </c>
      <c r="D101" s="416">
        <f t="shared" ref="D101:J101" si="85">D96-D98</f>
        <v>238.18100000000001</v>
      </c>
      <c r="E101" s="416">
        <f t="shared" si="85"/>
        <v>174.69000000000014</v>
      </c>
      <c r="F101" s="416">
        <f t="shared" si="85"/>
        <v>84.313999999999851</v>
      </c>
      <c r="G101" s="416">
        <f t="shared" si="85"/>
        <v>-3.4370000000000855</v>
      </c>
      <c r="H101" s="416">
        <f t="shared" si="85"/>
        <v>79.099000000000089</v>
      </c>
      <c r="I101" s="416">
        <f t="shared" si="85"/>
        <v>116.46999999999977</v>
      </c>
      <c r="J101" s="416">
        <f t="shared" si="85"/>
        <v>144.44800000000021</v>
      </c>
      <c r="K101" s="416">
        <f t="shared" ref="K101:S101" si="86">K96-K98</f>
        <v>181.43075999999976</v>
      </c>
      <c r="L101" s="416">
        <f t="shared" si="86"/>
        <v>136.34899999999988</v>
      </c>
      <c r="M101" s="416">
        <f t="shared" si="86"/>
        <v>116.13900000000025</v>
      </c>
      <c r="N101" s="416">
        <f t="shared" si="86"/>
        <v>105.55475000000035</v>
      </c>
      <c r="O101" s="416">
        <f t="shared" si="86"/>
        <v>107.2379999999998</v>
      </c>
      <c r="P101" s="416">
        <f t="shared" si="86"/>
        <v>100.99999999999986</v>
      </c>
      <c r="Q101" s="416">
        <f t="shared" si="86"/>
        <v>46.297285789746923</v>
      </c>
      <c r="R101" s="416">
        <f t="shared" si="86"/>
        <v>36.871096114842302</v>
      </c>
      <c r="S101" s="416">
        <f t="shared" si="86"/>
        <v>41.367199677930472</v>
      </c>
      <c r="T101" s="27"/>
      <c r="U101" s="27"/>
    </row>
    <row r="102" spans="1:22" hidden="1" outlineLevel="1">
      <c r="A102" s="185"/>
      <c r="P102" s="1645"/>
      <c r="T102" s="27"/>
      <c r="U102" s="27"/>
    </row>
    <row r="103" spans="1:22" collapsed="1">
      <c r="A103" s="411" t="s">
        <v>514</v>
      </c>
      <c r="B103" s="411"/>
      <c r="C103" s="412">
        <f t="shared" ref="C103:J103" si="87">C101/C104</f>
        <v>0.9641296926433125</v>
      </c>
      <c r="D103" s="412">
        <f t="shared" si="87"/>
        <v>1.3057596158063245</v>
      </c>
      <c r="E103" s="412">
        <f t="shared" si="87"/>
        <v>0.97891870082711396</v>
      </c>
      <c r="F103" s="412">
        <f t="shared" si="87"/>
        <v>0.47809248391029374</v>
      </c>
      <c r="G103" s="412">
        <f t="shared" si="87"/>
        <v>-1.9461399952436981E-2</v>
      </c>
      <c r="H103" s="412">
        <f t="shared" si="87"/>
        <v>0.44224468572834363</v>
      </c>
      <c r="I103" s="412">
        <f t="shared" si="87"/>
        <v>0.65420088297740753</v>
      </c>
      <c r="J103" s="412">
        <f t="shared" si="87"/>
        <v>0.84844640234948732</v>
      </c>
      <c r="K103" s="412">
        <f t="shared" ref="K103:S103" si="88">K101/K104</f>
        <v>1.0913168266424875</v>
      </c>
      <c r="L103" s="412">
        <f t="shared" si="88"/>
        <v>0.8524892490376188</v>
      </c>
      <c r="M103" s="412">
        <f t="shared" si="88"/>
        <v>0.77361016745933586</v>
      </c>
      <c r="N103" s="412">
        <f t="shared" si="88"/>
        <v>0.76080430442335245</v>
      </c>
      <c r="O103" s="412">
        <f t="shared" si="88"/>
        <v>0.82977784999651649</v>
      </c>
      <c r="P103" s="412">
        <f t="shared" si="88"/>
        <v>0.80540337950447638</v>
      </c>
      <c r="Q103" s="412">
        <f t="shared" si="88"/>
        <v>0.38375973234502486</v>
      </c>
      <c r="R103" s="412">
        <f t="shared" si="88"/>
        <v>0.32478121989931363</v>
      </c>
      <c r="S103" s="412">
        <f t="shared" si="88"/>
        <v>0.37868098592915422</v>
      </c>
      <c r="T103" s="439"/>
      <c r="U103" s="141"/>
      <c r="V103" s="438"/>
    </row>
    <row r="104" spans="1:22">
      <c r="A104" s="185" t="s">
        <v>210</v>
      </c>
      <c r="C104" s="140">
        <f>C63</f>
        <v>180.149</v>
      </c>
      <c r="D104" s="140">
        <f t="shared" ref="D104:J104" si="89">D63</f>
        <v>182.40799999999999</v>
      </c>
      <c r="E104" s="140">
        <f t="shared" si="89"/>
        <v>178.452</v>
      </c>
      <c r="F104" s="140">
        <f t="shared" si="89"/>
        <v>176.35499999999999</v>
      </c>
      <c r="G104" s="140">
        <f t="shared" si="89"/>
        <v>176.60599999999999</v>
      </c>
      <c r="H104" s="140">
        <f t="shared" si="89"/>
        <v>178.858</v>
      </c>
      <c r="I104" s="140">
        <f t="shared" si="89"/>
        <v>178.03399999999999</v>
      </c>
      <c r="J104" s="140">
        <f t="shared" si="89"/>
        <v>170.25</v>
      </c>
      <c r="K104" s="140">
        <f t="shared" ref="K104:S104" si="90">K63</f>
        <v>166.249393</v>
      </c>
      <c r="L104" s="140">
        <f t="shared" si="90"/>
        <v>159.94219299999997</v>
      </c>
      <c r="M104" s="140">
        <f t="shared" si="90"/>
        <v>150.126</v>
      </c>
      <c r="N104" s="140">
        <f t="shared" si="90"/>
        <v>138.74100000000001</v>
      </c>
      <c r="O104" s="140">
        <f t="shared" si="90"/>
        <v>129.23699999999999</v>
      </c>
      <c r="P104" s="140">
        <f t="shared" si="90"/>
        <v>125.40300000000001</v>
      </c>
      <c r="Q104" s="140">
        <f t="shared" si="90"/>
        <v>120.64133333333332</v>
      </c>
      <c r="R104" s="140">
        <f t="shared" si="90"/>
        <v>113.52594871794871</v>
      </c>
      <c r="S104" s="140">
        <f t="shared" si="90"/>
        <v>109.24023443223442</v>
      </c>
    </row>
    <row r="105" spans="1:22" outlineLevel="1">
      <c r="A105" s="185"/>
      <c r="P105" s="1645"/>
    </row>
    <row r="106" spans="1:22" outlineLevel="1">
      <c r="A106" s="185" t="s">
        <v>418</v>
      </c>
      <c r="C106" s="416">
        <f>C92+C93</f>
        <v>289.3370000000001</v>
      </c>
      <c r="D106" s="416">
        <f t="shared" ref="D106:J106" si="91">D92+D93</f>
        <v>386.714</v>
      </c>
      <c r="E106" s="416">
        <f t="shared" si="91"/>
        <v>325.54100000000017</v>
      </c>
      <c r="F106" s="416">
        <f t="shared" si="91"/>
        <v>203.05099999999987</v>
      </c>
      <c r="G106" s="416">
        <f t="shared" si="91"/>
        <v>81.642999999999915</v>
      </c>
      <c r="H106" s="416">
        <f t="shared" si="91"/>
        <v>219.5510000000001</v>
      </c>
      <c r="I106" s="416">
        <f t="shared" si="91"/>
        <v>272.27099999999979</v>
      </c>
      <c r="J106" s="416">
        <f t="shared" si="91"/>
        <v>326.94000000000023</v>
      </c>
      <c r="K106" s="416">
        <f t="shared" ref="K106:S106" si="92">K92+K93</f>
        <v>397.8449999999998</v>
      </c>
      <c r="L106" s="416">
        <f t="shared" si="92"/>
        <v>331.95299999999986</v>
      </c>
      <c r="M106" s="416">
        <f t="shared" si="92"/>
        <v>298.60000000000025</v>
      </c>
      <c r="N106" s="416">
        <f t="shared" si="92"/>
        <v>287.75200000000035</v>
      </c>
      <c r="O106" s="416">
        <f t="shared" si="92"/>
        <v>276.96599999999978</v>
      </c>
      <c r="P106" s="416">
        <f t="shared" si="92"/>
        <v>241.47999999999985</v>
      </c>
      <c r="Q106" s="416">
        <f t="shared" si="92"/>
        <v>158.55693943800952</v>
      </c>
      <c r="R106" s="416">
        <f t="shared" si="92"/>
        <v>147.64435084224976</v>
      </c>
      <c r="S106" s="416">
        <f t="shared" si="92"/>
        <v>155.80339681908288</v>
      </c>
    </row>
    <row r="107" spans="1:22">
      <c r="A107" s="185"/>
    </row>
    <row r="108" spans="1:22">
      <c r="A108" s="30" t="s">
        <v>261</v>
      </c>
    </row>
    <row r="109" spans="1:22">
      <c r="A109" s="185" t="s">
        <v>420</v>
      </c>
      <c r="C109" s="113">
        <f>C90/C86</f>
        <v>0.61391325376189687</v>
      </c>
      <c r="D109" s="113">
        <f t="shared" ref="D109:J109" si="93">D90/D86</f>
        <v>0.61017959169143687</v>
      </c>
      <c r="E109" s="113">
        <f t="shared" si="93"/>
        <v>0.58941378866945338</v>
      </c>
      <c r="F109" s="113">
        <f t="shared" si="93"/>
        <v>0.56527255301934809</v>
      </c>
      <c r="G109" s="113">
        <f t="shared" si="93"/>
        <v>0.5178778617849803</v>
      </c>
      <c r="H109" s="113">
        <f t="shared" si="93"/>
        <v>0.56021915172684722</v>
      </c>
      <c r="I109" s="113">
        <f t="shared" si="93"/>
        <v>0.5609527429101766</v>
      </c>
      <c r="J109" s="113">
        <f t="shared" si="93"/>
        <v>0.55836520424702696</v>
      </c>
      <c r="K109" s="113">
        <f t="shared" ref="K109:P109" si="94">K90/K86</f>
        <v>0.56248273478656219</v>
      </c>
      <c r="L109" s="113">
        <f t="shared" si="94"/>
        <v>0.54779997347292397</v>
      </c>
      <c r="M109" s="113">
        <f t="shared" si="94"/>
        <v>0.38510400589267646</v>
      </c>
      <c r="N109" s="113">
        <f t="shared" si="94"/>
        <v>0.38845719552406649</v>
      </c>
      <c r="O109" s="113">
        <f t="shared" si="94"/>
        <v>0.38234218081820048</v>
      </c>
      <c r="P109" s="113">
        <f t="shared" si="94"/>
        <v>0.37889281315679818</v>
      </c>
      <c r="Q109" s="207">
        <f>Q29-0.01</f>
        <v>0.38205681393048629</v>
      </c>
      <c r="R109" s="207">
        <f>R29-0.016</f>
        <v>0.3679</v>
      </c>
      <c r="S109" s="207">
        <f>S29-0.016</f>
        <v>0.36949999999999994</v>
      </c>
    </row>
    <row r="110" spans="1:22">
      <c r="A110" s="185" t="s">
        <v>263</v>
      </c>
      <c r="C110" s="113">
        <f>C91/C86</f>
        <v>0.37315935595501654</v>
      </c>
      <c r="D110" s="113">
        <f t="shared" ref="D110:J110" si="95">D91/D86</f>
        <v>0.36632362102415322</v>
      </c>
      <c r="E110" s="113">
        <f t="shared" si="95"/>
        <v>0.42871194148185748</v>
      </c>
      <c r="F110" s="113">
        <f t="shared" si="95"/>
        <v>0.49442375929446369</v>
      </c>
      <c r="G110" s="113">
        <f t="shared" si="95"/>
        <v>0.52794419124319714</v>
      </c>
      <c r="H110" s="113">
        <f t="shared" si="95"/>
        <v>0.48831714192152348</v>
      </c>
      <c r="I110" s="113">
        <f t="shared" si="95"/>
        <v>0.46743069758066208</v>
      </c>
      <c r="J110" s="113">
        <f t="shared" si="95"/>
        <v>0.45478018175526774</v>
      </c>
      <c r="K110" s="113">
        <f t="shared" ref="K110:P110" si="96">K91/K86</f>
        <v>0.45036820186458493</v>
      </c>
      <c r="L110" s="113">
        <f t="shared" si="96"/>
        <v>0.46518321276919089</v>
      </c>
      <c r="M110" s="113">
        <f t="shared" si="96"/>
        <v>0.31703131719693284</v>
      </c>
      <c r="N110" s="113">
        <f t="shared" si="96"/>
        <v>0.32280871904028069</v>
      </c>
      <c r="O110" s="113">
        <f t="shared" si="96"/>
        <v>0.314617127212376</v>
      </c>
      <c r="P110" s="113">
        <f t="shared" si="96"/>
        <v>0.31528812699380776</v>
      </c>
      <c r="Q110" s="207">
        <f>Q30+0.025</f>
        <v>0.35139308849277145</v>
      </c>
      <c r="R110" s="207">
        <f>R30+0.035</f>
        <v>0.34199999999999997</v>
      </c>
      <c r="S110" s="207">
        <f>S30+0.035</f>
        <v>0.33940000000000003</v>
      </c>
    </row>
    <row r="111" spans="1:22">
      <c r="A111" s="185" t="s">
        <v>241</v>
      </c>
      <c r="C111" s="113">
        <f>C93/C86</f>
        <v>0.24075389780688033</v>
      </c>
      <c r="D111" s="113">
        <f t="shared" ref="D111:J111" si="97">D93/D86</f>
        <v>0.24385597066728371</v>
      </c>
      <c r="E111" s="113">
        <f t="shared" si="97"/>
        <v>0.16070184718759586</v>
      </c>
      <c r="F111" s="113">
        <f t="shared" si="97"/>
        <v>7.0848793724884382E-2</v>
      </c>
      <c r="G111" s="113">
        <f t="shared" si="97"/>
        <v>-1.0066329458216793E-2</v>
      </c>
      <c r="H111" s="113">
        <f t="shared" si="97"/>
        <v>7.1902009805323686E-2</v>
      </c>
      <c r="I111" s="113">
        <f t="shared" si="97"/>
        <v>9.3522045329514469E-2</v>
      </c>
      <c r="J111" s="113">
        <f t="shared" si="97"/>
        <v>0.10358502249175919</v>
      </c>
      <c r="K111" s="113">
        <f t="shared" ref="K111:Q111" si="98">K93/K86</f>
        <v>0.11211453292197725</v>
      </c>
      <c r="L111" s="113">
        <f t="shared" si="98"/>
        <v>8.2616760703733111E-2</v>
      </c>
      <c r="M111" s="113">
        <f>M93/M86</f>
        <v>6.8072688695743566E-2</v>
      </c>
      <c r="N111" s="113">
        <f>N93/N86</f>
        <v>6.5648476483785786E-2</v>
      </c>
      <c r="O111" s="113">
        <f>O93/O86</f>
        <v>6.7725053605824481E-2</v>
      </c>
      <c r="P111" s="212">
        <f>P93/P86</f>
        <v>6.3604686162990393E-2</v>
      </c>
      <c r="Q111" s="212">
        <f t="shared" si="98"/>
        <v>3.0663725437714791E-2</v>
      </c>
      <c r="R111" s="212">
        <f>R93/R86</f>
        <v>2.5900000000000051E-2</v>
      </c>
      <c r="S111" s="212">
        <f>S93/S86</f>
        <v>3.0099999999999905E-2</v>
      </c>
    </row>
    <row r="112" spans="1:22">
      <c r="A112" s="185" t="s">
        <v>265</v>
      </c>
      <c r="C112" s="113">
        <f>C98/C96</f>
        <v>0.32986989937650457</v>
      </c>
      <c r="D112" s="113">
        <f t="shared" ref="D112:J112" si="99">D98/D96</f>
        <v>0.32093605398732428</v>
      </c>
      <c r="E112" s="113">
        <f t="shared" si="99"/>
        <v>0.36320290457339061</v>
      </c>
      <c r="F112" s="113">
        <f t="shared" si="99"/>
        <v>0.36283118963771332</v>
      </c>
      <c r="G112" s="113">
        <f t="shared" si="99"/>
        <v>0.5794689832374833</v>
      </c>
      <c r="H112" s="113">
        <f t="shared" si="99"/>
        <v>0.36656442946033146</v>
      </c>
      <c r="I112" s="113">
        <f t="shared" si="99"/>
        <v>0.35247678879190575</v>
      </c>
      <c r="J112" s="113">
        <f t="shared" si="99"/>
        <v>0.3695172997769598</v>
      </c>
      <c r="K112" s="113">
        <f t="shared" ref="K112:P112" si="100">K98/K96</f>
        <v>0.37492632340528187</v>
      </c>
      <c r="L112" s="113">
        <f t="shared" si="100"/>
        <v>0.36329845107845493</v>
      </c>
      <c r="M112" s="113">
        <f t="shared" si="100"/>
        <v>0.34172386625781431</v>
      </c>
      <c r="N112" s="113">
        <f t="shared" si="100"/>
        <v>0.36824583138817979</v>
      </c>
      <c r="O112" s="113">
        <f t="shared" si="100"/>
        <v>0.35298234605591866</v>
      </c>
      <c r="P112" s="113">
        <f t="shared" si="100"/>
        <v>0.29665738161559913</v>
      </c>
      <c r="Q112" s="207">
        <f>Q32</f>
        <v>0.27000000000000041</v>
      </c>
      <c r="R112" s="207">
        <f>R32</f>
        <v>0.27000000000000041</v>
      </c>
      <c r="S112" s="207">
        <f>S32</f>
        <v>0.27000000000000041</v>
      </c>
    </row>
    <row r="113" spans="1:26">
      <c r="A113" s="185"/>
    </row>
    <row r="114" spans="1:26">
      <c r="A114" s="30" t="s">
        <v>266</v>
      </c>
    </row>
    <row r="115" spans="1:26">
      <c r="A115" s="185" t="s">
        <v>64</v>
      </c>
      <c r="C115" s="108" t="s">
        <v>653</v>
      </c>
      <c r="D115" s="418">
        <f>((D86/C86)-1)</f>
        <v>0.31652328936096019</v>
      </c>
      <c r="E115" s="418">
        <f t="shared" ref="E115:O115" si="101">((E86/D86)-1)</f>
        <v>0.16827296513180157</v>
      </c>
      <c r="F115" s="418">
        <f t="shared" si="101"/>
        <v>4.4730813741257203E-2</v>
      </c>
      <c r="G115" s="418">
        <f t="shared" si="101"/>
        <v>-7.6953230043043108E-2</v>
      </c>
      <c r="H115" s="418">
        <f t="shared" si="101"/>
        <v>8.2625549480410898E-2</v>
      </c>
      <c r="I115" s="418">
        <f t="shared" si="101"/>
        <v>0.11197670257904879</v>
      </c>
      <c r="J115" s="418">
        <f t="shared" si="101"/>
        <v>0.15295456549766318</v>
      </c>
      <c r="K115" s="418">
        <f t="shared" si="101"/>
        <v>0.17515206978819475</v>
      </c>
      <c r="L115" s="418">
        <f t="shared" si="101"/>
        <v>1.9294420851612148E-3</v>
      </c>
      <c r="M115" s="418">
        <f t="shared" si="101"/>
        <v>1.6616158237490186E-3</v>
      </c>
      <c r="N115" s="418">
        <f t="shared" si="101"/>
        <v>-6.4655754817718458E-3</v>
      </c>
      <c r="O115" s="418">
        <f t="shared" si="101"/>
        <v>-3.7758986876677336E-2</v>
      </c>
      <c r="P115" s="418">
        <f>P116+P122</f>
        <v>-7.8351726894981044E-2</v>
      </c>
      <c r="Q115" s="418">
        <f>Q116+Q122</f>
        <v>-7.7576725510669159E-2</v>
      </c>
      <c r="R115" s="418">
        <f>R116+R122</f>
        <v>-5.2879921657801171E-2</v>
      </c>
      <c r="S115" s="418">
        <f>S116+S122</f>
        <v>-3.6916802048994252E-2</v>
      </c>
    </row>
    <row r="116" spans="1:26">
      <c r="A116" s="185" t="s">
        <v>211</v>
      </c>
      <c r="C116" s="113">
        <f>C36</f>
        <v>0.129</v>
      </c>
      <c r="D116" s="113">
        <f t="shared" ref="D116:J116" si="102">D36</f>
        <v>0.14300000000000002</v>
      </c>
      <c r="E116" s="113">
        <f t="shared" si="102"/>
        <v>2.1000000000000001E-2</v>
      </c>
      <c r="F116" s="113">
        <f t="shared" si="102"/>
        <v>-8.1000000000000003E-2</v>
      </c>
      <c r="G116" s="113">
        <f t="shared" si="102"/>
        <v>-0.151</v>
      </c>
      <c r="H116" s="113">
        <f t="shared" si="102"/>
        <v>7.5999999999999998E-2</v>
      </c>
      <c r="I116" s="113">
        <f t="shared" si="102"/>
        <v>8.3000000000000004E-2</v>
      </c>
      <c r="J116" s="113">
        <f t="shared" si="102"/>
        <v>8.199999999999999E-2</v>
      </c>
      <c r="K116" s="113">
        <f t="shared" ref="K116:P116" si="103">K36</f>
        <v>7.1889904612919081E-2</v>
      </c>
      <c r="L116" s="113">
        <f t="shared" si="103"/>
        <v>-1.8102416156077713E-2</v>
      </c>
      <c r="M116" s="113">
        <f t="shared" si="103"/>
        <v>0</v>
      </c>
      <c r="N116" s="113">
        <f t="shared" si="103"/>
        <v>-1.4999999999999999E-2</v>
      </c>
      <c r="O116" s="113">
        <f t="shared" si="103"/>
        <v>-3.7000000000000005E-2</v>
      </c>
      <c r="P116" s="113">
        <f t="shared" si="103"/>
        <v>-7.6999999999999999E-2</v>
      </c>
      <c r="Q116" s="207">
        <f>Q36-0.03</f>
        <v>-5.0894054329082013E-2</v>
      </c>
      <c r="R116" s="207">
        <f>R36-0.03</f>
        <v>-0.04</v>
      </c>
      <c r="S116" s="207">
        <f>S36-0.03</f>
        <v>-0.04</v>
      </c>
    </row>
    <row r="117" spans="1:26">
      <c r="A117" s="185" t="s">
        <v>253</v>
      </c>
      <c r="C117" s="108" t="s">
        <v>653</v>
      </c>
      <c r="D117" s="418">
        <f>((D91/C91)-1)</f>
        <v>0.29240650361577125</v>
      </c>
      <c r="E117" s="418">
        <f>((E91/D91)-1)</f>
        <v>0.36724071918200929</v>
      </c>
      <c r="F117" s="418">
        <f t="shared" ref="F117:O117" si="104">((F91/E91)-1)</f>
        <v>0.20486435389525015</v>
      </c>
      <c r="G117" s="418">
        <f t="shared" si="104"/>
        <v>-1.4373457416435031E-2</v>
      </c>
      <c r="H117" s="418">
        <f t="shared" si="104"/>
        <v>1.364581450549851E-3</v>
      </c>
      <c r="I117" s="418">
        <f t="shared" si="104"/>
        <v>6.4414908177646391E-2</v>
      </c>
      <c r="J117" s="418">
        <f t="shared" si="104"/>
        <v>0.12175107361687587</v>
      </c>
      <c r="K117" s="418">
        <f t="shared" si="104"/>
        <v>0.16375151297327672</v>
      </c>
      <c r="L117" s="418">
        <f t="shared" si="104"/>
        <v>3.4888242348330101E-2</v>
      </c>
      <c r="M117" s="418">
        <f t="shared" si="104"/>
        <v>-0.3173483205470411</v>
      </c>
      <c r="N117" s="418">
        <f t="shared" si="104"/>
        <v>1.1640041548092617E-2</v>
      </c>
      <c r="O117" s="418">
        <f t="shared" si="104"/>
        <v>-6.2176808188970312E-2</v>
      </c>
      <c r="P117" s="418">
        <f>((P91/O91)-1)</f>
        <v>-7.6386081237702519E-2</v>
      </c>
      <c r="Q117" s="418">
        <f>((Q91/P91)-1)</f>
        <v>2.805381988515987E-2</v>
      </c>
      <c r="R117" s="418">
        <f>((R91/Q91)-1)</f>
        <v>-7.8197388052226202E-2</v>
      </c>
      <c r="S117" s="418">
        <f>((S91/R91)-1)</f>
        <v>-4.4238487179615871E-2</v>
      </c>
    </row>
    <row r="118" spans="1:26">
      <c r="A118" s="185" t="s">
        <v>269</v>
      </c>
      <c r="C118" s="108" t="s">
        <v>653</v>
      </c>
      <c r="D118" s="418">
        <f>((D93/C93)-1)</f>
        <v>0.33348646712554841</v>
      </c>
      <c r="E118" s="418">
        <f t="shared" ref="E118:O118" si="105">((E93/D93)-1)</f>
        <v>-0.23010446288326858</v>
      </c>
      <c r="F118" s="418">
        <f t="shared" si="105"/>
        <v>-0.53940841865756628</v>
      </c>
      <c r="G118" s="418">
        <f t="shared" si="105"/>
        <v>-1.131148215844161</v>
      </c>
      <c r="H118" s="418">
        <f t="shared" si="105"/>
        <v>-8.7330026994789005</v>
      </c>
      <c r="I118" s="418">
        <f t="shared" si="105"/>
        <v>0.44633419657571216</v>
      </c>
      <c r="J118" s="418">
        <f t="shared" si="105"/>
        <v>0.27701253943129411</v>
      </c>
      <c r="K118" s="418">
        <f t="shared" si="105"/>
        <v>0.27191771790250763</v>
      </c>
      <c r="L118" s="418">
        <f t="shared" si="105"/>
        <v>-0.26168211380428097</v>
      </c>
      <c r="M118" s="418">
        <f t="shared" si="105"/>
        <v>-0.17467353147671261</v>
      </c>
      <c r="N118" s="418">
        <f t="shared" si="105"/>
        <v>-4.18474346541442E-2</v>
      </c>
      <c r="O118" s="418">
        <f t="shared" si="105"/>
        <v>-7.3216061366573326E-3</v>
      </c>
      <c r="P118" s="418">
        <f>((P93/O93)-1)</f>
        <v>-0.13442447008317671</v>
      </c>
      <c r="Q118" s="418">
        <f>((Q93/P93)-1)</f>
        <v>-0.55530109913887449</v>
      </c>
      <c r="R118" s="418">
        <f>((R93/Q93)-1)</f>
        <v>-0.2000185992113056</v>
      </c>
      <c r="S118" s="418">
        <f>((S93/R93)-1)</f>
        <v>0.1192588516727846</v>
      </c>
    </row>
    <row r="119" spans="1:26">
      <c r="A119" s="185" t="s">
        <v>507</v>
      </c>
      <c r="C119" s="108" t="s">
        <v>653</v>
      </c>
      <c r="D119" s="418">
        <f>((D103/C103)-1)</f>
        <v>0.35434021560562057</v>
      </c>
      <c r="E119" s="418">
        <f t="shared" ref="E119:O119" si="106">((E103/D103)-1)</f>
        <v>-0.2503071093812177</v>
      </c>
      <c r="F119" s="418">
        <f t="shared" si="106"/>
        <v>-0.51161165528215879</v>
      </c>
      <c r="G119" s="418">
        <f t="shared" si="106"/>
        <v>-1.0407063499372824</v>
      </c>
      <c r="H119" s="418">
        <f t="shared" si="106"/>
        <v>-23.724196964718626</v>
      </c>
      <c r="I119" s="418">
        <f t="shared" si="106"/>
        <v>0.47927358787814045</v>
      </c>
      <c r="J119" s="418">
        <f t="shared" si="106"/>
        <v>0.29692029531972963</v>
      </c>
      <c r="K119" s="418">
        <f t="shared" si="106"/>
        <v>0.28625311347947524</v>
      </c>
      <c r="L119" s="418">
        <f t="shared" si="106"/>
        <v>-0.21884348502133744</v>
      </c>
      <c r="M119" s="418">
        <f t="shared" si="106"/>
        <v>-9.2527948789184244E-2</v>
      </c>
      <c r="N119" s="418">
        <f t="shared" si="106"/>
        <v>-1.6553379951093405E-2</v>
      </c>
      <c r="O119" s="418">
        <f t="shared" si="106"/>
        <v>9.0658721529503161E-2</v>
      </c>
      <c r="P119" s="418">
        <f>((P103/O103)-1)</f>
        <v>-2.9374694072808127E-2</v>
      </c>
      <c r="Q119" s="418">
        <f>((Q103/P103)-1)</f>
        <v>-0.52351859687858193</v>
      </c>
      <c r="R119" s="418">
        <f>((R103/Q103)-1)</f>
        <v>-0.15368603705582562</v>
      </c>
      <c r="S119" s="418">
        <f>((S103/R103)-1)</f>
        <v>0.16595715123722421</v>
      </c>
    </row>
    <row r="120" spans="1:26">
      <c r="A120" s="185" t="s">
        <v>418</v>
      </c>
      <c r="C120" s="108" t="s">
        <v>653</v>
      </c>
      <c r="D120" s="418">
        <f>((D106/C106)-1)</f>
        <v>0.33655218655063068</v>
      </c>
      <c r="E120" s="418">
        <f t="shared" ref="E120:O120" si="107">((E106/D106)-1)</f>
        <v>-0.15818667025243416</v>
      </c>
      <c r="F120" s="418">
        <f t="shared" si="107"/>
        <v>-0.37626596957065384</v>
      </c>
      <c r="G120" s="418">
        <f t="shared" si="107"/>
        <v>-0.59791874947673262</v>
      </c>
      <c r="H120" s="418">
        <f t="shared" si="107"/>
        <v>1.6891588991095419</v>
      </c>
      <c r="I120" s="418">
        <f t="shared" si="107"/>
        <v>0.24012643987046145</v>
      </c>
      <c r="J120" s="418">
        <f t="shared" si="107"/>
        <v>0.20078891986293246</v>
      </c>
      <c r="K120" s="418">
        <f t="shared" si="107"/>
        <v>0.21687465590016375</v>
      </c>
      <c r="L120" s="418">
        <f t="shared" si="107"/>
        <v>-0.16562229008784823</v>
      </c>
      <c r="M120" s="418">
        <f t="shared" si="107"/>
        <v>-0.10047506725349564</v>
      </c>
      <c r="N120" s="418">
        <f t="shared" si="107"/>
        <v>-3.63295378432682E-2</v>
      </c>
      <c r="O120" s="418">
        <f t="shared" si="107"/>
        <v>-3.7483666490591094E-2</v>
      </c>
      <c r="P120" s="418">
        <f>((P106/O106)-1)</f>
        <v>-0.12812402966429082</v>
      </c>
      <c r="Q120" s="418">
        <f>((Q106/P106)-1)</f>
        <v>-0.34339514892326639</v>
      </c>
      <c r="R120" s="418">
        <f>((R106/Q106)-1)</f>
        <v>-6.88244149668783E-2</v>
      </c>
      <c r="S120" s="418">
        <f>((S106/R106)-1)</f>
        <v>5.526148430528588E-2</v>
      </c>
    </row>
    <row r="121" spans="1:26" outlineLevel="1">
      <c r="A121" s="185" t="s">
        <v>213</v>
      </c>
      <c r="C121" s="108" t="s">
        <v>653</v>
      </c>
      <c r="D121" s="113">
        <f>D35-D36</f>
        <v>0.17352328936096018</v>
      </c>
      <c r="E121" s="113">
        <f t="shared" ref="E121:J121" si="108">E35-E36</f>
        <v>0.14727296513180158</v>
      </c>
      <c r="F121" s="113">
        <f t="shared" si="108"/>
        <v>0.12573081374125722</v>
      </c>
      <c r="G121" s="113">
        <f t="shared" si="108"/>
        <v>7.4046769956956887E-2</v>
      </c>
      <c r="H121" s="113">
        <f t="shared" si="108"/>
        <v>6.6255494804109E-3</v>
      </c>
      <c r="I121" s="113">
        <f t="shared" si="108"/>
        <v>2.8976702579048788E-2</v>
      </c>
      <c r="J121" s="113">
        <f t="shared" si="108"/>
        <v>7.0954565497663186E-2</v>
      </c>
      <c r="K121" s="113">
        <f t="shared" ref="K121:R121" si="109">K35-K36</f>
        <v>0.10326216517527567</v>
      </c>
      <c r="L121" s="113">
        <f t="shared" si="109"/>
        <v>2.0031858241238928E-2</v>
      </c>
      <c r="M121" s="113">
        <f t="shared" si="109"/>
        <v>1.6616158237490186E-3</v>
      </c>
      <c r="N121" s="113">
        <f>N35-N36</f>
        <v>8.5344245182281536E-3</v>
      </c>
      <c r="O121" s="113">
        <f>O35-O36</f>
        <v>-7.5898687667733111E-4</v>
      </c>
      <c r="P121" s="113">
        <f t="shared" si="109"/>
        <v>-1.3517268949810451E-3</v>
      </c>
      <c r="Q121" s="113">
        <f t="shared" si="109"/>
        <v>-2.1682671181587142E-2</v>
      </c>
      <c r="R121" s="113">
        <f t="shared" si="109"/>
        <v>-7.8799216578011675E-3</v>
      </c>
      <c r="S121" s="113">
        <f t="shared" ref="S121" si="110">S35-S36</f>
        <v>8.0831979510057519E-3</v>
      </c>
    </row>
    <row r="122" spans="1:26" outlineLevel="1">
      <c r="A122" s="185" t="s">
        <v>216</v>
      </c>
      <c r="C122" s="108" t="s">
        <v>653</v>
      </c>
      <c r="D122" s="113">
        <f t="shared" ref="D122:L122" si="111">D121</f>
        <v>0.17352328936096018</v>
      </c>
      <c r="E122" s="113">
        <f t="shared" si="111"/>
        <v>0.14727296513180158</v>
      </c>
      <c r="F122" s="113">
        <f t="shared" si="111"/>
        <v>0.12573081374125722</v>
      </c>
      <c r="G122" s="113">
        <f t="shared" si="111"/>
        <v>7.4046769956956887E-2</v>
      </c>
      <c r="H122" s="113">
        <f t="shared" si="111"/>
        <v>6.6255494804109E-3</v>
      </c>
      <c r="I122" s="113">
        <f t="shared" si="111"/>
        <v>2.8976702579048788E-2</v>
      </c>
      <c r="J122" s="113">
        <f t="shared" si="111"/>
        <v>7.0954565497663186E-2</v>
      </c>
      <c r="K122" s="113">
        <f t="shared" si="111"/>
        <v>0.10326216517527567</v>
      </c>
      <c r="L122" s="113">
        <f t="shared" si="111"/>
        <v>2.0031858241238928E-2</v>
      </c>
      <c r="M122" s="113">
        <f>M121</f>
        <v>1.6616158237490186E-3</v>
      </c>
      <c r="N122" s="113">
        <f>N121</f>
        <v>8.5344245182281536E-3</v>
      </c>
      <c r="O122" s="113">
        <f>O121</f>
        <v>-7.5898687667733111E-4</v>
      </c>
      <c r="P122" s="113">
        <f>P121</f>
        <v>-1.3517268949810451E-3</v>
      </c>
      <c r="Q122" s="207">
        <f>Q121-0.005</f>
        <v>-2.6682671181587143E-2</v>
      </c>
      <c r="R122" s="207">
        <f>R121-0.005</f>
        <v>-1.2879921657801167E-2</v>
      </c>
      <c r="S122" s="207">
        <f>S121-0.005</f>
        <v>3.0831979510057518E-3</v>
      </c>
    </row>
    <row r="123" spans="1:26">
      <c r="A123" s="450"/>
      <c r="B123" s="450"/>
      <c r="C123" s="450"/>
      <c r="D123" s="450"/>
      <c r="E123" s="450"/>
      <c r="F123" s="450"/>
      <c r="G123" s="450"/>
      <c r="H123" s="450"/>
      <c r="I123" s="450"/>
      <c r="J123" s="450"/>
      <c r="K123" s="450"/>
      <c r="L123" s="450"/>
      <c r="M123" s="450"/>
      <c r="N123" s="450"/>
      <c r="O123" s="450"/>
      <c r="P123" s="450"/>
      <c r="Q123" s="450"/>
      <c r="R123" s="450"/>
      <c r="S123" s="450"/>
      <c r="T123" s="26"/>
      <c r="U123" s="26"/>
      <c r="V123" s="26"/>
      <c r="W123" s="26"/>
      <c r="X123" s="26"/>
      <c r="Y123" s="26"/>
      <c r="Z123" s="26"/>
    </row>
    <row r="124" spans="1:26">
      <c r="A124" s="440" t="s">
        <v>154</v>
      </c>
      <c r="B124" s="26"/>
      <c r="C124" s="67" t="str">
        <f t="shared" ref="C124:P125" si="112">C83</f>
        <v>2004A</v>
      </c>
      <c r="D124" s="67" t="str">
        <f t="shared" si="112"/>
        <v>2005A</v>
      </c>
      <c r="E124" s="67" t="str">
        <f t="shared" si="112"/>
        <v>2006A</v>
      </c>
      <c r="F124" s="67" t="str">
        <f t="shared" si="112"/>
        <v>2007A</v>
      </c>
      <c r="G124" s="67" t="str">
        <f t="shared" si="112"/>
        <v>2008A</v>
      </c>
      <c r="H124" s="67" t="str">
        <f t="shared" si="112"/>
        <v>2009A</v>
      </c>
      <c r="I124" s="67" t="str">
        <f t="shared" si="112"/>
        <v>2010A</v>
      </c>
      <c r="J124" s="67" t="str">
        <f t="shared" si="112"/>
        <v>2011A</v>
      </c>
      <c r="K124" s="67" t="str">
        <f>K83</f>
        <v>2012A</v>
      </c>
      <c r="L124" s="67" t="str">
        <f t="shared" si="112"/>
        <v>2013A</v>
      </c>
      <c r="M124" s="67" t="str">
        <f t="shared" si="112"/>
        <v>2014A</v>
      </c>
      <c r="N124" s="67" t="str">
        <f t="shared" si="112"/>
        <v>2015A</v>
      </c>
      <c r="O124" s="67" t="str">
        <f t="shared" si="112"/>
        <v>2016A</v>
      </c>
      <c r="P124" s="67" t="str">
        <f t="shared" si="112"/>
        <v>2017E</v>
      </c>
      <c r="Q124" s="67" t="str">
        <f t="shared" ref="Q124:S125" si="113">Q83</f>
        <v>2018E</v>
      </c>
      <c r="R124" s="67" t="str">
        <f t="shared" si="113"/>
        <v>2019E</v>
      </c>
      <c r="S124" s="67" t="str">
        <f t="shared" si="113"/>
        <v>2020E</v>
      </c>
      <c r="T124" s="26"/>
      <c r="U124" s="26"/>
      <c r="V124" s="26"/>
      <c r="W124" s="26"/>
      <c r="X124" s="26"/>
      <c r="Y124" s="26"/>
      <c r="Z124" s="26"/>
    </row>
    <row r="125" spans="1:26">
      <c r="A125" s="30" t="s">
        <v>250</v>
      </c>
      <c r="B125" s="26"/>
      <c r="C125" s="116" t="str">
        <f t="shared" si="112"/>
        <v>Jan</v>
      </c>
      <c r="D125" s="116" t="str">
        <f t="shared" si="112"/>
        <v>Jan</v>
      </c>
      <c r="E125" s="116" t="str">
        <f t="shared" si="112"/>
        <v>Jan</v>
      </c>
      <c r="F125" s="116" t="str">
        <f t="shared" si="112"/>
        <v>Jan</v>
      </c>
      <c r="G125" s="116" t="str">
        <f t="shared" si="112"/>
        <v>Jan</v>
      </c>
      <c r="H125" s="116" t="str">
        <f t="shared" si="112"/>
        <v>Jan</v>
      </c>
      <c r="I125" s="116" t="str">
        <f t="shared" si="112"/>
        <v>Jan</v>
      </c>
      <c r="J125" s="116" t="str">
        <f t="shared" si="112"/>
        <v>Jan</v>
      </c>
      <c r="K125" s="116" t="str">
        <f>K84</f>
        <v>Jan</v>
      </c>
      <c r="L125" s="116" t="str">
        <f t="shared" si="112"/>
        <v>Jan</v>
      </c>
      <c r="M125" s="116" t="str">
        <f t="shared" si="112"/>
        <v>Jan</v>
      </c>
      <c r="N125" s="116" t="str">
        <f t="shared" si="112"/>
        <v>Jan</v>
      </c>
      <c r="O125" s="116" t="str">
        <f t="shared" si="112"/>
        <v>Jan</v>
      </c>
      <c r="P125" s="116" t="str">
        <f t="shared" si="112"/>
        <v>Jan</v>
      </c>
      <c r="Q125" s="116" t="str">
        <f t="shared" si="113"/>
        <v>Jan</v>
      </c>
      <c r="R125" s="116" t="str">
        <f t="shared" si="113"/>
        <v>Jan</v>
      </c>
      <c r="S125" s="116" t="str">
        <f t="shared" si="113"/>
        <v>Jan</v>
      </c>
      <c r="T125" s="26"/>
      <c r="U125" s="26"/>
      <c r="V125" s="26"/>
      <c r="W125" s="26"/>
      <c r="X125" s="26"/>
      <c r="Y125" s="26"/>
      <c r="Z125" s="26"/>
    </row>
    <row r="126" spans="1:26">
      <c r="A126" s="27"/>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c r="A127" s="27" t="s">
        <v>412</v>
      </c>
      <c r="B127" s="26"/>
      <c r="C127" s="416">
        <f t="shared" ref="C127:J127" si="114">C6</f>
        <v>1066.8820000000001</v>
      </c>
      <c r="D127" s="416">
        <f t="shared" si="114"/>
        <v>1404.575</v>
      </c>
      <c r="E127" s="416">
        <f t="shared" si="114"/>
        <v>1640.9270000000001</v>
      </c>
      <c r="F127" s="416">
        <f t="shared" si="114"/>
        <v>1714.327</v>
      </c>
      <c r="G127" s="416">
        <f t="shared" si="114"/>
        <v>1582.404</v>
      </c>
      <c r="H127" s="416">
        <f t="shared" si="114"/>
        <v>1713.1510000000001</v>
      </c>
      <c r="I127" s="416">
        <f t="shared" si="114"/>
        <v>1904.9839999999999</v>
      </c>
      <c r="J127" s="416">
        <f t="shared" si="114"/>
        <v>2196.36</v>
      </c>
      <c r="K127" s="416">
        <f>K6</f>
        <v>2581.0569999999998</v>
      </c>
      <c r="L127" s="416">
        <f>L6</f>
        <v>2586.0369999999998</v>
      </c>
      <c r="M127" s="416">
        <f t="shared" ref="M127:S127" si="115">(L127*(1+M168))</f>
        <v>2590.3340000000003</v>
      </c>
      <c r="N127" s="416">
        <f t="shared" si="115"/>
        <v>2573.5860000000002</v>
      </c>
      <c r="O127" s="416">
        <f t="shared" si="115"/>
        <v>2476.41</v>
      </c>
      <c r="P127" s="416">
        <f t="shared" si="115"/>
        <v>2282.3789999999999</v>
      </c>
      <c r="Q127" s="416">
        <f t="shared" si="115"/>
        <v>2185.2027758056843</v>
      </c>
      <c r="R127" s="416">
        <f t="shared" si="115"/>
        <v>2146.131521367869</v>
      </c>
      <c r="S127" s="416">
        <f t="shared" si="115"/>
        <v>2142.0178120702999</v>
      </c>
      <c r="T127" s="26"/>
      <c r="U127" s="26"/>
      <c r="V127" s="26"/>
      <c r="W127" s="26"/>
      <c r="X127" s="26"/>
      <c r="Y127" s="26"/>
      <c r="Z127" s="26"/>
    </row>
    <row r="128" spans="1:26">
      <c r="A128" s="27"/>
      <c r="B128" s="26"/>
      <c r="C128" s="140"/>
      <c r="D128" s="140"/>
      <c r="E128" s="140"/>
      <c r="F128" s="140"/>
      <c r="G128" s="140"/>
      <c r="H128" s="140"/>
      <c r="I128" s="140"/>
      <c r="J128" s="140"/>
      <c r="K128" s="140"/>
      <c r="L128" s="140"/>
      <c r="M128" s="140"/>
      <c r="T128" s="26"/>
      <c r="U128" s="26"/>
      <c r="V128" s="26"/>
      <c r="W128" s="26"/>
      <c r="X128" s="26"/>
      <c r="Y128" s="26"/>
      <c r="Z128" s="26"/>
    </row>
    <row r="129" spans="1:26">
      <c r="A129" s="27" t="s">
        <v>251</v>
      </c>
      <c r="B129" s="26"/>
      <c r="C129" s="416">
        <f t="shared" ref="C129:J129" si="116">C8</f>
        <v>411.90899999999999</v>
      </c>
      <c r="D129" s="416">
        <f t="shared" si="116"/>
        <v>547.53200000000004</v>
      </c>
      <c r="E129" s="416">
        <f t="shared" si="116"/>
        <v>673.74199999999996</v>
      </c>
      <c r="F129" s="416">
        <f t="shared" si="116"/>
        <v>745.2650000000001</v>
      </c>
      <c r="G129" s="416">
        <f t="shared" si="116"/>
        <v>762.91200000000003</v>
      </c>
      <c r="H129" s="416">
        <f t="shared" si="116"/>
        <v>753.41100000000006</v>
      </c>
      <c r="I129" s="416">
        <f t="shared" si="116"/>
        <v>836.37800000000004</v>
      </c>
      <c r="J129" s="416">
        <f t="shared" si="116"/>
        <v>969.98900000000003</v>
      </c>
      <c r="K129" s="416">
        <f>K8</f>
        <v>1129.2570000000001</v>
      </c>
      <c r="L129" s="416">
        <f>L8</f>
        <v>1169.4059999999999</v>
      </c>
      <c r="M129" s="416">
        <f t="shared" ref="M129:R129" si="117">M127-M131</f>
        <v>1592.7860000000001</v>
      </c>
      <c r="N129" s="416">
        <f t="shared" si="117"/>
        <v>1573.8579999999999</v>
      </c>
      <c r="O129" s="416">
        <f t="shared" si="117"/>
        <v>1529.5740000000001</v>
      </c>
      <c r="P129" s="416">
        <f t="shared" si="117"/>
        <v>1417.6020000000001</v>
      </c>
      <c r="Q129" s="416">
        <f t="shared" si="117"/>
        <v>1328.4791377312531</v>
      </c>
      <c r="R129" s="416">
        <f t="shared" si="117"/>
        <v>1322.2316303147441</v>
      </c>
      <c r="S129" s="416">
        <f t="shared" ref="S129" si="118">S127-S131</f>
        <v>1316.2699455171994</v>
      </c>
      <c r="T129" s="26"/>
      <c r="U129" s="26"/>
      <c r="V129" s="26"/>
      <c r="W129" s="26"/>
      <c r="X129" s="26"/>
      <c r="Y129" s="26"/>
      <c r="Z129" s="26"/>
    </row>
    <row r="130" spans="1:26">
      <c r="A130" s="27"/>
      <c r="B130" s="26"/>
      <c r="C130" s="140"/>
      <c r="D130" s="140"/>
      <c r="E130" s="140"/>
      <c r="F130" s="140"/>
      <c r="G130" s="140"/>
      <c r="H130" s="140"/>
      <c r="I130" s="140"/>
      <c r="J130" s="140"/>
      <c r="K130" s="140"/>
      <c r="L130" s="140"/>
      <c r="M130" s="140"/>
      <c r="T130" s="26"/>
      <c r="U130" s="26"/>
      <c r="V130" s="26"/>
      <c r="W130" s="26"/>
      <c r="X130" s="26"/>
      <c r="Y130" s="26"/>
      <c r="Z130" s="26"/>
    </row>
    <row r="131" spans="1:26">
      <c r="A131" s="27" t="s">
        <v>252</v>
      </c>
      <c r="B131" s="26"/>
      <c r="C131" s="416">
        <f t="shared" ref="C131:J131" si="119">C127-C129</f>
        <v>654.97300000000007</v>
      </c>
      <c r="D131" s="416">
        <f t="shared" si="119"/>
        <v>857.04300000000001</v>
      </c>
      <c r="E131" s="416">
        <f t="shared" si="119"/>
        <v>967.18500000000017</v>
      </c>
      <c r="F131" s="416">
        <f t="shared" si="119"/>
        <v>969.0619999999999</v>
      </c>
      <c r="G131" s="416">
        <f t="shared" si="119"/>
        <v>819.49199999999996</v>
      </c>
      <c r="H131" s="416">
        <f t="shared" si="119"/>
        <v>959.74</v>
      </c>
      <c r="I131" s="416">
        <f t="shared" si="119"/>
        <v>1068.6059999999998</v>
      </c>
      <c r="J131" s="416">
        <f t="shared" si="119"/>
        <v>1226.3710000000001</v>
      </c>
      <c r="K131" s="416">
        <f>K127-K129</f>
        <v>1451.7999999999997</v>
      </c>
      <c r="L131" s="416">
        <f>L127-L129</f>
        <v>1416.6309999999999</v>
      </c>
      <c r="M131" s="416">
        <f t="shared" ref="M131:R131" si="120">M127*M153</f>
        <v>997.54800000000034</v>
      </c>
      <c r="N131" s="416">
        <f t="shared" si="120"/>
        <v>999.72800000000029</v>
      </c>
      <c r="O131" s="416">
        <f t="shared" si="120"/>
        <v>946.83599999999979</v>
      </c>
      <c r="P131" s="416">
        <f t="shared" si="120"/>
        <v>864.77699999999982</v>
      </c>
      <c r="Q131" s="416">
        <f t="shared" si="120"/>
        <v>856.72363807443128</v>
      </c>
      <c r="R131" s="416">
        <f t="shared" si="120"/>
        <v>823.89989105312497</v>
      </c>
      <c r="S131" s="416">
        <f t="shared" ref="S131" si="121">S127*S153</f>
        <v>825.74786655310049</v>
      </c>
      <c r="T131" s="26"/>
      <c r="U131" s="26"/>
      <c r="V131" s="26"/>
      <c r="W131" s="26"/>
      <c r="X131" s="26"/>
      <c r="Y131" s="26"/>
      <c r="Z131" s="26"/>
    </row>
    <row r="132" spans="1:26">
      <c r="A132" s="27" t="s">
        <v>253</v>
      </c>
      <c r="B132" s="26"/>
      <c r="C132" s="140">
        <f t="shared" ref="C132:P133" si="122">C11</f>
        <v>398.11699999999996</v>
      </c>
      <c r="D132" s="140">
        <f t="shared" si="122"/>
        <v>514.529</v>
      </c>
      <c r="E132" s="140">
        <f t="shared" si="122"/>
        <v>703.48500000000001</v>
      </c>
      <c r="F132" s="140">
        <f t="shared" si="122"/>
        <v>847.60400000000004</v>
      </c>
      <c r="G132" s="140">
        <f t="shared" si="122"/>
        <v>835.42100000000005</v>
      </c>
      <c r="H132" s="140">
        <f t="shared" si="122"/>
        <v>836.56099999999992</v>
      </c>
      <c r="I132" s="140">
        <f t="shared" si="122"/>
        <v>890.44799999999998</v>
      </c>
      <c r="J132" s="140">
        <f t="shared" si="122"/>
        <v>998.86099999999988</v>
      </c>
      <c r="K132" s="140">
        <f>K11</f>
        <v>1162.4259999999999</v>
      </c>
      <c r="L132" s="140">
        <f>L11</f>
        <v>1202.981</v>
      </c>
      <c r="M132" s="140">
        <f t="shared" ref="M132:R132" si="123">M127*M157</f>
        <v>821.21699999999987</v>
      </c>
      <c r="N132" s="140">
        <f t="shared" si="123"/>
        <v>830.77599999999984</v>
      </c>
      <c r="O132" s="140">
        <f t="shared" si="123"/>
        <v>779.12099999999998</v>
      </c>
      <c r="P132" s="140">
        <f t="shared" si="123"/>
        <v>719.60699999999997</v>
      </c>
      <c r="Q132" s="140">
        <f t="shared" si="123"/>
        <v>713.23508297819444</v>
      </c>
      <c r="R132" s="140">
        <f t="shared" si="123"/>
        <v>658.86237705993574</v>
      </c>
      <c r="S132" s="140">
        <f t="shared" ref="S132" si="124">S127*S157</f>
        <v>652.03022199419934</v>
      </c>
      <c r="T132" s="26"/>
      <c r="U132" s="26"/>
      <c r="V132" s="26"/>
      <c r="W132" s="26"/>
      <c r="X132" s="26"/>
      <c r="Y132" s="26"/>
      <c r="Z132" s="26"/>
    </row>
    <row r="133" spans="1:26">
      <c r="A133" s="27" t="s">
        <v>234</v>
      </c>
      <c r="B133" s="26"/>
      <c r="C133" s="140">
        <f>C12</f>
        <v>32.481000000000002</v>
      </c>
      <c r="D133" s="140">
        <f>D12</f>
        <v>44.199999999999996</v>
      </c>
      <c r="E133" s="140">
        <f>E12</f>
        <v>61.841000000000008</v>
      </c>
      <c r="F133" s="140">
        <f>F12</f>
        <v>81.593000000000004</v>
      </c>
      <c r="G133" s="140">
        <f>G12</f>
        <v>97.572000000000003</v>
      </c>
      <c r="H133" s="140">
        <f t="shared" si="122"/>
        <v>96.372</v>
      </c>
      <c r="I133" s="140">
        <f t="shared" si="122"/>
        <v>94.113</v>
      </c>
      <c r="J133" s="140">
        <f t="shared" si="122"/>
        <v>99.43</v>
      </c>
      <c r="K133" s="140">
        <f>K12</f>
        <v>108.471</v>
      </c>
      <c r="L133" s="140">
        <f>L12</f>
        <v>118.303</v>
      </c>
      <c r="M133" s="140">
        <f t="shared" si="122"/>
        <v>122.26900000000001</v>
      </c>
      <c r="N133" s="140">
        <f t="shared" si="122"/>
        <v>118.8</v>
      </c>
      <c r="O133" s="140">
        <f t="shared" si="122"/>
        <v>109.251</v>
      </c>
      <c r="P133" s="140">
        <f t="shared" si="122"/>
        <v>96.31</v>
      </c>
      <c r="Q133" s="140">
        <f>Q12</f>
        <v>94</v>
      </c>
      <c r="R133" s="140">
        <f>R12</f>
        <v>96</v>
      </c>
      <c r="S133" s="140">
        <f>S12</f>
        <v>98</v>
      </c>
      <c r="T133" s="26"/>
      <c r="U133" s="26"/>
      <c r="V133" s="26"/>
      <c r="W133" s="26"/>
      <c r="X133" s="26"/>
      <c r="Y133" s="26"/>
      <c r="Z133" s="26"/>
    </row>
    <row r="134" spans="1:26">
      <c r="A134" s="441" t="s">
        <v>269</v>
      </c>
      <c r="B134" s="26"/>
      <c r="C134" s="416">
        <f>C131-C132</f>
        <v>256.85600000000011</v>
      </c>
      <c r="D134" s="416">
        <f t="shared" ref="D134:P134" si="125">D131-D132</f>
        <v>342.51400000000001</v>
      </c>
      <c r="E134" s="416">
        <f t="shared" si="125"/>
        <v>263.70000000000016</v>
      </c>
      <c r="F134" s="416">
        <f t="shared" si="125"/>
        <v>121.45799999999986</v>
      </c>
      <c r="G134" s="416">
        <f t="shared" si="125"/>
        <v>-15.929000000000087</v>
      </c>
      <c r="H134" s="416">
        <f t="shared" si="125"/>
        <v>123.17900000000009</v>
      </c>
      <c r="I134" s="416">
        <f t="shared" si="125"/>
        <v>178.15799999999979</v>
      </c>
      <c r="J134" s="416">
        <f t="shared" si="125"/>
        <v>227.51000000000022</v>
      </c>
      <c r="K134" s="416">
        <f>K131-K132</f>
        <v>289.3739999999998</v>
      </c>
      <c r="L134" s="416">
        <f>L131-L132</f>
        <v>213.64999999999986</v>
      </c>
      <c r="M134" s="416">
        <f t="shared" si="125"/>
        <v>176.33100000000047</v>
      </c>
      <c r="N134" s="416">
        <f t="shared" si="125"/>
        <v>168.95200000000045</v>
      </c>
      <c r="O134" s="416">
        <f t="shared" si="125"/>
        <v>167.7149999999998</v>
      </c>
      <c r="P134" s="416">
        <f t="shared" si="125"/>
        <v>145.16999999999985</v>
      </c>
      <c r="Q134" s="416">
        <f>Q131-Q132</f>
        <v>143.48855509623684</v>
      </c>
      <c r="R134" s="416">
        <f>R131-R132</f>
        <v>165.03751399318924</v>
      </c>
      <c r="S134" s="416">
        <f>S131-S132</f>
        <v>173.71764455890116</v>
      </c>
      <c r="T134" s="26"/>
      <c r="U134" s="26"/>
      <c r="V134" s="26"/>
      <c r="W134" s="26"/>
      <c r="X134" s="26"/>
      <c r="Y134" s="26"/>
      <c r="Z134" s="26"/>
    </row>
    <row r="135" spans="1:26">
      <c r="A135" s="27"/>
      <c r="B135" s="26"/>
      <c r="C135" s="140"/>
      <c r="D135" s="140"/>
      <c r="E135" s="140"/>
      <c r="F135" s="140"/>
      <c r="G135" s="140"/>
      <c r="H135" s="140"/>
      <c r="I135" s="140"/>
      <c r="J135" s="140"/>
      <c r="K135" s="140"/>
      <c r="L135" s="140"/>
      <c r="M135" s="140"/>
      <c r="T135" s="26"/>
      <c r="U135" s="26"/>
      <c r="V135" s="26"/>
      <c r="W135" s="26"/>
      <c r="X135" s="26"/>
      <c r="Y135" s="26"/>
      <c r="Z135" s="26"/>
    </row>
    <row r="136" spans="1:26">
      <c r="A136" s="27" t="s">
        <v>208</v>
      </c>
      <c r="B136" s="26"/>
      <c r="C136" s="140">
        <f>C15</f>
        <v>2.3279999999999998</v>
      </c>
      <c r="D136" s="140">
        <f>D15</f>
        <v>8.2349999999999994</v>
      </c>
      <c r="E136" s="140">
        <f>E15</f>
        <v>10.626000000000001</v>
      </c>
      <c r="F136" s="140">
        <f>F15</f>
        <v>10.868</v>
      </c>
      <c r="G136" s="140">
        <f>G15</f>
        <v>7.7560000000000002</v>
      </c>
      <c r="H136" s="140">
        <f t="shared" ref="H136:P136" si="126">H15</f>
        <v>1.6940000000000002</v>
      </c>
      <c r="I136" s="140">
        <f t="shared" si="126"/>
        <v>1.712</v>
      </c>
      <c r="J136" s="140">
        <f t="shared" si="126"/>
        <v>1.5970000000000004</v>
      </c>
      <c r="K136" s="140">
        <f>K15</f>
        <v>0.88100000000000001</v>
      </c>
      <c r="L136" s="140">
        <f>L15</f>
        <v>0.499</v>
      </c>
      <c r="M136" s="140">
        <f t="shared" si="126"/>
        <v>9.8000000000000004E-2</v>
      </c>
      <c r="N136" s="140">
        <f t="shared" si="126"/>
        <v>-1.87</v>
      </c>
      <c r="O136" s="140">
        <f t="shared" si="126"/>
        <v>-1.9729999999999999</v>
      </c>
      <c r="P136" s="140">
        <f t="shared" si="126"/>
        <v>-1.57</v>
      </c>
      <c r="Q136" s="140">
        <f>Q15</f>
        <v>-1.1359999999999999</v>
      </c>
      <c r="R136" s="140">
        <f>R15</f>
        <v>-1.1359999999999999</v>
      </c>
      <c r="S136" s="140">
        <f>S15</f>
        <v>-1.1359999999999999</v>
      </c>
      <c r="T136" s="26"/>
      <c r="U136" s="26"/>
      <c r="V136" s="26"/>
      <c r="W136" s="26"/>
      <c r="X136" s="26"/>
      <c r="Y136" s="26"/>
      <c r="Z136" s="26"/>
    </row>
    <row r="137" spans="1:26">
      <c r="A137" s="441" t="s">
        <v>419</v>
      </c>
      <c r="B137" s="26"/>
      <c r="C137" s="416">
        <f t="shared" ref="C137:O137" si="127">C134+C136</f>
        <v>259.18400000000008</v>
      </c>
      <c r="D137" s="416">
        <f t="shared" si="127"/>
        <v>350.74900000000002</v>
      </c>
      <c r="E137" s="416">
        <f t="shared" si="127"/>
        <v>274.32600000000014</v>
      </c>
      <c r="F137" s="416">
        <f t="shared" si="127"/>
        <v>132.32599999999985</v>
      </c>
      <c r="G137" s="416">
        <f t="shared" si="127"/>
        <v>-8.1730000000000871</v>
      </c>
      <c r="H137" s="416">
        <f t="shared" si="127"/>
        <v>124.87300000000009</v>
      </c>
      <c r="I137" s="416">
        <f t="shared" si="127"/>
        <v>179.86999999999978</v>
      </c>
      <c r="J137" s="416">
        <f t="shared" si="127"/>
        <v>229.10700000000023</v>
      </c>
      <c r="K137" s="416">
        <f t="shared" si="127"/>
        <v>290.25499999999977</v>
      </c>
      <c r="L137" s="416">
        <f t="shared" si="127"/>
        <v>214.14899999999986</v>
      </c>
      <c r="M137" s="416">
        <f t="shared" si="127"/>
        <v>176.42900000000049</v>
      </c>
      <c r="N137" s="416">
        <f t="shared" si="127"/>
        <v>167.08200000000045</v>
      </c>
      <c r="O137" s="416">
        <f t="shared" si="127"/>
        <v>165.74199999999979</v>
      </c>
      <c r="P137" s="416">
        <f>P134+P136</f>
        <v>143.59999999999985</v>
      </c>
      <c r="Q137" s="416">
        <f>Q134+Q136</f>
        <v>142.35255509623684</v>
      </c>
      <c r="R137" s="416">
        <f>R134+R136</f>
        <v>163.90151399318924</v>
      </c>
      <c r="S137" s="416">
        <f>S134+S136</f>
        <v>172.58164455890116</v>
      </c>
      <c r="T137" s="26"/>
      <c r="U137" s="26"/>
      <c r="V137" s="26"/>
      <c r="W137" s="26"/>
      <c r="X137" s="26"/>
      <c r="Y137" s="26"/>
      <c r="Z137" s="26"/>
    </row>
    <row r="138" spans="1:26">
      <c r="A138" s="27"/>
      <c r="B138" s="26"/>
      <c r="C138" s="140"/>
      <c r="D138" s="140"/>
      <c r="E138" s="140"/>
      <c r="F138" s="140"/>
      <c r="G138" s="140"/>
      <c r="H138" s="140"/>
      <c r="I138" s="140"/>
      <c r="J138" s="140"/>
      <c r="K138" s="140"/>
      <c r="L138" s="140"/>
      <c r="M138" s="140"/>
      <c r="T138" s="26"/>
      <c r="U138" s="26"/>
      <c r="V138" s="26"/>
      <c r="W138" s="26"/>
      <c r="X138" s="26"/>
      <c r="Y138" s="26"/>
      <c r="Z138" s="26"/>
    </row>
    <row r="139" spans="1:26">
      <c r="A139" s="27" t="s">
        <v>256</v>
      </c>
      <c r="B139" s="26"/>
      <c r="C139" s="140">
        <f t="shared" ref="C139:J139" si="128">C18</f>
        <v>85.496999999999986</v>
      </c>
      <c r="D139" s="140">
        <f t="shared" si="128"/>
        <v>112.56800000000001</v>
      </c>
      <c r="E139" s="140">
        <f t="shared" si="128"/>
        <v>99.635999999999996</v>
      </c>
      <c r="F139" s="140">
        <f t="shared" si="128"/>
        <v>48.012</v>
      </c>
      <c r="G139" s="140">
        <f>G18</f>
        <v>-4.7360000000000015</v>
      </c>
      <c r="H139" s="140">
        <f t="shared" si="128"/>
        <v>45.774000000000001</v>
      </c>
      <c r="I139" s="140">
        <f t="shared" si="128"/>
        <v>63.400000000000006</v>
      </c>
      <c r="J139" s="140">
        <f t="shared" si="128"/>
        <v>84.659000000000006</v>
      </c>
      <c r="K139" s="140">
        <f>K18</f>
        <v>108.82424</v>
      </c>
      <c r="L139" s="140">
        <f>L18</f>
        <v>77.8</v>
      </c>
      <c r="M139" s="140">
        <f t="shared" ref="M139:R139" si="129">M137*M162</f>
        <v>60.290000000000084</v>
      </c>
      <c r="N139" s="140">
        <f t="shared" si="129"/>
        <v>61.527250000000024</v>
      </c>
      <c r="O139" s="140">
        <f t="shared" si="129"/>
        <v>58.503999999999998</v>
      </c>
      <c r="P139" s="140">
        <f t="shared" si="129"/>
        <v>42.599999999999987</v>
      </c>
      <c r="Q139" s="140">
        <f t="shared" si="129"/>
        <v>38.435189875984008</v>
      </c>
      <c r="R139" s="140">
        <f t="shared" si="129"/>
        <v>44.253408778161159</v>
      </c>
      <c r="S139" s="140">
        <f t="shared" ref="S139" si="130">S137*S162</f>
        <v>46.597044030903383</v>
      </c>
      <c r="T139" s="26"/>
      <c r="U139" s="26"/>
      <c r="V139" s="26"/>
      <c r="W139" s="26"/>
      <c r="X139" s="26"/>
      <c r="Y139" s="26"/>
      <c r="Z139" s="26"/>
    </row>
    <row r="140" spans="1:26">
      <c r="A140" s="27"/>
      <c r="B140" s="26"/>
      <c r="C140" s="140"/>
      <c r="D140" s="140"/>
      <c r="E140" s="140"/>
      <c r="F140" s="140"/>
      <c r="G140" s="140"/>
      <c r="H140" s="140"/>
      <c r="I140" s="140"/>
      <c r="J140" s="140"/>
      <c r="K140" s="140"/>
      <c r="L140" s="140"/>
      <c r="M140" s="140"/>
      <c r="T140" s="26"/>
      <c r="U140" s="26"/>
      <c r="V140" s="26"/>
      <c r="W140" s="26"/>
      <c r="X140" s="26"/>
      <c r="Y140" s="26"/>
      <c r="Z140" s="26"/>
    </row>
    <row r="141" spans="1:26">
      <c r="A141" s="27"/>
      <c r="B141" s="26"/>
      <c r="C141" s="140"/>
      <c r="D141" s="140"/>
      <c r="E141" s="140"/>
      <c r="F141" s="140"/>
      <c r="G141" s="140"/>
      <c r="H141" s="140"/>
      <c r="I141" s="140"/>
      <c r="J141" s="140"/>
      <c r="K141" s="140"/>
      <c r="L141" s="140"/>
      <c r="M141" s="140"/>
      <c r="T141" s="26"/>
      <c r="U141" s="26"/>
      <c r="V141" s="26"/>
      <c r="W141" s="26"/>
      <c r="X141" s="26"/>
      <c r="Y141" s="26"/>
      <c r="Z141" s="26"/>
    </row>
    <row r="142" spans="1:26">
      <c r="A142" s="27" t="s">
        <v>209</v>
      </c>
      <c r="B142" s="26"/>
      <c r="C142" s="416">
        <f t="shared" ref="C142:N142" si="131">C137-C139</f>
        <v>173.6870000000001</v>
      </c>
      <c r="D142" s="416">
        <f t="shared" si="131"/>
        <v>238.18100000000001</v>
      </c>
      <c r="E142" s="416">
        <f t="shared" si="131"/>
        <v>174.69000000000014</v>
      </c>
      <c r="F142" s="416">
        <f t="shared" si="131"/>
        <v>84.313999999999851</v>
      </c>
      <c r="G142" s="416">
        <f t="shared" si="131"/>
        <v>-3.4370000000000855</v>
      </c>
      <c r="H142" s="416">
        <f t="shared" si="131"/>
        <v>79.099000000000089</v>
      </c>
      <c r="I142" s="416">
        <f t="shared" si="131"/>
        <v>116.46999999999977</v>
      </c>
      <c r="J142" s="416">
        <f t="shared" si="131"/>
        <v>144.44800000000021</v>
      </c>
      <c r="K142" s="416">
        <f>K137-K139</f>
        <v>181.43075999999976</v>
      </c>
      <c r="L142" s="416">
        <f>L137-L139</f>
        <v>136.34899999999988</v>
      </c>
      <c r="M142" s="416">
        <f t="shared" si="131"/>
        <v>116.13900000000041</v>
      </c>
      <c r="N142" s="416">
        <f t="shared" si="131"/>
        <v>105.55475000000042</v>
      </c>
      <c r="O142" s="416">
        <f>O137-O139</f>
        <v>107.2379999999998</v>
      </c>
      <c r="P142" s="416">
        <f>P137-P139</f>
        <v>100.99999999999986</v>
      </c>
      <c r="Q142" s="416">
        <f>Q137-Q139</f>
        <v>103.91736522025283</v>
      </c>
      <c r="R142" s="416">
        <f>R137-R139</f>
        <v>119.64810521502808</v>
      </c>
      <c r="S142" s="416">
        <f>S137-S139</f>
        <v>125.98460052799777</v>
      </c>
      <c r="T142" s="26"/>
      <c r="U142" s="26"/>
      <c r="V142" s="26"/>
      <c r="W142" s="26"/>
      <c r="X142" s="26"/>
      <c r="Y142" s="26"/>
      <c r="Z142" s="26"/>
    </row>
    <row r="143" spans="1:26">
      <c r="A143" s="27"/>
      <c r="B143" s="26"/>
      <c r="T143" s="26"/>
      <c r="U143" s="26"/>
      <c r="V143" s="26"/>
      <c r="W143" s="26"/>
      <c r="X143" s="26"/>
      <c r="Y143" s="26"/>
      <c r="Z143" s="26"/>
    </row>
    <row r="144" spans="1:26">
      <c r="A144" s="214" t="s">
        <v>514</v>
      </c>
      <c r="B144" s="26"/>
      <c r="C144" s="412">
        <f t="shared" ref="C144:P144" si="132">C142/C145</f>
        <v>0.9641296926433125</v>
      </c>
      <c r="D144" s="412">
        <f t="shared" si="132"/>
        <v>1.3057596158063245</v>
      </c>
      <c r="E144" s="412">
        <f t="shared" si="132"/>
        <v>0.97891870082711396</v>
      </c>
      <c r="F144" s="412">
        <f t="shared" si="132"/>
        <v>0.47809248391029374</v>
      </c>
      <c r="G144" s="412">
        <f t="shared" si="132"/>
        <v>-1.9461399952436981E-2</v>
      </c>
      <c r="H144" s="412">
        <f t="shared" si="132"/>
        <v>0.44224468572834363</v>
      </c>
      <c r="I144" s="412">
        <f t="shared" si="132"/>
        <v>0.65420088297740753</v>
      </c>
      <c r="J144" s="412">
        <f t="shared" si="132"/>
        <v>0.84844640234948732</v>
      </c>
      <c r="K144" s="412">
        <f>K142/K145</f>
        <v>1.0913168266424875</v>
      </c>
      <c r="L144" s="412">
        <f>L142/L145</f>
        <v>0.8524892490376188</v>
      </c>
      <c r="M144" s="412">
        <f t="shared" si="132"/>
        <v>0.77361016745933686</v>
      </c>
      <c r="N144" s="412">
        <f t="shared" si="132"/>
        <v>0.76080430442335301</v>
      </c>
      <c r="O144" s="412">
        <f t="shared" si="132"/>
        <v>0.82977784999651649</v>
      </c>
      <c r="P144" s="412">
        <f t="shared" si="132"/>
        <v>0.80540337950447638</v>
      </c>
      <c r="Q144" s="412">
        <f>Q142/Q145</f>
        <v>0.86137447547208401</v>
      </c>
      <c r="R144" s="412">
        <f>R142/R145</f>
        <v>1.0539273757781109</v>
      </c>
      <c r="S144" s="412">
        <f>S142/S145</f>
        <v>1.1532802101971913</v>
      </c>
      <c r="T144" s="26"/>
      <c r="U144" s="26"/>
      <c r="V144" s="26"/>
      <c r="W144" s="26"/>
      <c r="X144" s="26"/>
      <c r="Y144" s="26"/>
      <c r="Z144" s="26"/>
    </row>
    <row r="145" spans="1:26">
      <c r="A145" s="27" t="s">
        <v>210</v>
      </c>
      <c r="B145" s="26"/>
      <c r="C145" s="140">
        <f t="shared" ref="C145:J145" si="133">C24</f>
        <v>180.149</v>
      </c>
      <c r="D145" s="140">
        <f t="shared" si="133"/>
        <v>182.40799999999999</v>
      </c>
      <c r="E145" s="140">
        <f t="shared" si="133"/>
        <v>178.452</v>
      </c>
      <c r="F145" s="140">
        <f t="shared" si="133"/>
        <v>176.35499999999999</v>
      </c>
      <c r="G145" s="140">
        <f>G24</f>
        <v>176.60599999999999</v>
      </c>
      <c r="H145" s="140">
        <f t="shared" si="133"/>
        <v>178.858</v>
      </c>
      <c r="I145" s="140">
        <f t="shared" si="133"/>
        <v>178.03399999999999</v>
      </c>
      <c r="J145" s="140">
        <f t="shared" si="133"/>
        <v>170.25</v>
      </c>
      <c r="K145" s="140">
        <f>K24</f>
        <v>166.249393</v>
      </c>
      <c r="L145" s="140">
        <f>L24</f>
        <v>159.94219299999997</v>
      </c>
      <c r="M145" s="447">
        <f t="shared" ref="M145:R145" si="134">INDEX(M146:M148,MATCH($X$150,$Z$150:$Z$152,0))</f>
        <v>150.126</v>
      </c>
      <c r="N145" s="447">
        <f t="shared" si="134"/>
        <v>138.74100000000001</v>
      </c>
      <c r="O145" s="447">
        <f t="shared" si="134"/>
        <v>129.23699999999999</v>
      </c>
      <c r="P145" s="447">
        <f t="shared" si="134"/>
        <v>125.40300000000001</v>
      </c>
      <c r="Q145" s="447">
        <f t="shared" si="134"/>
        <v>120.64133333333332</v>
      </c>
      <c r="R145" s="447">
        <f t="shared" si="134"/>
        <v>113.52594871794871</v>
      </c>
      <c r="S145" s="447">
        <f t="shared" ref="S145" si="135">INDEX(S146:S148,MATCH($X$150,$Z$150:$Z$152,0))</f>
        <v>109.24023443223442</v>
      </c>
      <c r="T145" s="26"/>
      <c r="U145" s="26"/>
      <c r="V145" s="26"/>
      <c r="W145" s="26"/>
      <c r="X145" s="26"/>
      <c r="Y145" s="26"/>
      <c r="Z145" s="26"/>
    </row>
    <row r="146" spans="1:26" hidden="1" outlineLevel="1">
      <c r="A146" s="441" t="s">
        <v>340</v>
      </c>
      <c r="B146" s="26"/>
      <c r="C146" s="140"/>
      <c r="D146" s="140"/>
      <c r="E146" s="140"/>
      <c r="F146" s="140"/>
      <c r="G146" s="140"/>
      <c r="H146" s="140"/>
      <c r="I146" s="140"/>
      <c r="J146" s="140"/>
      <c r="K146" s="140"/>
      <c r="L146" s="140"/>
      <c r="M146" s="447">
        <f t="shared" ref="M146:R146" si="136">M63</f>
        <v>150.126</v>
      </c>
      <c r="N146" s="447">
        <f t="shared" si="136"/>
        <v>138.74100000000001</v>
      </c>
      <c r="O146" s="447">
        <f t="shared" si="136"/>
        <v>129.23699999999999</v>
      </c>
      <c r="P146" s="447">
        <f t="shared" si="136"/>
        <v>125.40300000000001</v>
      </c>
      <c r="Q146" s="447">
        <f t="shared" si="136"/>
        <v>120.64133333333332</v>
      </c>
      <c r="R146" s="447">
        <f t="shared" si="136"/>
        <v>113.52594871794871</v>
      </c>
      <c r="S146" s="447">
        <f t="shared" ref="S146" si="137">S63</f>
        <v>109.24023443223442</v>
      </c>
      <c r="T146" s="26"/>
      <c r="U146" s="26"/>
      <c r="V146" s="26"/>
      <c r="W146" s="26"/>
      <c r="X146" s="26"/>
      <c r="Y146" s="26"/>
      <c r="Z146" s="26"/>
    </row>
    <row r="147" spans="1:26" hidden="1" outlineLevel="1">
      <c r="A147" s="441" t="s">
        <v>155</v>
      </c>
      <c r="B147" s="26"/>
      <c r="C147" s="140"/>
      <c r="D147" s="140"/>
      <c r="E147" s="140"/>
      <c r="F147" s="140"/>
      <c r="G147" s="140"/>
      <c r="H147" s="140"/>
      <c r="I147" s="140"/>
      <c r="J147" s="140"/>
      <c r="K147" s="140"/>
      <c r="L147" s="140"/>
      <c r="M147" s="447">
        <f t="shared" ref="M147:R147" si="138">M24</f>
        <v>150.126</v>
      </c>
      <c r="N147" s="447">
        <f t="shared" si="138"/>
        <v>138.74100000000001</v>
      </c>
      <c r="O147" s="447">
        <f t="shared" si="138"/>
        <v>129.23699999999999</v>
      </c>
      <c r="P147" s="447">
        <f t="shared" si="138"/>
        <v>125.40300000000001</v>
      </c>
      <c r="Q147" s="447">
        <f t="shared" si="138"/>
        <v>120.64133333333332</v>
      </c>
      <c r="R147" s="447">
        <f t="shared" si="138"/>
        <v>113.52594871794871</v>
      </c>
      <c r="S147" s="447">
        <f t="shared" ref="S147" si="139">S24</f>
        <v>109.24023443223442</v>
      </c>
      <c r="T147" s="26"/>
      <c r="U147" s="26"/>
      <c r="V147" s="26"/>
      <c r="W147" s="26"/>
      <c r="X147" s="26"/>
      <c r="Y147" s="26"/>
      <c r="Z147" s="26"/>
    </row>
    <row r="148" spans="1:26" hidden="1" outlineLevel="1">
      <c r="A148" s="441" t="s">
        <v>341</v>
      </c>
      <c r="B148" s="26"/>
      <c r="C148" s="140"/>
      <c r="D148" s="140"/>
      <c r="E148" s="140"/>
      <c r="F148" s="140"/>
      <c r="G148" s="140"/>
      <c r="H148" s="140"/>
      <c r="I148" s="140"/>
      <c r="J148" s="140"/>
      <c r="K148" s="140"/>
      <c r="L148" s="140"/>
      <c r="M148" s="447">
        <f t="shared" ref="M148:R148" si="140">M104</f>
        <v>150.126</v>
      </c>
      <c r="N148" s="447">
        <f t="shared" si="140"/>
        <v>138.74100000000001</v>
      </c>
      <c r="O148" s="447">
        <f t="shared" si="140"/>
        <v>129.23699999999999</v>
      </c>
      <c r="P148" s="447">
        <f t="shared" si="140"/>
        <v>125.40300000000001</v>
      </c>
      <c r="Q148" s="447">
        <f t="shared" si="140"/>
        <v>120.64133333333332</v>
      </c>
      <c r="R148" s="447">
        <f t="shared" si="140"/>
        <v>113.52594871794871</v>
      </c>
      <c r="S148" s="447">
        <f t="shared" ref="S148" si="141">S104</f>
        <v>109.24023443223442</v>
      </c>
      <c r="T148" s="26"/>
      <c r="U148" s="26"/>
      <c r="V148" s="26"/>
      <c r="W148" s="26"/>
      <c r="X148" s="26"/>
      <c r="Y148" s="26"/>
      <c r="Z148" s="26"/>
    </row>
    <row r="149" spans="1:26" ht="13.5" collapsed="1" thickBot="1">
      <c r="A149" s="27"/>
      <c r="B149" s="26"/>
      <c r="M149" s="115"/>
      <c r="N149" s="115"/>
      <c r="O149" s="115"/>
      <c r="P149" s="115"/>
      <c r="Q149" s="115"/>
      <c r="R149" s="115"/>
      <c r="S149" s="115"/>
      <c r="T149" s="26"/>
      <c r="U149" s="26"/>
      <c r="V149" s="26"/>
      <c r="W149" s="26"/>
      <c r="X149" s="26"/>
      <c r="Y149" s="26"/>
      <c r="Z149" s="26"/>
    </row>
    <row r="150" spans="1:26" ht="13.5" thickBot="1">
      <c r="A150" s="27" t="s">
        <v>418</v>
      </c>
      <c r="B150" s="26"/>
      <c r="C150" s="416">
        <f>C133+C134</f>
        <v>289.3370000000001</v>
      </c>
      <c r="D150" s="416">
        <f>D133+D134</f>
        <v>386.714</v>
      </c>
      <c r="E150" s="416">
        <f>E133+E134</f>
        <v>325.54100000000017</v>
      </c>
      <c r="F150" s="416">
        <f>F133+F134</f>
        <v>203.05099999999987</v>
      </c>
      <c r="G150" s="416">
        <f t="shared" ref="G150:P150" si="142">G133+G134</f>
        <v>81.642999999999915</v>
      </c>
      <c r="H150" s="416">
        <f>H133+H134</f>
        <v>219.5510000000001</v>
      </c>
      <c r="I150" s="416">
        <f>I133+I134</f>
        <v>272.27099999999979</v>
      </c>
      <c r="J150" s="416">
        <f>J133+J134</f>
        <v>326.94000000000023</v>
      </c>
      <c r="K150" s="416">
        <f>K133+K134</f>
        <v>397.8449999999998</v>
      </c>
      <c r="L150" s="416">
        <f>L133+L134</f>
        <v>331.95299999999986</v>
      </c>
      <c r="M150" s="448">
        <f t="shared" si="142"/>
        <v>298.60000000000048</v>
      </c>
      <c r="N150" s="448">
        <f t="shared" si="142"/>
        <v>287.75200000000046</v>
      </c>
      <c r="O150" s="448">
        <f t="shared" si="142"/>
        <v>276.96599999999978</v>
      </c>
      <c r="P150" s="448">
        <f t="shared" si="142"/>
        <v>241.47999999999985</v>
      </c>
      <c r="Q150" s="448">
        <f>Q133+Q134</f>
        <v>237.48855509623684</v>
      </c>
      <c r="R150" s="448">
        <f>R133+R134</f>
        <v>261.03751399318924</v>
      </c>
      <c r="S150" s="448">
        <f>S133+S134</f>
        <v>271.71764455890116</v>
      </c>
      <c r="T150" s="26"/>
      <c r="U150" s="26"/>
      <c r="V150" s="26"/>
      <c r="W150" s="442" t="s">
        <v>156</v>
      </c>
      <c r="X150" s="443" t="s">
        <v>325</v>
      </c>
      <c r="Y150" s="26"/>
      <c r="Z150" s="444" t="s">
        <v>340</v>
      </c>
    </row>
    <row r="151" spans="1:26">
      <c r="A151" s="27"/>
      <c r="B151" s="26"/>
      <c r="M151" s="115"/>
      <c r="N151" s="115"/>
      <c r="O151" s="115"/>
      <c r="P151" s="115"/>
      <c r="Q151" s="115"/>
      <c r="R151" s="115"/>
      <c r="S151" s="115"/>
      <c r="T151" s="26"/>
      <c r="U151" s="26"/>
      <c r="V151" s="26"/>
      <c r="W151" s="26"/>
      <c r="X151" s="26"/>
      <c r="Y151" s="26"/>
      <c r="Z151" s="444" t="s">
        <v>155</v>
      </c>
    </row>
    <row r="152" spans="1:26">
      <c r="A152" s="30" t="s">
        <v>261</v>
      </c>
      <c r="B152" s="26"/>
      <c r="M152" s="115"/>
      <c r="N152" s="115"/>
      <c r="O152" s="115"/>
      <c r="P152" s="115"/>
      <c r="Q152" s="115"/>
      <c r="R152" s="115"/>
      <c r="S152" s="115"/>
      <c r="T152" s="26"/>
      <c r="U152" s="26"/>
      <c r="V152" s="26"/>
      <c r="W152" s="26"/>
      <c r="X152" s="26"/>
      <c r="Y152" s="26"/>
      <c r="Z152" s="445" t="s">
        <v>341</v>
      </c>
    </row>
    <row r="153" spans="1:26">
      <c r="A153" s="27" t="s">
        <v>420</v>
      </c>
      <c r="B153" s="26"/>
      <c r="C153" s="113">
        <f t="shared" ref="C153:J153" si="143">C131/C127</f>
        <v>0.61391325376189687</v>
      </c>
      <c r="D153" s="113">
        <f t="shared" si="143"/>
        <v>0.61017959169143687</v>
      </c>
      <c r="E153" s="113">
        <f t="shared" si="143"/>
        <v>0.58941378866945338</v>
      </c>
      <c r="F153" s="113">
        <f t="shared" si="143"/>
        <v>0.56527255301934809</v>
      </c>
      <c r="G153" s="113">
        <f t="shared" si="143"/>
        <v>0.5178778617849803</v>
      </c>
      <c r="H153" s="113">
        <f t="shared" si="143"/>
        <v>0.56021915172684722</v>
      </c>
      <c r="I153" s="113">
        <f t="shared" si="143"/>
        <v>0.5609527429101766</v>
      </c>
      <c r="J153" s="113">
        <f t="shared" si="143"/>
        <v>0.55836520424702696</v>
      </c>
      <c r="K153" s="113">
        <f>K131/K127</f>
        <v>0.56248273478656219</v>
      </c>
      <c r="L153" s="113">
        <f>L131/L127</f>
        <v>0.54779997347292397</v>
      </c>
      <c r="M153" s="212">
        <f t="shared" ref="M153:R153" si="144">INDEX(M154:M156,MATCH($X$150,$Z$150:$Z$152,0))</f>
        <v>0.38510400589267646</v>
      </c>
      <c r="N153" s="212">
        <f t="shared" si="144"/>
        <v>0.38845719552406649</v>
      </c>
      <c r="O153" s="212">
        <f t="shared" si="144"/>
        <v>0.38234218081820048</v>
      </c>
      <c r="P153" s="212">
        <f t="shared" si="144"/>
        <v>0.37889281315679818</v>
      </c>
      <c r="Q153" s="212">
        <f t="shared" si="144"/>
        <v>0.3920568139304863</v>
      </c>
      <c r="R153" s="212">
        <f t="shared" si="144"/>
        <v>0.38390000000000002</v>
      </c>
      <c r="S153" s="212">
        <f t="shared" ref="S153" si="145">INDEX(S154:S156,MATCH($X$150,$Z$150:$Z$152,0))</f>
        <v>0.38549999999999995</v>
      </c>
      <c r="T153" s="26"/>
      <c r="U153" s="26"/>
      <c r="V153" s="26"/>
      <c r="W153" s="26"/>
      <c r="X153" s="26"/>
      <c r="Y153" s="26"/>
      <c r="Z153" s="26"/>
    </row>
    <row r="154" spans="1:26" outlineLevel="1">
      <c r="A154" s="441" t="s">
        <v>340</v>
      </c>
      <c r="B154" s="26"/>
      <c r="C154" s="113"/>
      <c r="D154" s="113"/>
      <c r="E154" s="113"/>
      <c r="F154" s="113"/>
      <c r="G154" s="113"/>
      <c r="H154" s="113"/>
      <c r="I154" s="113"/>
      <c r="J154" s="113"/>
      <c r="K154" s="113"/>
      <c r="L154" s="113"/>
      <c r="M154" s="212">
        <f t="shared" ref="M154:R154" si="146">M68</f>
        <v>0.38510400589267646</v>
      </c>
      <c r="N154" s="212">
        <f t="shared" si="146"/>
        <v>0.38845719552406649</v>
      </c>
      <c r="O154" s="212">
        <f t="shared" si="146"/>
        <v>0.38234218081820048</v>
      </c>
      <c r="P154" s="212">
        <f t="shared" si="146"/>
        <v>0.37889281315679818</v>
      </c>
      <c r="Q154" s="212">
        <f t="shared" si="146"/>
        <v>0.40405681393048631</v>
      </c>
      <c r="R154" s="212">
        <f t="shared" si="146"/>
        <v>0.39390000000000003</v>
      </c>
      <c r="S154" s="212">
        <f t="shared" ref="S154" si="147">S68</f>
        <v>0.39549999999999996</v>
      </c>
      <c r="T154" s="26"/>
      <c r="U154" s="26"/>
      <c r="V154" s="26"/>
      <c r="W154" s="26"/>
      <c r="X154" s="26"/>
      <c r="Y154" s="26"/>
      <c r="Z154" s="26"/>
    </row>
    <row r="155" spans="1:26" outlineLevel="1">
      <c r="A155" s="441" t="s">
        <v>155</v>
      </c>
      <c r="B155" s="26"/>
      <c r="C155" s="113"/>
      <c r="D155" s="113"/>
      <c r="E155" s="113"/>
      <c r="F155" s="113"/>
      <c r="G155" s="113"/>
      <c r="H155" s="113"/>
      <c r="I155" s="113"/>
      <c r="J155" s="113"/>
      <c r="K155" s="113"/>
      <c r="L155" s="113"/>
      <c r="M155" s="212">
        <f t="shared" ref="M155:R155" si="148">M29</f>
        <v>0.38510400589267646</v>
      </c>
      <c r="N155" s="212">
        <f t="shared" si="148"/>
        <v>0.38845719552406649</v>
      </c>
      <c r="O155" s="212">
        <f t="shared" si="148"/>
        <v>0.38234218081820048</v>
      </c>
      <c r="P155" s="212">
        <f t="shared" si="148"/>
        <v>0.37889281315679818</v>
      </c>
      <c r="Q155" s="212">
        <f t="shared" si="148"/>
        <v>0.3920568139304863</v>
      </c>
      <c r="R155" s="212">
        <f t="shared" si="148"/>
        <v>0.38390000000000002</v>
      </c>
      <c r="S155" s="212">
        <f t="shared" ref="S155" si="149">S29</f>
        <v>0.38549999999999995</v>
      </c>
      <c r="T155" s="26"/>
      <c r="U155" s="26"/>
      <c r="V155" s="26"/>
      <c r="W155" s="26"/>
      <c r="X155" s="26"/>
      <c r="Y155" s="26"/>
      <c r="Z155" s="26"/>
    </row>
    <row r="156" spans="1:26" outlineLevel="1">
      <c r="A156" s="441" t="s">
        <v>341</v>
      </c>
      <c r="B156" s="26"/>
      <c r="C156" s="113"/>
      <c r="D156" s="113"/>
      <c r="E156" s="113"/>
      <c r="F156" s="113"/>
      <c r="G156" s="113"/>
      <c r="H156" s="113"/>
      <c r="I156" s="113"/>
      <c r="J156" s="113"/>
      <c r="K156" s="113"/>
      <c r="L156" s="113"/>
      <c r="M156" s="212">
        <f t="shared" ref="M156:R156" si="150">M109</f>
        <v>0.38510400589267646</v>
      </c>
      <c r="N156" s="212">
        <f t="shared" si="150"/>
        <v>0.38845719552406649</v>
      </c>
      <c r="O156" s="212">
        <f t="shared" si="150"/>
        <v>0.38234218081820048</v>
      </c>
      <c r="P156" s="212">
        <f t="shared" si="150"/>
        <v>0.37889281315679818</v>
      </c>
      <c r="Q156" s="212">
        <f t="shared" si="150"/>
        <v>0.38205681393048629</v>
      </c>
      <c r="R156" s="212">
        <f t="shared" si="150"/>
        <v>0.3679</v>
      </c>
      <c r="S156" s="212">
        <f t="shared" ref="S156" si="151">S109</f>
        <v>0.36949999999999994</v>
      </c>
      <c r="T156" s="26"/>
      <c r="U156" s="26"/>
      <c r="V156" s="26"/>
      <c r="W156" s="26"/>
      <c r="X156" s="26"/>
      <c r="Y156" s="26"/>
      <c r="Z156" s="26"/>
    </row>
    <row r="157" spans="1:26">
      <c r="A157" s="27" t="s">
        <v>263</v>
      </c>
      <c r="B157" s="26"/>
      <c r="C157" s="113">
        <f t="shared" ref="C157:J157" si="152">C132/C127</f>
        <v>0.37315935595501654</v>
      </c>
      <c r="D157" s="113">
        <f t="shared" si="152"/>
        <v>0.36632362102415322</v>
      </c>
      <c r="E157" s="113">
        <f t="shared" si="152"/>
        <v>0.42871194148185748</v>
      </c>
      <c r="F157" s="113">
        <f t="shared" si="152"/>
        <v>0.49442375929446369</v>
      </c>
      <c r="G157" s="113">
        <f t="shared" si="152"/>
        <v>0.52794419124319714</v>
      </c>
      <c r="H157" s="113">
        <f t="shared" si="152"/>
        <v>0.48831714192152348</v>
      </c>
      <c r="I157" s="113">
        <f t="shared" si="152"/>
        <v>0.46743069758066208</v>
      </c>
      <c r="J157" s="113">
        <f t="shared" si="152"/>
        <v>0.45478018175526774</v>
      </c>
      <c r="K157" s="113">
        <f>K132/K127</f>
        <v>0.45036820186458493</v>
      </c>
      <c r="L157" s="113">
        <f>L132/L127</f>
        <v>0.46518321276919089</v>
      </c>
      <c r="M157" s="212">
        <f t="shared" ref="M157:R157" si="153">INDEX(M158:M160,MATCH($X$150,$Z$150:$Z$152,0))</f>
        <v>0.31703131719693284</v>
      </c>
      <c r="N157" s="212">
        <f t="shared" si="153"/>
        <v>0.32280871904028069</v>
      </c>
      <c r="O157" s="212">
        <f t="shared" si="153"/>
        <v>0.314617127212376</v>
      </c>
      <c r="P157" s="212">
        <f t="shared" si="153"/>
        <v>0.31528812699380776</v>
      </c>
      <c r="Q157" s="212">
        <f t="shared" si="153"/>
        <v>0.32639308849277143</v>
      </c>
      <c r="R157" s="212">
        <f t="shared" si="153"/>
        <v>0.307</v>
      </c>
      <c r="S157" s="212">
        <f t="shared" ref="S157" si="154">INDEX(S158:S160,MATCH($X$150,$Z$150:$Z$152,0))</f>
        <v>0.3044</v>
      </c>
      <c r="T157" s="26"/>
      <c r="U157" s="26"/>
      <c r="V157" s="26"/>
      <c r="W157" s="26"/>
      <c r="X157" s="26"/>
      <c r="Y157" s="26"/>
      <c r="Z157" s="26"/>
    </row>
    <row r="158" spans="1:26" outlineLevel="1">
      <c r="A158" s="441" t="s">
        <v>340</v>
      </c>
      <c r="B158" s="26"/>
      <c r="C158" s="113"/>
      <c r="D158" s="113"/>
      <c r="E158" s="113"/>
      <c r="F158" s="113"/>
      <c r="G158" s="113"/>
      <c r="H158" s="113"/>
      <c r="I158" s="113"/>
      <c r="J158" s="113"/>
      <c r="K158" s="113"/>
      <c r="L158" s="113"/>
      <c r="M158" s="212">
        <f t="shared" ref="M158:R158" si="155">M69</f>
        <v>0.31703131719693284</v>
      </c>
      <c r="N158" s="212">
        <f t="shared" si="155"/>
        <v>0.32280871904028069</v>
      </c>
      <c r="O158" s="212">
        <f t="shared" si="155"/>
        <v>0.314617127212376</v>
      </c>
      <c r="P158" s="212">
        <f t="shared" si="155"/>
        <v>0.31528812699380776</v>
      </c>
      <c r="Q158" s="212">
        <f t="shared" si="155"/>
        <v>0.31839308849277143</v>
      </c>
      <c r="R158" s="212">
        <f t="shared" si="155"/>
        <v>0.30599999999999999</v>
      </c>
      <c r="S158" s="212">
        <f t="shared" ref="S158" si="156">S69</f>
        <v>0.3034</v>
      </c>
      <c r="T158" s="26"/>
      <c r="U158" s="26"/>
      <c r="V158" s="26"/>
      <c r="W158" s="26"/>
      <c r="X158" s="26"/>
      <c r="Y158" s="26"/>
      <c r="Z158" s="26"/>
    </row>
    <row r="159" spans="1:26" outlineLevel="1">
      <c r="A159" s="441" t="s">
        <v>155</v>
      </c>
      <c r="B159" s="26"/>
      <c r="C159" s="113"/>
      <c r="D159" s="113"/>
      <c r="E159" s="113"/>
      <c r="F159" s="113"/>
      <c r="G159" s="113"/>
      <c r="H159" s="113"/>
      <c r="I159" s="113"/>
      <c r="J159" s="113"/>
      <c r="K159" s="113"/>
      <c r="L159" s="113"/>
      <c r="M159" s="212">
        <f t="shared" ref="M159:R159" si="157">M30</f>
        <v>0.31703131719693284</v>
      </c>
      <c r="N159" s="212">
        <f t="shared" si="157"/>
        <v>0.32280871904028069</v>
      </c>
      <c r="O159" s="212">
        <f t="shared" si="157"/>
        <v>0.314617127212376</v>
      </c>
      <c r="P159" s="212">
        <f t="shared" si="157"/>
        <v>0.31528812699380776</v>
      </c>
      <c r="Q159" s="212">
        <f t="shared" si="157"/>
        <v>0.32639308849277143</v>
      </c>
      <c r="R159" s="212">
        <f t="shared" si="157"/>
        <v>0.307</v>
      </c>
      <c r="S159" s="212">
        <f t="shared" ref="S159" si="158">S30</f>
        <v>0.3044</v>
      </c>
      <c r="T159" s="26"/>
      <c r="U159" s="26"/>
      <c r="V159" s="26"/>
      <c r="W159" s="26"/>
      <c r="X159" s="26"/>
      <c r="Y159" s="26"/>
      <c r="Z159" s="26"/>
    </row>
    <row r="160" spans="1:26" outlineLevel="1">
      <c r="A160" s="441" t="s">
        <v>341</v>
      </c>
      <c r="B160" s="26"/>
      <c r="C160" s="113"/>
      <c r="D160" s="113"/>
      <c r="E160" s="113"/>
      <c r="F160" s="113"/>
      <c r="G160" s="113"/>
      <c r="H160" s="113"/>
      <c r="I160" s="113"/>
      <c r="J160" s="113"/>
      <c r="K160" s="113"/>
      <c r="L160" s="113"/>
      <c r="M160" s="212">
        <f t="shared" ref="M160:R160" si="159">M110</f>
        <v>0.31703131719693284</v>
      </c>
      <c r="N160" s="212">
        <f t="shared" si="159"/>
        <v>0.32280871904028069</v>
      </c>
      <c r="O160" s="212">
        <f t="shared" si="159"/>
        <v>0.314617127212376</v>
      </c>
      <c r="P160" s="212">
        <f t="shared" si="159"/>
        <v>0.31528812699380776</v>
      </c>
      <c r="Q160" s="212">
        <f t="shared" si="159"/>
        <v>0.35139308849277145</v>
      </c>
      <c r="R160" s="212">
        <f t="shared" si="159"/>
        <v>0.34199999999999997</v>
      </c>
      <c r="S160" s="212">
        <f t="shared" ref="S160" si="160">S110</f>
        <v>0.33940000000000003</v>
      </c>
      <c r="T160" s="26"/>
      <c r="U160" s="26"/>
      <c r="V160" s="26"/>
      <c r="W160" s="26"/>
      <c r="X160" s="26"/>
      <c r="Y160" s="26"/>
      <c r="Z160" s="26"/>
    </row>
    <row r="161" spans="1:26">
      <c r="A161" s="27" t="s">
        <v>241</v>
      </c>
      <c r="B161" s="26"/>
      <c r="C161" s="113">
        <f>C134/C127</f>
        <v>0.24075389780688033</v>
      </c>
      <c r="D161" s="113">
        <f>D134/D127</f>
        <v>0.24385597066728371</v>
      </c>
      <c r="E161" s="113">
        <f>E134/E127</f>
        <v>0.16070184718759586</v>
      </c>
      <c r="F161" s="113">
        <f>F134/F127</f>
        <v>7.0848793724884382E-2</v>
      </c>
      <c r="G161" s="113">
        <f t="shared" ref="G161:P161" si="161">G134/G127</f>
        <v>-1.0066329458216793E-2</v>
      </c>
      <c r="H161" s="113">
        <f t="shared" si="161"/>
        <v>7.1902009805323686E-2</v>
      </c>
      <c r="I161" s="113">
        <f t="shared" si="161"/>
        <v>9.3522045329514469E-2</v>
      </c>
      <c r="J161" s="113">
        <f t="shared" si="161"/>
        <v>0.10358502249175919</v>
      </c>
      <c r="K161" s="113">
        <f>K134/K127</f>
        <v>0.11211453292197725</v>
      </c>
      <c r="L161" s="113">
        <f>L134/L127</f>
        <v>8.2616760703733111E-2</v>
      </c>
      <c r="M161" s="212">
        <f t="shared" si="161"/>
        <v>6.8072688695743663E-2</v>
      </c>
      <c r="N161" s="212">
        <f t="shared" si="161"/>
        <v>6.5648476483785828E-2</v>
      </c>
      <c r="O161" s="212">
        <f t="shared" si="161"/>
        <v>6.7725053605824481E-2</v>
      </c>
      <c r="P161" s="212">
        <f t="shared" si="161"/>
        <v>6.3604686162990393E-2</v>
      </c>
      <c r="Q161" s="212">
        <f>Q134/Q127</f>
        <v>6.5663725437714857E-2</v>
      </c>
      <c r="R161" s="212">
        <f>R134/R127</f>
        <v>7.6900000000000052E-2</v>
      </c>
      <c r="S161" s="212">
        <f>S134/S127</f>
        <v>8.1099999999999922E-2</v>
      </c>
      <c r="T161" s="26"/>
      <c r="U161" s="26"/>
      <c r="V161" s="26"/>
      <c r="W161" s="26"/>
      <c r="X161" s="26"/>
      <c r="Y161" s="26"/>
      <c r="Z161" s="26"/>
    </row>
    <row r="162" spans="1:26">
      <c r="A162" s="27" t="s">
        <v>265</v>
      </c>
      <c r="B162" s="26"/>
      <c r="C162" s="113">
        <f t="shared" ref="C162:J162" si="162">C139/C137</f>
        <v>0.32986989937650457</v>
      </c>
      <c r="D162" s="113">
        <f t="shared" si="162"/>
        <v>0.32093605398732428</v>
      </c>
      <c r="E162" s="113">
        <f t="shared" si="162"/>
        <v>0.36320290457339061</v>
      </c>
      <c r="F162" s="113">
        <f t="shared" si="162"/>
        <v>0.36283118963771332</v>
      </c>
      <c r="G162" s="113">
        <f t="shared" si="162"/>
        <v>0.5794689832374833</v>
      </c>
      <c r="H162" s="113">
        <f t="shared" si="162"/>
        <v>0.36656442946033146</v>
      </c>
      <c r="I162" s="113">
        <f t="shared" si="162"/>
        <v>0.35247678879190575</v>
      </c>
      <c r="J162" s="113">
        <f t="shared" si="162"/>
        <v>0.3695172997769598</v>
      </c>
      <c r="K162" s="113">
        <f>K139/K137</f>
        <v>0.37492632340528187</v>
      </c>
      <c r="L162" s="113">
        <f>L139/L137</f>
        <v>0.36329845107845493</v>
      </c>
      <c r="M162" s="212">
        <f t="shared" ref="M162:R162" si="163">INDEX(M163:M165,MATCH($X$150,$Z$150:$Z$152,0))</f>
        <v>0.34172386625781431</v>
      </c>
      <c r="N162" s="212">
        <f t="shared" si="163"/>
        <v>0.36824583138817979</v>
      </c>
      <c r="O162" s="212">
        <f t="shared" si="163"/>
        <v>0.35298234605591866</v>
      </c>
      <c r="P162" s="212">
        <f t="shared" si="163"/>
        <v>0.29665738161559913</v>
      </c>
      <c r="Q162" s="212">
        <f t="shared" si="163"/>
        <v>0.27000000000000041</v>
      </c>
      <c r="R162" s="212">
        <f t="shared" si="163"/>
        <v>0.27000000000000041</v>
      </c>
      <c r="S162" s="212">
        <f t="shared" ref="S162" si="164">INDEX(S163:S165,MATCH($X$150,$Z$150:$Z$152,0))</f>
        <v>0.27000000000000041</v>
      </c>
      <c r="T162" s="26"/>
      <c r="U162" s="26"/>
      <c r="V162" s="26"/>
      <c r="W162" s="26"/>
      <c r="X162" s="26"/>
      <c r="Y162" s="26"/>
      <c r="Z162" s="26"/>
    </row>
    <row r="163" spans="1:26" hidden="1" outlineLevel="1">
      <c r="A163" s="441" t="s">
        <v>340</v>
      </c>
      <c r="B163" s="26"/>
      <c r="C163" s="113"/>
      <c r="D163" s="113"/>
      <c r="E163" s="113"/>
      <c r="F163" s="113"/>
      <c r="G163" s="113"/>
      <c r="H163" s="113"/>
      <c r="I163" s="113"/>
      <c r="J163" s="113"/>
      <c r="K163" s="113"/>
      <c r="L163" s="113"/>
      <c r="M163" s="212">
        <f t="shared" ref="M163:R163" si="165">M71</f>
        <v>0.34172386625781431</v>
      </c>
      <c r="N163" s="212">
        <f t="shared" si="165"/>
        <v>0.36824583138817979</v>
      </c>
      <c r="O163" s="212">
        <f t="shared" si="165"/>
        <v>0.35298234605591866</v>
      </c>
      <c r="P163" s="212">
        <f t="shared" si="165"/>
        <v>0.29665738161559913</v>
      </c>
      <c r="Q163" s="212">
        <f t="shared" si="165"/>
        <v>0.27000000000000041</v>
      </c>
      <c r="R163" s="212">
        <f t="shared" si="165"/>
        <v>0.27000000000000041</v>
      </c>
      <c r="S163" s="212">
        <f t="shared" ref="S163" si="166">S71</f>
        <v>0.27000000000000041</v>
      </c>
      <c r="T163" s="26"/>
      <c r="U163" s="26"/>
      <c r="V163" s="26"/>
      <c r="W163" s="26"/>
      <c r="X163" s="26"/>
      <c r="Y163" s="26"/>
      <c r="Z163" s="26"/>
    </row>
    <row r="164" spans="1:26" hidden="1" outlineLevel="1">
      <c r="A164" s="441" t="s">
        <v>155</v>
      </c>
      <c r="B164" s="26"/>
      <c r="C164" s="113"/>
      <c r="D164" s="113"/>
      <c r="E164" s="113"/>
      <c r="F164" s="113"/>
      <c r="G164" s="113"/>
      <c r="H164" s="113"/>
      <c r="I164" s="113"/>
      <c r="J164" s="113"/>
      <c r="K164" s="113"/>
      <c r="L164" s="113"/>
      <c r="M164" s="212">
        <f t="shared" ref="M164:R164" si="167">M32</f>
        <v>0.34172386625781431</v>
      </c>
      <c r="N164" s="212">
        <f t="shared" si="167"/>
        <v>0.36824583138817979</v>
      </c>
      <c r="O164" s="212">
        <f t="shared" si="167"/>
        <v>0.35298234605591866</v>
      </c>
      <c r="P164" s="212">
        <f t="shared" si="167"/>
        <v>0.29665738161559913</v>
      </c>
      <c r="Q164" s="212">
        <f t="shared" si="167"/>
        <v>0.27000000000000041</v>
      </c>
      <c r="R164" s="212">
        <f t="shared" si="167"/>
        <v>0.27000000000000041</v>
      </c>
      <c r="S164" s="212">
        <f t="shared" ref="S164" si="168">S32</f>
        <v>0.27000000000000041</v>
      </c>
      <c r="T164" s="26"/>
      <c r="U164" s="26"/>
      <c r="V164" s="26"/>
      <c r="W164" s="26"/>
      <c r="X164" s="26"/>
      <c r="Y164" s="26"/>
      <c r="Z164" s="26"/>
    </row>
    <row r="165" spans="1:26" hidden="1" outlineLevel="1">
      <c r="A165" s="441" t="s">
        <v>341</v>
      </c>
      <c r="B165" s="26"/>
      <c r="C165" s="113"/>
      <c r="D165" s="113"/>
      <c r="E165" s="113"/>
      <c r="F165" s="113"/>
      <c r="G165" s="113"/>
      <c r="H165" s="113"/>
      <c r="I165" s="113"/>
      <c r="J165" s="113"/>
      <c r="K165" s="113"/>
      <c r="L165" s="113"/>
      <c r="M165" s="212">
        <f t="shared" ref="M165:R165" si="169">M112</f>
        <v>0.34172386625781431</v>
      </c>
      <c r="N165" s="212">
        <f t="shared" si="169"/>
        <v>0.36824583138817979</v>
      </c>
      <c r="O165" s="212">
        <f t="shared" si="169"/>
        <v>0.35298234605591866</v>
      </c>
      <c r="P165" s="212">
        <f t="shared" si="169"/>
        <v>0.29665738161559913</v>
      </c>
      <c r="Q165" s="212">
        <f t="shared" si="169"/>
        <v>0.27000000000000041</v>
      </c>
      <c r="R165" s="212">
        <f t="shared" si="169"/>
        <v>0.27000000000000041</v>
      </c>
      <c r="S165" s="212">
        <f t="shared" ref="S165" si="170">S112</f>
        <v>0.27000000000000041</v>
      </c>
      <c r="T165" s="26"/>
      <c r="U165" s="26"/>
      <c r="V165" s="26"/>
      <c r="W165" s="26"/>
      <c r="X165" s="26"/>
      <c r="Y165" s="26"/>
      <c r="Z165" s="26"/>
    </row>
    <row r="166" spans="1:26" collapsed="1">
      <c r="A166" s="27"/>
      <c r="B166" s="26"/>
      <c r="M166" s="115"/>
      <c r="N166" s="115"/>
      <c r="O166" s="115"/>
      <c r="P166" s="115"/>
      <c r="Q166" s="115"/>
      <c r="R166" s="115"/>
      <c r="S166" s="115"/>
      <c r="T166" s="26"/>
      <c r="U166" s="26"/>
      <c r="V166" s="26"/>
      <c r="W166" s="26"/>
      <c r="X166" s="26"/>
      <c r="Y166" s="26"/>
      <c r="Z166" s="26"/>
    </row>
    <row r="167" spans="1:26">
      <c r="A167" s="30" t="s">
        <v>266</v>
      </c>
      <c r="B167" s="26"/>
      <c r="M167" s="115"/>
      <c r="N167" s="115"/>
      <c r="O167" s="115"/>
      <c r="P167" s="115"/>
      <c r="Q167" s="115"/>
      <c r="R167" s="115"/>
      <c r="S167" s="115"/>
      <c r="T167" s="26"/>
      <c r="U167" s="26"/>
      <c r="V167" s="26"/>
      <c r="W167" s="26"/>
      <c r="X167" s="26"/>
      <c r="Y167" s="26"/>
      <c r="Z167" s="26"/>
    </row>
    <row r="168" spans="1:26">
      <c r="A168" s="27" t="s">
        <v>64</v>
      </c>
      <c r="B168" s="26"/>
      <c r="C168" s="446" t="s">
        <v>653</v>
      </c>
      <c r="D168" s="418">
        <f t="shared" ref="D168:L168" si="171">((D127/C127)-1)</f>
        <v>0.31652328936096019</v>
      </c>
      <c r="E168" s="418">
        <f t="shared" si="171"/>
        <v>0.16827296513180157</v>
      </c>
      <c r="F168" s="418">
        <f t="shared" si="171"/>
        <v>4.4730813741257203E-2</v>
      </c>
      <c r="G168" s="418">
        <f t="shared" si="171"/>
        <v>-7.6953230043043108E-2</v>
      </c>
      <c r="H168" s="418">
        <f t="shared" si="171"/>
        <v>8.2625549480410898E-2</v>
      </c>
      <c r="I168" s="418">
        <f t="shared" si="171"/>
        <v>0.11197670257904879</v>
      </c>
      <c r="J168" s="418">
        <f t="shared" si="171"/>
        <v>0.15295456549766318</v>
      </c>
      <c r="K168" s="418">
        <f t="shared" si="171"/>
        <v>0.17515206978819475</v>
      </c>
      <c r="L168" s="418">
        <f t="shared" si="171"/>
        <v>1.9294420851612148E-3</v>
      </c>
      <c r="M168" s="449">
        <f t="shared" ref="M168:R168" si="172">M169+M178</f>
        <v>1.6616158237490186E-3</v>
      </c>
      <c r="N168" s="449">
        <f t="shared" si="172"/>
        <v>-6.4655754817718458E-3</v>
      </c>
      <c r="O168" s="449">
        <f t="shared" si="172"/>
        <v>-3.7758986876677336E-2</v>
      </c>
      <c r="P168" s="449">
        <f t="shared" si="172"/>
        <v>-7.8351726894981044E-2</v>
      </c>
      <c r="Q168" s="449">
        <f t="shared" si="172"/>
        <v>-4.2576725510669156E-2</v>
      </c>
      <c r="R168" s="449">
        <f t="shared" si="172"/>
        <v>-1.7879921657801168E-2</v>
      </c>
      <c r="S168" s="449">
        <f t="shared" ref="S168" si="173">S169+S178</f>
        <v>-1.9168020489942483E-3</v>
      </c>
      <c r="T168" s="26"/>
      <c r="U168" s="26"/>
      <c r="V168" s="26"/>
      <c r="W168" s="26"/>
      <c r="X168" s="26"/>
      <c r="Y168" s="26"/>
      <c r="Z168" s="26"/>
    </row>
    <row r="169" spans="1:26">
      <c r="A169" s="27" t="s">
        <v>211</v>
      </c>
      <c r="B169" s="26"/>
      <c r="C169" s="417" t="str">
        <f>C77</f>
        <v>NA</v>
      </c>
      <c r="D169" s="417">
        <f>D77</f>
        <v>0.33348646712554841</v>
      </c>
      <c r="E169" s="113">
        <f t="shared" ref="E169:K169" si="174">E36</f>
        <v>2.1000000000000001E-2</v>
      </c>
      <c r="F169" s="113">
        <f t="shared" si="174"/>
        <v>-8.1000000000000003E-2</v>
      </c>
      <c r="G169" s="113">
        <f t="shared" si="174"/>
        <v>-0.151</v>
      </c>
      <c r="H169" s="113">
        <f t="shared" si="174"/>
        <v>7.5999999999999998E-2</v>
      </c>
      <c r="I169" s="113">
        <f t="shared" si="174"/>
        <v>8.3000000000000004E-2</v>
      </c>
      <c r="J169" s="113">
        <f t="shared" si="174"/>
        <v>8.199999999999999E-2</v>
      </c>
      <c r="K169" s="113">
        <f t="shared" si="174"/>
        <v>7.1889904612919081E-2</v>
      </c>
      <c r="L169" s="113">
        <f>L36</f>
        <v>-1.8102416156077713E-2</v>
      </c>
      <c r="M169" s="212">
        <f t="shared" ref="M169:R169" si="175">INDEX(M170:M172,MATCH($X$150,$Z$150:$Z$152,0))</f>
        <v>0</v>
      </c>
      <c r="N169" s="212">
        <f t="shared" si="175"/>
        <v>-1.4999999999999999E-2</v>
      </c>
      <c r="O169" s="212">
        <f t="shared" si="175"/>
        <v>-3.7000000000000005E-2</v>
      </c>
      <c r="P169" s="212">
        <f t="shared" si="175"/>
        <v>-7.6999999999999999E-2</v>
      </c>
      <c r="Q169" s="212">
        <f t="shared" si="175"/>
        <v>-2.0894054329082014E-2</v>
      </c>
      <c r="R169" s="212">
        <f t="shared" si="175"/>
        <v>-0.01</v>
      </c>
      <c r="S169" s="212">
        <f t="shared" ref="S169" si="176">INDEX(S170:S172,MATCH($X$150,$Z$150:$Z$152,0))</f>
        <v>-0.01</v>
      </c>
      <c r="T169" s="26"/>
      <c r="U169" s="26"/>
      <c r="V169" s="26"/>
      <c r="W169" s="26"/>
      <c r="X169" s="26"/>
      <c r="Y169" s="26"/>
      <c r="Z169" s="26"/>
    </row>
    <row r="170" spans="1:26" outlineLevel="1">
      <c r="A170" s="441" t="s">
        <v>340</v>
      </c>
      <c r="B170" s="26"/>
      <c r="C170" s="417"/>
      <c r="D170" s="417"/>
      <c r="E170" s="417"/>
      <c r="F170" s="417"/>
      <c r="G170" s="417"/>
      <c r="H170" s="113"/>
      <c r="I170" s="113"/>
      <c r="J170" s="113"/>
      <c r="K170" s="113"/>
      <c r="L170" s="113"/>
      <c r="M170" s="212">
        <f t="shared" ref="M170:R170" si="177">M75</f>
        <v>0</v>
      </c>
      <c r="N170" s="212">
        <f t="shared" si="177"/>
        <v>-1.4999999999999999E-2</v>
      </c>
      <c r="O170" s="212">
        <f t="shared" si="177"/>
        <v>-3.7000000000000005E-2</v>
      </c>
      <c r="P170" s="212">
        <f t="shared" si="177"/>
        <v>-7.6999999999999999E-2</v>
      </c>
      <c r="Q170" s="212">
        <f t="shared" si="177"/>
        <v>0</v>
      </c>
      <c r="R170" s="212">
        <f t="shared" si="177"/>
        <v>0</v>
      </c>
      <c r="S170" s="212">
        <f t="shared" ref="S170" si="178">S75</f>
        <v>0</v>
      </c>
      <c r="T170" s="26"/>
      <c r="U170" s="26"/>
      <c r="V170" s="26"/>
      <c r="W170" s="26"/>
      <c r="X170" s="26"/>
      <c r="Y170" s="26"/>
      <c r="Z170" s="26"/>
    </row>
    <row r="171" spans="1:26" outlineLevel="1">
      <c r="A171" s="441" t="s">
        <v>155</v>
      </c>
      <c r="B171" s="26"/>
      <c r="C171" s="417"/>
      <c r="D171" s="417"/>
      <c r="E171" s="417"/>
      <c r="F171" s="417"/>
      <c r="G171" s="417"/>
      <c r="H171" s="113"/>
      <c r="I171" s="113"/>
      <c r="J171" s="113"/>
      <c r="K171" s="113"/>
      <c r="L171" s="113"/>
      <c r="M171" s="212">
        <f t="shared" ref="M171:R171" si="179">M36</f>
        <v>0</v>
      </c>
      <c r="N171" s="212">
        <f t="shared" si="179"/>
        <v>-1.4999999999999999E-2</v>
      </c>
      <c r="O171" s="212">
        <f t="shared" si="179"/>
        <v>-3.7000000000000005E-2</v>
      </c>
      <c r="P171" s="212">
        <f t="shared" si="179"/>
        <v>-7.6999999999999999E-2</v>
      </c>
      <c r="Q171" s="212">
        <f t="shared" si="179"/>
        <v>-2.0894054329082014E-2</v>
      </c>
      <c r="R171" s="212">
        <f t="shared" si="179"/>
        <v>-0.01</v>
      </c>
      <c r="S171" s="212">
        <f t="shared" ref="S171" si="180">S36</f>
        <v>-0.01</v>
      </c>
      <c r="T171" s="26"/>
      <c r="U171" s="26"/>
      <c r="V171" s="26"/>
      <c r="W171" s="26"/>
      <c r="X171" s="26"/>
      <c r="Y171" s="26"/>
      <c r="Z171" s="26"/>
    </row>
    <row r="172" spans="1:26" outlineLevel="1">
      <c r="A172" s="441" t="s">
        <v>341</v>
      </c>
      <c r="B172" s="26"/>
      <c r="C172" s="417"/>
      <c r="D172" s="417"/>
      <c r="E172" s="417"/>
      <c r="F172" s="417"/>
      <c r="G172" s="417"/>
      <c r="H172" s="113"/>
      <c r="I172" s="113"/>
      <c r="J172" s="113"/>
      <c r="K172" s="113"/>
      <c r="L172" s="113"/>
      <c r="M172" s="212">
        <f t="shared" ref="M172:R172" si="181">M116</f>
        <v>0</v>
      </c>
      <c r="N172" s="212">
        <f t="shared" si="181"/>
        <v>-1.4999999999999999E-2</v>
      </c>
      <c r="O172" s="212">
        <f t="shared" si="181"/>
        <v>-3.7000000000000005E-2</v>
      </c>
      <c r="P172" s="212">
        <f t="shared" si="181"/>
        <v>-7.6999999999999999E-2</v>
      </c>
      <c r="Q172" s="212">
        <f t="shared" si="181"/>
        <v>-5.0894054329082013E-2</v>
      </c>
      <c r="R172" s="212">
        <f t="shared" si="181"/>
        <v>-0.04</v>
      </c>
      <c r="S172" s="212">
        <f t="shared" ref="S172" si="182">S116</f>
        <v>-0.04</v>
      </c>
      <c r="T172" s="26"/>
      <c r="U172" s="26"/>
      <c r="V172" s="26"/>
      <c r="W172" s="26"/>
      <c r="X172" s="26"/>
      <c r="Y172" s="26"/>
      <c r="Z172" s="26"/>
    </row>
    <row r="173" spans="1:26">
      <c r="A173" s="27" t="s">
        <v>253</v>
      </c>
      <c r="B173" s="26"/>
      <c r="C173" s="446" t="s">
        <v>653</v>
      </c>
      <c r="D173" s="418">
        <f>((D132/C132)-1)</f>
        <v>0.29240650361577125</v>
      </c>
      <c r="E173" s="418">
        <f>((E132/D132)-1)</f>
        <v>0.36724071918200929</v>
      </c>
      <c r="F173" s="418">
        <f>((F132/E132)-1)</f>
        <v>0.20486435389525015</v>
      </c>
      <c r="G173" s="418">
        <f>((G132/F132)-1)</f>
        <v>-1.4373457416435031E-2</v>
      </c>
      <c r="H173" s="418">
        <f t="shared" ref="H173:S173" si="183">((H132/G132)-1)</f>
        <v>1.364581450549851E-3</v>
      </c>
      <c r="I173" s="418">
        <f t="shared" si="183"/>
        <v>6.4414908177646391E-2</v>
      </c>
      <c r="J173" s="418">
        <f t="shared" si="183"/>
        <v>0.12175107361687587</v>
      </c>
      <c r="K173" s="418">
        <f t="shared" si="183"/>
        <v>0.16375151297327672</v>
      </c>
      <c r="L173" s="418">
        <f t="shared" si="183"/>
        <v>3.4888242348330101E-2</v>
      </c>
      <c r="M173" s="449">
        <f t="shared" si="183"/>
        <v>-0.31734832054704121</v>
      </c>
      <c r="N173" s="449">
        <f t="shared" si="183"/>
        <v>1.1640041548092617E-2</v>
      </c>
      <c r="O173" s="449">
        <f t="shared" si="183"/>
        <v>-6.2176808188970201E-2</v>
      </c>
      <c r="P173" s="449">
        <f t="shared" si="183"/>
        <v>-7.6386081237702519E-2</v>
      </c>
      <c r="Q173" s="449">
        <f t="shared" si="183"/>
        <v>-8.8547179527235231E-3</v>
      </c>
      <c r="R173" s="449">
        <f t="shared" si="183"/>
        <v>-7.6233919525129479E-2</v>
      </c>
      <c r="S173" s="449">
        <f t="shared" si="183"/>
        <v>-1.0369623920891913E-2</v>
      </c>
      <c r="T173" s="26"/>
      <c r="U173" s="26"/>
      <c r="V173" s="26"/>
      <c r="W173" s="26"/>
      <c r="X173" s="26"/>
      <c r="Y173" s="26"/>
      <c r="Z173" s="26"/>
    </row>
    <row r="174" spans="1:26">
      <c r="A174" s="27" t="s">
        <v>269</v>
      </c>
      <c r="B174" s="26"/>
      <c r="C174" s="446" t="s">
        <v>653</v>
      </c>
      <c r="D174" s="418">
        <f>((D134/C134)-1)</f>
        <v>0.33348646712554841</v>
      </c>
      <c r="E174" s="418">
        <f>((E134/D134)-1)</f>
        <v>-0.23010446288326858</v>
      </c>
      <c r="F174" s="418">
        <f>((F134/E134)-1)</f>
        <v>-0.53940841865756628</v>
      </c>
      <c r="G174" s="418">
        <f>((G134/F134)-1)</f>
        <v>-1.131148215844161</v>
      </c>
      <c r="H174" s="418">
        <f t="shared" ref="H174:S174" si="184">((H134/G134)-1)</f>
        <v>-8.7330026994789005</v>
      </c>
      <c r="I174" s="418">
        <f t="shared" si="184"/>
        <v>0.44633419657571216</v>
      </c>
      <c r="J174" s="418">
        <f t="shared" si="184"/>
        <v>0.27701253943129411</v>
      </c>
      <c r="K174" s="418">
        <f t="shared" si="184"/>
        <v>0.27191771790250763</v>
      </c>
      <c r="L174" s="418">
        <f t="shared" si="184"/>
        <v>-0.26168211380428097</v>
      </c>
      <c r="M174" s="449">
        <f t="shared" si="184"/>
        <v>-0.1746735314767115</v>
      </c>
      <c r="N174" s="449">
        <f t="shared" si="184"/>
        <v>-4.1847434654144755E-2</v>
      </c>
      <c r="O174" s="449">
        <f t="shared" si="184"/>
        <v>-7.3216061366579988E-3</v>
      </c>
      <c r="P174" s="449">
        <f t="shared" si="184"/>
        <v>-0.13442447008317671</v>
      </c>
      <c r="Q174" s="449">
        <f t="shared" si="184"/>
        <v>-1.1582592159282257E-2</v>
      </c>
      <c r="R174" s="449">
        <f t="shared" si="184"/>
        <v>0.15017893853972986</v>
      </c>
      <c r="S174" s="449">
        <f t="shared" si="184"/>
        <v>5.2594894067964137E-2</v>
      </c>
      <c r="T174" s="26"/>
      <c r="U174" s="26"/>
      <c r="V174" s="26"/>
      <c r="W174" s="26"/>
      <c r="X174" s="26"/>
      <c r="Y174" s="26"/>
      <c r="Z174" s="26"/>
    </row>
    <row r="175" spans="1:26">
      <c r="A175" s="27" t="s">
        <v>507</v>
      </c>
      <c r="B175" s="26"/>
      <c r="C175" s="446" t="s">
        <v>653</v>
      </c>
      <c r="D175" s="418">
        <f>((D144/C144)-1)</f>
        <v>0.35434021560562057</v>
      </c>
      <c r="E175" s="418">
        <f>((E144/D144)-1)</f>
        <v>-0.2503071093812177</v>
      </c>
      <c r="F175" s="418">
        <f>((F144/E144)-1)</f>
        <v>-0.51161165528215879</v>
      </c>
      <c r="G175" s="418">
        <f>((G144/F144)-1)</f>
        <v>-1.0407063499372824</v>
      </c>
      <c r="H175" s="418">
        <f t="shared" ref="H175:S175" si="185">((H144/G144)-1)</f>
        <v>-23.724196964718626</v>
      </c>
      <c r="I175" s="418">
        <f t="shared" si="185"/>
        <v>0.47927358787814045</v>
      </c>
      <c r="J175" s="418">
        <f t="shared" si="185"/>
        <v>0.29692029531972963</v>
      </c>
      <c r="K175" s="418">
        <f t="shared" si="185"/>
        <v>0.28625311347947524</v>
      </c>
      <c r="L175" s="418">
        <f t="shared" si="185"/>
        <v>-0.21884348502133744</v>
      </c>
      <c r="M175" s="449">
        <f t="shared" si="185"/>
        <v>-9.2527948789183134E-2</v>
      </c>
      <c r="N175" s="449">
        <f t="shared" si="185"/>
        <v>-1.6553379951093961E-2</v>
      </c>
      <c r="O175" s="449">
        <f t="shared" si="185"/>
        <v>9.0658721529502273E-2</v>
      </c>
      <c r="P175" s="449">
        <f t="shared" si="185"/>
        <v>-2.9374694072808127E-2</v>
      </c>
      <c r="Q175" s="449">
        <f t="shared" si="185"/>
        <v>6.9494488590355452E-2</v>
      </c>
      <c r="R175" s="449">
        <f t="shared" si="185"/>
        <v>0.22354145123756597</v>
      </c>
      <c r="S175" s="449">
        <f t="shared" si="185"/>
        <v>9.4269146719648145E-2</v>
      </c>
      <c r="T175" s="26"/>
      <c r="U175" s="26"/>
      <c r="V175" s="26"/>
      <c r="W175" s="26"/>
      <c r="X175" s="26"/>
      <c r="Y175" s="26"/>
      <c r="Z175" s="26"/>
    </row>
    <row r="176" spans="1:26">
      <c r="A176" s="27" t="s">
        <v>418</v>
      </c>
      <c r="B176" s="26"/>
      <c r="C176" s="446" t="s">
        <v>653</v>
      </c>
      <c r="D176" s="418">
        <f>((D150/C150)-1)</f>
        <v>0.33655218655063068</v>
      </c>
      <c r="E176" s="418">
        <f>((E150/D150)-1)</f>
        <v>-0.15818667025243416</v>
      </c>
      <c r="F176" s="418">
        <f>((F150/E150)-1)</f>
        <v>-0.37626596957065384</v>
      </c>
      <c r="G176" s="418">
        <f>((G150/F150)-1)</f>
        <v>-0.59791874947673262</v>
      </c>
      <c r="H176" s="418">
        <f t="shared" ref="H176:S176" si="186">((H150/G150)-1)</f>
        <v>1.6891588991095419</v>
      </c>
      <c r="I176" s="418">
        <f t="shared" si="186"/>
        <v>0.24012643987046145</v>
      </c>
      <c r="J176" s="418">
        <f t="shared" si="186"/>
        <v>0.20078891986293246</v>
      </c>
      <c r="K176" s="418">
        <f t="shared" si="186"/>
        <v>0.21687465590016375</v>
      </c>
      <c r="L176" s="418">
        <f t="shared" si="186"/>
        <v>-0.16562229008784823</v>
      </c>
      <c r="M176" s="449">
        <f t="shared" si="186"/>
        <v>-0.10047506725349487</v>
      </c>
      <c r="N176" s="449">
        <f t="shared" si="186"/>
        <v>-3.6329537843268533E-2</v>
      </c>
      <c r="O176" s="449">
        <f t="shared" si="186"/>
        <v>-3.7483666490591427E-2</v>
      </c>
      <c r="P176" s="449">
        <f t="shared" si="186"/>
        <v>-0.12812402966429082</v>
      </c>
      <c r="Q176" s="449">
        <f t="shared" si="186"/>
        <v>-1.6529091037613908E-2</v>
      </c>
      <c r="R176" s="449">
        <f t="shared" si="186"/>
        <v>9.9158289490665075E-2</v>
      </c>
      <c r="S176" s="449">
        <f t="shared" si="186"/>
        <v>4.09141598168552E-2</v>
      </c>
      <c r="T176" s="26"/>
      <c r="U176" s="26"/>
      <c r="V176" s="26"/>
      <c r="W176" s="26"/>
      <c r="X176" s="26"/>
      <c r="Y176" s="26"/>
      <c r="Z176" s="26"/>
    </row>
    <row r="177" spans="1:26">
      <c r="A177" s="27" t="s">
        <v>213</v>
      </c>
      <c r="B177" s="26"/>
      <c r="C177" s="446" t="s">
        <v>653</v>
      </c>
      <c r="D177" s="113">
        <f t="shared" ref="D177:P177" si="187">D35-D36</f>
        <v>0.17352328936096018</v>
      </c>
      <c r="E177" s="113">
        <f t="shared" si="187"/>
        <v>0.14727296513180158</v>
      </c>
      <c r="F177" s="113">
        <f t="shared" si="187"/>
        <v>0.12573081374125722</v>
      </c>
      <c r="G177" s="113">
        <f t="shared" si="187"/>
        <v>7.4046769956956887E-2</v>
      </c>
      <c r="H177" s="113">
        <f t="shared" si="187"/>
        <v>6.6255494804109E-3</v>
      </c>
      <c r="I177" s="113">
        <f t="shared" si="187"/>
        <v>2.8976702579048788E-2</v>
      </c>
      <c r="J177" s="113">
        <f t="shared" si="187"/>
        <v>7.0954565497663186E-2</v>
      </c>
      <c r="K177" s="113">
        <f>K35-K36</f>
        <v>0.10326216517527567</v>
      </c>
      <c r="L177" s="113">
        <f>L35-L36</f>
        <v>2.0031858241238928E-2</v>
      </c>
      <c r="M177" s="212">
        <f t="shared" si="187"/>
        <v>1.6616158237490186E-3</v>
      </c>
      <c r="N177" s="212">
        <f t="shared" si="187"/>
        <v>8.5344245182281536E-3</v>
      </c>
      <c r="O177" s="212">
        <f t="shared" si="187"/>
        <v>-7.5898687667733111E-4</v>
      </c>
      <c r="P177" s="212">
        <f t="shared" si="187"/>
        <v>-1.3517268949810451E-3</v>
      </c>
      <c r="Q177" s="212">
        <f>Q35-Q36</f>
        <v>-2.1682671181587142E-2</v>
      </c>
      <c r="R177" s="212">
        <f>R35-R36</f>
        <v>-7.8799216578011675E-3</v>
      </c>
      <c r="S177" s="212">
        <f>S35-S36</f>
        <v>8.0831979510057519E-3</v>
      </c>
      <c r="T177" s="26"/>
      <c r="U177" s="26"/>
      <c r="V177" s="26"/>
      <c r="W177" s="26"/>
      <c r="X177" s="26"/>
      <c r="Y177" s="26"/>
      <c r="Z177" s="26"/>
    </row>
    <row r="178" spans="1:26">
      <c r="A178" s="27" t="s">
        <v>324</v>
      </c>
      <c r="B178" s="26"/>
      <c r="C178" s="446" t="s">
        <v>653</v>
      </c>
      <c r="D178" s="113">
        <f t="shared" ref="D178:L178" si="188">D177</f>
        <v>0.17352328936096018</v>
      </c>
      <c r="E178" s="113">
        <f t="shared" si="188"/>
        <v>0.14727296513180158</v>
      </c>
      <c r="F178" s="113">
        <f t="shared" si="188"/>
        <v>0.12573081374125722</v>
      </c>
      <c r="G178" s="113">
        <f t="shared" si="188"/>
        <v>7.4046769956956887E-2</v>
      </c>
      <c r="H178" s="113">
        <f t="shared" si="188"/>
        <v>6.6255494804109E-3</v>
      </c>
      <c r="I178" s="113">
        <f t="shared" si="188"/>
        <v>2.8976702579048788E-2</v>
      </c>
      <c r="J178" s="113">
        <f t="shared" si="188"/>
        <v>7.0954565497663186E-2</v>
      </c>
      <c r="K178" s="113">
        <f t="shared" si="188"/>
        <v>0.10326216517527567</v>
      </c>
      <c r="L178" s="113">
        <f t="shared" si="188"/>
        <v>2.0031858241238928E-2</v>
      </c>
      <c r="M178" s="212">
        <f t="shared" ref="M178:R178" si="189">INDEX(M179:M181,MATCH($X$150,$Z$150:$Z$152,0))</f>
        <v>1.6616158237490186E-3</v>
      </c>
      <c r="N178" s="212">
        <f t="shared" si="189"/>
        <v>8.5344245182281536E-3</v>
      </c>
      <c r="O178" s="212">
        <f t="shared" si="189"/>
        <v>-7.5898687667733111E-4</v>
      </c>
      <c r="P178" s="212">
        <f t="shared" si="189"/>
        <v>-1.3517268949810451E-3</v>
      </c>
      <c r="Q178" s="212">
        <f t="shared" si="189"/>
        <v>-2.1682671181587142E-2</v>
      </c>
      <c r="R178" s="212">
        <f t="shared" si="189"/>
        <v>-7.8799216578011675E-3</v>
      </c>
      <c r="S178" s="212">
        <f t="shared" ref="S178" si="190">INDEX(S179:S181,MATCH($X$150,$Z$150:$Z$152,0))</f>
        <v>8.0831979510057519E-3</v>
      </c>
      <c r="T178" s="26"/>
      <c r="U178" s="26"/>
      <c r="V178" s="26"/>
      <c r="W178" s="26"/>
      <c r="X178" s="26"/>
      <c r="Y178" s="26"/>
      <c r="Z178" s="26"/>
    </row>
    <row r="179" spans="1:26" outlineLevel="1">
      <c r="A179" s="441" t="s">
        <v>340</v>
      </c>
      <c r="B179" s="26"/>
      <c r="C179" s="446"/>
      <c r="D179" s="446"/>
      <c r="E179" s="446"/>
      <c r="F179" s="446"/>
      <c r="G179" s="446"/>
      <c r="H179" s="113"/>
      <c r="I179" s="113"/>
      <c r="J179" s="113"/>
      <c r="K179" s="113"/>
      <c r="L179" s="113"/>
      <c r="M179" s="212">
        <f t="shared" ref="M179:R179" si="191">M81</f>
        <v>1.6616158237490186E-3</v>
      </c>
      <c r="N179" s="212">
        <f t="shared" si="191"/>
        <v>8.5344245182281536E-3</v>
      </c>
      <c r="O179" s="212">
        <f t="shared" si="191"/>
        <v>-7.5898687667733111E-4</v>
      </c>
      <c r="P179" s="212">
        <f t="shared" si="191"/>
        <v>-1.3517268949810451E-3</v>
      </c>
      <c r="Q179" s="212">
        <f t="shared" si="191"/>
        <v>-1.9182671181587143E-2</v>
      </c>
      <c r="R179" s="212">
        <f t="shared" si="191"/>
        <v>-5.379921657801167E-3</v>
      </c>
      <c r="S179" s="212">
        <f t="shared" ref="S179" si="192">S81</f>
        <v>1.0583197951005752E-2</v>
      </c>
      <c r="T179" s="26"/>
      <c r="U179" s="26"/>
      <c r="V179" s="26"/>
      <c r="W179" s="26"/>
      <c r="X179" s="26"/>
      <c r="Y179" s="26"/>
      <c r="Z179" s="26"/>
    </row>
    <row r="180" spans="1:26" outlineLevel="1">
      <c r="A180" s="441" t="s">
        <v>155</v>
      </c>
      <c r="B180" s="26"/>
      <c r="C180" s="446"/>
      <c r="D180" s="446"/>
      <c r="E180" s="446"/>
      <c r="F180" s="446"/>
      <c r="G180" s="446"/>
      <c r="H180" s="113"/>
      <c r="I180" s="113"/>
      <c r="J180" s="113"/>
      <c r="K180" s="113"/>
      <c r="L180" s="113"/>
      <c r="M180" s="113">
        <f t="shared" ref="M180:P181" si="193">M121</f>
        <v>1.6616158237490186E-3</v>
      </c>
      <c r="N180" s="113">
        <f t="shared" si="193"/>
        <v>8.5344245182281536E-3</v>
      </c>
      <c r="O180" s="113">
        <f t="shared" si="193"/>
        <v>-7.5898687667733111E-4</v>
      </c>
      <c r="P180" s="113">
        <f t="shared" si="193"/>
        <v>-1.3517268949810451E-3</v>
      </c>
      <c r="Q180" s="113">
        <f t="shared" ref="Q180:S181" si="194">Q121</f>
        <v>-2.1682671181587142E-2</v>
      </c>
      <c r="R180" s="113">
        <f t="shared" si="194"/>
        <v>-7.8799216578011675E-3</v>
      </c>
      <c r="S180" s="113">
        <f t="shared" si="194"/>
        <v>8.0831979510057519E-3</v>
      </c>
      <c r="T180" s="26"/>
      <c r="U180" s="26"/>
      <c r="V180" s="26"/>
      <c r="W180" s="26"/>
      <c r="X180" s="26"/>
      <c r="Y180" s="26"/>
      <c r="Z180" s="26"/>
    </row>
    <row r="181" spans="1:26" outlineLevel="1">
      <c r="A181" s="441" t="s">
        <v>341</v>
      </c>
      <c r="B181" s="26"/>
      <c r="C181" s="446"/>
      <c r="D181" s="446"/>
      <c r="E181" s="446"/>
      <c r="F181" s="446"/>
      <c r="G181" s="446"/>
      <c r="H181" s="113"/>
      <c r="I181" s="113"/>
      <c r="J181" s="113"/>
      <c r="K181" s="113"/>
      <c r="L181" s="113"/>
      <c r="M181" s="113">
        <f t="shared" si="193"/>
        <v>1.6616158237490186E-3</v>
      </c>
      <c r="N181" s="113">
        <f t="shared" si="193"/>
        <v>8.5344245182281536E-3</v>
      </c>
      <c r="O181" s="113">
        <f t="shared" si="193"/>
        <v>-7.5898687667733111E-4</v>
      </c>
      <c r="P181" s="113">
        <f t="shared" si="193"/>
        <v>-1.3517268949810451E-3</v>
      </c>
      <c r="Q181" s="113">
        <f t="shared" si="194"/>
        <v>-2.6682671181587143E-2</v>
      </c>
      <c r="R181" s="113">
        <f t="shared" si="194"/>
        <v>-1.2879921657801167E-2</v>
      </c>
      <c r="S181" s="113">
        <f t="shared" si="194"/>
        <v>3.0831979510057518E-3</v>
      </c>
      <c r="T181" s="26"/>
      <c r="U181" s="26"/>
      <c r="V181" s="26"/>
      <c r="W181" s="26"/>
      <c r="X181" s="26"/>
      <c r="Y181" s="26"/>
      <c r="Z181" s="26"/>
    </row>
    <row r="182" spans="1:26">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c r="A196" s="26"/>
      <c r="B196" s="26"/>
      <c r="C196" s="19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sheetData>
  <phoneticPr fontId="37"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65536"/>
  <sheetViews>
    <sheetView workbookViewId="0"/>
  </sheetViews>
  <sheetFormatPr defaultRowHeight="12.75" outlineLevelCol="1"/>
  <cols>
    <col min="1" max="1" width="2.85546875" customWidth="1"/>
    <col min="2" max="2" width="21.85546875" customWidth="1"/>
    <col min="6" max="6" width="8.5703125" hidden="1" customWidth="1" outlineLevel="1"/>
    <col min="7" max="7" width="3.42578125" customWidth="1" collapsed="1"/>
    <col min="8" max="8" width="8" customWidth="1"/>
    <col min="9" max="9" width="8.42578125" customWidth="1"/>
    <col min="10" max="10" width="8" customWidth="1"/>
    <col min="11" max="11" width="3.5703125" customWidth="1"/>
    <col min="12" max="12" width="14.5703125" customWidth="1"/>
    <col min="13" max="13" width="7" customWidth="1"/>
    <col min="14" max="14" width="11.85546875" customWidth="1"/>
    <col min="15" max="15" width="50.7109375" customWidth="1"/>
    <col min="16" max="16" width="17.7109375" customWidth="1"/>
    <col min="17" max="17" width="10.7109375" customWidth="1"/>
    <col min="18" max="18" width="10.85546875" customWidth="1"/>
    <col min="19" max="19" width="9.5703125" customWidth="1"/>
    <col min="20" max="20" width="1.7109375" customWidth="1"/>
    <col min="24" max="24" width="2.5703125" customWidth="1"/>
  </cols>
  <sheetData>
    <row r="1" spans="1:27" ht="13.5" thickBot="1">
      <c r="A1" s="331" t="s">
        <v>198</v>
      </c>
      <c r="B1" s="331" t="s">
        <v>198</v>
      </c>
      <c r="C1" s="332"/>
      <c r="D1" s="332"/>
      <c r="E1" s="332"/>
      <c r="F1" s="1540" t="s">
        <v>789</v>
      </c>
      <c r="G1" s="330"/>
      <c r="H1" s="330"/>
      <c r="I1" s="330"/>
      <c r="J1" s="330"/>
      <c r="K1" s="330"/>
      <c r="L1" s="330"/>
      <c r="M1" s="330"/>
      <c r="N1" s="333"/>
      <c r="O1" s="330"/>
      <c r="P1" s="331" t="str">
        <f>B1&amp;" - Old vs. New"</f>
        <v>CHS - Old vs. New</v>
      </c>
      <c r="Q1" s="332"/>
      <c r="R1" s="332"/>
      <c r="S1" s="332"/>
      <c r="T1" s="330"/>
      <c r="U1" s="330"/>
      <c r="V1" s="330"/>
      <c r="W1" s="330"/>
      <c r="X1" s="330"/>
      <c r="Y1" s="330"/>
      <c r="Z1" s="330"/>
      <c r="AA1" s="330"/>
    </row>
    <row r="2" spans="1:27">
      <c r="A2" s="330"/>
      <c r="B2" s="334"/>
      <c r="C2" s="335" t="s">
        <v>185</v>
      </c>
      <c r="D2" s="335" t="s">
        <v>186</v>
      </c>
      <c r="E2" s="335" t="s">
        <v>187</v>
      </c>
      <c r="F2" s="336" t="s">
        <v>188</v>
      </c>
      <c r="G2" s="330"/>
      <c r="H2" s="337" t="s">
        <v>189</v>
      </c>
      <c r="I2" s="338"/>
      <c r="J2" s="339"/>
      <c r="K2" s="330"/>
      <c r="L2" s="340" t="s">
        <v>190</v>
      </c>
      <c r="M2" s="330"/>
      <c r="N2" s="341" t="s">
        <v>191</v>
      </c>
      <c r="O2" s="330"/>
      <c r="P2" s="342"/>
      <c r="Q2" s="343" t="s">
        <v>192</v>
      </c>
      <c r="R2" s="343" t="s">
        <v>192</v>
      </c>
      <c r="S2" s="343" t="s">
        <v>192</v>
      </c>
      <c r="T2" s="330"/>
      <c r="U2" s="343" t="s">
        <v>193</v>
      </c>
      <c r="V2" s="343" t="s">
        <v>193</v>
      </c>
      <c r="W2" s="343" t="s">
        <v>193</v>
      </c>
      <c r="X2" s="330"/>
      <c r="Y2" s="343" t="s">
        <v>99</v>
      </c>
      <c r="Z2" s="343" t="s">
        <v>99</v>
      </c>
      <c r="AA2" s="343" t="s">
        <v>99</v>
      </c>
    </row>
    <row r="3" spans="1:27">
      <c r="A3" s="330"/>
      <c r="B3" s="344"/>
      <c r="C3" s="343" t="s">
        <v>790</v>
      </c>
      <c r="D3" s="343" t="s">
        <v>791</v>
      </c>
      <c r="E3" s="343" t="s">
        <v>786</v>
      </c>
      <c r="F3" s="345" t="s">
        <v>786</v>
      </c>
      <c r="G3" s="330"/>
      <c r="H3" s="344" t="str">
        <f>D3</f>
        <v>2Q16A</v>
      </c>
      <c r="I3" s="343" t="str">
        <f>E2&amp;" "&amp;E3</f>
        <v>MS 1Q17E</v>
      </c>
      <c r="J3" s="345" t="s">
        <v>188</v>
      </c>
      <c r="K3" s="330"/>
      <c r="L3" s="346" t="s">
        <v>194</v>
      </c>
      <c r="M3" s="330"/>
      <c r="N3" s="346" t="s">
        <v>195</v>
      </c>
      <c r="O3" s="330"/>
      <c r="P3" s="343"/>
      <c r="Q3" s="343" t="s">
        <v>456</v>
      </c>
      <c r="R3" s="343" t="s">
        <v>490</v>
      </c>
      <c r="S3" s="343" t="s">
        <v>1</v>
      </c>
      <c r="T3" s="330"/>
      <c r="U3" s="343" t="str">
        <f>Q3</f>
        <v>3Q12E</v>
      </c>
      <c r="V3" s="343" t="str">
        <f>R3</f>
        <v>2012E</v>
      </c>
      <c r="W3" s="343" t="str">
        <f>S3</f>
        <v>2013E</v>
      </c>
      <c r="X3" s="330"/>
      <c r="Y3" s="343" t="str">
        <f>U3</f>
        <v>3Q12E</v>
      </c>
      <c r="Z3" s="343" t="str">
        <f>V3</f>
        <v>2012E</v>
      </c>
      <c r="AA3" s="343" t="str">
        <f>W3</f>
        <v>2013E</v>
      </c>
    </row>
    <row r="4" spans="1:27">
      <c r="A4" s="330"/>
      <c r="B4" s="347" t="s">
        <v>412</v>
      </c>
      <c r="C4" s="422">
        <f>sumry!CK8</f>
        <v>578.58100000000002</v>
      </c>
      <c r="D4" s="348">
        <f>sumry!CF8</f>
        <v>635.73199999999997</v>
      </c>
      <c r="E4" s="422">
        <v>583.90929099538562</v>
      </c>
      <c r="F4" s="457" t="str">
        <f>_xll.ThomsonONEAddinShim.SpreadsheetFormulas.TF($A$1,"TF.ES.Sales.Mean(period=#1,scale=6)",,F1)</f>
        <v>Manual Calculation</v>
      </c>
      <c r="G4" s="330"/>
      <c r="H4" s="350">
        <f>IF(ISERROR(C4-D4)=TRUE,"NA",C4-D4)</f>
        <v>-57.150999999999954</v>
      </c>
      <c r="I4" s="351">
        <f>IF(ISERROR(C4-E4)=TRUE,"NA",C4-E4)</f>
        <v>-5.3282909953856006</v>
      </c>
      <c r="J4" s="352" t="str">
        <f>IF(ISERROR(C4-F4)=TRUE,"NA",C4-F4)</f>
        <v>NA</v>
      </c>
      <c r="K4" s="330"/>
      <c r="L4" s="353">
        <f>((C$4*E$26)-(C$4*E$27)-E$10-E$15)*(1-E$32)/E$23-E$22</f>
        <v>-0.12326238144565843</v>
      </c>
      <c r="M4" s="330"/>
      <c r="N4" s="354"/>
      <c r="O4" s="330"/>
      <c r="P4" s="355" t="s">
        <v>412</v>
      </c>
      <c r="Q4" s="348">
        <f>sumry!BM8</f>
        <v>636.66499999999996</v>
      </c>
      <c r="R4" s="348">
        <f>sumry!DA8</f>
        <v>1714.327</v>
      </c>
      <c r="S4" s="348">
        <f>sumry!DB8</f>
        <v>1582.404</v>
      </c>
      <c r="T4" s="330"/>
      <c r="U4" s="349">
        <v>615.13545932711793</v>
      </c>
      <c r="V4" s="349">
        <v>2550.3501592452749</v>
      </c>
      <c r="W4" s="349">
        <v>2816.632818521477</v>
      </c>
      <c r="X4" s="330"/>
      <c r="Y4" s="351">
        <f>IF(ISERROR(Q4-U4)=TRUE,"NA",Q4-U4)</f>
        <v>21.529540672882035</v>
      </c>
      <c r="Z4" s="356">
        <f>IF(ISERROR(R4-V4)=TRUE,"NA",R4-V4)</f>
        <v>-836.02315924527488</v>
      </c>
      <c r="AA4" s="356">
        <f>IF(ISERROR(S4-W4)=TRUE,"NA",S4-W4)</f>
        <v>-1234.228818521477</v>
      </c>
    </row>
    <row r="5" spans="1:27">
      <c r="A5" s="330"/>
      <c r="B5" s="347"/>
      <c r="C5" s="422"/>
      <c r="D5" s="348"/>
      <c r="E5" s="422"/>
      <c r="F5" s="457"/>
      <c r="G5" s="330"/>
      <c r="H5" s="359"/>
      <c r="I5" s="360"/>
      <c r="J5" s="361"/>
      <c r="K5" s="330"/>
      <c r="L5" s="398"/>
      <c r="M5" s="330"/>
      <c r="N5" s="354"/>
      <c r="O5" s="330"/>
      <c r="P5" s="355"/>
      <c r="Q5" s="348"/>
      <c r="R5" s="348"/>
      <c r="S5" s="348"/>
      <c r="T5" s="330"/>
      <c r="U5" s="397"/>
      <c r="V5" s="397"/>
      <c r="W5" s="397"/>
      <c r="X5" s="330"/>
      <c r="Y5" s="357"/>
      <c r="Z5" s="357"/>
      <c r="AA5" s="357"/>
    </row>
    <row r="6" spans="1:27">
      <c r="A6" s="330"/>
      <c r="B6" s="347" t="s">
        <v>251</v>
      </c>
      <c r="C6" s="423">
        <f>sumry!CK10</f>
        <v>369.48</v>
      </c>
      <c r="D6" s="396">
        <f>sumry!CF10</f>
        <v>394.92200000000003</v>
      </c>
      <c r="E6" s="423">
        <v>364.18422479382195</v>
      </c>
      <c r="F6" s="457" t="e">
        <f>F4-F8</f>
        <v>#VALUE!</v>
      </c>
      <c r="G6" s="330"/>
      <c r="H6" s="366">
        <f>IF(ISERROR(C6-D6)=TRUE,"NA",C6-D6)</f>
        <v>-25.442000000000007</v>
      </c>
      <c r="I6" s="367">
        <f>IF(ISERROR(C6-E6)=TRUE,"NA",C6-E6)</f>
        <v>5.2957752061780639</v>
      </c>
      <c r="J6" s="368" t="str">
        <f>IF(ISERROR(C6-F6)=TRUE,"NA",C6-F6)</f>
        <v>NA</v>
      </c>
      <c r="K6" s="330"/>
      <c r="L6" s="398"/>
      <c r="M6" s="330"/>
      <c r="N6" s="369"/>
      <c r="O6" s="330"/>
      <c r="P6" s="355" t="s">
        <v>251</v>
      </c>
      <c r="Q6" s="396">
        <f>sumry!BM10</f>
        <v>272.36900000000003</v>
      </c>
      <c r="R6" s="396">
        <f>sumry!DA10</f>
        <v>745.2650000000001</v>
      </c>
      <c r="S6" s="396">
        <f>sumry!DB10</f>
        <v>762.91200000000003</v>
      </c>
      <c r="T6" s="330"/>
      <c r="U6" s="395">
        <v>247.25841485989463</v>
      </c>
      <c r="V6" s="395">
        <v>1036.2105938806462</v>
      </c>
      <c r="W6" s="395">
        <v>1140.6652042420571</v>
      </c>
      <c r="X6" s="330"/>
      <c r="Y6" s="332">
        <f>IF(ISERROR(Q6-U6)=TRUE,"NA",Q6-U6)</f>
        <v>25.1105851401054</v>
      </c>
      <c r="Z6" s="332">
        <f>IF(ISERROR(R6-V6)=TRUE,"NA",R6-V6)</f>
        <v>-290.94559388064613</v>
      </c>
      <c r="AA6" s="332">
        <f>IF(ISERROR(S6-W6)=TRUE,"NA",S6-W6)</f>
        <v>-377.75320424205711</v>
      </c>
    </row>
    <row r="7" spans="1:27">
      <c r="A7" s="330"/>
      <c r="B7" s="347"/>
      <c r="C7" s="424"/>
      <c r="D7" s="396"/>
      <c r="E7" s="424"/>
      <c r="F7" s="457"/>
      <c r="G7" s="330"/>
      <c r="H7" s="359"/>
      <c r="I7" s="360"/>
      <c r="J7" s="361"/>
      <c r="K7" s="330"/>
      <c r="L7" s="398"/>
      <c r="M7" s="330"/>
      <c r="N7" s="371"/>
      <c r="O7" s="330"/>
      <c r="P7" s="355"/>
      <c r="Q7" s="396"/>
      <c r="R7" s="396"/>
      <c r="S7" s="396"/>
      <c r="T7" s="330"/>
      <c r="U7" s="395"/>
      <c r="V7" s="395"/>
      <c r="W7" s="395"/>
      <c r="X7" s="330"/>
      <c r="Y7" s="332"/>
      <c r="Z7" s="332"/>
      <c r="AA7" s="332"/>
    </row>
    <row r="8" spans="1:27">
      <c r="A8" s="330"/>
      <c r="B8" s="347" t="s">
        <v>252</v>
      </c>
      <c r="C8" s="423">
        <f>sumry!CK14-C10</f>
        <v>184.23400000000001</v>
      </c>
      <c r="D8" s="396">
        <f>sumry!CF14</f>
        <v>240.80999999999995</v>
      </c>
      <c r="E8" s="423">
        <v>194.58006620156365</v>
      </c>
      <c r="F8" s="457" t="str">
        <f>_xll.ThomsonONEAddinShim.SpreadsheetFormulas.TF($A$1,"TF.ES.GPM.Mean(period=#1)*TF.ES.Sales.Mean(period=#1,scale=6)",,F$1)</f>
        <v>Manual Calculation</v>
      </c>
      <c r="G8" s="330"/>
      <c r="H8" s="366">
        <f>IF(ISERROR(C8-D8)=TRUE,"NA",C8-D8)</f>
        <v>-56.575999999999937</v>
      </c>
      <c r="I8" s="367">
        <f>IF(ISERROR(C8-E8)=TRUE,"NA",C8-E8)</f>
        <v>-10.346066201563644</v>
      </c>
      <c r="J8" s="368" t="str">
        <f>IF(ISERROR(C8-F8)=TRUE,"NA",C8-F8)</f>
        <v>NA</v>
      </c>
      <c r="K8" s="330"/>
      <c r="L8" s="353">
        <f>(C$8-(C$4*E$27)-E$10-E$15)*(1-E$32)/E$23-(E$22+L$4)</f>
        <v>-0.16796791975922937</v>
      </c>
      <c r="M8" s="330"/>
      <c r="N8" s="369"/>
      <c r="O8" s="330"/>
      <c r="P8" s="355" t="s">
        <v>252</v>
      </c>
      <c r="Q8" s="396">
        <f>sumry!BM14</f>
        <v>364.29599999999994</v>
      </c>
      <c r="R8" s="396">
        <f>sumry!DA14</f>
        <v>969.0619999999999</v>
      </c>
      <c r="S8" s="396">
        <f>sumry!DB14</f>
        <v>819.49199999999996</v>
      </c>
      <c r="T8" s="330"/>
      <c r="U8" s="395">
        <v>367.8770444672233</v>
      </c>
      <c r="V8" s="395">
        <v>1514.1395653646287</v>
      </c>
      <c r="W8" s="395">
        <v>1675.9676142794199</v>
      </c>
      <c r="X8" s="330"/>
      <c r="Y8" s="332">
        <f>IF(ISERROR(Q8-U8)=TRUE,"NA",Q8-U8)</f>
        <v>-3.5810444672233643</v>
      </c>
      <c r="Z8" s="332">
        <f>IF(ISERROR(R8-V8)=TRUE,"NA",R8-V8)</f>
        <v>-545.07756536462875</v>
      </c>
      <c r="AA8" s="332">
        <f>IF(ISERROR(S8-W8)=TRUE,"NA",S8-W8)</f>
        <v>-856.47561427941991</v>
      </c>
    </row>
    <row r="9" spans="1:27">
      <c r="A9" s="330"/>
      <c r="B9" s="347" t="s">
        <v>67</v>
      </c>
      <c r="C9" s="423">
        <f>sumry!CK15</f>
        <v>173.642</v>
      </c>
      <c r="D9" s="396">
        <f>sumry!CF15</f>
        <v>186.626</v>
      </c>
      <c r="E9" s="423">
        <v>175.1727872986157</v>
      </c>
      <c r="F9" s="457" t="e">
        <f>F8-F13</f>
        <v>#VALUE!</v>
      </c>
      <c r="G9" s="330"/>
      <c r="H9" s="366"/>
      <c r="I9" s="367"/>
      <c r="J9" s="368"/>
      <c r="K9" s="330"/>
      <c r="L9" s="353">
        <f>(C$8-C$9-E$10-E$15)*(1-E$32)/E$23-(E$22+L$4+L$8)</f>
        <v>-3.3958722684709897E-4</v>
      </c>
      <c r="M9" s="330"/>
      <c r="N9" s="369"/>
      <c r="O9" s="330"/>
      <c r="P9" s="355"/>
      <c r="Q9" s="396"/>
      <c r="R9" s="396"/>
      <c r="S9" s="396"/>
      <c r="T9" s="330"/>
      <c r="U9" s="395"/>
      <c r="V9" s="395"/>
      <c r="W9" s="395"/>
      <c r="X9" s="330"/>
      <c r="Y9" s="332"/>
      <c r="Z9" s="332"/>
      <c r="AA9" s="332"/>
    </row>
    <row r="10" spans="1:27">
      <c r="A10" s="330"/>
      <c r="B10" s="347" t="s">
        <v>388</v>
      </c>
      <c r="C10" s="423">
        <f>sumry!CK11</f>
        <v>24.867000000000001</v>
      </c>
      <c r="D10" s="396">
        <f>sumry!CF11</f>
        <v>27.488</v>
      </c>
      <c r="E10" s="423">
        <v>25.145</v>
      </c>
      <c r="F10" s="457">
        <f>E10</f>
        <v>25.145</v>
      </c>
      <c r="G10" s="330"/>
      <c r="H10" s="366"/>
      <c r="I10" s="367"/>
      <c r="J10" s="368"/>
      <c r="K10" s="330"/>
      <c r="L10" s="402">
        <f>(C$8-C$9-C$10-E$15)*(1-E$32)/E$23-(E$22+L$4+L$8+L$9)</f>
        <v>1.3944645356504248E-3</v>
      </c>
      <c r="M10" s="330"/>
      <c r="N10" s="372"/>
      <c r="O10" s="330"/>
      <c r="P10" s="355"/>
      <c r="Q10" s="396"/>
      <c r="R10" s="396"/>
      <c r="S10" s="396"/>
      <c r="T10" s="330"/>
      <c r="U10" s="395"/>
      <c r="V10" s="395"/>
      <c r="W10" s="395"/>
      <c r="X10" s="330"/>
      <c r="Y10" s="332"/>
      <c r="Z10" s="332"/>
      <c r="AA10" s="332"/>
    </row>
    <row r="11" spans="1:27" ht="13.5" thickBot="1">
      <c r="A11" s="330"/>
      <c r="B11" s="347" t="s">
        <v>184</v>
      </c>
      <c r="C11" s="423">
        <f>C9+C10</f>
        <v>198.50899999999999</v>
      </c>
      <c r="D11" s="396">
        <f>D9+D10</f>
        <v>214.114</v>
      </c>
      <c r="E11" s="423">
        <v>200.31778729861571</v>
      </c>
      <c r="F11" s="457" t="e">
        <f>F9+F10</f>
        <v>#VALUE!</v>
      </c>
      <c r="G11" s="330"/>
      <c r="H11" s="366">
        <f>IF(ISERROR(C11-D11)=TRUE,"NA",C11-D11)</f>
        <v>-15.605000000000018</v>
      </c>
      <c r="I11" s="367">
        <f>IF(ISERROR(C11-E11)=TRUE,"NA",C11-E11)</f>
        <v>-1.8087872986157265</v>
      </c>
      <c r="J11" s="368" t="str">
        <f>IF(ISERROR(C11-F9)=TRUE,"NA",C11-F9)</f>
        <v>NA</v>
      </c>
      <c r="K11" s="330"/>
      <c r="L11" s="403">
        <f>(C$8-C$11-E$15)*(1-E$32)/E$23-(E$22+L$4+L$8)</f>
        <v>1.0548773088033814E-3</v>
      </c>
      <c r="M11" s="330"/>
      <c r="N11" s="354"/>
      <c r="O11" s="330"/>
      <c r="P11" s="355" t="s">
        <v>253</v>
      </c>
      <c r="Q11" s="396">
        <f>sumry!BM15</f>
        <v>297.67</v>
      </c>
      <c r="R11" s="396">
        <f>sumry!DA15</f>
        <v>847.60400000000004</v>
      </c>
      <c r="S11" s="396">
        <f>sumry!DB15</f>
        <v>835.42100000000005</v>
      </c>
      <c r="T11" s="330"/>
      <c r="U11" s="395">
        <v>287.88339496509116</v>
      </c>
      <c r="V11" s="395">
        <v>1146.7943140827149</v>
      </c>
      <c r="W11" s="395">
        <v>1263.2598191068823</v>
      </c>
      <c r="X11" s="330"/>
      <c r="Y11" s="332">
        <f>IF(ISERROR(Q11-U11)=TRUE,"NA",Q11-U11)</f>
        <v>9.7866050349088596</v>
      </c>
      <c r="Z11" s="332">
        <f>IF(ISERROR(R11-V11)=TRUE,"NA",R11-V11)</f>
        <v>-299.19031408271485</v>
      </c>
      <c r="AA11" s="332">
        <f>IF(ISERROR(S11-W11)=TRUE,"NA",S11-W11)</f>
        <v>-427.83881910688228</v>
      </c>
    </row>
    <row r="12" spans="1:27" ht="13.5" thickTop="1">
      <c r="A12" s="330"/>
      <c r="B12" s="347"/>
      <c r="C12" s="423"/>
      <c r="D12" s="396"/>
      <c r="E12" s="423"/>
      <c r="F12" s="457"/>
      <c r="G12" s="330"/>
      <c r="H12" s="359"/>
      <c r="I12" s="360"/>
      <c r="J12" s="361"/>
      <c r="K12" s="330"/>
      <c r="L12" s="399" t="s">
        <v>652</v>
      </c>
      <c r="M12" s="330"/>
      <c r="N12" s="372"/>
      <c r="O12" s="330"/>
      <c r="P12" s="355"/>
      <c r="Q12" s="396"/>
      <c r="R12" s="396"/>
      <c r="S12" s="396"/>
      <c r="T12" s="330"/>
      <c r="U12" s="395"/>
      <c r="V12" s="395"/>
      <c r="W12" s="395"/>
      <c r="X12" s="330"/>
      <c r="Y12" s="332"/>
      <c r="Z12" s="332"/>
      <c r="AA12" s="332"/>
    </row>
    <row r="13" spans="1:27">
      <c r="A13" s="330"/>
      <c r="B13" s="347" t="s">
        <v>254</v>
      </c>
      <c r="C13" s="423">
        <f>sumry!CK21</f>
        <v>35.459000000000003</v>
      </c>
      <c r="D13" s="396">
        <f>sumry!CF21</f>
        <v>54.183999999999941</v>
      </c>
      <c r="E13" s="423">
        <v>44.552278902947961</v>
      </c>
      <c r="F13" s="457" t="str">
        <f>_xll.ThomsonONEAddinShim.SpreadsheetFormulas.TF($A$1,"TF.ES.EBIT.Mean(period=#1,scale=6)",,F$1)</f>
        <v>Manual Calculation</v>
      </c>
      <c r="G13" s="330"/>
      <c r="H13" s="366">
        <f>IF(ISERROR(C13-D13)=TRUE,"NA",C13-D13)</f>
        <v>-18.724999999999937</v>
      </c>
      <c r="I13" s="367">
        <f>IF(ISERROR(C13-E13)=TRUE,"NA",C13-E13)</f>
        <v>-9.0932789029479579</v>
      </c>
      <c r="J13" s="368" t="str">
        <f>IF(ISERROR(C13-F13)=TRUE,"NA",C13-F13)</f>
        <v>NA</v>
      </c>
      <c r="K13" s="330"/>
      <c r="L13" s="402">
        <f>(C$13-E$15)*(1-E$32)/E$23-(E$22)</f>
        <v>-4.0706721680118907E-2</v>
      </c>
      <c r="M13" s="330"/>
      <c r="N13" s="354"/>
      <c r="O13" s="330"/>
      <c r="P13" s="355" t="s">
        <v>254</v>
      </c>
      <c r="Q13" s="396">
        <f>sumry!BM21</f>
        <v>66.62599999999992</v>
      </c>
      <c r="R13" s="396">
        <f>sumry!DA21</f>
        <v>121.45799999999986</v>
      </c>
      <c r="S13" s="396">
        <f>sumry!DB21</f>
        <v>-15.929000000000087</v>
      </c>
      <c r="T13" s="330"/>
      <c r="U13" s="395">
        <v>52.901649502132145</v>
      </c>
      <c r="V13" s="395">
        <v>259.97725128191377</v>
      </c>
      <c r="W13" s="395">
        <v>299.97139517253754</v>
      </c>
      <c r="X13" s="330"/>
      <c r="Y13" s="332">
        <f>IF(ISERROR(Q13-U13)=TRUE,"NA",Q13-U13)</f>
        <v>13.724350497867775</v>
      </c>
      <c r="Z13" s="332">
        <f>IF(ISERROR(R13-V13)=TRUE,"NA",R13-V13)</f>
        <v>-138.51925128191391</v>
      </c>
      <c r="AA13" s="332">
        <f>IF(ISERROR(S13-W13)=TRUE,"NA",S13-W13)</f>
        <v>-315.90039517253763</v>
      </c>
    </row>
    <row r="14" spans="1:27">
      <c r="A14" s="330"/>
      <c r="B14" s="347"/>
      <c r="C14" s="423"/>
      <c r="D14" s="396"/>
      <c r="E14" s="423"/>
      <c r="F14" s="457"/>
      <c r="G14" s="330"/>
      <c r="H14" s="366"/>
      <c r="I14" s="367"/>
      <c r="J14" s="368"/>
      <c r="K14" s="330"/>
      <c r="L14" s="400"/>
      <c r="M14" s="330"/>
      <c r="N14" s="372"/>
      <c r="O14" s="330"/>
      <c r="P14" s="355"/>
      <c r="Q14" s="396"/>
      <c r="R14" s="396"/>
      <c r="S14" s="396"/>
      <c r="T14" s="330"/>
      <c r="U14" s="395"/>
      <c r="V14" s="395"/>
      <c r="W14" s="395"/>
      <c r="X14" s="330"/>
      <c r="Y14" s="332"/>
      <c r="Z14" s="332"/>
      <c r="AA14" s="332"/>
    </row>
    <row r="15" spans="1:27">
      <c r="A15" s="330"/>
      <c r="B15" s="347" t="s">
        <v>196</v>
      </c>
      <c r="C15" s="423">
        <f>sumry!CK23</f>
        <v>-0.443</v>
      </c>
      <c r="D15" s="396">
        <f>sumry!CF23</f>
        <v>-0.48899999999999999</v>
      </c>
      <c r="E15" s="423">
        <v>-0.48899999999999999</v>
      </c>
      <c r="F15" s="457" t="e">
        <f>F16-F13</f>
        <v>#VALUE!</v>
      </c>
      <c r="G15" s="330"/>
      <c r="H15" s="366">
        <f>IF(ISERROR(C15-D15)=TRUE,"NA",C15-D15)</f>
        <v>4.5999999999999985E-2</v>
      </c>
      <c r="I15" s="367">
        <f>IF(ISERROR(C15-E15)=TRUE,"NA",C15-E15)</f>
        <v>4.5999999999999985E-2</v>
      </c>
      <c r="J15" s="368" t="str">
        <f>IF(ISERROR(C15-F15)=TRUE,"NA",C15-F15)</f>
        <v>NA</v>
      </c>
      <c r="K15" s="330"/>
      <c r="L15" s="353">
        <f>(C$13-C$15)*(1-E$32)/E$23-(E$22+L13)</f>
        <v>-2.3073873611478835E-4</v>
      </c>
      <c r="M15" s="330"/>
      <c r="N15" s="373"/>
      <c r="O15" s="330"/>
      <c r="P15" s="355" t="s">
        <v>197</v>
      </c>
      <c r="Q15" s="396">
        <f>sumry!BM23</f>
        <v>0.23100000000000001</v>
      </c>
      <c r="R15" s="396">
        <f>sumry!DA23</f>
        <v>10.868</v>
      </c>
      <c r="S15" s="396">
        <f>sumry!DB23</f>
        <v>7.7560000000000002</v>
      </c>
      <c r="T15" s="330"/>
      <c r="U15" s="395">
        <v>0.4</v>
      </c>
      <c r="V15" s="395">
        <v>1.383</v>
      </c>
      <c r="W15" s="395">
        <v>1.4083164092607385</v>
      </c>
      <c r="X15" s="330"/>
      <c r="Y15" s="332">
        <f t="shared" ref="Y15:AA16" si="0">IF(ISERROR(Q15-U15)=TRUE,"NA",Q15-U15)</f>
        <v>-0.16900000000000001</v>
      </c>
      <c r="Z15" s="332">
        <f t="shared" si="0"/>
        <v>9.4849999999999994</v>
      </c>
      <c r="AA15" s="332">
        <f t="shared" si="0"/>
        <v>6.3476835907392619</v>
      </c>
    </row>
    <row r="16" spans="1:27">
      <c r="A16" s="330"/>
      <c r="B16" s="347" t="s">
        <v>255</v>
      </c>
      <c r="C16" s="423">
        <f>sumry!CK24</f>
        <v>35.016000000000005</v>
      </c>
      <c r="D16" s="396">
        <f>sumry!CF24</f>
        <v>53.694999999999943</v>
      </c>
      <c r="E16" s="423">
        <v>44.063278902947964</v>
      </c>
      <c r="F16" s="457" t="str">
        <f>_xll.ThomsonONEAddinShim.SpreadsheetFormulas.TF($A$1,"TF.ES.PBT.Mean(period=#1,scale=6)",,F$1)</f>
        <v>Manual Calculation</v>
      </c>
      <c r="G16" s="330"/>
      <c r="H16" s="366">
        <f>IF(ISERROR(C16-D16)=TRUE,"NA",C16-D16)</f>
        <v>-18.678999999999938</v>
      </c>
      <c r="I16" s="367">
        <f>IF(ISERROR(C16-E16)=TRUE,"NA",C16-E16)</f>
        <v>-9.0472789029479586</v>
      </c>
      <c r="J16" s="368" t="str">
        <f>IF(ISERROR(C16-F16)=TRUE,"NA",C16-F16)</f>
        <v>NA</v>
      </c>
      <c r="K16" s="330"/>
      <c r="L16" s="398"/>
      <c r="M16" s="330"/>
      <c r="N16" s="354"/>
      <c r="O16" s="330"/>
      <c r="P16" s="355" t="s">
        <v>255</v>
      </c>
      <c r="Q16" s="396">
        <f>sumry!BM24</f>
        <v>66.856999999999914</v>
      </c>
      <c r="R16" s="396">
        <f>sumry!DA24</f>
        <v>132.32599999999985</v>
      </c>
      <c r="S16" s="396">
        <f>sumry!DB24</f>
        <v>-8.1730000000000871</v>
      </c>
      <c r="T16" s="330"/>
      <c r="U16" s="395">
        <v>53.301649502132143</v>
      </c>
      <c r="V16" s="395">
        <v>261.36025128191375</v>
      </c>
      <c r="W16" s="395">
        <v>301.37971158179829</v>
      </c>
      <c r="X16" s="330"/>
      <c r="Y16" s="332">
        <f t="shared" si="0"/>
        <v>13.555350497867771</v>
      </c>
      <c r="Z16" s="332">
        <f t="shared" si="0"/>
        <v>-129.0342512819139</v>
      </c>
      <c r="AA16" s="332">
        <f t="shared" si="0"/>
        <v>-309.55271158179835</v>
      </c>
    </row>
    <row r="17" spans="1:27">
      <c r="A17" s="330"/>
      <c r="B17" s="347"/>
      <c r="C17" s="423"/>
      <c r="D17" s="396"/>
      <c r="E17" s="423"/>
      <c r="F17" s="457"/>
      <c r="G17" s="330"/>
      <c r="H17" s="366"/>
      <c r="I17" s="367"/>
      <c r="J17" s="368"/>
      <c r="K17" s="330"/>
      <c r="L17" s="398" t="s">
        <v>457</v>
      </c>
      <c r="M17" s="330"/>
      <c r="N17" s="372"/>
      <c r="O17" s="330"/>
      <c r="P17" s="355"/>
      <c r="Q17" s="396"/>
      <c r="R17" s="396"/>
      <c r="S17" s="396"/>
      <c r="T17" s="330"/>
      <c r="U17" s="395"/>
      <c r="V17" s="395"/>
      <c r="W17" s="395"/>
      <c r="X17" s="330"/>
      <c r="Y17" s="374"/>
      <c r="Z17" s="374"/>
      <c r="AA17" s="374"/>
    </row>
    <row r="18" spans="1:27">
      <c r="A18" s="330"/>
      <c r="B18" s="347" t="s">
        <v>256</v>
      </c>
      <c r="C18" s="423">
        <f>sumry!CK26</f>
        <v>12.3</v>
      </c>
      <c r="D18" s="396">
        <f>sumry!CF26</f>
        <v>20.385999999999999</v>
      </c>
      <c r="E18" s="423">
        <v>16.744045983120227</v>
      </c>
      <c r="F18" s="457" t="e">
        <f>F16-F20</f>
        <v>#VALUE!</v>
      </c>
      <c r="G18" s="330"/>
      <c r="H18" s="366">
        <f>IF(ISERROR(C18-D18)=TRUE,"NA",C18-D18)</f>
        <v>-8.0859999999999985</v>
      </c>
      <c r="I18" s="367">
        <f>IF(ISERROR(C18-E18)=TRUE,"NA",C18-E18)</f>
        <v>-4.4440459831202261</v>
      </c>
      <c r="J18" s="368" t="str">
        <f>IF(ISERROR(C18-F18)=TRUE,"NA",C18-F18)</f>
        <v>NA</v>
      </c>
      <c r="K18" s="330"/>
      <c r="L18" s="353">
        <f>(C$13-C$15-C18)/E$23-(E$22+L$13+L$15)</f>
        <v>1.0863490368356737E-2</v>
      </c>
      <c r="M18" s="330"/>
      <c r="N18" s="354"/>
      <c r="O18" s="330"/>
      <c r="P18" s="355" t="s">
        <v>256</v>
      </c>
      <c r="Q18" s="396">
        <f>sumry!BM26</f>
        <v>25.2</v>
      </c>
      <c r="R18" s="396">
        <f>sumry!DA26</f>
        <v>48.012</v>
      </c>
      <c r="S18" s="396">
        <f>sumry!DB26</f>
        <v>-4.7360000000000015</v>
      </c>
      <c r="T18" s="330"/>
      <c r="U18" s="395">
        <v>20.254626810810223</v>
      </c>
      <c r="V18" s="395">
        <v>99.117755487127226</v>
      </c>
      <c r="W18" s="395">
        <v>114.2946581005708</v>
      </c>
      <c r="X18" s="330"/>
      <c r="Y18" s="332">
        <f>IF(ISERROR(Q18-U18)=TRUE,"NA",Q18-U18)</f>
        <v>4.9453731891897768</v>
      </c>
      <c r="Z18" s="332">
        <f>IF(ISERROR(R18-V18)=TRUE,"NA",R18-V18)</f>
        <v>-51.105755487127226</v>
      </c>
      <c r="AA18" s="332">
        <f>IF(ISERROR(S18-W18)=TRUE,"NA",S18-W18)</f>
        <v>-119.0306581005708</v>
      </c>
    </row>
    <row r="19" spans="1:27">
      <c r="A19" s="330"/>
      <c r="B19" s="347"/>
      <c r="C19" s="423"/>
      <c r="D19" s="396"/>
      <c r="E19" s="423"/>
      <c r="F19" s="457"/>
      <c r="G19" s="330"/>
      <c r="H19" s="366"/>
      <c r="I19" s="367"/>
      <c r="J19" s="368"/>
      <c r="K19" s="330"/>
      <c r="L19" s="398"/>
      <c r="M19" s="330"/>
      <c r="N19" s="372"/>
      <c r="O19" s="330"/>
      <c r="P19" s="355"/>
      <c r="Q19" s="396"/>
      <c r="R19" s="396"/>
      <c r="S19" s="396"/>
      <c r="T19" s="330"/>
      <c r="U19" s="395"/>
      <c r="V19" s="395"/>
      <c r="W19" s="395"/>
      <c r="X19" s="330"/>
      <c r="Y19" s="332"/>
      <c r="Z19" s="332"/>
      <c r="AA19" s="332"/>
    </row>
    <row r="20" spans="1:27">
      <c r="A20" s="330"/>
      <c r="B20" s="347" t="s">
        <v>257</v>
      </c>
      <c r="C20" s="423">
        <f>sumry!CK29</f>
        <v>22.179000000000006</v>
      </c>
      <c r="D20" s="396">
        <f>sumry!CF29</f>
        <v>32.80299999999994</v>
      </c>
      <c r="E20" s="423">
        <v>27.319232919827737</v>
      </c>
      <c r="F20" s="457" t="str">
        <f>_xll.ThomsonONEAddinShim.SpreadsheetFormulas.TF($A$1,"TF.ES.NetInc.Mean(period=#1,scale=6)",,F$1)</f>
        <v>Manual Calculation</v>
      </c>
      <c r="G20" s="330"/>
      <c r="H20" s="366">
        <f>IF(ISERROR(C20-D20)=TRUE,"NA",C20-D20)</f>
        <v>-10.623999999999935</v>
      </c>
      <c r="I20" s="367">
        <f>IF(ISERROR(C20-E20)=TRUE,"NA",C20-E20)</f>
        <v>-5.1402329198277315</v>
      </c>
      <c r="J20" s="368" t="str">
        <f>IF(ISERROR(C20-F20)=TRUE,"NA",C20-F20)</f>
        <v>NA</v>
      </c>
      <c r="K20" s="330"/>
      <c r="L20" s="400"/>
      <c r="M20" s="330"/>
      <c r="N20" s="373"/>
      <c r="O20" s="330"/>
      <c r="P20" s="355" t="s">
        <v>257</v>
      </c>
      <c r="Q20" s="396">
        <f>sumry!BM29</f>
        <v>41.656999999999911</v>
      </c>
      <c r="R20" s="396">
        <f>sumry!DA29</f>
        <v>84.313999999999851</v>
      </c>
      <c r="S20" s="396">
        <f>sumry!DB29</f>
        <v>-3.4370000000000855</v>
      </c>
      <c r="T20" s="330"/>
      <c r="U20" s="395">
        <v>33.047022691321921</v>
      </c>
      <c r="V20" s="395">
        <v>162.24249579478652</v>
      </c>
      <c r="W20" s="395">
        <v>187.08505348122748</v>
      </c>
      <c r="X20" s="330"/>
      <c r="Y20" s="332">
        <f>IF(ISERROR(Q20-U20)=TRUE,"NA",Q20-U20)</f>
        <v>8.6099773086779905</v>
      </c>
      <c r="Z20" s="332">
        <f>IF(ISERROR(R20-V20)=TRUE,"NA",R20-V20)</f>
        <v>-77.92849579478667</v>
      </c>
      <c r="AA20" s="332">
        <f>IF(ISERROR(S20-W20)=TRUE,"NA",S20-W20)</f>
        <v>-190.52205348122757</v>
      </c>
    </row>
    <row r="21" spans="1:27">
      <c r="A21" s="330"/>
      <c r="B21" s="347"/>
      <c r="C21" s="423"/>
      <c r="D21" s="396"/>
      <c r="E21" s="423"/>
      <c r="F21" s="458"/>
      <c r="G21" s="330"/>
      <c r="H21" s="350"/>
      <c r="I21" s="351"/>
      <c r="J21" s="352"/>
      <c r="K21" s="330"/>
      <c r="L21" s="400"/>
      <c r="M21" s="330"/>
      <c r="N21" s="373"/>
      <c r="O21" s="330"/>
      <c r="P21" s="355"/>
      <c r="Q21" s="396"/>
      <c r="R21" s="396"/>
      <c r="S21" s="396"/>
      <c r="T21" s="330"/>
      <c r="U21" s="395"/>
      <c r="V21" s="395"/>
      <c r="W21" s="395"/>
      <c r="X21" s="330"/>
      <c r="Y21" s="332"/>
      <c r="Z21" s="332"/>
      <c r="AA21" s="332"/>
    </row>
    <row r="22" spans="1:27">
      <c r="A22" s="330"/>
      <c r="B22" s="347" t="s">
        <v>258</v>
      </c>
      <c r="C22" s="425">
        <f>sumry!CK31</f>
        <v>0.17647620487440027</v>
      </c>
      <c r="D22" s="376">
        <f>sumry!CF31</f>
        <v>0.25357523847806884</v>
      </c>
      <c r="E22" s="425">
        <v>0.22102402789436937</v>
      </c>
      <c r="F22" s="1541" t="str">
        <f>_xll.ThomsonONEAddinShim.SpreadsheetFormulas.TF($A$1,"TF.ES.EPS.Mean(period=#1)",,F$1)</f>
        <v>Manual Calculation</v>
      </c>
      <c r="G22" s="330"/>
      <c r="H22" s="378">
        <f>IF(ISERROR(C22-D22)=TRUE,"NA",C22-D22)</f>
        <v>-7.7099033603668571E-2</v>
      </c>
      <c r="I22" s="379">
        <f>IF(ISERROR(C22-E22)=TRUE,"NA",C22-E22)</f>
        <v>-4.4547823019969096E-2</v>
      </c>
      <c r="J22" s="380" t="str">
        <f>IF(ISERROR(C22-F22)=TRUE,"NA",C22-F22)</f>
        <v>NA</v>
      </c>
      <c r="K22" s="330"/>
      <c r="L22" s="420">
        <f>L13+L15+L18</f>
        <v>-3.0073970047876958E-2</v>
      </c>
      <c r="M22" s="330"/>
      <c r="N22" s="373"/>
      <c r="O22" s="330"/>
      <c r="P22" s="355" t="s">
        <v>258</v>
      </c>
      <c r="Q22" s="376">
        <f>sumry!BM31</f>
        <v>0.25337112480308444</v>
      </c>
      <c r="R22" s="376">
        <f>sumry!DA31</f>
        <v>0.47809248391029374</v>
      </c>
      <c r="S22" s="376">
        <f>sumry!DB31</f>
        <v>-1.9461399952436981E-2</v>
      </c>
      <c r="T22" s="330"/>
      <c r="U22" s="377">
        <v>0.20670408748856564</v>
      </c>
      <c r="V22" s="377">
        <v>1.0024378662969227</v>
      </c>
      <c r="W22" s="377">
        <v>1.2040794812662667</v>
      </c>
      <c r="X22" s="330"/>
      <c r="Y22" s="376">
        <f t="shared" ref="Y22:AA23" si="1">IF(ISERROR(Q22-U22)=TRUE,"NA",Q22-U22)</f>
        <v>4.6667037314518794E-2</v>
      </c>
      <c r="Z22" s="376">
        <f t="shared" si="1"/>
        <v>-0.52434538238662887</v>
      </c>
      <c r="AA22" s="376">
        <f t="shared" si="1"/>
        <v>-1.2235408812187036</v>
      </c>
    </row>
    <row r="23" spans="1:27">
      <c r="A23" s="330"/>
      <c r="B23" s="347" t="s">
        <v>259</v>
      </c>
      <c r="C23" s="423">
        <f>sumry!CK32</f>
        <v>125.67700000000001</v>
      </c>
      <c r="D23" s="396">
        <f>sumry!CF32</f>
        <v>129.36199999999999</v>
      </c>
      <c r="E23" s="423">
        <v>123.60299999999999</v>
      </c>
      <c r="F23" s="457" t="e">
        <f>F20/F22</f>
        <v>#VALUE!</v>
      </c>
      <c r="G23" s="330"/>
      <c r="H23" s="366">
        <f>IF(ISERROR(C23-D23)=TRUE,"NA",C23-D23)</f>
        <v>-3.6849999999999881</v>
      </c>
      <c r="I23" s="332">
        <f>IF(ISERROR(C23-E23)=TRUE,"NA",C23-E23)</f>
        <v>2.0740000000000123</v>
      </c>
      <c r="J23" s="375" t="str">
        <f>IF(ISERROR(C23-F23)=TRUE,"NA",C23-F23)</f>
        <v>NA</v>
      </c>
      <c r="K23" s="330"/>
      <c r="L23" s="353">
        <f>-C20/E23+C20/C23</f>
        <v>-2.9611874219032663E-3</v>
      </c>
      <c r="M23" s="330"/>
      <c r="N23" s="373"/>
      <c r="O23" s="330"/>
      <c r="P23" s="355" t="s">
        <v>259</v>
      </c>
      <c r="Q23" s="396">
        <f>sumry!BM32</f>
        <v>164.411</v>
      </c>
      <c r="R23" s="396">
        <f>sumry!DA32</f>
        <v>176.35499999999999</v>
      </c>
      <c r="S23" s="396">
        <f>sumry!DB32</f>
        <v>176.60599999999999</v>
      </c>
      <c r="T23" s="330"/>
      <c r="U23" s="395">
        <v>159.876</v>
      </c>
      <c r="V23" s="395">
        <v>161.84793217570873</v>
      </c>
      <c r="W23" s="395">
        <v>155.376</v>
      </c>
      <c r="X23" s="330"/>
      <c r="Y23" s="332">
        <f t="shared" si="1"/>
        <v>4.5349999999999966</v>
      </c>
      <c r="Z23" s="332">
        <f t="shared" si="1"/>
        <v>14.507067824291255</v>
      </c>
      <c r="AA23" s="332">
        <f t="shared" si="1"/>
        <v>21.22999999999999</v>
      </c>
    </row>
    <row r="24" spans="1:27">
      <c r="A24" s="330"/>
      <c r="B24" s="347"/>
      <c r="C24" s="426"/>
      <c r="D24" s="332"/>
      <c r="E24" s="426"/>
      <c r="F24" s="458"/>
      <c r="G24" s="330"/>
      <c r="H24" s="366"/>
      <c r="I24" s="367"/>
      <c r="J24" s="368"/>
      <c r="K24" s="330"/>
      <c r="L24" s="400"/>
      <c r="M24" s="330"/>
      <c r="N24" s="373"/>
      <c r="O24" s="330"/>
      <c r="P24" s="355"/>
      <c r="Q24" s="332"/>
      <c r="R24" s="332"/>
      <c r="S24" s="332"/>
      <c r="T24" s="330"/>
      <c r="U24" s="370"/>
      <c r="V24" s="370"/>
      <c r="W24" s="370"/>
      <c r="X24" s="330"/>
      <c r="Y24" s="332"/>
      <c r="Z24" s="332"/>
      <c r="AA24" s="332"/>
    </row>
    <row r="25" spans="1:27">
      <c r="A25" s="330"/>
      <c r="B25" s="381" t="s">
        <v>261</v>
      </c>
      <c r="C25" s="427"/>
      <c r="D25" s="363"/>
      <c r="E25" s="427"/>
      <c r="F25" s="459"/>
      <c r="G25" s="330"/>
      <c r="H25" s="382"/>
      <c r="I25" s="363"/>
      <c r="J25" s="365"/>
      <c r="K25" s="330"/>
      <c r="L25" s="400"/>
      <c r="M25" s="330"/>
      <c r="N25" s="354"/>
      <c r="O25" s="330"/>
      <c r="P25" s="383" t="s">
        <v>261</v>
      </c>
      <c r="Q25" s="363"/>
      <c r="R25" s="363"/>
      <c r="S25" s="363"/>
      <c r="T25" s="330"/>
      <c r="U25" s="364"/>
      <c r="V25" s="364"/>
      <c r="W25" s="364"/>
      <c r="X25" s="330"/>
      <c r="Y25" s="363"/>
      <c r="Z25" s="363"/>
      <c r="AA25" s="363"/>
    </row>
    <row r="26" spans="1:27">
      <c r="A26" s="330"/>
      <c r="B26" s="347" t="s">
        <v>262</v>
      </c>
      <c r="C26" s="428">
        <f>sumry!CK40</f>
        <v>0.36140315703419224</v>
      </c>
      <c r="D26" s="357">
        <f>sumry!CF40</f>
        <v>0.37879169209666957</v>
      </c>
      <c r="E26" s="428">
        <v>0.37630000000000008</v>
      </c>
      <c r="F26" s="456" t="e">
        <f>F8/F4</f>
        <v>#VALUE!</v>
      </c>
      <c r="G26" s="330"/>
      <c r="H26" s="359">
        <f t="shared" ref="H26:H33" si="2">IF(ISERROR((C26-D26)*10000)=TRUE,"NA",(C26-D26)*10000)</f>
        <v>-173.88535062477339</v>
      </c>
      <c r="I26" s="360">
        <f t="shared" ref="I26:I33" si="3">IF(ISERROR((C26-E26)*10000)=TRUE,"NA",(C26-E26)*10000)</f>
        <v>-148.96842965807843</v>
      </c>
      <c r="J26" s="361" t="str">
        <f>IF(ISERROR((C26-F26)*10000)=TRUE,"NA",(C26-F26)*10000)</f>
        <v>NA</v>
      </c>
      <c r="K26" s="330"/>
      <c r="L26" s="362"/>
      <c r="M26" s="330"/>
      <c r="N26" s="354"/>
      <c r="O26" s="330"/>
      <c r="P26" s="355" t="s">
        <v>262</v>
      </c>
      <c r="Q26" s="357">
        <f>sumry!BM40</f>
        <v>0.57219416804756029</v>
      </c>
      <c r="R26" s="357">
        <f>sumry!DA40</f>
        <v>0.56527255301934809</v>
      </c>
      <c r="S26" s="357">
        <f>sumry!DB40</f>
        <v>0.5178778617849803</v>
      </c>
      <c r="T26" s="330"/>
      <c r="U26" s="358">
        <v>0.59804233179734956</v>
      </c>
      <c r="V26" s="358">
        <v>0.59369869657926033</v>
      </c>
      <c r="W26" s="358">
        <v>0.59502523838346044</v>
      </c>
      <c r="X26" s="330"/>
      <c r="Y26" s="360">
        <f>IF(ISERROR((Q26-U26)*10000)=TRUE,"NA",(Q26-U26)*10000)</f>
        <v>-258.48163749789268</v>
      </c>
      <c r="Z26" s="360">
        <f>IF(ISERROR((R26-V26)*10000)=TRUE,"NA",(R26-V26)*10000)</f>
        <v>-284.26143559912242</v>
      </c>
      <c r="AA26" s="360">
        <f>IF(ISERROR((S26-W26)*10000)=TRUE,"NA",(S26-W26)*10000)</f>
        <v>-771.47376598480139</v>
      </c>
    </row>
    <row r="27" spans="1:27">
      <c r="A27" s="330"/>
      <c r="B27" s="347" t="s">
        <v>67</v>
      </c>
      <c r="C27" s="428">
        <f>C9/C4</f>
        <v>0.3001170104099512</v>
      </c>
      <c r="D27" s="357">
        <f>D9/D4</f>
        <v>0.29356080864263562</v>
      </c>
      <c r="E27" s="428">
        <v>0.30000000000000004</v>
      </c>
      <c r="F27" s="456" t="e">
        <f>F9/F4</f>
        <v>#VALUE!</v>
      </c>
      <c r="G27" s="330"/>
      <c r="H27" s="359">
        <f t="shared" si="2"/>
        <v>65.562017673155836</v>
      </c>
      <c r="I27" s="360">
        <f t="shared" si="3"/>
        <v>1.1701040995115708</v>
      </c>
      <c r="J27" s="361"/>
      <c r="K27" s="330"/>
      <c r="L27" s="362"/>
      <c r="M27" s="330"/>
      <c r="N27" s="369"/>
      <c r="O27" s="330"/>
      <c r="P27" s="355"/>
      <c r="Q27" s="357"/>
      <c r="R27" s="357"/>
      <c r="S27" s="357"/>
      <c r="T27" s="330"/>
      <c r="U27" s="358"/>
      <c r="V27" s="358"/>
      <c r="W27" s="358"/>
      <c r="X27" s="330"/>
      <c r="Y27" s="360"/>
      <c r="Z27" s="360"/>
      <c r="AA27" s="360"/>
    </row>
    <row r="28" spans="1:27">
      <c r="A28" s="330"/>
      <c r="B28" s="347" t="s">
        <v>388</v>
      </c>
      <c r="C28" s="428">
        <f>sumry!CK45</f>
        <v>4.2979288984601981E-2</v>
      </c>
      <c r="D28" s="357">
        <f>sumry!CF45</f>
        <v>4.3238345718006957E-2</v>
      </c>
      <c r="E28" s="428">
        <v>4.3063195581518346E-2</v>
      </c>
      <c r="F28" s="456" t="e">
        <f>F10/F4</f>
        <v>#VALUE!</v>
      </c>
      <c r="G28" s="330"/>
      <c r="H28" s="359">
        <f t="shared" si="2"/>
        <v>-2.5905673340497621</v>
      </c>
      <c r="I28" s="360">
        <f t="shared" si="3"/>
        <v>-0.83906596916365206</v>
      </c>
      <c r="J28" s="361"/>
      <c r="K28" s="330"/>
      <c r="L28" s="362"/>
      <c r="M28" s="330"/>
      <c r="N28" s="371"/>
      <c r="O28" s="330"/>
      <c r="P28" s="355"/>
      <c r="Q28" s="357"/>
      <c r="R28" s="357"/>
      <c r="S28" s="357"/>
      <c r="T28" s="330"/>
      <c r="U28" s="358"/>
      <c r="V28" s="358"/>
      <c r="W28" s="358"/>
      <c r="X28" s="330"/>
      <c r="Y28" s="360"/>
      <c r="Z28" s="360"/>
      <c r="AA28" s="360"/>
    </row>
    <row r="29" spans="1:27">
      <c r="A29" s="330"/>
      <c r="B29" s="347" t="s">
        <v>263</v>
      </c>
      <c r="C29" s="428">
        <f>sumry!CK41</f>
        <v>0.3001170104099512</v>
      </c>
      <c r="D29" s="357">
        <f>sumry!CF41</f>
        <v>0.29356080864263562</v>
      </c>
      <c r="E29" s="428">
        <v>0.30000000000000004</v>
      </c>
      <c r="F29" s="456" t="e">
        <f>F9/F4</f>
        <v>#VALUE!</v>
      </c>
      <c r="G29" s="330"/>
      <c r="H29" s="359">
        <f t="shared" si="2"/>
        <v>65.562017673155836</v>
      </c>
      <c r="I29" s="360">
        <f t="shared" si="3"/>
        <v>1.1701040995115708</v>
      </c>
      <c r="J29" s="361" t="str">
        <f>IF(ISERROR((C29-F29)*10000)=TRUE,"NA",(C29-F29)*10000)</f>
        <v>NA</v>
      </c>
      <c r="K29" s="330"/>
      <c r="L29" s="362"/>
      <c r="M29" s="330"/>
      <c r="N29" s="369"/>
      <c r="O29" s="330"/>
      <c r="P29" s="355" t="s">
        <v>263</v>
      </c>
      <c r="Q29" s="357">
        <f>sumry!BM41</f>
        <v>0.46754572655949367</v>
      </c>
      <c r="R29" s="357">
        <f>sumry!DA41</f>
        <v>0.49442375929446369</v>
      </c>
      <c r="S29" s="357">
        <f>sumry!DB41</f>
        <v>0.52794419124319714</v>
      </c>
      <c r="T29" s="330"/>
      <c r="U29" s="358">
        <v>0.46799999999999997</v>
      </c>
      <c r="V29" s="358">
        <v>0.44966151409659205</v>
      </c>
      <c r="W29" s="358">
        <v>0.44849999999999995</v>
      </c>
      <c r="X29" s="330"/>
      <c r="Y29" s="360">
        <f t="shared" ref="Y29:AA33" si="4">IF(ISERROR((Q29-U29)*10000)=TRUE,"NA",(Q29-U29)*10000)</f>
        <v>-4.5427344050630314</v>
      </c>
      <c r="Z29" s="360">
        <f t="shared" si="4"/>
        <v>447.62245197871641</v>
      </c>
      <c r="AA29" s="360">
        <f t="shared" si="4"/>
        <v>794.44191243197179</v>
      </c>
    </row>
    <row r="30" spans="1:27">
      <c r="A30" s="330"/>
      <c r="B30" s="347" t="s">
        <v>241</v>
      </c>
      <c r="C30" s="428">
        <f>sumry!CK46</f>
        <v>6.1286146624241034E-2</v>
      </c>
      <c r="D30" s="357">
        <f>sumry!CF46</f>
        <v>8.5230883454033998E-2</v>
      </c>
      <c r="E30" s="428">
        <v>7.6300000000000062E-2</v>
      </c>
      <c r="F30" s="456" t="e">
        <f>F13/F4</f>
        <v>#VALUE!</v>
      </c>
      <c r="G30" s="330"/>
      <c r="H30" s="359">
        <f t="shared" si="2"/>
        <v>-239.44736829792964</v>
      </c>
      <c r="I30" s="360">
        <f t="shared" si="3"/>
        <v>-150.1385337575903</v>
      </c>
      <c r="J30" s="361" t="str">
        <f>IF(ISERROR((C30-F30)*10000)=TRUE,"NA",(C30-F30)*10000)</f>
        <v>NA</v>
      </c>
      <c r="K30" s="330"/>
      <c r="L30" s="362"/>
      <c r="M30" s="330"/>
      <c r="N30" s="371"/>
      <c r="O30" s="330"/>
      <c r="P30" s="355" t="s">
        <v>241</v>
      </c>
      <c r="Q30" s="357">
        <f>sumry!BM46</f>
        <v>0.1046484414880666</v>
      </c>
      <c r="R30" s="357">
        <f>sumry!DA46</f>
        <v>7.0848793724884382E-2</v>
      </c>
      <c r="S30" s="357">
        <f>sumry!DB46</f>
        <v>-1.0066329458216793E-2</v>
      </c>
      <c r="T30" s="330"/>
      <c r="U30" s="358">
        <v>8.6000000000000007E-2</v>
      </c>
      <c r="V30" s="358">
        <v>0.10193786541015561</v>
      </c>
      <c r="W30" s="358">
        <v>0.10650000000000008</v>
      </c>
      <c r="X30" s="330"/>
      <c r="Y30" s="360">
        <f t="shared" si="4"/>
        <v>186.48441488066589</v>
      </c>
      <c r="Z30" s="360">
        <f t="shared" si="4"/>
        <v>-310.89071685271227</v>
      </c>
      <c r="AA30" s="360">
        <f t="shared" si="4"/>
        <v>-1165.6632945821689</v>
      </c>
    </row>
    <row r="31" spans="1:27">
      <c r="A31" s="330"/>
      <c r="B31" s="347" t="s">
        <v>264</v>
      </c>
      <c r="C31" s="428">
        <f>sumry!CK47</f>
        <v>6.0520480278474412E-2</v>
      </c>
      <c r="D31" s="357">
        <f>sumry!CF47</f>
        <v>8.4461691404554035E-2</v>
      </c>
      <c r="E31" s="428">
        <v>7.5462541155722387E-2</v>
      </c>
      <c r="F31" s="456" t="e">
        <f>F16/F4</f>
        <v>#VALUE!</v>
      </c>
      <c r="G31" s="330"/>
      <c r="H31" s="359">
        <f t="shared" si="2"/>
        <v>-239.41211126079622</v>
      </c>
      <c r="I31" s="360">
        <f t="shared" si="3"/>
        <v>-149.42060877247977</v>
      </c>
      <c r="J31" s="361"/>
      <c r="K31" s="330"/>
      <c r="L31" s="362"/>
      <c r="M31" s="330"/>
      <c r="N31" s="369"/>
      <c r="O31" s="330"/>
      <c r="P31" s="355" t="s">
        <v>264</v>
      </c>
      <c r="Q31" s="357">
        <f>sumry!BM47</f>
        <v>0.10501126966300946</v>
      </c>
      <c r="R31" s="357">
        <f>sumry!DA47</f>
        <v>7.7188307714922452E-2</v>
      </c>
      <c r="S31" s="357">
        <f>sumry!DB47</f>
        <v>-5.1649262767283748E-3</v>
      </c>
      <c r="T31" s="330"/>
      <c r="U31" s="358">
        <v>8.665026327768123E-2</v>
      </c>
      <c r="V31" s="358">
        <v>0.10248014388708807</v>
      </c>
      <c r="W31" s="358">
        <v>0.1070000000000001</v>
      </c>
      <c r="X31" s="330"/>
      <c r="Y31" s="360">
        <f t="shared" si="4"/>
        <v>183.61006385328227</v>
      </c>
      <c r="Z31" s="360">
        <f t="shared" si="4"/>
        <v>-252.91836172165614</v>
      </c>
      <c r="AA31" s="360">
        <f t="shared" si="4"/>
        <v>-1121.6492627672847</v>
      </c>
    </row>
    <row r="32" spans="1:27">
      <c r="A32" s="330"/>
      <c r="B32" s="347" t="s">
        <v>265</v>
      </c>
      <c r="C32" s="428">
        <f>sumry!CK48</f>
        <v>0.35126799177518847</v>
      </c>
      <c r="D32" s="357">
        <f>sumry!CF48</f>
        <v>0.3796629108855577</v>
      </c>
      <c r="E32" s="428">
        <v>0.38</v>
      </c>
      <c r="F32" s="456" t="e">
        <f>F18/F16</f>
        <v>#VALUE!</v>
      </c>
      <c r="G32" s="357"/>
      <c r="H32" s="359">
        <f t="shared" si="2"/>
        <v>-283.94919110369233</v>
      </c>
      <c r="I32" s="360">
        <f t="shared" si="3"/>
        <v>-287.32008224811534</v>
      </c>
      <c r="J32" s="361"/>
      <c r="K32" s="357"/>
      <c r="L32" s="384"/>
      <c r="M32" s="357"/>
      <c r="N32" s="354"/>
      <c r="O32" s="330"/>
      <c r="P32" s="355" t="s">
        <v>265</v>
      </c>
      <c r="Q32" s="357">
        <f>sumry!BM48</f>
        <v>0.37692388231598833</v>
      </c>
      <c r="R32" s="357">
        <f>sumry!DA48</f>
        <v>0.36283118963771332</v>
      </c>
      <c r="S32" s="357">
        <f>sumry!DB48</f>
        <v>0.5794689832374833</v>
      </c>
      <c r="T32" s="330"/>
      <c r="U32" s="358">
        <v>0.38</v>
      </c>
      <c r="V32" s="358">
        <v>0.37923806317516434</v>
      </c>
      <c r="W32" s="358">
        <v>0.37923806317516423</v>
      </c>
      <c r="X32" s="330"/>
      <c r="Y32" s="360">
        <f t="shared" si="4"/>
        <v>-30.761176840116701</v>
      </c>
      <c r="Z32" s="360">
        <f t="shared" si="4"/>
        <v>-164.06873537451017</v>
      </c>
      <c r="AA32" s="360">
        <f t="shared" si="4"/>
        <v>2002.3092006231907</v>
      </c>
    </row>
    <row r="33" spans="1:27">
      <c r="A33" s="330"/>
      <c r="B33" s="347" t="s">
        <v>242</v>
      </c>
      <c r="C33" s="428">
        <f>sumry!CK49</f>
        <v>3.8333439915932264E-2</v>
      </c>
      <c r="D33" s="357">
        <f>sumry!CF49</f>
        <v>5.1598786910207355E-2</v>
      </c>
      <c r="E33" s="428">
        <v>4.6786775516547877E-2</v>
      </c>
      <c r="F33" s="456" t="e">
        <f>F20/F4</f>
        <v>#VALUE!</v>
      </c>
      <c r="G33" s="357"/>
      <c r="H33" s="359">
        <f t="shared" si="2"/>
        <v>-132.65346994275089</v>
      </c>
      <c r="I33" s="360">
        <f t="shared" si="3"/>
        <v>-84.533356006156126</v>
      </c>
      <c r="J33" s="361" t="str">
        <f>IF(ISERROR((C33-F33)*10000)=TRUE,"NA",(C33-F33)*10000)</f>
        <v>NA</v>
      </c>
      <c r="K33" s="357"/>
      <c r="L33" s="384"/>
      <c r="M33" s="357"/>
      <c r="N33" s="372"/>
      <c r="O33" s="330"/>
      <c r="P33" s="355" t="s">
        <v>242</v>
      </c>
      <c r="Q33" s="357">
        <f>sumry!BM49</f>
        <v>6.5430014214696755E-2</v>
      </c>
      <c r="R33" s="357">
        <f>sumry!DA49</f>
        <v>4.9181982200595248E-2</v>
      </c>
      <c r="S33" s="357">
        <f>sumry!DB49</f>
        <v>-2.172011698656023E-3</v>
      </c>
      <c r="T33" s="330"/>
      <c r="U33" s="358">
        <v>5.3723163232162349E-2</v>
      </c>
      <c r="V33" s="358">
        <v>6.3615772605436632E-2</v>
      </c>
      <c r="W33" s="358">
        <v>6.6421527240257475E-2</v>
      </c>
      <c r="X33" s="330"/>
      <c r="Y33" s="360">
        <f t="shared" si="4"/>
        <v>117.06850982534405</v>
      </c>
      <c r="Z33" s="360">
        <f t="shared" si="4"/>
        <v>-144.33790404841383</v>
      </c>
      <c r="AA33" s="360">
        <f t="shared" si="4"/>
        <v>-685.93538938913503</v>
      </c>
    </row>
    <row r="34" spans="1:27">
      <c r="A34" s="330"/>
      <c r="B34" s="347"/>
      <c r="C34" s="428"/>
      <c r="D34" s="357"/>
      <c r="E34" s="428"/>
      <c r="F34" s="456"/>
      <c r="G34" s="357"/>
      <c r="H34" s="359"/>
      <c r="I34" s="360"/>
      <c r="J34" s="361"/>
      <c r="K34" s="357"/>
      <c r="L34" s="384"/>
      <c r="M34" s="357"/>
      <c r="N34" s="354"/>
      <c r="O34" s="330"/>
      <c r="P34" s="355"/>
      <c r="Q34" s="357"/>
      <c r="R34" s="357"/>
      <c r="S34" s="357"/>
      <c r="T34" s="330"/>
      <c r="U34" s="358"/>
      <c r="V34" s="358"/>
      <c r="W34" s="358"/>
      <c r="X34" s="330"/>
      <c r="Y34" s="357"/>
      <c r="Z34" s="357"/>
      <c r="AA34" s="357"/>
    </row>
    <row r="35" spans="1:27">
      <c r="A35" s="330"/>
      <c r="B35" s="381" t="s">
        <v>266</v>
      </c>
      <c r="C35" s="428"/>
      <c r="D35" s="357"/>
      <c r="E35" s="428"/>
      <c r="F35" s="456"/>
      <c r="G35" s="357"/>
      <c r="H35" s="359"/>
      <c r="I35" s="360"/>
      <c r="J35" s="361"/>
      <c r="K35" s="357"/>
      <c r="L35" s="384"/>
      <c r="M35" s="357"/>
      <c r="N35" s="372"/>
      <c r="O35" s="330"/>
      <c r="P35" s="383" t="s">
        <v>266</v>
      </c>
      <c r="Q35" s="357"/>
      <c r="R35" s="357"/>
      <c r="S35" s="357"/>
      <c r="T35" s="330"/>
      <c r="U35" s="358"/>
      <c r="V35" s="358"/>
      <c r="W35" s="358"/>
      <c r="X35" s="330"/>
      <c r="Y35" s="357"/>
      <c r="Z35" s="357"/>
      <c r="AA35" s="357"/>
    </row>
    <row r="36" spans="1:27">
      <c r="A36" s="330"/>
      <c r="B36" s="347" t="s">
        <v>64</v>
      </c>
      <c r="C36" s="428">
        <f>sumry!CK53</f>
        <v>-8.9897944416829634E-2</v>
      </c>
      <c r="D36" s="357">
        <f>sumry!CF53</f>
        <v>-3.607304066727024E-2</v>
      </c>
      <c r="E36" s="428">
        <v>-8.1516596623442461E-2</v>
      </c>
      <c r="F36" s="456" t="e">
        <f>F4/D4-1</f>
        <v>#VALUE!</v>
      </c>
      <c r="G36" s="357"/>
      <c r="H36" s="359"/>
      <c r="I36" s="360"/>
      <c r="J36" s="361"/>
      <c r="K36" s="357"/>
      <c r="L36" s="384"/>
      <c r="M36" s="357"/>
      <c r="N36" s="362"/>
      <c r="O36" s="330"/>
      <c r="P36" s="355" t="s">
        <v>64</v>
      </c>
      <c r="Q36" s="357">
        <f>sumry!BM53</f>
        <v>0.18219242181726325</v>
      </c>
      <c r="R36" s="357">
        <f>sumry!DA53</f>
        <v>4.4730813741257203E-2</v>
      </c>
      <c r="S36" s="357">
        <f>sumry!DB53</f>
        <v>-7.6953230043043108E-2</v>
      </c>
      <c r="T36" s="330"/>
      <c r="U36" s="358">
        <v>0.14221525984246086</v>
      </c>
      <c r="V36" s="358">
        <v>0.16117128305253914</v>
      </c>
      <c r="W36" s="358">
        <v>0.10441023492829049</v>
      </c>
      <c r="X36" s="330"/>
      <c r="Y36" s="360">
        <f t="shared" ref="Y36:AA40" si="5">IF(ISERROR((Q36-U36)*10000)=TRUE,"NA",(Q36-U36)*10000)</f>
        <v>399.77161974802391</v>
      </c>
      <c r="Z36" s="360">
        <f t="shared" si="5"/>
        <v>-1164.4046931128194</v>
      </c>
      <c r="AA36" s="360">
        <f t="shared" si="5"/>
        <v>-1813.6346497133359</v>
      </c>
    </row>
    <row r="37" spans="1:27">
      <c r="A37" s="330"/>
      <c r="B37" s="347" t="s">
        <v>199</v>
      </c>
      <c r="C37" s="428">
        <f>sumry!CK54</f>
        <v>-8.4000000000000005E-2</v>
      </c>
      <c r="D37" s="357">
        <f>sumry!CF54</f>
        <v>-3.1E-2</v>
      </c>
      <c r="E37" s="428">
        <v>-7.5287196491603384E-2</v>
      </c>
      <c r="F37" s="462">
        <v>-2.75E-2</v>
      </c>
      <c r="G37" s="357"/>
      <c r="H37" s="359"/>
      <c r="I37" s="360"/>
      <c r="J37" s="361"/>
      <c r="K37" s="357"/>
      <c r="L37" s="384"/>
      <c r="M37" s="357"/>
      <c r="N37" s="362"/>
      <c r="O37" s="330"/>
      <c r="P37" s="355" t="s">
        <v>267</v>
      </c>
      <c r="Q37" s="357">
        <f>sumry!BM54</f>
        <v>9.9000000000000005E-2</v>
      </c>
      <c r="R37" s="357">
        <f>sumry!DA55</f>
        <v>0</v>
      </c>
      <c r="S37" s="357">
        <f>sumry!DB55</f>
        <v>0</v>
      </c>
      <c r="T37" s="330"/>
      <c r="U37" s="358">
        <v>5.5E-2</v>
      </c>
      <c r="V37" s="358">
        <v>3.7149900709804382E-2</v>
      </c>
      <c r="W37" s="358">
        <v>0.04</v>
      </c>
      <c r="X37" s="330"/>
      <c r="Y37" s="360">
        <f t="shared" si="5"/>
        <v>440.00000000000006</v>
      </c>
      <c r="Z37" s="360">
        <f t="shared" si="5"/>
        <v>-371.49900709804382</v>
      </c>
      <c r="AA37" s="360">
        <f t="shared" si="5"/>
        <v>-400</v>
      </c>
    </row>
    <row r="38" spans="1:27">
      <c r="A38" s="330"/>
      <c r="B38" s="347" t="s">
        <v>268</v>
      </c>
      <c r="C38" s="428">
        <f>sumry!CK56</f>
        <v>-6.9572299679573124E-2</v>
      </c>
      <c r="D38" s="357">
        <f>sumry!CF56</f>
        <v>-4.0522754848129616E-2</v>
      </c>
      <c r="E38" s="428">
        <v>-6.1369866478327206E-2</v>
      </c>
      <c r="F38" s="456" t="e">
        <f>F8/D8-1</f>
        <v>#VALUE!</v>
      </c>
      <c r="G38" s="357"/>
      <c r="H38" s="359"/>
      <c r="I38" s="360"/>
      <c r="J38" s="361"/>
      <c r="K38" s="357"/>
      <c r="L38" s="384"/>
      <c r="M38" s="357"/>
      <c r="N38" s="362"/>
      <c r="O38" s="330"/>
      <c r="P38" s="355" t="s">
        <v>268</v>
      </c>
      <c r="Q38" s="357">
        <f>sumry!BM56</f>
        <v>0.16952562057503884</v>
      </c>
      <c r="R38" s="357">
        <f>sumry!DA56</f>
        <v>0.20486435389525015</v>
      </c>
      <c r="S38" s="357">
        <f>sumry!DB56</f>
        <v>-1.4373457416435031E-2</v>
      </c>
      <c r="T38" s="330"/>
      <c r="U38" s="358">
        <v>0.13107470067456317</v>
      </c>
      <c r="V38" s="358">
        <v>0.14810200226329284</v>
      </c>
      <c r="W38" s="358">
        <v>0.10155744896356977</v>
      </c>
      <c r="X38" s="330"/>
      <c r="Y38" s="360">
        <f t="shared" si="5"/>
        <v>384.50919900475668</v>
      </c>
      <c r="Z38" s="360">
        <f t="shared" si="5"/>
        <v>567.62351631957313</v>
      </c>
      <c r="AA38" s="360">
        <f t="shared" si="5"/>
        <v>-1159.3090638000481</v>
      </c>
    </row>
    <row r="39" spans="1:27">
      <c r="A39" s="330"/>
      <c r="B39" s="347" t="s">
        <v>269</v>
      </c>
      <c r="C39" s="428">
        <f>sumry!CK58</f>
        <v>-0.34558172154141364</v>
      </c>
      <c r="D39" s="357">
        <f>sumry!CF58</f>
        <v>-0.10839051521284904</v>
      </c>
      <c r="E39" s="428">
        <v>-0.17775950644197536</v>
      </c>
      <c r="F39" s="456" t="e">
        <f>F13/D13-1</f>
        <v>#VALUE!</v>
      </c>
      <c r="G39" s="357"/>
      <c r="H39" s="359"/>
      <c r="I39" s="360"/>
      <c r="J39" s="361"/>
      <c r="K39" s="357"/>
      <c r="L39" s="384"/>
      <c r="M39" s="357"/>
      <c r="N39" s="362"/>
      <c r="O39" s="330"/>
      <c r="P39" s="355" t="s">
        <v>269</v>
      </c>
      <c r="Q39" s="357">
        <f>sumry!BM58</f>
        <v>0.4179968501255662</v>
      </c>
      <c r="R39" s="357">
        <f>sumry!DA58</f>
        <v>-0.5394084186575665</v>
      </c>
      <c r="S39" s="357" t="str">
        <f>sumry!DB58</f>
        <v>NM</v>
      </c>
      <c r="T39" s="330"/>
      <c r="U39" s="358">
        <v>0.12590238586242908</v>
      </c>
      <c r="V39" s="358">
        <v>0.14271194230519857</v>
      </c>
      <c r="W39" s="358">
        <v>0.1538370903354731</v>
      </c>
      <c r="X39" s="330"/>
      <c r="Y39" s="360">
        <f t="shared" si="5"/>
        <v>2920.9446426313712</v>
      </c>
      <c r="Z39" s="360">
        <f t="shared" si="5"/>
        <v>-6821.2036096276506</v>
      </c>
      <c r="AA39" s="360" t="str">
        <f t="shared" si="5"/>
        <v>NA</v>
      </c>
    </row>
    <row r="40" spans="1:27">
      <c r="A40" s="330"/>
      <c r="B40" s="347" t="s">
        <v>507</v>
      </c>
      <c r="C40" s="428">
        <f>sumry!CK59</f>
        <v>-0.3040479585720145</v>
      </c>
      <c r="D40" s="357">
        <f>sumry!CF59</f>
        <v>-3.9619196601375473E-2</v>
      </c>
      <c r="E40" s="428">
        <v>-0.1283690425731957</v>
      </c>
      <c r="F40" s="456" t="e">
        <f>F22/D22-1</f>
        <v>#VALUE!</v>
      </c>
      <c r="G40" s="357"/>
      <c r="H40" s="359"/>
      <c r="I40" s="360"/>
      <c r="J40" s="361"/>
      <c r="K40" s="357"/>
      <c r="L40" s="384"/>
      <c r="M40" s="357"/>
      <c r="N40" s="362"/>
      <c r="O40" s="330"/>
      <c r="P40" s="355" t="s">
        <v>507</v>
      </c>
      <c r="Q40" s="357">
        <f>sumry!BM59</f>
        <v>0.43257528304463211</v>
      </c>
      <c r="R40" s="357">
        <f>sumry!DA59</f>
        <v>-0.51161165528215924</v>
      </c>
      <c r="S40" s="357" t="str">
        <f>sumry!DB59</f>
        <v>NM</v>
      </c>
      <c r="T40" s="330"/>
      <c r="U40" s="358">
        <v>0.16871710172401411</v>
      </c>
      <c r="V40" s="358">
        <v>0.18772259039919748</v>
      </c>
      <c r="W40" s="358">
        <v>0.20115123515258126</v>
      </c>
      <c r="X40" s="330"/>
      <c r="Y40" s="360">
        <f t="shared" si="5"/>
        <v>2638.58181320618</v>
      </c>
      <c r="Z40" s="360">
        <f t="shared" si="5"/>
        <v>-6993.342456813567</v>
      </c>
      <c r="AA40" s="360" t="str">
        <f t="shared" si="5"/>
        <v>NA</v>
      </c>
    </row>
    <row r="41" spans="1:27" ht="13.5" thickBot="1">
      <c r="A41" s="330"/>
      <c r="B41" s="385"/>
      <c r="C41" s="429"/>
      <c r="D41" s="386"/>
      <c r="E41" s="386"/>
      <c r="F41" s="387"/>
      <c r="G41" s="330"/>
      <c r="H41" s="385"/>
      <c r="I41" s="388"/>
      <c r="J41" s="389"/>
      <c r="K41" s="330"/>
      <c r="L41" s="390"/>
      <c r="M41" s="330"/>
      <c r="N41" s="390"/>
      <c r="O41" s="330"/>
      <c r="P41" s="330"/>
      <c r="Q41" s="332"/>
      <c r="R41" s="332"/>
      <c r="S41" s="332"/>
      <c r="T41" s="330"/>
      <c r="U41" s="330"/>
      <c r="V41" s="330"/>
      <c r="W41" s="330"/>
      <c r="X41" s="330"/>
      <c r="Y41" s="330"/>
      <c r="Z41" s="330"/>
      <c r="AA41" s="330"/>
    </row>
    <row r="42" spans="1:27">
      <c r="A42" s="330"/>
      <c r="B42" s="391"/>
      <c r="C42" s="421" t="s">
        <v>724</v>
      </c>
      <c r="D42" s="421" t="s">
        <v>713</v>
      </c>
      <c r="E42" s="330"/>
      <c r="F42" s="330"/>
      <c r="G42" s="330"/>
      <c r="H42" s="330"/>
      <c r="I42" s="330"/>
      <c r="J42" s="330"/>
      <c r="K42" s="330"/>
      <c r="L42" s="330"/>
      <c r="M42" s="330"/>
      <c r="N42" s="330"/>
      <c r="O42" s="330"/>
      <c r="P42" s="391"/>
      <c r="Q42" s="330"/>
      <c r="R42" s="330"/>
      <c r="S42" s="330"/>
      <c r="T42" s="330"/>
      <c r="U42" s="330"/>
      <c r="V42" s="330"/>
      <c r="W42" s="330"/>
      <c r="X42" s="330"/>
      <c r="Y42" s="330"/>
      <c r="Z42" s="330"/>
      <c r="AA42" s="330"/>
    </row>
    <row r="43" spans="1:27">
      <c r="A43" s="329"/>
      <c r="B43" s="355" t="s">
        <v>458</v>
      </c>
      <c r="C43" s="392">
        <f>turn!N158</f>
        <v>0.51911928215768732</v>
      </c>
      <c r="D43" s="392">
        <f>turn!N151</f>
        <v>10.450893737267508</v>
      </c>
      <c r="E43" s="329"/>
      <c r="F43" s="329"/>
      <c r="G43" s="329"/>
      <c r="H43" s="329"/>
      <c r="I43" s="329"/>
      <c r="J43" s="329"/>
      <c r="K43" s="329"/>
      <c r="L43" s="401"/>
      <c r="M43" s="401"/>
      <c r="N43" s="329"/>
      <c r="O43" s="329"/>
      <c r="P43" s="329"/>
      <c r="Q43" s="329"/>
      <c r="R43" s="329"/>
      <c r="S43" s="329"/>
      <c r="T43" s="329"/>
      <c r="U43" s="329"/>
      <c r="V43" s="329"/>
      <c r="W43" s="329"/>
      <c r="X43" s="329"/>
      <c r="Y43" s="329"/>
      <c r="Z43" s="329"/>
      <c r="AA43" s="329"/>
    </row>
    <row r="44" spans="1:27">
      <c r="A44" s="329"/>
      <c r="B44" s="393" t="s">
        <v>459</v>
      </c>
      <c r="C44" s="394">
        <f>C36*100</f>
        <v>-8.9897944416829638</v>
      </c>
      <c r="D44" s="394">
        <f>D36*100</f>
        <v>-3.607304066727024</v>
      </c>
      <c r="E44" s="329"/>
      <c r="F44" s="329"/>
      <c r="G44" s="329"/>
      <c r="H44" s="329"/>
      <c r="I44" s="329"/>
      <c r="J44" s="329"/>
      <c r="K44" s="329"/>
      <c r="L44" s="401"/>
      <c r="M44" s="401"/>
      <c r="N44" s="329"/>
      <c r="O44" s="329"/>
      <c r="P44" s="329"/>
      <c r="Q44" s="329"/>
      <c r="R44" s="329"/>
      <c r="S44" s="329"/>
      <c r="T44" s="329"/>
      <c r="U44" s="329"/>
      <c r="V44" s="329"/>
      <c r="W44" s="329"/>
      <c r="X44" s="329"/>
      <c r="Y44" s="329"/>
      <c r="Z44" s="329"/>
      <c r="AA44" s="329"/>
    </row>
    <row r="45" spans="1:27">
      <c r="A45" s="329"/>
      <c r="B45" s="355" t="s">
        <v>104</v>
      </c>
      <c r="C45" s="392">
        <f>C44-C43</f>
        <v>-9.5089137238406511</v>
      </c>
      <c r="D45" s="392">
        <f>D44-D43</f>
        <v>-14.058197803994531</v>
      </c>
      <c r="E45" s="329"/>
      <c r="F45" s="329"/>
      <c r="G45" s="329"/>
      <c r="H45" s="329"/>
      <c r="I45" s="329">
        <f>202.5-28</f>
        <v>174.5</v>
      </c>
      <c r="J45" s="329"/>
      <c r="K45" s="329"/>
      <c r="L45" s="401"/>
      <c r="M45" s="401"/>
      <c r="N45" s="329"/>
      <c r="O45" s="329"/>
      <c r="P45" s="329"/>
      <c r="Q45" s="329"/>
      <c r="R45" s="329"/>
      <c r="S45" s="329"/>
      <c r="T45" s="329"/>
      <c r="U45" s="329"/>
      <c r="V45" s="329"/>
      <c r="W45" s="329"/>
      <c r="X45" s="329"/>
      <c r="Y45" s="329"/>
      <c r="Z45" s="329"/>
      <c r="AA45" s="329"/>
    </row>
    <row r="65536" spans="3:3">
      <c r="C65536" s="481">
        <f>SUM(C1:C65535)</f>
        <v>1742.3208119227309</v>
      </c>
    </row>
  </sheetData>
  <phoneticPr fontId="37"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DX99"/>
  <sheetViews>
    <sheetView view="pageBreakPreview" zoomScale="85" zoomScaleNormal="100" zoomScaleSheetLayoutView="85" workbookViewId="0">
      <pane xSplit="2" ySplit="6" topLeftCell="CE7" activePane="bottomRight" state="frozen"/>
      <selection activeCell="E43" sqref="E43"/>
      <selection pane="topRight" activeCell="E43" sqref="E43"/>
      <selection pane="bottomLeft" activeCell="E43" sqref="E43"/>
      <selection pane="bottomRight"/>
    </sheetView>
  </sheetViews>
  <sheetFormatPr defaultRowHeight="12.75" outlineLevelRow="2" outlineLevelCol="1"/>
  <cols>
    <col min="1" max="1" width="25.7109375" style="26" customWidth="1"/>
    <col min="2" max="2" width="1.5703125" style="26" customWidth="1"/>
    <col min="3" max="3" width="7" style="26" hidden="1" customWidth="1" outlineLevel="1"/>
    <col min="4" max="6" width="6" style="26" hidden="1" customWidth="1" outlineLevel="1"/>
    <col min="7" max="7" width="2.140625" style="26" hidden="1" customWidth="1" outlineLevel="1"/>
    <col min="8" max="8" width="6" style="26" hidden="1" customWidth="1" outlineLevel="1" collapsed="1"/>
    <col min="9" max="11" width="6" style="26" hidden="1" customWidth="1" outlineLevel="1"/>
    <col min="12" max="12" width="2.140625" style="26" hidden="1" customWidth="1" outlineLevel="1"/>
    <col min="13" max="13" width="6" style="26" hidden="1" customWidth="1" outlineLevel="1" collapsed="1"/>
    <col min="14" max="16" width="6" style="26" hidden="1" customWidth="1" outlineLevel="1"/>
    <col min="17" max="17" width="2.140625" style="26" hidden="1" customWidth="1" outlineLevel="1"/>
    <col min="18" max="18" width="6" style="26" hidden="1" customWidth="1" outlineLevel="1" collapsed="1"/>
    <col min="19" max="21" width="6" style="26" hidden="1" customWidth="1" outlineLevel="1"/>
    <col min="22" max="22" width="2.140625" style="26" hidden="1" customWidth="1" outlineLevel="1"/>
    <col min="23" max="23" width="6" style="26" hidden="1" customWidth="1" outlineLevel="1" collapsed="1"/>
    <col min="24" max="26" width="6" style="26" hidden="1" customWidth="1" outlineLevel="1"/>
    <col min="27" max="27" width="1.7109375" style="26" hidden="1" customWidth="1" outlineLevel="1"/>
    <col min="28" max="31" width="6" style="26" hidden="1" customWidth="1" outlineLevel="1"/>
    <col min="32" max="32" width="1.7109375" style="26" hidden="1" customWidth="1" outlineLevel="1"/>
    <col min="33" max="33" width="6" style="26" hidden="1" customWidth="1" outlineLevel="1" collapsed="1"/>
    <col min="34" max="36" width="6" style="26" hidden="1" customWidth="1" outlineLevel="1"/>
    <col min="37" max="37" width="1.7109375" style="26" hidden="1" customWidth="1" outlineLevel="1"/>
    <col min="38" max="38" width="6" style="26" hidden="1" customWidth="1" outlineLevel="1" collapsed="1"/>
    <col min="39" max="39" width="6" style="26" hidden="1" customWidth="1" outlineLevel="1"/>
    <col min="40" max="41" width="7.42578125" style="26" hidden="1" customWidth="1" outlineLevel="1"/>
    <col min="42" max="42" width="1.7109375" style="26" hidden="1" customWidth="1" outlineLevel="1"/>
    <col min="43" max="43" width="7.42578125" style="26" hidden="1" customWidth="1" outlineLevel="1" collapsed="1"/>
    <col min="44" max="46" width="7.42578125" style="26" hidden="1" customWidth="1" outlineLevel="1"/>
    <col min="47" max="47" width="1.7109375" style="26" hidden="1" customWidth="1" outlineLevel="1"/>
    <col min="48" max="48" width="7.42578125" style="26" hidden="1" customWidth="1" outlineLevel="1" collapsed="1"/>
    <col min="49" max="51" width="7.42578125" style="26" hidden="1" customWidth="1" outlineLevel="1"/>
    <col min="52" max="52" width="1.7109375" style="26" hidden="1" customWidth="1" outlineLevel="1"/>
    <col min="53" max="53" width="7.42578125" style="26" hidden="1" customWidth="1" outlineLevel="1" collapsed="1"/>
    <col min="54" max="56" width="7.42578125" style="26" hidden="1" customWidth="1" outlineLevel="1"/>
    <col min="57" max="57" width="1.7109375" style="26" hidden="1" customWidth="1" outlineLevel="1"/>
    <col min="58" max="61" width="7.42578125" style="26" hidden="1" customWidth="1" outlineLevel="1"/>
    <col min="62" max="62" width="1.7109375" style="26" hidden="1" customWidth="1" outlineLevel="1"/>
    <col min="63" max="66" width="7.42578125" style="26" hidden="1" customWidth="1" outlineLevel="1"/>
    <col min="67" max="67" width="2" style="26" hidden="1" customWidth="1" outlineLevel="1"/>
    <col min="68" max="68" width="7" style="26" hidden="1" customWidth="1" outlineLevel="1"/>
    <col min="69" max="71" width="7.140625" style="26" hidden="1" customWidth="1" outlineLevel="1"/>
    <col min="72" max="72" width="2.140625" style="26" hidden="1" customWidth="1" outlineLevel="1"/>
    <col min="73" max="73" width="8" style="26" hidden="1" customWidth="1" outlineLevel="1"/>
    <col min="74" max="74" width="8.28515625" style="26" hidden="1" customWidth="1" outlineLevel="1"/>
    <col min="75" max="75" width="7.42578125" style="26" hidden="1" customWidth="1" outlineLevel="1"/>
    <col min="76" max="76" width="7.28515625" style="26" hidden="1" customWidth="1" outlineLevel="1"/>
    <col min="77" max="77" width="2.140625" style="26" hidden="1" customWidth="1" outlineLevel="1"/>
    <col min="78" max="78" width="6.7109375" style="26" hidden="1" customWidth="1" outlineLevel="1" collapsed="1"/>
    <col min="79" max="79" width="7" style="26" hidden="1" customWidth="1" outlineLevel="1"/>
    <col min="80" max="81" width="6.7109375" style="26" hidden="1" customWidth="1" outlineLevel="1"/>
    <col min="82" max="82" width="0.85546875" style="26" hidden="1" customWidth="1" outlineLevel="1"/>
    <col min="83" max="83" width="6.7109375" style="26" customWidth="1" collapsed="1"/>
    <col min="84" max="84" width="6.85546875" style="26" customWidth="1"/>
    <col min="85" max="85" width="7" style="26" customWidth="1"/>
    <col min="86" max="86" width="7.42578125" style="26" customWidth="1"/>
    <col min="87" max="87" width="1.140625" style="26" customWidth="1"/>
    <col min="88" max="91" width="7.42578125" style="26" customWidth="1"/>
    <col min="92" max="92" width="1.140625" style="26" customWidth="1"/>
    <col min="93" max="96" width="7.42578125" style="26" customWidth="1"/>
    <col min="97" max="97" width="1.28515625" style="26" customWidth="1"/>
    <col min="98" max="98" width="7" style="26" hidden="1" customWidth="1" outlineLevel="1" collapsed="1"/>
    <col min="99" max="99" width="6" style="26" hidden="1" customWidth="1" outlineLevel="1"/>
    <col min="100" max="101" width="6" style="26" hidden="1" customWidth="1" outlineLevel="1" collapsed="1"/>
    <col min="102" max="103" width="6" style="26" hidden="1" customWidth="1" outlineLevel="1"/>
    <col min="104" max="104" width="6.5703125" style="26" hidden="1" customWidth="1" outlineLevel="1"/>
    <col min="105" max="106" width="7.140625" style="26" hidden="1" customWidth="1" outlineLevel="1"/>
    <col min="107" max="107" width="7.42578125" style="26" hidden="1" customWidth="1" outlineLevel="1"/>
    <col min="108" max="108" width="7" style="26" hidden="1" customWidth="1" outlineLevel="1"/>
    <col min="109" max="109" width="7" style="26" customWidth="1" collapsed="1"/>
    <col min="110" max="110" width="7" style="26" customWidth="1"/>
    <col min="111" max="114" width="7.28515625" style="26" customWidth="1"/>
    <col min="115" max="116" width="7.42578125" style="26" customWidth="1"/>
    <col min="117" max="117" width="8" style="26" customWidth="1"/>
    <col min="118" max="119" width="7.42578125" style="26" customWidth="1"/>
    <col min="120" max="121" width="9.140625" style="26"/>
    <col min="122" max="122" width="24.5703125" hidden="1" customWidth="1" outlineLevel="1"/>
    <col min="123" max="127" width="9.140625" hidden="1" customWidth="1" outlineLevel="1"/>
    <col min="128" max="128" width="9.140625" style="26" collapsed="1"/>
    <col min="129" max="16384" width="9.140625" style="26"/>
  </cols>
  <sheetData>
    <row r="1" spans="1:120">
      <c r="A1" s="259" t="s">
        <v>280</v>
      </c>
      <c r="B1" s="487"/>
      <c r="C1" s="487"/>
      <c r="D1" s="487"/>
      <c r="E1" s="487"/>
      <c r="F1" s="487"/>
      <c r="G1" s="487"/>
      <c r="H1" s="487"/>
      <c r="I1" s="487"/>
      <c r="J1" s="487"/>
      <c r="K1" s="487"/>
      <c r="L1" s="488"/>
      <c r="M1" s="487"/>
      <c r="N1" s="487"/>
      <c r="O1" s="487"/>
      <c r="P1" s="487"/>
      <c r="Q1" s="488"/>
      <c r="R1" s="487"/>
      <c r="S1" s="487"/>
      <c r="T1" s="487"/>
      <c r="U1" s="487"/>
      <c r="V1" s="488"/>
      <c r="W1" s="487"/>
      <c r="X1" s="487"/>
      <c r="Y1" s="487"/>
      <c r="Z1" s="487"/>
      <c r="AA1" s="488"/>
      <c r="AB1" s="487"/>
      <c r="AC1" s="487"/>
      <c r="AD1" s="487"/>
      <c r="AE1" s="487"/>
      <c r="AF1" s="488"/>
      <c r="AG1" s="487"/>
      <c r="AH1" s="487"/>
      <c r="AI1" s="487"/>
      <c r="AJ1" s="487"/>
      <c r="AK1" s="488"/>
      <c r="AL1" s="487"/>
      <c r="AM1" s="487"/>
      <c r="AN1" s="487"/>
      <c r="AO1" s="487"/>
      <c r="AP1" s="487"/>
      <c r="AQ1" s="487"/>
      <c r="AR1" s="487"/>
      <c r="AS1" s="487"/>
      <c r="AT1" s="487"/>
      <c r="AU1" s="487"/>
      <c r="AV1" s="487"/>
      <c r="AW1" s="487"/>
      <c r="AX1" s="487"/>
      <c r="AY1" s="487"/>
      <c r="AZ1" s="488"/>
      <c r="BA1" s="488"/>
      <c r="BB1" s="488"/>
      <c r="BC1" s="488"/>
      <c r="BD1" s="488"/>
      <c r="BE1" s="488"/>
      <c r="BF1" s="488"/>
      <c r="BG1" s="488"/>
      <c r="BH1" s="488"/>
      <c r="BI1" s="488"/>
      <c r="BJ1" s="488"/>
      <c r="BK1" s="488"/>
      <c r="BL1" s="488"/>
      <c r="BM1" s="488"/>
      <c r="BN1" s="488"/>
      <c r="BO1" s="488"/>
      <c r="BP1" s="488"/>
      <c r="BQ1" s="488"/>
      <c r="BR1" s="488"/>
      <c r="BS1" s="488"/>
      <c r="BT1" s="488"/>
      <c r="BU1" s="488"/>
      <c r="BV1" s="488"/>
      <c r="BW1" s="488"/>
      <c r="BX1" s="488"/>
      <c r="BY1" s="488"/>
      <c r="BZ1" s="488"/>
      <c r="CA1" s="488"/>
      <c r="CB1" s="488"/>
      <c r="CC1" s="488"/>
      <c r="CD1" s="488"/>
      <c r="CE1" s="488"/>
      <c r="CF1" s="488"/>
      <c r="CG1" s="488"/>
      <c r="CH1" s="488"/>
      <c r="CI1" s="488"/>
      <c r="CJ1" s="488"/>
      <c r="CK1" s="488"/>
      <c r="CL1" s="488"/>
      <c r="CM1" s="488"/>
      <c r="CN1" s="488"/>
      <c r="CO1" s="488"/>
      <c r="CP1" s="488"/>
      <c r="CQ1" s="488"/>
      <c r="CR1" s="488"/>
      <c r="CS1" s="488"/>
      <c r="CT1" s="487"/>
      <c r="CU1" s="487"/>
      <c r="CV1" s="488"/>
      <c r="CW1" s="488"/>
      <c r="CX1" s="488"/>
      <c r="CY1" s="489"/>
      <c r="CZ1" s="489"/>
      <c r="DA1" s="489"/>
      <c r="DB1" s="489"/>
      <c r="DC1" s="489"/>
      <c r="DD1" s="489"/>
      <c r="DE1" s="489"/>
      <c r="DG1" s="122"/>
      <c r="DH1" s="122"/>
    </row>
    <row r="2" spans="1:120">
      <c r="A2" s="490" t="s">
        <v>174</v>
      </c>
      <c r="B2" s="491"/>
      <c r="C2" s="491"/>
      <c r="D2" s="491"/>
      <c r="E2" s="491"/>
      <c r="F2" s="491"/>
      <c r="G2" s="491"/>
      <c r="H2" s="491"/>
      <c r="I2" s="491"/>
      <c r="J2" s="491"/>
      <c r="K2" s="491"/>
      <c r="L2" s="492"/>
      <c r="M2" s="491"/>
      <c r="N2" s="491"/>
      <c r="O2" s="491"/>
      <c r="P2" s="491"/>
      <c r="Q2" s="492"/>
      <c r="R2" s="491"/>
      <c r="S2" s="491"/>
      <c r="T2" s="491"/>
      <c r="U2" s="491"/>
      <c r="V2" s="492"/>
      <c r="W2" s="491"/>
      <c r="X2" s="491"/>
      <c r="Y2" s="491"/>
      <c r="Z2" s="491"/>
      <c r="AA2" s="492"/>
      <c r="AB2" s="491"/>
      <c r="AC2" s="491"/>
      <c r="AD2" s="491"/>
      <c r="AE2" s="491"/>
      <c r="AF2" s="492"/>
      <c r="AG2" s="491"/>
      <c r="AH2" s="491"/>
      <c r="AI2" s="491"/>
      <c r="AJ2" s="491"/>
      <c r="AK2" s="492"/>
      <c r="AL2" s="491"/>
      <c r="AM2" s="491"/>
      <c r="AN2" s="491"/>
      <c r="AO2" s="491"/>
      <c r="AP2" s="491"/>
      <c r="AQ2" s="491"/>
      <c r="AR2" s="491"/>
      <c r="AS2" s="491"/>
      <c r="AT2" s="491"/>
      <c r="AU2" s="491"/>
      <c r="AV2" s="491"/>
      <c r="AW2" s="491"/>
      <c r="AX2" s="491"/>
      <c r="AY2" s="491"/>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660"/>
      <c r="BY2" s="492"/>
      <c r="BZ2" s="492"/>
      <c r="CA2" s="492"/>
      <c r="CB2" s="492"/>
      <c r="CC2" s="492"/>
      <c r="CD2" s="492"/>
      <c r="CE2" s="492"/>
      <c r="CF2" s="492"/>
      <c r="CG2" s="492"/>
      <c r="CH2" s="492"/>
      <c r="CI2" s="492"/>
      <c r="CJ2" s="492"/>
      <c r="CK2" s="492"/>
      <c r="CL2" s="492"/>
      <c r="CM2" s="492"/>
      <c r="CN2" s="492"/>
      <c r="CO2" s="492"/>
      <c r="CP2" s="492"/>
      <c r="CQ2" s="492"/>
      <c r="CR2" s="492"/>
      <c r="CS2" s="492"/>
      <c r="CT2" s="491"/>
      <c r="CU2" s="491"/>
      <c r="CV2" s="492"/>
      <c r="CW2" s="492"/>
      <c r="CX2" s="492"/>
      <c r="CY2" s="493"/>
      <c r="CZ2" s="493"/>
      <c r="DA2" s="493"/>
      <c r="DB2" s="493"/>
      <c r="DC2" s="493"/>
      <c r="DD2" s="493"/>
      <c r="DE2" s="493"/>
      <c r="DF2" s="493"/>
      <c r="DG2" s="493"/>
      <c r="DH2" s="493"/>
      <c r="DI2" s="493"/>
      <c r="DJ2" s="493"/>
      <c r="DK2" s="493"/>
      <c r="DL2" s="493"/>
      <c r="DM2" s="493"/>
      <c r="DN2" s="493"/>
      <c r="DO2" s="493"/>
    </row>
    <row r="3" spans="1:120">
      <c r="A3" s="488" t="s">
        <v>246</v>
      </c>
      <c r="B3" s="487"/>
      <c r="C3" s="487"/>
      <c r="D3" s="487"/>
      <c r="E3" s="487"/>
      <c r="F3" s="487"/>
      <c r="G3" s="487"/>
      <c r="H3" s="487"/>
      <c r="I3" s="487"/>
      <c r="J3" s="487"/>
      <c r="K3" s="487"/>
      <c r="L3" s="488"/>
      <c r="M3" s="487"/>
      <c r="N3" s="487"/>
      <c r="O3" s="487"/>
      <c r="P3" s="487"/>
      <c r="Q3" s="488"/>
      <c r="R3" s="487"/>
      <c r="S3" s="487"/>
      <c r="T3" s="487"/>
      <c r="U3" s="487"/>
      <c r="V3" s="488"/>
      <c r="W3" s="487"/>
      <c r="X3" s="487"/>
      <c r="Y3" s="487"/>
      <c r="Z3" s="487"/>
      <c r="AA3" s="488"/>
      <c r="AB3" s="487"/>
      <c r="AC3" s="487"/>
      <c r="AD3" s="487"/>
      <c r="AE3" s="487"/>
      <c r="AF3" s="488"/>
      <c r="AG3" s="487"/>
      <c r="AH3" s="487"/>
      <c r="AI3" s="487"/>
      <c r="AJ3" s="487"/>
      <c r="AK3" s="488"/>
      <c r="AL3" s="487"/>
      <c r="AM3" s="487"/>
      <c r="AN3" s="487"/>
      <c r="AO3" s="487"/>
      <c r="AP3" s="487"/>
      <c r="AQ3" s="487"/>
      <c r="AR3" s="487"/>
      <c r="AS3" s="487"/>
      <c r="AT3" s="487"/>
      <c r="AU3" s="487"/>
      <c r="AV3" s="487"/>
      <c r="AW3" s="487"/>
      <c r="AX3" s="487"/>
      <c r="AY3" s="487"/>
      <c r="AZ3" s="488"/>
      <c r="BA3" s="488"/>
      <c r="BB3" s="488"/>
      <c r="BC3" s="488"/>
      <c r="BD3" s="488"/>
      <c r="BE3" s="488"/>
      <c r="BF3" s="488"/>
      <c r="BG3" s="488"/>
      <c r="BH3" s="488"/>
      <c r="BI3" s="488"/>
      <c r="BJ3" s="488"/>
      <c r="BK3" s="488"/>
      <c r="BL3" s="488"/>
      <c r="BM3" s="488"/>
      <c r="BN3" s="488"/>
      <c r="BO3" s="488"/>
      <c r="BP3" s="488"/>
      <c r="BQ3" s="488"/>
      <c r="BR3" s="488"/>
      <c r="BS3" s="488"/>
      <c r="BT3" s="488"/>
      <c r="BU3" s="1205"/>
      <c r="BV3" s="1212"/>
      <c r="BW3" s="1212"/>
      <c r="BX3" s="1212"/>
      <c r="BY3" s="1212"/>
      <c r="BZ3" s="1204" t="s">
        <v>762</v>
      </c>
      <c r="CA3" s="1211"/>
      <c r="CB3" s="1211"/>
      <c r="CC3" s="1211"/>
      <c r="CD3" s="1212"/>
      <c r="CE3" s="1212"/>
      <c r="CF3" s="1212"/>
      <c r="CG3" s="1212"/>
      <c r="CH3" s="1212"/>
      <c r="CI3" s="1212"/>
      <c r="CJ3" s="1212"/>
      <c r="CK3" s="1212"/>
      <c r="CL3" s="1212"/>
      <c r="CM3" s="1212"/>
      <c r="CN3" s="1212"/>
      <c r="CO3" s="1212"/>
      <c r="CP3" s="1212"/>
      <c r="CQ3" s="1212"/>
      <c r="CR3" s="1212"/>
      <c r="CS3" s="488"/>
      <c r="CT3" s="487"/>
      <c r="CU3" s="487"/>
      <c r="CV3" s="488"/>
      <c r="CW3" s="488"/>
      <c r="CX3" s="488"/>
      <c r="CY3" s="488"/>
      <c r="CZ3" s="488"/>
      <c r="DA3" s="488"/>
      <c r="DB3" s="488"/>
      <c r="DC3" s="488"/>
      <c r="DD3" s="488"/>
      <c r="DE3" s="488"/>
      <c r="DG3" s="122"/>
      <c r="DH3" s="122"/>
    </row>
    <row r="4" spans="1:120" ht="6.75" customHeight="1">
      <c r="A4" s="496"/>
      <c r="B4" s="497"/>
      <c r="C4" s="498"/>
      <c r="D4" s="498"/>
      <c r="E4" s="498"/>
      <c r="F4" s="498"/>
      <c r="G4" s="498"/>
      <c r="H4" s="498"/>
      <c r="I4" s="498"/>
      <c r="J4" s="498"/>
      <c r="K4" s="498"/>
      <c r="L4" s="499"/>
      <c r="M4" s="498"/>
      <c r="N4" s="498"/>
      <c r="O4" s="498"/>
      <c r="P4" s="498"/>
      <c r="Q4" s="499"/>
      <c r="R4" s="500"/>
      <c r="S4" s="500"/>
      <c r="T4" s="500"/>
      <c r="U4" s="500"/>
      <c r="V4" s="500" t="s">
        <v>248</v>
      </c>
      <c r="W4" s="500"/>
      <c r="X4" s="500"/>
      <c r="Y4" s="500"/>
      <c r="Z4" s="500"/>
      <c r="AA4" s="501"/>
      <c r="AC4" s="500"/>
      <c r="AD4" s="500"/>
      <c r="AE4" s="500"/>
      <c r="AF4" s="500"/>
      <c r="AG4" s="500"/>
      <c r="AH4" s="500"/>
      <c r="AI4" s="500"/>
      <c r="AJ4" s="500"/>
      <c r="AK4" s="500"/>
      <c r="AL4" s="498" t="s">
        <v>248</v>
      </c>
      <c r="AM4" s="498"/>
      <c r="AN4" s="498"/>
      <c r="AO4" s="498"/>
      <c r="AP4" s="498"/>
      <c r="AQ4" s="498"/>
      <c r="AR4" s="498"/>
      <c r="AS4" s="498"/>
      <c r="AT4" s="498"/>
      <c r="AU4" s="498"/>
      <c r="AV4" s="498"/>
      <c r="AW4" s="498"/>
      <c r="AX4" s="498"/>
      <c r="AY4" s="498"/>
      <c r="AZ4" s="500"/>
      <c r="BA4" s="500"/>
      <c r="BB4" s="500"/>
      <c r="BC4" s="500"/>
      <c r="BD4" s="500"/>
      <c r="BE4" s="500"/>
      <c r="BF4" s="500"/>
      <c r="BG4" s="500"/>
      <c r="BH4" s="500"/>
      <c r="BI4" s="500"/>
      <c r="BJ4" s="500"/>
      <c r="BK4" s="500"/>
      <c r="BL4" s="500"/>
      <c r="BM4" s="500"/>
      <c r="BN4" s="500"/>
      <c r="BO4" s="501"/>
      <c r="BP4" s="500"/>
      <c r="BQ4" s="500"/>
      <c r="BR4" s="500"/>
      <c r="BS4" s="500"/>
      <c r="BT4" s="501"/>
      <c r="BU4" s="1213"/>
      <c r="BV4" s="1213"/>
      <c r="BW4" s="1213"/>
      <c r="BX4" s="1213"/>
      <c r="BY4" s="1214"/>
      <c r="BZ4" s="1213"/>
      <c r="CA4" s="1213"/>
      <c r="CB4" s="1213"/>
      <c r="CC4" s="1213"/>
      <c r="CD4" s="1214"/>
      <c r="CE4" s="1213"/>
      <c r="CF4" s="1213"/>
      <c r="CG4" s="1213"/>
      <c r="CH4" s="1213"/>
      <c r="CI4" s="1214"/>
      <c r="CJ4" s="1214"/>
      <c r="CK4" s="1214"/>
      <c r="CL4" s="1214"/>
      <c r="CM4" s="1214"/>
      <c r="CN4" s="1214"/>
      <c r="CO4" s="1214"/>
      <c r="CP4" s="1214"/>
      <c r="CQ4" s="1214"/>
      <c r="CR4" s="1214"/>
      <c r="CS4" s="501"/>
      <c r="CT4" s="500"/>
      <c r="CU4" s="500"/>
      <c r="CV4" s="500"/>
      <c r="CW4" s="497"/>
      <c r="CX4" s="497"/>
      <c r="CY4" s="497"/>
      <c r="CZ4" s="497"/>
      <c r="DA4" s="497"/>
      <c r="DB4" s="497"/>
      <c r="DC4" s="497"/>
      <c r="DD4" s="497"/>
      <c r="DE4" s="497"/>
      <c r="DF4" s="122"/>
      <c r="DG4" s="120"/>
      <c r="DH4" s="120"/>
      <c r="DI4" s="120"/>
    </row>
    <row r="5" spans="1:120">
      <c r="A5" s="502"/>
      <c r="B5" s="503" t="s">
        <v>249</v>
      </c>
      <c r="C5" s="504">
        <v>2000</v>
      </c>
      <c r="D5" s="505"/>
      <c r="E5" s="505"/>
      <c r="F5" s="505"/>
      <c r="G5" s="506"/>
      <c r="H5" s="507" t="str">
        <f>+CU5</f>
        <v>2001A</v>
      </c>
      <c r="I5" s="505"/>
      <c r="J5" s="505"/>
      <c r="K5" s="505"/>
      <c r="L5" s="502"/>
      <c r="M5" s="507" t="str">
        <f>+CV5</f>
        <v>2002A</v>
      </c>
      <c r="N5" s="505"/>
      <c r="O5" s="505"/>
      <c r="P5" s="505"/>
      <c r="Q5" s="502"/>
      <c r="R5" s="507" t="s">
        <v>273</v>
      </c>
      <c r="S5" s="505"/>
      <c r="T5" s="505"/>
      <c r="U5" s="505"/>
      <c r="V5" s="502"/>
      <c r="W5" s="507" t="s">
        <v>247</v>
      </c>
      <c r="X5" s="505"/>
      <c r="Y5" s="505"/>
      <c r="Z5" s="505"/>
      <c r="AA5" s="502"/>
      <c r="AB5" s="507" t="s">
        <v>282</v>
      </c>
      <c r="AC5" s="505"/>
      <c r="AD5" s="505"/>
      <c r="AE5" s="505"/>
      <c r="AF5" s="502"/>
      <c r="AG5" s="507" t="s">
        <v>333</v>
      </c>
      <c r="AH5" s="505"/>
      <c r="AI5" s="505"/>
      <c r="AJ5" s="505"/>
      <c r="AK5" s="502"/>
      <c r="AL5" s="507" t="s">
        <v>381</v>
      </c>
      <c r="AM5" s="505"/>
      <c r="AN5" s="505"/>
      <c r="AO5" s="505"/>
      <c r="AQ5" s="507" t="s">
        <v>285</v>
      </c>
      <c r="AR5" s="505"/>
      <c r="AS5" s="505"/>
      <c r="AT5" s="505"/>
      <c r="AV5" s="507" t="s">
        <v>178</v>
      </c>
      <c r="AW5" s="505"/>
      <c r="AX5" s="505"/>
      <c r="AY5" s="505"/>
      <c r="AZ5" s="502"/>
      <c r="BA5" s="508" t="s">
        <v>332</v>
      </c>
      <c r="BB5" s="506"/>
      <c r="BC5" s="506"/>
      <c r="BD5" s="506"/>
      <c r="BE5" s="502"/>
      <c r="BF5" s="508" t="s">
        <v>664</v>
      </c>
      <c r="BG5" s="506"/>
      <c r="BH5" s="506"/>
      <c r="BI5" s="506"/>
      <c r="BJ5" s="502"/>
      <c r="BK5" s="509">
        <v>2012</v>
      </c>
      <c r="BL5" s="506"/>
      <c r="BM5" s="506"/>
      <c r="BN5" s="506"/>
      <c r="BO5" s="510"/>
      <c r="BP5" s="511" t="s">
        <v>221</v>
      </c>
      <c r="BQ5" s="512"/>
      <c r="BR5" s="512"/>
      <c r="BS5" s="512"/>
      <c r="BT5" s="512"/>
      <c r="BU5" s="511" t="s">
        <v>719</v>
      </c>
      <c r="BV5" s="506"/>
      <c r="BW5" s="506"/>
      <c r="BX5" s="506"/>
      <c r="BY5" s="512"/>
      <c r="BZ5" s="511" t="s">
        <v>759</v>
      </c>
      <c r="CA5" s="506"/>
      <c r="CB5" s="506"/>
      <c r="CC5" s="506"/>
      <c r="CD5" s="512"/>
      <c r="CE5" s="511" t="s">
        <v>784</v>
      </c>
      <c r="CF5" s="511"/>
      <c r="CG5" s="511"/>
      <c r="CH5" s="511"/>
      <c r="CI5" s="506"/>
      <c r="CJ5" s="1" t="s">
        <v>801</v>
      </c>
      <c r="CK5" s="1"/>
      <c r="CL5" s="1"/>
      <c r="CM5" s="1"/>
      <c r="CN5" s="506"/>
      <c r="CO5" s="1676" t="s">
        <v>586</v>
      </c>
      <c r="CP5" s="1676"/>
      <c r="CQ5" s="1676"/>
      <c r="CR5" s="1676"/>
      <c r="CS5" s="513"/>
      <c r="CT5" s="514" t="s">
        <v>169</v>
      </c>
      <c r="CU5" s="514" t="s">
        <v>535</v>
      </c>
      <c r="CV5" s="514" t="s">
        <v>541</v>
      </c>
      <c r="CW5" s="514">
        <v>2003</v>
      </c>
      <c r="CX5" s="514">
        <v>2004</v>
      </c>
      <c r="CY5" s="514">
        <v>2005</v>
      </c>
      <c r="CZ5" s="515">
        <v>2006</v>
      </c>
      <c r="DA5" s="515">
        <v>2007</v>
      </c>
      <c r="DB5" s="514">
        <v>2008</v>
      </c>
      <c r="DC5" s="515">
        <v>2009</v>
      </c>
      <c r="DD5" s="515">
        <v>2010</v>
      </c>
      <c r="DE5" s="514">
        <v>2011</v>
      </c>
      <c r="DF5" s="514">
        <v>2012</v>
      </c>
      <c r="DG5" s="516" t="s">
        <v>221</v>
      </c>
      <c r="DH5" s="516" t="s">
        <v>719</v>
      </c>
      <c r="DI5" s="516" t="s">
        <v>759</v>
      </c>
      <c r="DJ5" s="516" t="s">
        <v>784</v>
      </c>
      <c r="DK5" s="516" t="s">
        <v>801</v>
      </c>
      <c r="DL5" s="517">
        <v>2018</v>
      </c>
      <c r="DM5" s="517">
        <v>2019</v>
      </c>
      <c r="DN5" s="517">
        <v>2020</v>
      </c>
      <c r="DO5" s="517">
        <v>2021</v>
      </c>
    </row>
    <row r="6" spans="1:120">
      <c r="A6" s="518" t="s">
        <v>250</v>
      </c>
      <c r="B6" s="519"/>
      <c r="C6" s="520" t="s">
        <v>592</v>
      </c>
      <c r="D6" s="520" t="s">
        <v>593</v>
      </c>
      <c r="E6" s="520" t="s">
        <v>594</v>
      </c>
      <c r="F6" s="520" t="s">
        <v>595</v>
      </c>
      <c r="G6" s="519"/>
      <c r="H6" s="521" t="str">
        <f>+C6</f>
        <v>Apr</v>
      </c>
      <c r="I6" s="521" t="str">
        <f>+D6</f>
        <v>Jul</v>
      </c>
      <c r="J6" s="521" t="str">
        <f>+E6</f>
        <v>Oct</v>
      </c>
      <c r="K6" s="521" t="str">
        <f>+F6</f>
        <v>Jan</v>
      </c>
      <c r="L6" s="522"/>
      <c r="M6" s="521" t="str">
        <f>+H6</f>
        <v>Apr</v>
      </c>
      <c r="N6" s="521" t="str">
        <f>+I6</f>
        <v>Jul</v>
      </c>
      <c r="O6" s="521" t="str">
        <f>+J6</f>
        <v>Oct</v>
      </c>
      <c r="P6" s="521" t="str">
        <f>+K6</f>
        <v>Jan</v>
      </c>
      <c r="Q6" s="522"/>
      <c r="R6" s="521" t="s">
        <v>592</v>
      </c>
      <c r="S6" s="521" t="s">
        <v>593</v>
      </c>
      <c r="T6" s="521" t="s">
        <v>594</v>
      </c>
      <c r="U6" s="521" t="s">
        <v>595</v>
      </c>
      <c r="V6" s="523"/>
      <c r="W6" s="521" t="s">
        <v>592</v>
      </c>
      <c r="X6" s="521" t="s">
        <v>593</v>
      </c>
      <c r="Y6" s="521" t="s">
        <v>594</v>
      </c>
      <c r="Z6" s="521" t="s">
        <v>595</v>
      </c>
      <c r="AA6" s="522"/>
      <c r="AB6" s="521" t="s">
        <v>80</v>
      </c>
      <c r="AC6" s="521" t="s">
        <v>81</v>
      </c>
      <c r="AD6" s="521" t="s">
        <v>82</v>
      </c>
      <c r="AE6" s="521" t="s">
        <v>83</v>
      </c>
      <c r="AF6" s="522"/>
      <c r="AG6" s="521" t="s">
        <v>80</v>
      </c>
      <c r="AH6" s="521" t="s">
        <v>81</v>
      </c>
      <c r="AI6" s="521" t="s">
        <v>82</v>
      </c>
      <c r="AJ6" s="521" t="s">
        <v>83</v>
      </c>
      <c r="AK6" s="522"/>
      <c r="AL6" s="520" t="s">
        <v>80</v>
      </c>
      <c r="AM6" s="520" t="s">
        <v>81</v>
      </c>
      <c r="AN6" s="520" t="s">
        <v>82</v>
      </c>
      <c r="AO6" s="520" t="s">
        <v>83</v>
      </c>
      <c r="AP6" s="520"/>
      <c r="AQ6" s="521" t="s">
        <v>80</v>
      </c>
      <c r="AR6" s="521" t="s">
        <v>81</v>
      </c>
      <c r="AS6" s="521" t="s">
        <v>82</v>
      </c>
      <c r="AT6" s="521" t="s">
        <v>83</v>
      </c>
      <c r="AU6" s="520"/>
      <c r="AV6" s="521" t="s">
        <v>80</v>
      </c>
      <c r="AW6" s="521" t="s">
        <v>81</v>
      </c>
      <c r="AX6" s="521" t="s">
        <v>82</v>
      </c>
      <c r="AY6" s="521" t="s">
        <v>83</v>
      </c>
      <c r="AZ6" s="522"/>
      <c r="BA6" s="524" t="s">
        <v>80</v>
      </c>
      <c r="BB6" s="524" t="s">
        <v>81</v>
      </c>
      <c r="BC6" s="524" t="s">
        <v>82</v>
      </c>
      <c r="BD6" s="524" t="s">
        <v>83</v>
      </c>
      <c r="BE6" s="525"/>
      <c r="BF6" s="524" t="s">
        <v>80</v>
      </c>
      <c r="BG6" s="524" t="s">
        <v>81</v>
      </c>
      <c r="BH6" s="524" t="s">
        <v>82</v>
      </c>
      <c r="BI6" s="524" t="s">
        <v>83</v>
      </c>
      <c r="BJ6" s="526"/>
      <c r="BK6" s="524" t="s">
        <v>80</v>
      </c>
      <c r="BL6" s="524" t="s">
        <v>81</v>
      </c>
      <c r="BM6" s="524" t="s">
        <v>82</v>
      </c>
      <c r="BN6" s="524" t="s">
        <v>83</v>
      </c>
      <c r="BO6" s="527"/>
      <c r="BP6" s="524" t="s">
        <v>80</v>
      </c>
      <c r="BQ6" s="524" t="s">
        <v>81</v>
      </c>
      <c r="BR6" s="524" t="s">
        <v>82</v>
      </c>
      <c r="BS6" s="524" t="s">
        <v>83</v>
      </c>
      <c r="BT6" s="528"/>
      <c r="BU6" s="524" t="s">
        <v>80</v>
      </c>
      <c r="BV6" s="524" t="s">
        <v>81</v>
      </c>
      <c r="BW6" s="524" t="s">
        <v>82</v>
      </c>
      <c r="BX6" s="524" t="s">
        <v>83</v>
      </c>
      <c r="BY6" s="528"/>
      <c r="BZ6" s="524" t="s">
        <v>80</v>
      </c>
      <c r="CA6" s="524" t="s">
        <v>81</v>
      </c>
      <c r="CB6" s="524" t="s">
        <v>82</v>
      </c>
      <c r="CC6" s="524" t="s">
        <v>83</v>
      </c>
      <c r="CD6" s="528"/>
      <c r="CE6" s="524" t="s">
        <v>80</v>
      </c>
      <c r="CF6" s="524" t="s">
        <v>81</v>
      </c>
      <c r="CG6" s="524" t="s">
        <v>82</v>
      </c>
      <c r="CH6" s="524" t="s">
        <v>83</v>
      </c>
      <c r="CI6" s="532"/>
      <c r="CJ6" s="524" t="s">
        <v>80</v>
      </c>
      <c r="CK6" s="524" t="s">
        <v>81</v>
      </c>
      <c r="CL6" s="524" t="s">
        <v>82</v>
      </c>
      <c r="CM6" s="524" t="s">
        <v>83</v>
      </c>
      <c r="CN6" s="532"/>
      <c r="CO6" s="1569" t="s">
        <v>80</v>
      </c>
      <c r="CP6" s="1569" t="s">
        <v>81</v>
      </c>
      <c r="CQ6" s="1569" t="s">
        <v>82</v>
      </c>
      <c r="CR6" s="1569" t="s">
        <v>83</v>
      </c>
      <c r="CS6" s="529"/>
      <c r="CT6" s="524" t="str">
        <f>BX6</f>
        <v xml:space="preserve">Jan </v>
      </c>
      <c r="CU6" s="524" t="str">
        <f>CT6</f>
        <v xml:space="preserve">Jan </v>
      </c>
      <c r="CV6" s="524" t="str">
        <f>CU6</f>
        <v xml:space="preserve">Jan </v>
      </c>
      <c r="CW6" s="524" t="str">
        <f>CV6</f>
        <v xml:space="preserve">Jan </v>
      </c>
      <c r="CX6" s="530" t="str">
        <f>CW6</f>
        <v xml:space="preserve">Jan </v>
      </c>
      <c r="CY6" s="530" t="str">
        <f>CX6</f>
        <v xml:space="preserve">Jan </v>
      </c>
      <c r="CZ6" s="528" t="s">
        <v>441</v>
      </c>
      <c r="DA6" s="531" t="s">
        <v>442</v>
      </c>
      <c r="DB6" s="528" t="s">
        <v>443</v>
      </c>
      <c r="DC6" s="531" t="s">
        <v>444</v>
      </c>
      <c r="DD6" s="531" t="s">
        <v>445</v>
      </c>
      <c r="DE6" s="528" t="s">
        <v>446</v>
      </c>
      <c r="DF6" s="528" t="s">
        <v>447</v>
      </c>
      <c r="DG6" s="528" t="s">
        <v>448</v>
      </c>
      <c r="DH6" s="528" t="s">
        <v>449</v>
      </c>
      <c r="DI6" s="528" t="s">
        <v>450</v>
      </c>
      <c r="DJ6" s="528" t="s">
        <v>451</v>
      </c>
      <c r="DK6" s="528" t="s">
        <v>717</v>
      </c>
      <c r="DL6" s="532" t="s">
        <v>718</v>
      </c>
      <c r="DM6" s="532" t="s">
        <v>758</v>
      </c>
      <c r="DN6" s="532" t="s">
        <v>758</v>
      </c>
      <c r="DO6" s="532" t="s">
        <v>758</v>
      </c>
    </row>
    <row r="7" spans="1:120" ht="8.25" customHeight="1">
      <c r="A7" s="488"/>
      <c r="B7" s="533"/>
      <c r="C7" s="533"/>
      <c r="D7" s="533"/>
      <c r="E7" s="533"/>
      <c r="F7" s="533"/>
      <c r="G7" s="533"/>
      <c r="H7" s="533"/>
      <c r="I7" s="533"/>
      <c r="J7" s="533"/>
      <c r="K7" s="533"/>
      <c r="L7" s="534"/>
      <c r="M7" s="533"/>
      <c r="N7" s="533"/>
      <c r="O7" s="533"/>
      <c r="P7" s="533"/>
      <c r="Q7" s="534"/>
      <c r="R7" s="533"/>
      <c r="S7" s="533"/>
      <c r="T7" s="533"/>
      <c r="U7" s="533"/>
      <c r="V7" s="534"/>
      <c r="W7" s="533"/>
      <c r="X7" s="533"/>
      <c r="Y7" s="533"/>
      <c r="Z7" s="533"/>
      <c r="AA7" s="534"/>
      <c r="AB7" s="533"/>
      <c r="AC7" s="533"/>
      <c r="AD7" s="533"/>
      <c r="AE7" s="533"/>
      <c r="AF7" s="534"/>
      <c r="AG7" s="533"/>
      <c r="AH7" s="533"/>
      <c r="AI7" s="533"/>
      <c r="AJ7" s="533"/>
      <c r="AK7" s="534"/>
      <c r="AL7" s="533"/>
      <c r="AM7" s="533"/>
      <c r="AN7" s="533"/>
      <c r="AO7" s="533"/>
      <c r="AP7" s="533"/>
      <c r="AQ7" s="533"/>
      <c r="AR7" s="533"/>
      <c r="AS7" s="533"/>
      <c r="AT7" s="533"/>
      <c r="AU7" s="533"/>
      <c r="AV7" s="533"/>
      <c r="AW7" s="533"/>
      <c r="AX7" s="533"/>
      <c r="AY7" s="533"/>
      <c r="AZ7" s="534"/>
      <c r="BA7" s="534"/>
      <c r="BB7" s="534"/>
      <c r="BC7" s="534"/>
      <c r="BD7" s="534"/>
      <c r="BE7" s="534"/>
      <c r="BF7" s="534"/>
      <c r="BG7" s="534"/>
      <c r="BH7" s="534"/>
      <c r="BI7" s="534"/>
      <c r="BJ7" s="534"/>
      <c r="BK7" s="534"/>
      <c r="BL7" s="534"/>
      <c r="BM7" s="534"/>
      <c r="BN7" s="534"/>
      <c r="BO7" s="534"/>
      <c r="BP7" s="534"/>
      <c r="BQ7" s="534"/>
      <c r="BR7" s="534"/>
      <c r="BS7" s="534"/>
      <c r="BT7" s="534"/>
      <c r="BU7" s="534"/>
      <c r="BV7" s="534"/>
      <c r="BW7" s="534"/>
      <c r="BX7" s="534"/>
      <c r="BY7" s="534"/>
      <c r="BZ7" s="534"/>
      <c r="CA7" s="534"/>
      <c r="CB7" s="534"/>
      <c r="CC7" s="534"/>
      <c r="CD7" s="534"/>
      <c r="CE7" s="534"/>
      <c r="CF7" s="534"/>
      <c r="CG7" s="534"/>
      <c r="CH7" s="534"/>
      <c r="CI7" s="534"/>
      <c r="CJ7" s="534"/>
      <c r="CK7" s="534"/>
      <c r="CL7" s="534"/>
      <c r="CM7" s="534"/>
      <c r="CN7" s="534"/>
      <c r="CO7" s="534"/>
      <c r="CP7" s="534"/>
      <c r="CQ7" s="534"/>
      <c r="CR7" s="534"/>
      <c r="CS7" s="534"/>
      <c r="CT7" s="535"/>
      <c r="CU7" s="535"/>
      <c r="CV7" s="535"/>
      <c r="CW7" s="535"/>
      <c r="CX7" s="535"/>
      <c r="CY7" s="535"/>
      <c r="CZ7" s="536"/>
      <c r="DA7" s="536"/>
      <c r="DB7" s="535"/>
      <c r="DC7" s="536"/>
      <c r="DD7" s="536"/>
      <c r="DE7" s="535"/>
      <c r="DF7" s="535"/>
      <c r="DG7" s="537"/>
      <c r="DH7" s="535"/>
      <c r="DI7" s="535"/>
      <c r="DJ7" s="122"/>
      <c r="DK7" s="495"/>
      <c r="DL7" s="495"/>
      <c r="DM7" s="495"/>
      <c r="DN7" s="495"/>
      <c r="DO7" s="495"/>
    </row>
    <row r="8" spans="1:120">
      <c r="A8" s="538" t="s">
        <v>412</v>
      </c>
      <c r="B8" s="539"/>
      <c r="C8" s="539">
        <f>'qtrP&amp;L'!$AB10</f>
        <v>56.692813999999998</v>
      </c>
      <c r="D8" s="539">
        <f>'qtrP&amp;L'!$AB11</f>
        <v>60.638316000000003</v>
      </c>
      <c r="E8" s="539">
        <f>'qtrP&amp;L'!$AB12</f>
        <v>68.990472999999994</v>
      </c>
      <c r="F8" s="539">
        <f>'qtrP&amp;L'!$AB13</f>
        <v>73.124292999999994</v>
      </c>
      <c r="G8" s="539"/>
      <c r="H8" s="539">
        <f>'qtrP&amp;L'!$AF10</f>
        <v>93.233012000000002</v>
      </c>
      <c r="I8" s="539">
        <f>'qtrP&amp;L'!$AF11</f>
        <v>89.492216999999997</v>
      </c>
      <c r="J8" s="539">
        <f>'qtrP&amp;L'!$AF12</f>
        <v>93.978123999999994</v>
      </c>
      <c r="K8" s="539">
        <f>'qtrP&amp;L'!$AF13</f>
        <v>101.381987</v>
      </c>
      <c r="L8" s="539"/>
      <c r="M8" s="539">
        <f>'qtrP&amp;L'!$AJ10</f>
        <v>130.453641</v>
      </c>
      <c r="N8" s="539">
        <f>'qtrP&amp;L'!$AJ11</f>
        <v>125.068123</v>
      </c>
      <c r="O8" s="539">
        <f>'qtrP&amp;L'!$AJ12</f>
        <v>137.260963</v>
      </c>
      <c r="P8" s="539">
        <f>'qtrP&amp;L'!$AJ13</f>
        <v>138.32541800000001</v>
      </c>
      <c r="Q8" s="539"/>
      <c r="R8" s="539">
        <f>'qtrP&amp;L'!$AN10</f>
        <v>168.98459699999998</v>
      </c>
      <c r="S8" s="539">
        <f>'qtrP&amp;L'!$AN11</f>
        <v>173.436476</v>
      </c>
      <c r="T8" s="539">
        <f>'qtrP&amp;L'!$AN12</f>
        <v>210.56899999999999</v>
      </c>
      <c r="U8" s="539">
        <f>'qtrP&amp;L'!$AN13</f>
        <v>215.50899999999999</v>
      </c>
      <c r="V8" s="539"/>
      <c r="W8" s="539">
        <f>+'qtrP&amp;L'!$AR$10</f>
        <v>256.791</v>
      </c>
      <c r="X8" s="539">
        <f>+'qtrP&amp;L'!$AR$11</f>
        <v>254.767</v>
      </c>
      <c r="Y8" s="539">
        <f>+'qtrP&amp;L'!$AR$12</f>
        <v>269.77300000000002</v>
      </c>
      <c r="Z8" s="539">
        <f>+'qtrP&amp;L'!$AR$13</f>
        <v>285.55099999999999</v>
      </c>
      <c r="AA8" s="539"/>
      <c r="AB8" s="539">
        <f>+'qtrP&amp;L'!$AV$10</f>
        <v>327.255</v>
      </c>
      <c r="AC8" s="539">
        <f>+'qtrP&amp;L'!$AV$11</f>
        <v>342.92500000000001</v>
      </c>
      <c r="AD8" s="539">
        <f>+'qtrP&amp;L'!$AV$12</f>
        <v>358.66500000000002</v>
      </c>
      <c r="AE8" s="539">
        <f>+'qtrP&amp;L'!$AV$13</f>
        <v>375.73</v>
      </c>
      <c r="AF8" s="539"/>
      <c r="AG8" s="539">
        <f>+'qtrP&amp;L'!$AZ$10</f>
        <v>390.66300000000001</v>
      </c>
      <c r="AH8" s="539">
        <f>+'qtrP&amp;L'!$AZ$11</f>
        <v>403.41399999999999</v>
      </c>
      <c r="AI8" s="539">
        <f>+'qtrP&amp;L'!$AZ$12</f>
        <v>402.21899999999999</v>
      </c>
      <c r="AJ8" s="539">
        <f>+'qtrP&amp;L'!$AZ$13</f>
        <v>444.63099999999997</v>
      </c>
      <c r="AK8" s="539"/>
      <c r="AL8" s="539">
        <f>+'qtrP&amp;L'!$BD$10</f>
        <v>453.08800000000002</v>
      </c>
      <c r="AM8" s="539">
        <f>+'qtrP&amp;L'!$BD$11</f>
        <v>436.029</v>
      </c>
      <c r="AN8" s="539">
        <f>+'qtrP&amp;L'!$BD$12</f>
        <v>415.91300000000001</v>
      </c>
      <c r="AO8" s="539">
        <f>+'qtrP&amp;L'!$BD$13</f>
        <v>409.29700000000003</v>
      </c>
      <c r="AP8" s="539"/>
      <c r="AQ8" s="539">
        <f>'qtrP&amp;L'!BH10</f>
        <v>409.56400000000002</v>
      </c>
      <c r="AR8" s="539">
        <f>'qtrP&amp;L'!BH11</f>
        <v>405.21800000000002</v>
      </c>
      <c r="AS8" s="539">
        <f>'qtrP&amp;L'!BH12</f>
        <v>394.24299999999999</v>
      </c>
      <c r="AT8" s="539">
        <f>'qtrP&amp;L'!BH13</f>
        <v>373.37900000000002</v>
      </c>
      <c r="AU8" s="539"/>
      <c r="AV8" s="539">
        <f>'qtrP&amp;L'!$BL$10</f>
        <v>410.64299999999997</v>
      </c>
      <c r="AW8" s="539">
        <f>'qtrP&amp;L'!$BL$11</f>
        <v>419.91500000000002</v>
      </c>
      <c r="AX8" s="539">
        <f>'qtrP&amp;L'!$BL$12</f>
        <v>446.863</v>
      </c>
      <c r="AY8" s="539">
        <f>'qtrP&amp;L'!$BL$13</f>
        <v>435.73</v>
      </c>
      <c r="AZ8" s="539"/>
      <c r="BA8" s="539">
        <f>'qtrP&amp;L'!$BP$10</f>
        <v>481.58800000000002</v>
      </c>
      <c r="BB8" s="539">
        <f>'qtrP&amp;L'!$BP$11</f>
        <v>465.4</v>
      </c>
      <c r="BC8" s="539">
        <f>'qtrP&amp;L'!$BP$12</f>
        <v>483.02199999999999</v>
      </c>
      <c r="BD8" s="539">
        <f>'qtrP&amp;L'!$BP$13</f>
        <v>474.97399999999999</v>
      </c>
      <c r="BE8" s="539"/>
      <c r="BF8" s="539">
        <f>'qtrP&amp;L'!$BT$10</f>
        <v>537.15800000000002</v>
      </c>
      <c r="BG8" s="539">
        <f>'qtrP&amp;L'!$BT$11</f>
        <v>551.44900000000007</v>
      </c>
      <c r="BH8" s="539">
        <f>'qtrP&amp;L'!$BT$12</f>
        <v>538.54600000000005</v>
      </c>
      <c r="BI8" s="539">
        <f>'qtrP&amp;L'!$BT$13</f>
        <v>569.20699999999999</v>
      </c>
      <c r="BJ8" s="539"/>
      <c r="BK8" s="539">
        <f>'qtrP&amp;L'!$BX$10</f>
        <v>650.81700000000001</v>
      </c>
      <c r="BL8" s="539">
        <f>'qtrP&amp;L'!$BX$11</f>
        <v>641.72199999999998</v>
      </c>
      <c r="BM8" s="539">
        <f>'qtrP&amp;L'!$BX$12</f>
        <v>636.66499999999996</v>
      </c>
      <c r="BN8" s="539">
        <f>'qtrP&amp;L'!$BX$13</f>
        <v>651.85299999999995</v>
      </c>
      <c r="BO8" s="539"/>
      <c r="BP8" s="539">
        <f>'qtrP&amp;L'!CB10</f>
        <v>670.72199999999998</v>
      </c>
      <c r="BQ8" s="539">
        <f>'qtrP&amp;L'!CB11</f>
        <v>649.50300000000004</v>
      </c>
      <c r="BR8" s="539">
        <f>'qtrP&amp;L'!CB12</f>
        <v>655.57899999999995</v>
      </c>
      <c r="BS8" s="539">
        <f>'qtrP&amp;L'!CB13</f>
        <v>610.23299999999995</v>
      </c>
      <c r="BT8" s="539"/>
      <c r="BU8" s="539">
        <f>'qtrP&amp;L'!CF10</f>
        <v>659.51900000000001</v>
      </c>
      <c r="BV8" s="539">
        <f>'qtrP&amp;L'!CF11</f>
        <v>648.77200000000005</v>
      </c>
      <c r="BW8" s="539">
        <f>'qtrP&amp;L'!CF12</f>
        <v>645.50099999999998</v>
      </c>
      <c r="BX8" s="539">
        <f>'qtrP&amp;L'!CF13</f>
        <v>636.54200000000003</v>
      </c>
      <c r="BY8" s="539"/>
      <c r="BZ8" s="539">
        <f>'qtrP&amp;L'!CJ10</f>
        <v>672.46799999999996</v>
      </c>
      <c r="CA8" s="539">
        <f>'qtrP&amp;L'!CJ11</f>
        <v>659.52300000000002</v>
      </c>
      <c r="CB8" s="539">
        <f>'qtrP&amp;L'!CJ12</f>
        <v>626.73500000000001</v>
      </c>
      <c r="CC8" s="539">
        <f>'qtrP&amp;L'!CJ13</f>
        <v>614.86</v>
      </c>
      <c r="CD8" s="539"/>
      <c r="CE8" s="539">
        <f>'qtrP&amp;L'!CN10</f>
        <v>642.97699999999998</v>
      </c>
      <c r="CF8" s="539">
        <f>'qtrP&amp;L'!CN11</f>
        <v>635.73199999999997</v>
      </c>
      <c r="CG8" s="539">
        <f>'qtrP&amp;L'!CN12</f>
        <v>596.91200000000003</v>
      </c>
      <c r="CH8" s="539">
        <f>'qtrP&amp;L'!CN13</f>
        <v>600.78899999999999</v>
      </c>
      <c r="CI8" s="539"/>
      <c r="CJ8" s="539">
        <f t="array" ref="CJ8:CM8">TRANSPOSE('qtrP&amp;L'!CR10:CR13)</f>
        <v>583.72799999999995</v>
      </c>
      <c r="CK8" s="539">
        <v>578.58100000000002</v>
      </c>
      <c r="CL8" s="539">
        <v>532.28700000000003</v>
      </c>
      <c r="CM8" s="539">
        <v>587.78300000000002</v>
      </c>
      <c r="CN8" s="539"/>
      <c r="CO8" s="539">
        <f t="array" ref="CO8:CR8">TRANSPOSE('qtrP&amp;L'!CV10:CV13)</f>
        <v>551.23565146842623</v>
      </c>
      <c r="CP8" s="539">
        <v>554.29640705447207</v>
      </c>
      <c r="CQ8" s="539">
        <v>530.28417512178623</v>
      </c>
      <c r="CR8" s="539">
        <v>549.38654216099997</v>
      </c>
      <c r="CS8" s="539"/>
      <c r="CT8" s="540">
        <f>'yrP&amp;L'!H7</f>
        <v>259.44589599999995</v>
      </c>
      <c r="CU8" s="540">
        <f>'yrP&amp;L'!I7</f>
        <v>378.08533999999997</v>
      </c>
      <c r="CV8" s="540">
        <f>'yrP&amp;L'!J7</f>
        <v>531.10814500000004</v>
      </c>
      <c r="CW8" s="540">
        <f>'yrP&amp;L'!K7</f>
        <v>768.49907299999995</v>
      </c>
      <c r="CX8" s="540">
        <f>'yrP&amp;L'!L7</f>
        <v>1066.8820000000001</v>
      </c>
      <c r="CY8" s="540">
        <f>'yrP&amp;L'!M7</f>
        <v>1404.575</v>
      </c>
      <c r="CZ8" s="541">
        <f>'yrP&amp;L'!N7</f>
        <v>1640.9270000000001</v>
      </c>
      <c r="DA8" s="541">
        <f>'yrP&amp;L'!O7</f>
        <v>1714.327</v>
      </c>
      <c r="DB8" s="540">
        <f>'yrP&amp;L'!P7</f>
        <v>1582.404</v>
      </c>
      <c r="DC8" s="541">
        <f>'yrP&amp;L'!Q7</f>
        <v>1713.1510000000001</v>
      </c>
      <c r="DD8" s="541">
        <f>'yrP&amp;L'!R7</f>
        <v>1904.9839999999999</v>
      </c>
      <c r="DE8" s="540">
        <f>'yrP&amp;L'!S7</f>
        <v>2196.36</v>
      </c>
      <c r="DF8" s="540">
        <f>'yrP&amp;L'!T7</f>
        <v>2581.0569999999998</v>
      </c>
      <c r="DG8" s="540">
        <f>'yrP&amp;L'!U7</f>
        <v>2586.0369999999998</v>
      </c>
      <c r="DH8" s="540">
        <f>'yrP&amp;L'!V7</f>
        <v>2590.3340000000003</v>
      </c>
      <c r="DI8" s="540">
        <f>'yrP&amp;L'!W7</f>
        <v>2573.5860000000002</v>
      </c>
      <c r="DJ8" s="540">
        <f>'yrP&amp;L'!X7</f>
        <v>2476.41</v>
      </c>
      <c r="DK8" s="540">
        <f>'yrP&amp;L'!Y7</f>
        <v>2282.3789999999999</v>
      </c>
      <c r="DL8" s="540">
        <f>'yrP&amp;L'!Z7</f>
        <v>2185.2027758056843</v>
      </c>
      <c r="DM8" s="540">
        <f>'yrP&amp;L'!AA7</f>
        <v>2146.131521367869</v>
      </c>
      <c r="DN8" s="540">
        <f>'yrP&amp;L'!AB7</f>
        <v>2142.0178120702999</v>
      </c>
      <c r="DO8" s="540">
        <f>'yrP&amp;L'!AC7</f>
        <v>2139.7259010729567</v>
      </c>
    </row>
    <row r="9" spans="1:120" ht="8.25" customHeight="1">
      <c r="A9" s="488"/>
      <c r="B9" s="542"/>
      <c r="C9" s="539"/>
      <c r="D9" s="539"/>
      <c r="E9" s="539"/>
      <c r="F9" s="539"/>
      <c r="G9" s="542"/>
      <c r="H9" s="539"/>
      <c r="I9" s="539"/>
      <c r="J9" s="539"/>
      <c r="K9" s="539"/>
      <c r="L9" s="542"/>
      <c r="M9" s="539"/>
      <c r="N9" s="539"/>
      <c r="O9" s="539"/>
      <c r="P9" s="539"/>
      <c r="Q9" s="542"/>
      <c r="R9" s="539"/>
      <c r="S9" s="539"/>
      <c r="T9" s="539"/>
      <c r="U9" s="539"/>
      <c r="V9" s="542"/>
      <c r="W9" s="539"/>
      <c r="X9" s="539"/>
      <c r="Y9" s="539"/>
      <c r="Z9" s="539"/>
      <c r="AA9" s="542"/>
      <c r="AB9" s="539"/>
      <c r="AC9" s="539"/>
      <c r="AD9" s="539"/>
      <c r="AE9" s="539"/>
      <c r="AF9" s="542"/>
      <c r="AG9" s="539"/>
      <c r="AH9" s="539"/>
      <c r="AI9" s="539"/>
      <c r="AJ9" s="539"/>
      <c r="AK9" s="542"/>
      <c r="AL9" s="539"/>
      <c r="AM9" s="539"/>
      <c r="AN9" s="539"/>
      <c r="AO9" s="539"/>
      <c r="AP9" s="539"/>
      <c r="AQ9" s="539"/>
      <c r="AR9" s="539"/>
      <c r="AS9" s="539"/>
      <c r="AT9" s="539"/>
      <c r="AU9" s="539"/>
      <c r="AV9" s="539"/>
      <c r="AW9" s="539"/>
      <c r="AX9" s="539"/>
      <c r="AY9" s="539"/>
      <c r="AZ9" s="542"/>
      <c r="BA9" s="539"/>
      <c r="BB9" s="539"/>
      <c r="BC9" s="539"/>
      <c r="BD9" s="539"/>
      <c r="BE9" s="542"/>
      <c r="BF9" s="539"/>
      <c r="BG9" s="539"/>
      <c r="BH9" s="539"/>
      <c r="BI9" s="539"/>
      <c r="BJ9" s="542"/>
      <c r="BK9" s="539"/>
      <c r="BL9" s="539"/>
      <c r="BM9" s="539"/>
      <c r="BN9" s="539"/>
      <c r="BO9" s="542"/>
      <c r="BP9" s="542"/>
      <c r="BQ9" s="542"/>
      <c r="BR9" s="542"/>
      <c r="BS9" s="542"/>
      <c r="BT9" s="542"/>
      <c r="BU9" s="542"/>
      <c r="BV9" s="542"/>
      <c r="BW9" s="542"/>
      <c r="BX9" s="542"/>
      <c r="BY9" s="542"/>
      <c r="BZ9" s="542"/>
      <c r="CA9" s="542"/>
      <c r="CB9" s="542"/>
      <c r="CC9" s="542"/>
      <c r="CD9" s="542"/>
      <c r="CE9" s="542"/>
      <c r="CF9" s="542"/>
      <c r="CG9" s="542"/>
      <c r="CH9" s="542"/>
      <c r="CI9" s="542"/>
      <c r="CJ9" s="542"/>
      <c r="CK9" s="542"/>
      <c r="CL9" s="542"/>
      <c r="CM9" s="542"/>
      <c r="CN9" s="542"/>
      <c r="CO9" s="542"/>
      <c r="CP9" s="542"/>
      <c r="CQ9" s="542"/>
      <c r="CR9" s="542"/>
      <c r="CS9" s="542"/>
      <c r="CT9" s="540"/>
      <c r="CU9" s="540"/>
      <c r="CV9" s="540"/>
      <c r="CW9" s="540"/>
      <c r="CX9" s="540"/>
      <c r="CY9" s="540"/>
      <c r="CZ9" s="541"/>
      <c r="DA9" s="541"/>
      <c r="DB9" s="540"/>
      <c r="DC9" s="541"/>
      <c r="DD9" s="541"/>
      <c r="DE9" s="540"/>
      <c r="DF9" s="540"/>
      <c r="DG9" s="540"/>
      <c r="DH9" s="540"/>
      <c r="DI9" s="540"/>
      <c r="DJ9" s="122"/>
      <c r="DK9" s="122"/>
      <c r="DL9" s="122"/>
      <c r="DM9" s="122"/>
      <c r="DN9" s="122"/>
      <c r="DO9" s="122"/>
    </row>
    <row r="10" spans="1:120">
      <c r="A10" s="538" t="s">
        <v>437</v>
      </c>
      <c r="B10" s="539"/>
      <c r="C10" s="539">
        <f>'qtrP&amp;L'!$AB20</f>
        <v>22.763994</v>
      </c>
      <c r="D10" s="539">
        <f>'qtrP&amp;L'!$AB21</f>
        <v>25.643951999999999</v>
      </c>
      <c r="E10" s="539">
        <f>'qtrP&amp;L'!$AB22</f>
        <v>28.321331000000001</v>
      </c>
      <c r="F10" s="539">
        <f>'qtrP&amp;L'!$AB23</f>
        <v>31.941299999999998</v>
      </c>
      <c r="G10" s="539"/>
      <c r="H10" s="539">
        <f>'qtrP&amp;L'!$AF20</f>
        <v>36.941296000000001</v>
      </c>
      <c r="I10" s="539">
        <f>'qtrP&amp;L'!$AF21</f>
        <v>35.807668</v>
      </c>
      <c r="J10" s="539">
        <f>'qtrP&amp;L'!$AF22</f>
        <v>38.435836999999999</v>
      </c>
      <c r="K10" s="539">
        <f>'qtrP&amp;L'!$AF23</f>
        <v>42.752777999999999</v>
      </c>
      <c r="L10" s="539"/>
      <c r="M10" s="539">
        <f>'qtrP&amp;L'!$AJ20</f>
        <v>48.989590999999997</v>
      </c>
      <c r="N10" s="539">
        <f>'qtrP&amp;L'!$AJ21</f>
        <v>49.589568</v>
      </c>
      <c r="O10" s="539">
        <f>'qtrP&amp;L'!$AJ22</f>
        <v>54.885266999999999</v>
      </c>
      <c r="P10" s="539">
        <f>'qtrP&amp;L'!$AJ23</f>
        <v>56.305675000000001</v>
      </c>
      <c r="Q10" s="539"/>
      <c r="R10" s="539">
        <f>'qtrP&amp;L'!$AN20</f>
        <v>64.689212999999995</v>
      </c>
      <c r="S10" s="539">
        <f>'qtrP&amp;L'!$AN21</f>
        <v>65.833765999999997</v>
      </c>
      <c r="T10" s="539">
        <f>'qtrP&amp;L'!$AN22</f>
        <v>81.201999999999998</v>
      </c>
      <c r="U10" s="539">
        <f>'qtrP&amp;L'!$AN23</f>
        <v>85.751999999999995</v>
      </c>
      <c r="V10" s="539"/>
      <c r="W10" s="539">
        <f>+'qtrP&amp;L'!$AR$20</f>
        <v>96.954999999999998</v>
      </c>
      <c r="X10" s="539">
        <f>+'qtrP&amp;L'!$AR$21</f>
        <v>98.081999999999994</v>
      </c>
      <c r="Y10" s="539">
        <f>+'qtrP&amp;L'!$AR$22</f>
        <v>101.568</v>
      </c>
      <c r="Z10" s="539">
        <f>+'qtrP&amp;L'!$AR$23</f>
        <v>115.304</v>
      </c>
      <c r="AA10" s="539"/>
      <c r="AB10" s="539">
        <f>+'qtrP&amp;L'!$AV$20</f>
        <v>125.19799999999999</v>
      </c>
      <c r="AC10" s="539">
        <f>+'qtrP&amp;L'!$AV$21</f>
        <v>136.429</v>
      </c>
      <c r="AD10" s="539">
        <f>+'qtrP&amp;L'!$AV$22</f>
        <v>133.30799999999999</v>
      </c>
      <c r="AE10" s="539">
        <f>+'qtrP&amp;L'!$AV$23</f>
        <v>152.59700000000001</v>
      </c>
      <c r="AF10" s="539"/>
      <c r="AG10" s="539">
        <f>+'qtrP&amp;L'!$AZ$20</f>
        <v>149.55699999999999</v>
      </c>
      <c r="AH10" s="539">
        <f>+'qtrP&amp;L'!$AZ$21</f>
        <v>159.583</v>
      </c>
      <c r="AI10" s="539">
        <f>+'qtrP&amp;L'!$AZ$22</f>
        <v>161.43100000000001</v>
      </c>
      <c r="AJ10" s="539">
        <f>+'qtrP&amp;L'!$AZ$23</f>
        <v>203.17099999999999</v>
      </c>
      <c r="AK10" s="539"/>
      <c r="AL10" s="539">
        <f>+'qtrP&amp;L'!$BD$20</f>
        <v>173.32300000000001</v>
      </c>
      <c r="AM10" s="539">
        <f>+'qtrP&amp;L'!$BD$21</f>
        <v>184.3</v>
      </c>
      <c r="AN10" s="539">
        <f>+'qtrP&amp;L'!$BD$22</f>
        <v>173.44900000000001</v>
      </c>
      <c r="AO10" s="539">
        <f>+'qtrP&amp;L'!$BD$23</f>
        <v>214.19300000000001</v>
      </c>
      <c r="AP10" s="539"/>
      <c r="AQ10" s="539">
        <f>'qtrP&amp;L'!BH20</f>
        <v>180.762</v>
      </c>
      <c r="AR10" s="539">
        <f>'qtrP&amp;L'!BH21</f>
        <v>191.857</v>
      </c>
      <c r="AS10" s="539">
        <f>'qtrP&amp;L'!BH22</f>
        <v>182.87</v>
      </c>
      <c r="AT10" s="539">
        <f>'qtrP&amp;L'!BH23</f>
        <v>207.423</v>
      </c>
      <c r="AU10" s="539"/>
      <c r="AV10" s="539">
        <f>'qtrP&amp;L'!$BL$20</f>
        <v>177.255</v>
      </c>
      <c r="AW10" s="539">
        <f>'qtrP&amp;L'!$BL$21</f>
        <v>188.874</v>
      </c>
      <c r="AX10" s="539">
        <f>'qtrP&amp;L'!$BL$22</f>
        <v>189.58500000000001</v>
      </c>
      <c r="AY10" s="539">
        <f>'qtrP&amp;L'!$BL$23</f>
        <v>197.697</v>
      </c>
      <c r="AZ10" s="539"/>
      <c r="BA10" s="539">
        <f>'qtrP&amp;L'!$BP$20</f>
        <v>200.00800000000001</v>
      </c>
      <c r="BB10" s="539">
        <f>'qtrP&amp;L'!$BP$21</f>
        <v>206.16399999999999</v>
      </c>
      <c r="BC10" s="539">
        <f>'qtrP&amp;L'!$BP$22</f>
        <v>207.95500000000001</v>
      </c>
      <c r="BD10" s="539">
        <f>'qtrP&amp;L'!$BP$23</f>
        <v>222.251</v>
      </c>
      <c r="BE10" s="539"/>
      <c r="BF10" s="539">
        <f>'qtrP&amp;L'!$BT$20</f>
        <v>219.495</v>
      </c>
      <c r="BG10" s="539">
        <f>'qtrP&amp;L'!$BT$21</f>
        <v>242.12200000000001</v>
      </c>
      <c r="BH10" s="539">
        <f>'qtrP&amp;L'!$BT$22</f>
        <v>237.03800000000001</v>
      </c>
      <c r="BI10" s="539">
        <f>'qtrP&amp;L'!$BT$23</f>
        <v>271.334</v>
      </c>
      <c r="BJ10" s="539"/>
      <c r="BK10" s="539">
        <f>'qtrP&amp;L'!$BX$20</f>
        <v>272.221</v>
      </c>
      <c r="BL10" s="539">
        <f>'qtrP&amp;L'!$BX$21</f>
        <v>279.54199999999997</v>
      </c>
      <c r="BM10" s="539">
        <f>'qtrP&amp;L'!$BX$22</f>
        <v>272.36900000000003</v>
      </c>
      <c r="BN10" s="539">
        <f>'qtrP&amp;L'!$BX$23</f>
        <v>305.125</v>
      </c>
      <c r="BO10" s="539"/>
      <c r="BP10" s="539">
        <f>'qtrP&amp;L'!CB20</f>
        <v>283.87799999999999</v>
      </c>
      <c r="BQ10" s="539">
        <f>'qtrP&amp;L'!CB21</f>
        <v>293.36099999999999</v>
      </c>
      <c r="BR10" s="539">
        <f>'qtrP&amp;L'!CB22</f>
        <v>291.56900000000002</v>
      </c>
      <c r="BS10" s="539">
        <f>'qtrP&amp;L'!CB23</f>
        <v>300.59800000000001</v>
      </c>
      <c r="BT10" s="539"/>
      <c r="BU10" s="539">
        <f>'qtrP&amp;L'!CF20</f>
        <v>384.233</v>
      </c>
      <c r="BV10" s="539">
        <f>'qtrP&amp;L'!CF21</f>
        <v>405.803</v>
      </c>
      <c r="BW10" s="539">
        <f>'qtrP&amp;L'!CF22</f>
        <v>389.35399999999998</v>
      </c>
      <c r="BX10" s="540">
        <f>'qtrP&amp;L'!CF23</f>
        <v>413.39600000000002</v>
      </c>
      <c r="BY10" s="539"/>
      <c r="BZ10" s="539">
        <f>'qtrP&amp;L'!CJ20</f>
        <v>385.47300000000001</v>
      </c>
      <c r="CA10" s="539">
        <f>'qtrP&amp;L'!CJ21</f>
        <v>404.24400000000003</v>
      </c>
      <c r="CB10" s="539">
        <f>'qtrP&amp;L'!CJ22</f>
        <v>382.54399999999998</v>
      </c>
      <c r="CC10" s="540">
        <f>'qtrP&amp;L'!CJ23</f>
        <v>401.59699999999998</v>
      </c>
      <c r="CD10" s="539"/>
      <c r="CE10" s="539">
        <f>'qtrP&amp;L'!CN20</f>
        <v>380.642</v>
      </c>
      <c r="CF10" s="539">
        <f>'qtrP&amp;L'!CN21</f>
        <v>394.92200000000003</v>
      </c>
      <c r="CG10" s="539">
        <f>'qtrP&amp;L'!CN22</f>
        <v>366.61799999999999</v>
      </c>
      <c r="CH10" s="540">
        <f>'qtrP&amp;L'!CN23</f>
        <v>387.392</v>
      </c>
      <c r="CI10" s="540"/>
      <c r="CJ10" s="539">
        <f t="array" ref="CJ10:CM10">TRANSPOSE('qtrP&amp;L'!CR20:CR23)</f>
        <v>346.315</v>
      </c>
      <c r="CK10" s="539">
        <v>369.48</v>
      </c>
      <c r="CL10" s="539">
        <v>335.58499999999998</v>
      </c>
      <c r="CM10" s="540">
        <v>366.22199999999998</v>
      </c>
      <c r="CN10" s="540"/>
      <c r="CO10" s="539">
        <f t="array" ref="CO10:CR10">TRANSPOSE('qtrP&amp;L'!CV20:CV23)</f>
        <v>317.51173524581355</v>
      </c>
      <c r="CP10" s="539">
        <v>344.77236518788169</v>
      </c>
      <c r="CQ10" s="539">
        <v>326.12476769989854</v>
      </c>
      <c r="CR10" s="540">
        <v>340.07026959765898</v>
      </c>
      <c r="CS10" s="539"/>
      <c r="CT10" s="540">
        <f>'yrP&amp;L'!H11</f>
        <v>108.67057699999999</v>
      </c>
      <c r="CU10" s="540">
        <f>'yrP&amp;L'!I11</f>
        <v>153.937579</v>
      </c>
      <c r="CV10" s="540">
        <f>'yrP&amp;L'!J11</f>
        <v>209.77010100000001</v>
      </c>
      <c r="CW10" s="540">
        <f>'yrP&amp;L'!K11</f>
        <v>297.47697899999997</v>
      </c>
      <c r="CX10" s="540">
        <f>'yrP&amp;L'!L11</f>
        <v>411.90899999999999</v>
      </c>
      <c r="CY10" s="540">
        <f>'yrP&amp;L'!M11</f>
        <v>547.53200000000004</v>
      </c>
      <c r="CZ10" s="541">
        <f>'yrP&amp;L'!N11-CZ11</f>
        <v>611.90099999999995</v>
      </c>
      <c r="DA10" s="541">
        <f>'yrP&amp;L'!O11</f>
        <v>745.2650000000001</v>
      </c>
      <c r="DB10" s="540">
        <f>'yrP&amp;L'!P11</f>
        <v>762.91200000000003</v>
      </c>
      <c r="DC10" s="541">
        <f>'yrP&amp;L'!Q11</f>
        <v>753.41100000000006</v>
      </c>
      <c r="DD10" s="541">
        <f>'yrP&amp;L'!R11</f>
        <v>836.37800000000004</v>
      </c>
      <c r="DE10" s="540">
        <f>'yrP&amp;L'!S11</f>
        <v>969.98900000000003</v>
      </c>
      <c r="DF10" s="540">
        <f>'yrP&amp;L'!T11</f>
        <v>1129.2570000000001</v>
      </c>
      <c r="DG10" s="540">
        <f>'yrP&amp;L'!U11</f>
        <v>1169.4059999999999</v>
      </c>
      <c r="DH10" s="540">
        <f>'yrP&amp;L'!V11</f>
        <v>1592.7860000000001</v>
      </c>
      <c r="DI10" s="540">
        <f>'yrP&amp;L'!W11</f>
        <v>1573.8579999999999</v>
      </c>
      <c r="DJ10" s="540">
        <f>'yrP&amp;L'!X11</f>
        <v>1529.5740000000001</v>
      </c>
      <c r="DK10" s="540">
        <f>'yrP&amp;L'!Y11</f>
        <v>1417.6020000000001</v>
      </c>
      <c r="DL10" s="540">
        <f>'yrP&amp;L'!Z11</f>
        <v>1328.4791377312529</v>
      </c>
      <c r="DM10" s="540">
        <f>'yrP&amp;L'!AA11</f>
        <v>1322.2316303147441</v>
      </c>
      <c r="DN10" s="540">
        <f>'yrP&amp;L'!AB11</f>
        <v>1316.2699455171994</v>
      </c>
      <c r="DO10" s="540">
        <f>'yrP&amp;L'!AC11</f>
        <v>1313.7917032587955</v>
      </c>
    </row>
    <row r="11" spans="1:120" collapsed="1">
      <c r="A11" s="544" t="s">
        <v>177</v>
      </c>
      <c r="B11" s="544"/>
      <c r="C11" s="545">
        <f>+'qtrP&amp;L'!$AB$74</f>
        <v>1.14523</v>
      </c>
      <c r="D11" s="545">
        <f>+'qtrP&amp;L'!$AB$75</f>
        <v>1.3182690000000001</v>
      </c>
      <c r="E11" s="545">
        <f>+'qtrP&amp;L'!$AB$76</f>
        <v>1.5451719999999998</v>
      </c>
      <c r="F11" s="545">
        <f>+'qtrP&amp;L'!$AB$77</f>
        <v>1.9690730000000001</v>
      </c>
      <c r="G11" s="546"/>
      <c r="H11" s="545">
        <f>+'qtrP&amp;L'!$AF$74</f>
        <v>2.0165519999999999</v>
      </c>
      <c r="I11" s="545">
        <f>+'qtrP&amp;L'!$AF$75</f>
        <v>2.3542900000000002</v>
      </c>
      <c r="J11" s="545">
        <f>+'qtrP&amp;L'!$AF$76</f>
        <v>2.6794380000000002</v>
      </c>
      <c r="K11" s="545">
        <f>+'qtrP&amp;L'!$AF$77</f>
        <v>3.0598809999999999</v>
      </c>
      <c r="L11" s="544"/>
      <c r="M11" s="545">
        <f>+'qtrP&amp;L'!$AJ$74</f>
        <v>3.3082760000000002</v>
      </c>
      <c r="N11" s="545">
        <f>+'qtrP&amp;L'!$AJ$75</f>
        <v>3.5437210000000001</v>
      </c>
      <c r="O11" s="545">
        <f>+'qtrP&amp;L'!$AJ$76</f>
        <v>3.8679960000000002</v>
      </c>
      <c r="P11" s="545">
        <f>+'qtrP&amp;L'!$AJ$77</f>
        <v>4.309774</v>
      </c>
      <c r="Q11" s="544"/>
      <c r="R11" s="545">
        <f>+'qtrP&amp;L'!$AN$74</f>
        <v>4.6248699999999996</v>
      </c>
      <c r="S11" s="545">
        <f>+'qtrP&amp;L'!$AN$75</f>
        <v>4.9772619999999996</v>
      </c>
      <c r="T11" s="545">
        <f>+'qtrP&amp;L'!$AN$76</f>
        <v>5.5469999999999997</v>
      </c>
      <c r="U11" s="545">
        <f>+'qtrP&amp;L'!$AN$77</f>
        <v>5.9930000000000003</v>
      </c>
      <c r="V11" s="544"/>
      <c r="W11" s="545">
        <f>+'qtrP&amp;L'!$AR$74</f>
        <v>6.7770000000000001</v>
      </c>
      <c r="X11" s="545">
        <f>+'qtrP&amp;L'!$AR$75</f>
        <v>6.9240000000000004</v>
      </c>
      <c r="Y11" s="545">
        <f>+'qtrP&amp;L'!$AR$76</f>
        <v>7.0469999999999997</v>
      </c>
      <c r="Z11" s="545">
        <f>+'qtrP&amp;L'!$AR$77</f>
        <v>11.733000000000001</v>
      </c>
      <c r="AA11" s="544"/>
      <c r="AB11" s="545">
        <f>+'qtrP&amp;L'!$AV$74</f>
        <v>9.3699999999999992</v>
      </c>
      <c r="AC11" s="545">
        <f>+'qtrP&amp;L'!$AV$75</f>
        <v>10.481999999999999</v>
      </c>
      <c r="AD11" s="545">
        <f>+'qtrP&amp;L'!$AV$76</f>
        <v>11.339</v>
      </c>
      <c r="AE11" s="545">
        <f>+'qtrP&amp;L'!$AV$77</f>
        <v>13.009</v>
      </c>
      <c r="AF11" s="544"/>
      <c r="AG11" s="545">
        <f>+'qtrP&amp;L'!$AZ$74</f>
        <v>13.534000000000001</v>
      </c>
      <c r="AH11" s="545">
        <f>+'qtrP&amp;L'!$AZ$75</f>
        <v>15.249000000000001</v>
      </c>
      <c r="AI11" s="545">
        <f>+'qtrP&amp;L'!$AZ$76</f>
        <v>15.224</v>
      </c>
      <c r="AJ11" s="545">
        <f>+'qtrP&amp;L'!$AZ$77</f>
        <v>17.834</v>
      </c>
      <c r="AK11" s="544"/>
      <c r="AL11" s="547">
        <f>+'qtrP&amp;L'!$BD$74</f>
        <v>19.771999999999998</v>
      </c>
      <c r="AM11" s="547">
        <f>+'qtrP&amp;L'!$BD$75</f>
        <v>19.558</v>
      </c>
      <c r="AN11" s="547">
        <f>+'qtrP&amp;L'!$BD$76</f>
        <v>20.196000000000005</v>
      </c>
      <c r="AO11" s="547">
        <f>+'qtrP&amp;L'!$BD$77</f>
        <v>22.067</v>
      </c>
      <c r="AP11" s="547"/>
      <c r="AQ11" s="547">
        <f>'qtrP&amp;L'!BH74</f>
        <v>23.516999999999999</v>
      </c>
      <c r="AR11" s="547">
        <f>'qtrP&amp;L'!BH75</f>
        <v>22.233000000000001</v>
      </c>
      <c r="AS11" s="547">
        <f>'qtrP&amp;L'!BH76</f>
        <v>22.439999999999994</v>
      </c>
      <c r="AT11" s="547">
        <f>'qtrP&amp;L'!BH77</f>
        <v>29.382000000000001</v>
      </c>
      <c r="AU11" s="547"/>
      <c r="AV11" s="547">
        <f>'qtrP&amp;L'!$BL$74</f>
        <v>22.986000000000001</v>
      </c>
      <c r="AW11" s="547">
        <f>'qtrP&amp;L'!$BL$75</f>
        <v>22.373000000000001</v>
      </c>
      <c r="AX11" s="547">
        <f>'qtrP&amp;L'!$BL$76</f>
        <v>27.047999999999991</v>
      </c>
      <c r="AY11" s="547">
        <f>'qtrP&amp;L'!$BL$77</f>
        <v>23.965000000000007</v>
      </c>
      <c r="AZ11" s="548"/>
      <c r="BA11" s="547">
        <f>'qtrP&amp;L'!$BP$74</f>
        <v>23.361999999999998</v>
      </c>
      <c r="BB11" s="547">
        <f>'qtrP&amp;L'!$BP$75</f>
        <v>23.274000000000004</v>
      </c>
      <c r="BC11" s="547">
        <f>'qtrP&amp;L'!$BP$76</f>
        <v>23.582000000000004</v>
      </c>
      <c r="BD11" s="547">
        <f>'qtrP&amp;L'!$BP$77</f>
        <v>23.894999999999992</v>
      </c>
      <c r="BE11" s="548"/>
      <c r="BF11" s="547">
        <f>'qtrP&amp;L'!$BT$74</f>
        <v>24.187999999999999</v>
      </c>
      <c r="BG11" s="547">
        <f>'qtrP&amp;L'!$BT$75</f>
        <v>24.165000000000003</v>
      </c>
      <c r="BH11" s="547">
        <f>'qtrP&amp;L'!$BT$76</f>
        <v>24.598999999999993</v>
      </c>
      <c r="BI11" s="547">
        <f>'qtrP&amp;L'!$BT$77</f>
        <v>26.478000000000012</v>
      </c>
      <c r="BJ11" s="548"/>
      <c r="BK11" s="547">
        <f>'qtrP&amp;L'!$BX$74</f>
        <v>26.091999999999999</v>
      </c>
      <c r="BL11" s="547">
        <f>'qtrP&amp;L'!$BX$75</f>
        <v>26.563000000000002</v>
      </c>
      <c r="BM11" s="547">
        <f>'qtrP&amp;L'!$BX$76</f>
        <v>27.429999999999993</v>
      </c>
      <c r="BN11" s="547">
        <f>'qtrP&amp;L'!$BX$77</f>
        <v>28.38600000000001</v>
      </c>
      <c r="BO11" s="548"/>
      <c r="BP11" s="548">
        <f>'qtrP&amp;L'!CB74</f>
        <v>29.123999999999999</v>
      </c>
      <c r="BQ11" s="548">
        <f>'qtrP&amp;L'!CB75</f>
        <v>29.504000000000001</v>
      </c>
      <c r="BR11" s="548">
        <f>'qtrP&amp;L'!CB76</f>
        <v>29.495000000000001</v>
      </c>
      <c r="BS11" s="548">
        <f>'qtrP&amp;L'!CB77</f>
        <v>30.179999999999989</v>
      </c>
      <c r="BT11" s="548"/>
      <c r="BU11" s="548">
        <f>'qtrP&amp;L'!CF74</f>
        <v>30.082999999999998</v>
      </c>
      <c r="BV11" s="548">
        <f>'qtrP&amp;L'!CF75</f>
        <v>30.29</v>
      </c>
      <c r="BW11" s="548">
        <f>'qtrP&amp;L'!CF76</f>
        <v>30.140999999999998</v>
      </c>
      <c r="BX11" s="549">
        <f>'qtrP&amp;L'!CF77</f>
        <v>31.755000000000017</v>
      </c>
      <c r="BY11" s="548"/>
      <c r="BZ11" s="548">
        <f>'qtrP&amp;L'!CJ74</f>
        <v>30.742999999999999</v>
      </c>
      <c r="CA11" s="548">
        <f>'qtrP&amp;L'!CJ75</f>
        <v>30.928999999999998</v>
      </c>
      <c r="CB11" s="548">
        <f>'qtrP&amp;L'!CJ76</f>
        <v>28.594000000000005</v>
      </c>
      <c r="CC11" s="549">
        <f>'qtrP&amp;L'!CJ77</f>
        <v>28.533999999999988</v>
      </c>
      <c r="CD11" s="548"/>
      <c r="CE11" s="548">
        <f>'qtrP&amp;L'!CN74</f>
        <v>27.957000000000001</v>
      </c>
      <c r="CF11" s="548">
        <f>'qtrP&amp;L'!CN75</f>
        <v>27.488</v>
      </c>
      <c r="CG11" s="548">
        <f>'qtrP&amp;L'!CN76</f>
        <v>27.139999999999993</v>
      </c>
      <c r="CH11" s="549">
        <f>'qtrP&amp;L'!CN77</f>
        <v>26.666000000000018</v>
      </c>
      <c r="CI11" s="549"/>
      <c r="CJ11" s="548">
        <f t="array" ref="CJ11:CM11">TRANSPOSE('qtrP&amp;L'!CR74:CR77)</f>
        <v>25.145</v>
      </c>
      <c r="CK11" s="548">
        <v>24.867000000000001</v>
      </c>
      <c r="CL11" s="548">
        <v>23.956</v>
      </c>
      <c r="CM11" s="549">
        <v>22.341999999999999</v>
      </c>
      <c r="CN11" s="549"/>
      <c r="CO11" s="548">
        <f t="array" ref="CO11:CR11">TRANSPOSE('qtrP&amp;L'!CV74:CV77)</f>
        <v>23.5</v>
      </c>
      <c r="CP11" s="548">
        <v>23.5</v>
      </c>
      <c r="CQ11" s="548">
        <v>23.5</v>
      </c>
      <c r="CR11" s="549">
        <v>23.5</v>
      </c>
      <c r="CS11" s="548"/>
      <c r="CT11" s="549">
        <f>+'yrP&amp;L'!H34</f>
        <v>5.9777439999999995</v>
      </c>
      <c r="CU11" s="549">
        <f>+'yrP&amp;L'!I34</f>
        <v>10.110161</v>
      </c>
      <c r="CV11" s="549">
        <f>+'yrP&amp;L'!J34</f>
        <v>15.029767</v>
      </c>
      <c r="CW11" s="549">
        <f>+'yrP&amp;L'!K34</f>
        <v>21.142131999999997</v>
      </c>
      <c r="CX11" s="549">
        <f>+'yrP&amp;L'!L34</f>
        <v>32.481000000000002</v>
      </c>
      <c r="CY11" s="549">
        <f>+'yrP&amp;L'!M34</f>
        <v>44.199999999999996</v>
      </c>
      <c r="CZ11" s="550">
        <f>+'yrP&amp;L'!N34</f>
        <v>61.841000000000008</v>
      </c>
      <c r="DA11" s="550">
        <f>+'yrP&amp;L'!O34</f>
        <v>81.593000000000004</v>
      </c>
      <c r="DB11" s="549">
        <f>+'yrP&amp;L'!P34</f>
        <v>97.572000000000003</v>
      </c>
      <c r="DC11" s="550">
        <f>+'yrP&amp;L'!Q34</f>
        <v>96.372</v>
      </c>
      <c r="DD11" s="550">
        <f>+'yrP&amp;L'!R34</f>
        <v>94.113</v>
      </c>
      <c r="DE11" s="549">
        <f>+'yrP&amp;L'!S34</f>
        <v>99.43</v>
      </c>
      <c r="DF11" s="549">
        <f>+'yrP&amp;L'!T34</f>
        <v>108.471</v>
      </c>
      <c r="DG11" s="549">
        <f>+'yrP&amp;L'!U34</f>
        <v>118.303</v>
      </c>
      <c r="DH11" s="549">
        <f>+'yrP&amp;L'!V34</f>
        <v>122.26900000000001</v>
      </c>
      <c r="DI11" s="549">
        <f>+'yrP&amp;L'!W34</f>
        <v>118.8</v>
      </c>
      <c r="DJ11" s="549">
        <f>+'yrP&amp;L'!X34</f>
        <v>109.251</v>
      </c>
      <c r="DK11" s="549">
        <f>+'yrP&amp;L'!Y34</f>
        <v>96.31</v>
      </c>
      <c r="DL11" s="549">
        <f>+'yrP&amp;L'!Z34</f>
        <v>94</v>
      </c>
      <c r="DM11" s="549">
        <f>+'yrP&amp;L'!AA34</f>
        <v>96</v>
      </c>
      <c r="DN11" s="549">
        <f>+'yrP&amp;L'!AB34</f>
        <v>98</v>
      </c>
      <c r="DO11" s="549">
        <f>+'yrP&amp;L'!AC34</f>
        <v>100</v>
      </c>
      <c r="DP11" s="122"/>
    </row>
    <row r="12" spans="1:120" hidden="1" outlineLevel="1">
      <c r="A12" s="538" t="s">
        <v>41</v>
      </c>
      <c r="B12" s="539"/>
      <c r="C12" s="539"/>
      <c r="D12" s="539"/>
      <c r="E12" s="539"/>
      <c r="F12" s="539"/>
      <c r="G12" s="539"/>
      <c r="H12" s="539"/>
      <c r="I12" s="539"/>
      <c r="J12" s="539"/>
      <c r="K12" s="539"/>
      <c r="L12" s="539"/>
      <c r="M12" s="539"/>
      <c r="N12" s="539"/>
      <c r="O12" s="539"/>
      <c r="P12" s="539"/>
      <c r="Q12" s="539"/>
      <c r="R12" s="539"/>
      <c r="S12" s="539"/>
      <c r="T12" s="539"/>
      <c r="U12" s="539"/>
      <c r="V12" s="539"/>
      <c r="W12" s="539"/>
      <c r="X12" s="539"/>
      <c r="Y12" s="539"/>
      <c r="Z12" s="539"/>
      <c r="AA12" s="539"/>
      <c r="AB12" s="539"/>
      <c r="AC12" s="539"/>
      <c r="AD12" s="539"/>
      <c r="AE12" s="539"/>
      <c r="AF12" s="539"/>
      <c r="AG12" s="539"/>
      <c r="AH12" s="539"/>
      <c r="AI12" s="539"/>
      <c r="AJ12" s="539"/>
      <c r="AK12" s="539"/>
      <c r="AL12" s="539"/>
      <c r="AM12" s="539"/>
      <c r="AN12" s="539"/>
      <c r="AO12" s="539"/>
      <c r="AP12" s="539"/>
      <c r="AQ12" s="539"/>
      <c r="AR12" s="539"/>
      <c r="AS12" s="539"/>
      <c r="AT12" s="539"/>
      <c r="AU12" s="539"/>
      <c r="AV12" s="539"/>
      <c r="AW12" s="539"/>
      <c r="AX12" s="539"/>
      <c r="AY12" s="539"/>
      <c r="AZ12" s="539"/>
      <c r="BA12" s="539"/>
      <c r="BB12" s="539"/>
      <c r="BC12" s="539"/>
      <c r="BD12" s="539"/>
      <c r="BE12" s="539"/>
      <c r="BF12" s="539">
        <f>BF10-BF11</f>
        <v>195.30700000000002</v>
      </c>
      <c r="BG12" s="539">
        <f>BG10-BG11</f>
        <v>217.95700000000002</v>
      </c>
      <c r="BH12" s="539">
        <f>BH10-BH11</f>
        <v>212.43900000000002</v>
      </c>
      <c r="BI12" s="539">
        <f>BI10-BI11</f>
        <v>244.85599999999999</v>
      </c>
      <c r="BJ12" s="539"/>
      <c r="BK12" s="539">
        <f>BK10-BK11</f>
        <v>246.12900000000002</v>
      </c>
      <c r="BL12" s="539">
        <f>BL10-BL11</f>
        <v>252.97899999999998</v>
      </c>
      <c r="BM12" s="539">
        <f>BM10-BM11</f>
        <v>244.93900000000002</v>
      </c>
      <c r="BN12" s="539">
        <f>BN10-BN11</f>
        <v>276.73899999999998</v>
      </c>
      <c r="BO12" s="539"/>
      <c r="BP12" s="539">
        <f t="shared" ref="BP12:BX12" si="0">BP10-BP11</f>
        <v>254.75399999999999</v>
      </c>
      <c r="BQ12" s="539">
        <f t="shared" si="0"/>
        <v>263.85699999999997</v>
      </c>
      <c r="BR12" s="539">
        <f t="shared" si="0"/>
        <v>262.07400000000001</v>
      </c>
      <c r="BS12" s="539">
        <f t="shared" si="0"/>
        <v>270.41800000000001</v>
      </c>
      <c r="BT12" s="539"/>
      <c r="BU12" s="539">
        <f t="shared" si="0"/>
        <v>354.15</v>
      </c>
      <c r="BV12" s="539">
        <f t="shared" si="0"/>
        <v>375.51299999999998</v>
      </c>
      <c r="BW12" s="539">
        <f t="shared" si="0"/>
        <v>359.21299999999997</v>
      </c>
      <c r="BX12" s="540">
        <f t="shared" si="0"/>
        <v>381.64100000000002</v>
      </c>
      <c r="BY12" s="539"/>
      <c r="BZ12" s="539">
        <f>BZ10-BZ11</f>
        <v>354.73</v>
      </c>
      <c r="CA12" s="539">
        <f>CA10-CA11</f>
        <v>373.31500000000005</v>
      </c>
      <c r="CB12" s="539">
        <f>CB10-CB11</f>
        <v>353.95</v>
      </c>
      <c r="CC12" s="540">
        <f>CC10-CC11</f>
        <v>373.06299999999999</v>
      </c>
      <c r="CD12" s="539"/>
      <c r="CE12" s="539">
        <f>CE10-CE11</f>
        <v>352.685</v>
      </c>
      <c r="CF12" s="539">
        <f>CF10-CF11</f>
        <v>367.43400000000003</v>
      </c>
      <c r="CG12" s="539">
        <f>CG10-CG11</f>
        <v>339.47800000000001</v>
      </c>
      <c r="CH12" s="540">
        <f>CH10-CH11</f>
        <v>360.726</v>
      </c>
      <c r="CI12" s="540"/>
      <c r="CJ12" s="539">
        <f>CJ10-CJ11</f>
        <v>321.17</v>
      </c>
      <c r="CK12" s="539">
        <f>CK10-CK11</f>
        <v>344.613</v>
      </c>
      <c r="CL12" s="539">
        <f>CL10-CL11</f>
        <v>311.62899999999996</v>
      </c>
      <c r="CM12" s="540">
        <f>CM10-CM11</f>
        <v>343.88</v>
      </c>
      <c r="CN12" s="540"/>
      <c r="CO12" s="539">
        <f>CO10-CO11</f>
        <v>294.01173524581355</v>
      </c>
      <c r="CP12" s="539">
        <f>CP10-CP11</f>
        <v>321.27236518788169</v>
      </c>
      <c r="CQ12" s="539">
        <f>CQ10-CQ11</f>
        <v>302.62476769989854</v>
      </c>
      <c r="CR12" s="540">
        <f>CR10-CR11</f>
        <v>316.57026959765898</v>
      </c>
      <c r="CS12" s="539"/>
      <c r="CT12" s="539">
        <f t="shared" ref="CT12:DL12" si="1">CT10-CT11</f>
        <v>102.69283299999999</v>
      </c>
      <c r="CU12" s="539">
        <f t="shared" si="1"/>
        <v>143.82741799999999</v>
      </c>
      <c r="CV12" s="539">
        <f t="shared" si="1"/>
        <v>194.74033400000002</v>
      </c>
      <c r="CW12" s="539">
        <f t="shared" si="1"/>
        <v>276.33484699999997</v>
      </c>
      <c r="CX12" s="539">
        <f t="shared" si="1"/>
        <v>379.428</v>
      </c>
      <c r="CY12" s="539">
        <f t="shared" si="1"/>
        <v>503.33200000000005</v>
      </c>
      <c r="CZ12" s="541">
        <f t="shared" si="1"/>
        <v>550.05999999999995</v>
      </c>
      <c r="DA12" s="541">
        <f t="shared" si="1"/>
        <v>663.67200000000014</v>
      </c>
      <c r="DB12" s="539">
        <f t="shared" si="1"/>
        <v>665.34</v>
      </c>
      <c r="DC12" s="541">
        <f t="shared" si="1"/>
        <v>657.0390000000001</v>
      </c>
      <c r="DD12" s="541">
        <f t="shared" si="1"/>
        <v>742.2650000000001</v>
      </c>
      <c r="DE12" s="539">
        <f t="shared" si="1"/>
        <v>870.55899999999997</v>
      </c>
      <c r="DF12" s="539">
        <f t="shared" si="1"/>
        <v>1020.7860000000001</v>
      </c>
      <c r="DG12" s="539">
        <f t="shared" si="1"/>
        <v>1051.1030000000001</v>
      </c>
      <c r="DH12" s="540">
        <f t="shared" si="1"/>
        <v>1470.5170000000001</v>
      </c>
      <c r="DI12" s="540">
        <f t="shared" si="1"/>
        <v>1455.058</v>
      </c>
      <c r="DJ12" s="540">
        <f t="shared" si="1"/>
        <v>1420.3230000000001</v>
      </c>
      <c r="DK12" s="540">
        <f t="shared" si="1"/>
        <v>1321.2920000000001</v>
      </c>
      <c r="DL12" s="540">
        <f t="shared" si="1"/>
        <v>1234.4791377312529</v>
      </c>
      <c r="DM12" s="540">
        <f>DM10-DM11</f>
        <v>1226.2316303147441</v>
      </c>
      <c r="DN12" s="540">
        <f>DN10-DN11</f>
        <v>1218.2699455171994</v>
      </c>
      <c r="DO12" s="540">
        <f>DO10-DO11</f>
        <v>1213.7917032587955</v>
      </c>
    </row>
    <row r="13" spans="1:120" ht="9" customHeight="1" collapsed="1">
      <c r="A13" s="488"/>
      <c r="B13" s="539"/>
      <c r="C13" s="539"/>
      <c r="D13" s="539"/>
      <c r="E13" s="539"/>
      <c r="F13" s="539"/>
      <c r="G13" s="539"/>
      <c r="H13" s="539"/>
      <c r="I13" s="539"/>
      <c r="J13" s="539"/>
      <c r="K13" s="539"/>
      <c r="L13" s="539"/>
      <c r="M13" s="539"/>
      <c r="N13" s="539"/>
      <c r="O13" s="539"/>
      <c r="P13" s="539"/>
      <c r="Q13" s="539"/>
      <c r="R13" s="539"/>
      <c r="S13" s="539"/>
      <c r="T13" s="539"/>
      <c r="U13" s="539"/>
      <c r="V13" s="539"/>
      <c r="W13" s="539"/>
      <c r="X13" s="539"/>
      <c r="Y13" s="539"/>
      <c r="Z13" s="539"/>
      <c r="AA13" s="539"/>
      <c r="AB13" s="539"/>
      <c r="AC13" s="539"/>
      <c r="AD13" s="539"/>
      <c r="AE13" s="539"/>
      <c r="AF13" s="539"/>
      <c r="AG13" s="539"/>
      <c r="AH13" s="539"/>
      <c r="AI13" s="539"/>
      <c r="AJ13" s="539"/>
      <c r="AK13" s="539"/>
      <c r="AL13" s="552"/>
      <c r="AM13" s="539"/>
      <c r="AN13" s="539"/>
      <c r="AO13" s="539"/>
      <c r="AP13" s="539"/>
      <c r="AQ13" s="539"/>
      <c r="AR13" s="539"/>
      <c r="AS13" s="539"/>
      <c r="AT13" s="539"/>
      <c r="AU13" s="539"/>
      <c r="AV13" s="539"/>
      <c r="AW13" s="539"/>
      <c r="AX13" s="539"/>
      <c r="AY13" s="539"/>
      <c r="AZ13" s="539"/>
      <c r="BA13" s="539"/>
      <c r="BB13" s="539"/>
      <c r="BC13" s="539"/>
      <c r="BD13" s="539"/>
      <c r="BE13" s="539"/>
      <c r="BF13" s="539"/>
      <c r="BG13" s="539"/>
      <c r="BH13" s="539"/>
      <c r="BI13" s="539"/>
      <c r="BJ13" s="539"/>
      <c r="BK13" s="539"/>
      <c r="BL13" s="539"/>
      <c r="BM13" s="539"/>
      <c r="BN13" s="539"/>
      <c r="BO13" s="539"/>
      <c r="BP13" s="539"/>
      <c r="BQ13" s="539"/>
      <c r="BR13" s="539"/>
      <c r="BS13" s="539"/>
      <c r="BT13" s="539"/>
      <c r="BU13" s="539"/>
      <c r="BV13" s="539"/>
      <c r="BW13" s="539"/>
      <c r="BX13" s="540"/>
      <c r="BY13" s="539"/>
      <c r="BZ13" s="539"/>
      <c r="CA13" s="539"/>
      <c r="CB13" s="539"/>
      <c r="CC13" s="540"/>
      <c r="CD13" s="539"/>
      <c r="CE13" s="539"/>
      <c r="CF13" s="539"/>
      <c r="CG13" s="539"/>
      <c r="CH13" s="540"/>
      <c r="CI13" s="540"/>
      <c r="CJ13" s="539"/>
      <c r="CK13" s="539"/>
      <c r="CL13" s="539"/>
      <c r="CM13" s="540"/>
      <c r="CN13" s="540"/>
      <c r="CO13" s="539"/>
      <c r="CP13" s="539"/>
      <c r="CQ13" s="539"/>
      <c r="CR13" s="540"/>
      <c r="CS13" s="539"/>
      <c r="CT13" s="540"/>
      <c r="CU13" s="540"/>
      <c r="CV13" s="540"/>
      <c r="CW13" s="540"/>
      <c r="CX13" s="540"/>
      <c r="CY13" s="540"/>
      <c r="CZ13" s="541"/>
      <c r="DA13" s="541"/>
      <c r="DB13" s="540"/>
      <c r="DC13" s="541"/>
      <c r="DD13" s="541"/>
      <c r="DE13" s="540"/>
      <c r="DF13" s="540"/>
      <c r="DG13" s="540"/>
      <c r="DH13" s="540"/>
      <c r="DI13" s="540"/>
      <c r="DJ13" s="122"/>
      <c r="DK13" s="122"/>
      <c r="DL13" s="122"/>
      <c r="DM13" s="122"/>
      <c r="DN13" s="122"/>
      <c r="DO13" s="122"/>
    </row>
    <row r="14" spans="1:120">
      <c r="A14" s="538" t="s">
        <v>252</v>
      </c>
      <c r="B14" s="539"/>
      <c r="C14" s="539">
        <f>C8-C10</f>
        <v>33.928820000000002</v>
      </c>
      <c r="D14" s="539">
        <f>D8-D10</f>
        <v>34.994364000000004</v>
      </c>
      <c r="E14" s="539">
        <f>E8-E10</f>
        <v>40.669141999999994</v>
      </c>
      <c r="F14" s="539">
        <f>F8-F10</f>
        <v>41.182992999999996</v>
      </c>
      <c r="G14" s="539"/>
      <c r="H14" s="539">
        <f>H8-H10</f>
        <v>56.291716000000001</v>
      </c>
      <c r="I14" s="539">
        <f>I8-I10</f>
        <v>53.684548999999997</v>
      </c>
      <c r="J14" s="539">
        <f>J8-J10</f>
        <v>55.542286999999995</v>
      </c>
      <c r="K14" s="539">
        <f>K8-K10</f>
        <v>58.629208999999996</v>
      </c>
      <c r="L14" s="539"/>
      <c r="M14" s="539">
        <f>M8-M10</f>
        <v>81.464050000000015</v>
      </c>
      <c r="N14" s="539">
        <f>N8-N10</f>
        <v>75.478555</v>
      </c>
      <c r="O14" s="539">
        <f>O8-O10</f>
        <v>82.375696000000005</v>
      </c>
      <c r="P14" s="539">
        <f>P8-P10</f>
        <v>82.019743000000005</v>
      </c>
      <c r="Q14" s="539"/>
      <c r="R14" s="539">
        <f>R8-R10</f>
        <v>104.29538399999998</v>
      </c>
      <c r="S14" s="539">
        <f>S8-S10</f>
        <v>107.60271</v>
      </c>
      <c r="T14" s="539">
        <f>T8-T10</f>
        <v>129.36699999999999</v>
      </c>
      <c r="U14" s="539">
        <f>U8-U10</f>
        <v>129.75700000000001</v>
      </c>
      <c r="V14" s="539"/>
      <c r="W14" s="539">
        <f>W8-W10</f>
        <v>159.83600000000001</v>
      </c>
      <c r="X14" s="539">
        <f>X8-X10</f>
        <v>156.685</v>
      </c>
      <c r="Y14" s="539">
        <f>Y8-Y10</f>
        <v>168.20500000000004</v>
      </c>
      <c r="Z14" s="539">
        <f>Z8-Z10</f>
        <v>170.24699999999999</v>
      </c>
      <c r="AA14" s="539"/>
      <c r="AB14" s="539">
        <f>AB8-AB10</f>
        <v>202.05700000000002</v>
      </c>
      <c r="AC14" s="539">
        <f>AC8-AC10</f>
        <v>206.49600000000001</v>
      </c>
      <c r="AD14" s="539">
        <f>AD8-AD10</f>
        <v>225.35700000000003</v>
      </c>
      <c r="AE14" s="539">
        <f>AE8-AE10</f>
        <v>223.13300000000001</v>
      </c>
      <c r="AF14" s="539"/>
      <c r="AG14" s="539">
        <f>AG8-AG10</f>
        <v>241.10600000000002</v>
      </c>
      <c r="AH14" s="539">
        <f>AH8-AH10</f>
        <v>243.83099999999999</v>
      </c>
      <c r="AI14" s="539">
        <f>AI8-AI10</f>
        <v>240.78799999999998</v>
      </c>
      <c r="AJ14" s="539">
        <f>AJ8-AJ10</f>
        <v>241.45999999999998</v>
      </c>
      <c r="AK14" s="539"/>
      <c r="AL14" s="539">
        <f>AL8-AL10</f>
        <v>279.76499999999999</v>
      </c>
      <c r="AM14" s="539">
        <f>AM8-AM10</f>
        <v>251.72899999999998</v>
      </c>
      <c r="AN14" s="539">
        <f>AN8-AN10</f>
        <v>242.464</v>
      </c>
      <c r="AO14" s="539">
        <f>AO8-AO10</f>
        <v>195.10400000000001</v>
      </c>
      <c r="AP14" s="539"/>
      <c r="AQ14" s="539">
        <f>AQ8-AQ10</f>
        <v>228.80200000000002</v>
      </c>
      <c r="AR14" s="539">
        <f>AR8-AR10</f>
        <v>213.36100000000002</v>
      </c>
      <c r="AS14" s="539">
        <f>AS8-AS10</f>
        <v>211.37299999999999</v>
      </c>
      <c r="AT14" s="539">
        <f>AT8-AT10</f>
        <v>165.95600000000002</v>
      </c>
      <c r="AU14" s="539"/>
      <c r="AV14" s="539">
        <f>AV8-AV10</f>
        <v>233.38799999999998</v>
      </c>
      <c r="AW14" s="539">
        <f>AW8-AW10</f>
        <v>231.04100000000003</v>
      </c>
      <c r="AX14" s="539">
        <f>AX8-AX10</f>
        <v>257.27800000000002</v>
      </c>
      <c r="AY14" s="539">
        <f>AY8-AY10</f>
        <v>238.03300000000002</v>
      </c>
      <c r="AZ14" s="539"/>
      <c r="BA14" s="539">
        <f>BA8-BA10</f>
        <v>281.58000000000004</v>
      </c>
      <c r="BB14" s="539">
        <f>BB8-BB10</f>
        <v>259.23599999999999</v>
      </c>
      <c r="BC14" s="539">
        <f>BC8-BC10</f>
        <v>275.06700000000001</v>
      </c>
      <c r="BD14" s="539">
        <f>BD8-BD10</f>
        <v>252.72299999999998</v>
      </c>
      <c r="BE14" s="539"/>
      <c r="BF14" s="539">
        <f>BF8-BF10</f>
        <v>317.66300000000001</v>
      </c>
      <c r="BG14" s="539">
        <f>BG8-BG10</f>
        <v>309.32700000000006</v>
      </c>
      <c r="BH14" s="539">
        <f>BH8-BH10</f>
        <v>301.50800000000004</v>
      </c>
      <c r="BI14" s="539">
        <f>BI8-BI10</f>
        <v>297.87299999999999</v>
      </c>
      <c r="BJ14" s="539"/>
      <c r="BK14" s="539">
        <f>BK8-BK10</f>
        <v>378.596</v>
      </c>
      <c r="BL14" s="539">
        <f>BL8-BL10</f>
        <v>362.18</v>
      </c>
      <c r="BM14" s="539">
        <f>BM8-BM10</f>
        <v>364.29599999999994</v>
      </c>
      <c r="BN14" s="539">
        <f>BN8-BN10</f>
        <v>346.72799999999995</v>
      </c>
      <c r="BO14" s="539"/>
      <c r="BP14" s="539">
        <f>BP8-BP10</f>
        <v>386.84399999999999</v>
      </c>
      <c r="BQ14" s="539">
        <f>BQ8-BQ10</f>
        <v>356.14200000000005</v>
      </c>
      <c r="BR14" s="539">
        <f>BR8-BR10</f>
        <v>364.00999999999993</v>
      </c>
      <c r="BS14" s="539">
        <f>BS8-BS10</f>
        <v>309.63499999999993</v>
      </c>
      <c r="BT14" s="539"/>
      <c r="BU14" s="539">
        <f>BU8-BU10</f>
        <v>275.286</v>
      </c>
      <c r="BV14" s="539">
        <f>BV8-BV10</f>
        <v>242.96900000000005</v>
      </c>
      <c r="BW14" s="539">
        <f>BW8-BW10</f>
        <v>256.14699999999999</v>
      </c>
      <c r="BX14" s="540">
        <f>BX8-BX10</f>
        <v>223.14600000000002</v>
      </c>
      <c r="BY14" s="539"/>
      <c r="BZ14" s="539">
        <f>BZ8-BZ10</f>
        <v>286.99499999999995</v>
      </c>
      <c r="CA14" s="539">
        <f>CA8-CA10</f>
        <v>255.279</v>
      </c>
      <c r="CB14" s="539">
        <f>CB8-CB10</f>
        <v>244.19100000000003</v>
      </c>
      <c r="CC14" s="540">
        <f>CC8-CC10</f>
        <v>213.26300000000003</v>
      </c>
      <c r="CD14" s="539"/>
      <c r="CE14" s="539">
        <f>CE8-CE10</f>
        <v>262.33499999999998</v>
      </c>
      <c r="CF14" s="539">
        <f>CF8-CF10</f>
        <v>240.80999999999995</v>
      </c>
      <c r="CG14" s="539">
        <f>CG8-CG10</f>
        <v>230.29400000000004</v>
      </c>
      <c r="CH14" s="540">
        <f>CH8-CH10</f>
        <v>213.39699999999999</v>
      </c>
      <c r="CI14" s="540"/>
      <c r="CJ14" s="540">
        <f>CJ8-CJ10</f>
        <v>237.41299999999995</v>
      </c>
      <c r="CK14" s="540">
        <f>CK8-CK10</f>
        <v>209.101</v>
      </c>
      <c r="CL14" s="540">
        <f>CL8-CL10</f>
        <v>196.70200000000006</v>
      </c>
      <c r="CM14" s="540">
        <f>CM8-CM10</f>
        <v>221.56100000000004</v>
      </c>
      <c r="CN14" s="540"/>
      <c r="CO14" s="540">
        <f>CO8-CO10</f>
        <v>233.72391622261267</v>
      </c>
      <c r="CP14" s="540">
        <f>CP8-CP10</f>
        <v>209.52404186659038</v>
      </c>
      <c r="CQ14" s="540">
        <f>CQ8-CQ10</f>
        <v>204.15940742188769</v>
      </c>
      <c r="CR14" s="540">
        <f>CR8-CR10</f>
        <v>209.31627256334099</v>
      </c>
      <c r="CS14" s="539"/>
      <c r="CT14" s="540">
        <f>CT8-CT10</f>
        <v>150.77531899999997</v>
      </c>
      <c r="CU14" s="540">
        <f>CU8-CU10</f>
        <v>224.14776099999997</v>
      </c>
      <c r="CV14" s="540">
        <f>CV8-CV10</f>
        <v>321.33804400000002</v>
      </c>
      <c r="CW14" s="540">
        <f>CW8-CW10</f>
        <v>471.02209399999998</v>
      </c>
      <c r="CX14" s="540">
        <f>CX8-CX10</f>
        <v>654.97300000000007</v>
      </c>
      <c r="CY14" s="540">
        <f t="shared" ref="CY14:DD14" si="2">CY8-CY10</f>
        <v>857.04300000000001</v>
      </c>
      <c r="CZ14" s="541">
        <f t="shared" si="2"/>
        <v>1029.0260000000003</v>
      </c>
      <c r="DA14" s="541">
        <f t="shared" si="2"/>
        <v>969.0619999999999</v>
      </c>
      <c r="DB14" s="540">
        <f t="shared" si="2"/>
        <v>819.49199999999996</v>
      </c>
      <c r="DC14" s="541">
        <f t="shared" si="2"/>
        <v>959.74</v>
      </c>
      <c r="DD14" s="541">
        <f t="shared" si="2"/>
        <v>1068.6059999999998</v>
      </c>
      <c r="DE14" s="540">
        <f t="shared" ref="DE14:DK14" si="3">DE8-DE10</f>
        <v>1226.3710000000001</v>
      </c>
      <c r="DF14" s="540">
        <f t="shared" si="3"/>
        <v>1451.7999999999997</v>
      </c>
      <c r="DG14" s="540">
        <f t="shared" si="3"/>
        <v>1416.6309999999999</v>
      </c>
      <c r="DH14" s="540">
        <f t="shared" si="3"/>
        <v>997.54800000000023</v>
      </c>
      <c r="DI14" s="540">
        <f t="shared" si="3"/>
        <v>999.72800000000029</v>
      </c>
      <c r="DJ14" s="540">
        <f t="shared" si="3"/>
        <v>946.83599999999979</v>
      </c>
      <c r="DK14" s="540">
        <f t="shared" si="3"/>
        <v>864.77699999999982</v>
      </c>
      <c r="DL14" s="540">
        <f>DL8-DL10</f>
        <v>856.72363807443139</v>
      </c>
      <c r="DM14" s="540">
        <f>DM8-DM10</f>
        <v>823.89989105312497</v>
      </c>
      <c r="DN14" s="540">
        <f>DN8-DN10</f>
        <v>825.74786655310049</v>
      </c>
      <c r="DO14" s="540">
        <f>DO8-DO10</f>
        <v>825.93419781416128</v>
      </c>
    </row>
    <row r="15" spans="1:120">
      <c r="A15" s="544" t="s">
        <v>253</v>
      </c>
      <c r="B15" s="544"/>
      <c r="C15" s="544">
        <f>'qtrP&amp;L'!$AB30</f>
        <v>20.822989</v>
      </c>
      <c r="D15" s="544">
        <f>'qtrP&amp;L'!$AB31</f>
        <v>21.948853</v>
      </c>
      <c r="E15" s="544">
        <f>'qtrP&amp;L'!$AB32</f>
        <v>26.598717000000001</v>
      </c>
      <c r="F15" s="544">
        <f>'qtrP&amp;L'!$AB33</f>
        <v>30.063541000000001</v>
      </c>
      <c r="G15" s="544"/>
      <c r="H15" s="544">
        <f>'qtrP&amp;L'!$AF30</f>
        <v>34.412641000000001</v>
      </c>
      <c r="I15" s="544">
        <f>'qtrP&amp;L'!$AF31</f>
        <v>33.587946000000002</v>
      </c>
      <c r="J15" s="544">
        <f>'qtrP&amp;L'!$AF32</f>
        <v>38.651195000000001</v>
      </c>
      <c r="K15" s="544">
        <f>'qtrP&amp;L'!$AF33</f>
        <v>39.849932000000003</v>
      </c>
      <c r="L15" s="544"/>
      <c r="M15" s="544">
        <f>'qtrP&amp;L'!$AJ30</f>
        <v>46.409208</v>
      </c>
      <c r="N15" s="544">
        <f>'qtrP&amp;L'!$AJ31</f>
        <v>45.741109999999999</v>
      </c>
      <c r="O15" s="544">
        <f>'qtrP&amp;L'!$AJ32</f>
        <v>53.665916000000003</v>
      </c>
      <c r="P15" s="544">
        <f>'qtrP&amp;L'!$AJ33</f>
        <v>53.698788</v>
      </c>
      <c r="Q15" s="544"/>
      <c r="R15" s="544">
        <f>'qtrP&amp;L'!$AN30</f>
        <v>62.284362000000002</v>
      </c>
      <c r="S15" s="544">
        <f>'qtrP&amp;L'!$AN31</f>
        <v>63.410017000000003</v>
      </c>
      <c r="T15" s="544">
        <f>'qtrP&amp;L'!$AN32</f>
        <v>80.814999999999998</v>
      </c>
      <c r="U15" s="544">
        <f>'qtrP&amp;L'!$AN33</f>
        <v>82.596000000000004</v>
      </c>
      <c r="V15" s="544"/>
      <c r="W15" s="544">
        <f>+'qtrP&amp;L'!$AR$30</f>
        <v>95.805000000000007</v>
      </c>
      <c r="X15" s="544">
        <f>+'qtrP&amp;L'!$AR$31</f>
        <v>92.994</v>
      </c>
      <c r="Y15" s="544">
        <f>+'qtrP&amp;L'!$AR$32</f>
        <v>101.976</v>
      </c>
      <c r="Z15" s="544">
        <f>+'qtrP&amp;L'!$AR$33</f>
        <v>107.342</v>
      </c>
      <c r="AA15" s="544"/>
      <c r="AB15" s="544">
        <f>+'qtrP&amp;L'!$AV$30</f>
        <v>119.274</v>
      </c>
      <c r="AC15" s="544">
        <f>+'qtrP&amp;L'!$AV$31</f>
        <v>120.056</v>
      </c>
      <c r="AD15" s="544">
        <f>+'qtrP&amp;L'!$AV$32</f>
        <v>131.71100000000001</v>
      </c>
      <c r="AE15" s="544">
        <f>+'qtrP&amp;L'!$AV$33</f>
        <v>143.488</v>
      </c>
      <c r="AF15" s="544"/>
      <c r="AG15" s="544">
        <f>+'qtrP&amp;L'!$AZ$30</f>
        <v>161.14999999999998</v>
      </c>
      <c r="AH15" s="544">
        <f>+'qtrP&amp;L'!$AZ$31</f>
        <v>160.30000000000001</v>
      </c>
      <c r="AI15" s="544">
        <f>+'qtrP&amp;L'!$AZ$32</f>
        <v>175.43200000000002</v>
      </c>
      <c r="AJ15" s="544">
        <f>+'qtrP&amp;L'!$AZ$33</f>
        <v>206.60300000000001</v>
      </c>
      <c r="AK15" s="544"/>
      <c r="AL15" s="544">
        <f>+'qtrP&amp;L'!$BD$30</f>
        <v>205.10300000000001</v>
      </c>
      <c r="AM15" s="544">
        <f>+'qtrP&amp;L'!$BD$31</f>
        <v>193.97399999999999</v>
      </c>
      <c r="AN15" s="544">
        <f>+'qtrP&amp;L'!$BD$32</f>
        <v>219.18100000000001</v>
      </c>
      <c r="AO15" s="544">
        <f>+'qtrP&amp;L'!$BD$33</f>
        <v>229.34599999999998</v>
      </c>
      <c r="AP15" s="544"/>
      <c r="AQ15" s="544">
        <f>'qtrP&amp;L'!BH30</f>
        <v>212.10900000000001</v>
      </c>
      <c r="AR15" s="544">
        <f>'qtrP&amp;L'!BH31</f>
        <v>205.48</v>
      </c>
      <c r="AS15" s="544">
        <f>'qtrP&amp;L'!BH32</f>
        <v>213.072</v>
      </c>
      <c r="AT15" s="544">
        <f>'qtrP&amp;L'!BH33</f>
        <v>204.76</v>
      </c>
      <c r="AU15" s="544"/>
      <c r="AV15" s="544">
        <f>'qtrP&amp;L'!$BL$30</f>
        <v>203.56299999999999</v>
      </c>
      <c r="AW15" s="544">
        <f>'qtrP&amp;L'!$BL$31</f>
        <v>202.04900000000001</v>
      </c>
      <c r="AX15" s="544">
        <f>'qtrP&amp;L'!$BL$32</f>
        <v>220.96699999999998</v>
      </c>
      <c r="AY15" s="544">
        <f>'qtrP&amp;L'!$BL$33</f>
        <v>209.982</v>
      </c>
      <c r="AZ15" s="544"/>
      <c r="BA15" s="544">
        <f>'qtrP&amp;L'!$BP$30</f>
        <v>226.52800000000002</v>
      </c>
      <c r="BB15" s="544">
        <f>'qtrP&amp;L'!$BP$31</f>
        <v>211.846</v>
      </c>
      <c r="BC15" s="544">
        <f>'qtrP&amp;L'!$BP$32</f>
        <v>230.90600000000001</v>
      </c>
      <c r="BD15" s="544">
        <f>'qtrP&amp;L'!$BP$33</f>
        <v>221.16799999999998</v>
      </c>
      <c r="BE15" s="544"/>
      <c r="BF15" s="544">
        <f>'qtrP&amp;L'!$BT$30</f>
        <v>244.84499999999997</v>
      </c>
      <c r="BG15" s="544">
        <f>'qtrP&amp;L'!$BT$31</f>
        <v>240.35600000000002</v>
      </c>
      <c r="BH15" s="544">
        <f>'qtrP&amp;L'!$BT$32</f>
        <v>254.52199999999999</v>
      </c>
      <c r="BI15" s="544">
        <f>'qtrP&amp;L'!$BT$33</f>
        <v>259.13799999999998</v>
      </c>
      <c r="BJ15" s="544"/>
      <c r="BK15" s="544">
        <f>'qtrP&amp;L'!$BX$30</f>
        <v>292.23399999999998</v>
      </c>
      <c r="BL15" s="544">
        <f>'qtrP&amp;L'!$BX$31</f>
        <v>276.404</v>
      </c>
      <c r="BM15" s="544">
        <f>'qtrP&amp;L'!$BX$32</f>
        <v>297.67</v>
      </c>
      <c r="BN15" s="544">
        <f>'qtrP&amp;L'!$BX$33</f>
        <v>296.11799999999999</v>
      </c>
      <c r="BO15" s="544"/>
      <c r="BP15" s="544">
        <f>'qtrP&amp;L'!CB30</f>
        <v>305.81299999999999</v>
      </c>
      <c r="BQ15" s="544">
        <f>'qtrP&amp;L'!CB31</f>
        <v>286.262</v>
      </c>
      <c r="BR15" s="544">
        <f>'qtrP&amp;L'!CB32</f>
        <v>308.52800000000002</v>
      </c>
      <c r="BS15" s="544">
        <f>'qtrP&amp;L'!CB33</f>
        <v>302.37799999999999</v>
      </c>
      <c r="BT15" s="544"/>
      <c r="BU15" s="544">
        <f>'qtrP&amp;L'!CF30</f>
        <v>209.52199999999999</v>
      </c>
      <c r="BV15" s="544">
        <f>'qtrP&amp;L'!CF31</f>
        <v>194.44</v>
      </c>
      <c r="BW15" s="544">
        <f>'qtrP&amp;L'!CF32</f>
        <v>209.98400000000001</v>
      </c>
      <c r="BX15" s="553">
        <f>'qtrP&amp;L'!CF33</f>
        <v>207.27099999999999</v>
      </c>
      <c r="BY15" s="544"/>
      <c r="BZ15" s="544">
        <f>'qtrP&amp;L'!CJ30</f>
        <v>215.05500000000001</v>
      </c>
      <c r="CA15" s="544">
        <f>'qtrP&amp;L'!CJ31</f>
        <v>194.50800000000001</v>
      </c>
      <c r="CB15" s="544">
        <f>'qtrP&amp;L'!CJ32</f>
        <v>215.64400000000001</v>
      </c>
      <c r="CC15" s="553">
        <f>'qtrP&amp;L'!CJ33</f>
        <v>205.56899999999999</v>
      </c>
      <c r="CD15" s="544"/>
      <c r="CE15" s="544">
        <f>'qtrP&amp;L'!CN30</f>
        <v>208.14099999999999</v>
      </c>
      <c r="CF15" s="544">
        <f>'qtrP&amp;L'!CN31</f>
        <v>186.626</v>
      </c>
      <c r="CG15" s="544">
        <f>'qtrP&amp;L'!CN32</f>
        <v>192.36399999999998</v>
      </c>
      <c r="CH15" s="553">
        <f>'qtrP&amp;L'!CN33</f>
        <v>191.99</v>
      </c>
      <c r="CI15" s="553"/>
      <c r="CJ15" s="544">
        <f t="array" ref="CJ15:CM15">TRANSPOSE('qtrP&amp;L'!CR30:CR33)</f>
        <v>182.53899999999999</v>
      </c>
      <c r="CK15" s="544">
        <v>173.642</v>
      </c>
      <c r="CL15" s="544">
        <v>171.42400000000001</v>
      </c>
      <c r="CM15" s="553">
        <v>192.00200000000001</v>
      </c>
      <c r="CN15" s="553"/>
      <c r="CO15" s="544">
        <f t="array" ref="CO15:CR15">TRANSPOSE('qtrP&amp;L'!CV30:CV33)</f>
        <v>191.83000671101232</v>
      </c>
      <c r="CP15" s="544">
        <v>166.28892211634164</v>
      </c>
      <c r="CQ15" s="544">
        <v>177.1149144906766</v>
      </c>
      <c r="CR15" s="553">
        <v>178.001239660164</v>
      </c>
      <c r="CS15" s="544"/>
      <c r="CT15" s="553">
        <f>'yrP&amp;L'!H14</f>
        <v>99.434100000000001</v>
      </c>
      <c r="CU15" s="553">
        <f>'yrP&amp;L'!I14</f>
        <v>146.50171399999999</v>
      </c>
      <c r="CV15" s="553">
        <f>'yrP&amp;L'!J14</f>
        <v>199.51502200000002</v>
      </c>
      <c r="CW15" s="553">
        <f>'yrP&amp;L'!K14</f>
        <v>289.10537899999997</v>
      </c>
      <c r="CX15" s="553">
        <f>'yrP&amp;L'!L14</f>
        <v>398.11699999999996</v>
      </c>
      <c r="CY15" s="553">
        <f>'yrP&amp;L'!M14</f>
        <v>514.529</v>
      </c>
      <c r="CZ15" s="554">
        <f>'yrP&amp;L'!N14</f>
        <v>703.48500000000001</v>
      </c>
      <c r="DA15" s="554">
        <f>'yrP&amp;L'!O14</f>
        <v>847.60400000000004</v>
      </c>
      <c r="DB15" s="553">
        <f>'yrP&amp;L'!P14</f>
        <v>835.42100000000005</v>
      </c>
      <c r="DC15" s="554">
        <f>'yrP&amp;L'!Q14</f>
        <v>836.56099999999992</v>
      </c>
      <c r="DD15" s="554">
        <f>'yrP&amp;L'!R14</f>
        <v>890.44799999999998</v>
      </c>
      <c r="DE15" s="553">
        <f>'yrP&amp;L'!S14</f>
        <v>998.86099999999988</v>
      </c>
      <c r="DF15" s="553">
        <f>'yrP&amp;L'!T14</f>
        <v>1162.4259999999999</v>
      </c>
      <c r="DG15" s="553">
        <f>'yrP&amp;L'!U14</f>
        <v>1202.981</v>
      </c>
      <c r="DH15" s="553">
        <f>'yrP&amp;L'!V14</f>
        <v>821.21699999999998</v>
      </c>
      <c r="DI15" s="553">
        <f>'yrP&amp;L'!W14</f>
        <v>830.77599999999995</v>
      </c>
      <c r="DJ15" s="553">
        <f>'yrP&amp;L'!X14</f>
        <v>779.12099999999998</v>
      </c>
      <c r="DK15" s="553">
        <f>'yrP&amp;L'!Y14</f>
        <v>719.60699999999997</v>
      </c>
      <c r="DL15" s="553">
        <f>'yrP&amp;L'!Z14</f>
        <v>713.23508297819444</v>
      </c>
      <c r="DM15" s="553">
        <f>'yrP&amp;L'!AA14</f>
        <v>658.86237705993574</v>
      </c>
      <c r="DN15" s="553">
        <f>'yrP&amp;L'!AB14</f>
        <v>652.03022199419934</v>
      </c>
      <c r="DO15" s="553">
        <f>'yrP&amp;L'!AC14</f>
        <v>644.05749622295991</v>
      </c>
    </row>
    <row r="16" spans="1:120" hidden="1" outlineLevel="1">
      <c r="A16" s="544" t="s">
        <v>695</v>
      </c>
      <c r="B16" s="544"/>
      <c r="C16" s="544"/>
      <c r="D16" s="544"/>
      <c r="E16" s="544"/>
      <c r="F16" s="544"/>
      <c r="G16" s="544"/>
      <c r="H16" s="544"/>
      <c r="I16" s="544"/>
      <c r="J16" s="544"/>
      <c r="K16" s="544"/>
      <c r="L16" s="544"/>
      <c r="M16" s="544"/>
      <c r="N16" s="544"/>
      <c r="O16" s="544"/>
      <c r="P16" s="544"/>
      <c r="Q16" s="544"/>
      <c r="R16" s="544"/>
      <c r="S16" s="544"/>
      <c r="T16" s="544"/>
      <c r="U16" s="544"/>
      <c r="V16" s="544"/>
      <c r="W16" s="544"/>
      <c r="X16" s="544"/>
      <c r="Y16" s="544"/>
      <c r="Z16" s="544"/>
      <c r="AA16" s="544"/>
      <c r="AB16" s="544"/>
      <c r="AC16" s="544"/>
      <c r="AD16" s="544"/>
      <c r="AE16" s="544"/>
      <c r="AF16" s="544"/>
      <c r="AG16" s="544">
        <f>'qtrP&amp;L'!AZ40</f>
        <v>111.68799999999999</v>
      </c>
      <c r="AH16" s="544">
        <f>'qtrP&amp;L'!AZ41</f>
        <v>124.65600000000001</v>
      </c>
      <c r="AI16" s="548">
        <f>'qtrP&amp;L'!AZ42</f>
        <v>132.86500000000001</v>
      </c>
      <c r="AJ16" s="548">
        <f>'qtrP&amp;L'!AZ43</f>
        <v>156.321</v>
      </c>
      <c r="AK16" s="544"/>
      <c r="AL16" s="544">
        <f>'qtrP&amp;L'!BD40</f>
        <v>154.69300000000001</v>
      </c>
      <c r="AM16" s="544">
        <f>'qtrP&amp;L'!BD41</f>
        <v>151.25899999999999</v>
      </c>
      <c r="AN16" s="548">
        <f>'qtrP&amp;L'!BD42</f>
        <v>161.708</v>
      </c>
      <c r="AO16" s="548">
        <f>'qtrP&amp;L'!BD43</f>
        <v>165.62799999999999</v>
      </c>
      <c r="AP16" s="548"/>
      <c r="AQ16" s="548">
        <f>'qtrP&amp;L'!BH40</f>
        <v>160.98500000000001</v>
      </c>
      <c r="AR16" s="548">
        <f>'qtrP&amp;L'!BH41</f>
        <v>159.95699999999999</v>
      </c>
      <c r="AS16" s="548">
        <f>'qtrP&amp;L'!BH42</f>
        <v>164.494</v>
      </c>
      <c r="AT16" s="548">
        <f>'qtrP&amp;L'!BH43</f>
        <v>159.916</v>
      </c>
      <c r="AU16" s="548"/>
      <c r="AV16" s="548">
        <f>'qtrP&amp;L'!$BL$40</f>
        <v>160.19499999999999</v>
      </c>
      <c r="AW16" s="548">
        <f>'qtrP&amp;L'!$BL$41</f>
        <v>157.18</v>
      </c>
      <c r="AX16" s="548">
        <f>'qtrP&amp;L'!$BL$42</f>
        <v>165.10599999999999</v>
      </c>
      <c r="AY16" s="548">
        <f>'qtrP&amp;L'!$BL$43</f>
        <v>164.559</v>
      </c>
      <c r="AZ16" s="544"/>
      <c r="BA16" s="548">
        <f>'qtrP&amp;L'!$BP$40</f>
        <v>168.648</v>
      </c>
      <c r="BB16" s="548">
        <f>'qtrP&amp;L'!$BP$41</f>
        <v>164.85300000000001</v>
      </c>
      <c r="BC16" s="548">
        <f>'qtrP&amp;L'!$BP$42</f>
        <v>169.726</v>
      </c>
      <c r="BD16" s="548">
        <f>'qtrP&amp;L'!$BP$43</f>
        <v>170.738</v>
      </c>
      <c r="BE16" s="544"/>
      <c r="BF16" s="548">
        <f>'qtrP&amp;L'!$BT$40</f>
        <v>181.51599999999999</v>
      </c>
      <c r="BG16" s="548">
        <f>'qtrP&amp;L'!$BT$41</f>
        <v>183.46100000000001</v>
      </c>
      <c r="BH16" s="548">
        <f>'qtrP&amp;L'!$BT$42</f>
        <v>184.41399999999999</v>
      </c>
      <c r="BI16" s="548">
        <f>'qtrP&amp;L'!$BT$43</f>
        <v>189.51918000000001</v>
      </c>
      <c r="BJ16" s="544"/>
      <c r="BK16" s="548">
        <f>'qtrP&amp;L'!$BX$40</f>
        <v>205.61696999999998</v>
      </c>
      <c r="BL16" s="548">
        <f>'qtrP&amp;L'!$BX$41</f>
        <v>199.70077199999997</v>
      </c>
      <c r="BM16" s="548">
        <f>'qtrP&amp;L'!$BX$42</f>
        <v>206.77799400000004</v>
      </c>
      <c r="BN16" s="548">
        <f>'qtrP&amp;L'!$BX$43</f>
        <v>215.52195800000004</v>
      </c>
      <c r="BO16" s="544"/>
      <c r="BP16" s="544">
        <f>'qtrP&amp;L'!CB40</f>
        <v>210.18392090000003</v>
      </c>
      <c r="BQ16" s="544">
        <f>'qtrP&amp;L'!CB41</f>
        <v>190.36782944800001</v>
      </c>
      <c r="BR16" s="544">
        <f>'qtrP&amp;L'!CB42</f>
        <v>220.47502000000003</v>
      </c>
      <c r="BS16" s="544">
        <f>'qtrP&amp;L'!CB43</f>
        <v>212.45346040000001</v>
      </c>
      <c r="BT16" s="544"/>
      <c r="BU16" s="544">
        <f>'qtrP&amp;L'!CF40</f>
        <v>104.48297627734186</v>
      </c>
      <c r="BV16" s="544">
        <f>'qtrP&amp;L'!CF41</f>
        <v>89.535172071985556</v>
      </c>
      <c r="BW16" s="544">
        <f>'qtrP&amp;L'!CF42</f>
        <v>116.73892678703555</v>
      </c>
      <c r="BX16" s="553">
        <f>'qtrP&amp;L'!CF43</f>
        <v>107.65713995294703</v>
      </c>
      <c r="BY16" s="544"/>
      <c r="BZ16" s="544">
        <f>'qtrP&amp;L'!CJ40</f>
        <v>98.671764080490036</v>
      </c>
      <c r="CA16" s="544">
        <f>'qtrP&amp;L'!CJ41</f>
        <v>80.40746704821278</v>
      </c>
      <c r="CB16" s="544">
        <f>'qtrP&amp;L'!CJ42</f>
        <v>118.10344790399996</v>
      </c>
      <c r="CC16" s="553">
        <f>'qtrP&amp;L'!CJ43</f>
        <v>100.133415329</v>
      </c>
      <c r="CD16" s="544"/>
      <c r="CE16" s="544">
        <f>'qtrP&amp;L'!CN40</f>
        <v>81.170544455783102</v>
      </c>
      <c r="CF16" s="544">
        <f>'qtrP&amp;L'!CN41</f>
        <v>64.169437493637545</v>
      </c>
      <c r="CG16" s="544">
        <f>'qtrP&amp;L'!CN42</f>
        <v>89.65987778706301</v>
      </c>
      <c r="CH16" s="553">
        <f>'qtrP&amp;L'!CN43</f>
        <v>78.657157609551106</v>
      </c>
      <c r="CI16" s="553"/>
      <c r="CJ16" s="544"/>
      <c r="CK16" s="544"/>
      <c r="CL16" s="544"/>
      <c r="CM16" s="553"/>
      <c r="CN16" s="553"/>
      <c r="CO16" s="544"/>
      <c r="CP16" s="544"/>
      <c r="CQ16" s="544"/>
      <c r="CR16" s="553"/>
      <c r="CS16" s="544"/>
      <c r="CT16" s="553"/>
      <c r="CU16" s="553"/>
      <c r="CV16" s="553"/>
      <c r="CW16" s="553"/>
      <c r="CX16" s="553"/>
      <c r="CY16" s="553"/>
      <c r="CZ16" s="550">
        <f>'qtrP&amp;L'!$AZ$44</f>
        <v>525.53</v>
      </c>
      <c r="DA16" s="550">
        <f>'qtrP&amp;L'!$BD$44</f>
        <v>633.28800000000001</v>
      </c>
      <c r="DB16" s="549">
        <f>'qtrP&amp;L'!$BH$44</f>
        <v>645.35200000000009</v>
      </c>
      <c r="DC16" s="550">
        <f>'yrP&amp;L'!$Q$24</f>
        <v>647.04</v>
      </c>
      <c r="DD16" s="550">
        <f>'yrP&amp;L'!$R$24</f>
        <v>673.96499999999992</v>
      </c>
      <c r="DE16" s="549">
        <f>'yrP&amp;L'!S$24</f>
        <v>738.91017999999997</v>
      </c>
      <c r="DF16" s="549">
        <f>'yrP&amp;L'!T$24</f>
        <v>827.61769400000003</v>
      </c>
      <c r="DG16" s="549">
        <f>'yrP&amp;L'!U$24</f>
        <v>0</v>
      </c>
      <c r="DH16" s="549">
        <f>'yrP&amp;L'!V$24</f>
        <v>0</v>
      </c>
      <c r="DI16" s="549">
        <f>'yrP&amp;L'!W$24</f>
        <v>0</v>
      </c>
      <c r="DJ16" s="549">
        <f>'yrP&amp;L'!X$24</f>
        <v>0</v>
      </c>
      <c r="DK16" s="549">
        <f>'yrP&amp;L'!Y$24</f>
        <v>0</v>
      </c>
      <c r="DL16" s="549">
        <f>'yrP&amp;L'!Z$24</f>
        <v>0</v>
      </c>
      <c r="DM16" s="549">
        <f>'yrP&amp;L'!AA$24</f>
        <v>0</v>
      </c>
      <c r="DN16" s="549">
        <f>'yrP&amp;L'!AB$24</f>
        <v>0</v>
      </c>
      <c r="DO16" s="549">
        <f>'yrP&amp;L'!AC$24</f>
        <v>0</v>
      </c>
      <c r="DP16" s="122"/>
    </row>
    <row r="17" spans="1:121" hidden="1" outlineLevel="1">
      <c r="A17" s="544" t="s">
        <v>696</v>
      </c>
      <c r="B17" s="544"/>
      <c r="C17" s="544"/>
      <c r="D17" s="544"/>
      <c r="E17" s="544"/>
      <c r="F17" s="544"/>
      <c r="G17" s="544"/>
      <c r="H17" s="544"/>
      <c r="I17" s="544"/>
      <c r="J17" s="544"/>
      <c r="K17" s="544"/>
      <c r="L17" s="544"/>
      <c r="M17" s="544"/>
      <c r="N17" s="544"/>
      <c r="O17" s="544"/>
      <c r="P17" s="544"/>
      <c r="Q17" s="544"/>
      <c r="R17" s="544"/>
      <c r="S17" s="544"/>
      <c r="T17" s="544"/>
      <c r="U17" s="544"/>
      <c r="V17" s="544"/>
      <c r="W17" s="544"/>
      <c r="X17" s="544"/>
      <c r="Y17" s="544"/>
      <c r="Z17" s="544"/>
      <c r="AA17" s="544"/>
      <c r="AB17" s="544"/>
      <c r="AC17" s="544"/>
      <c r="AD17" s="544"/>
      <c r="AE17" s="544"/>
      <c r="AF17" s="544"/>
      <c r="AG17" s="544">
        <f>'qtrP&amp;L'!AZ48</f>
        <v>19.314</v>
      </c>
      <c r="AH17" s="544">
        <f>'qtrP&amp;L'!AZ49</f>
        <v>11.271000000000001</v>
      </c>
      <c r="AI17" s="548">
        <f>'qtrP&amp;L'!AZ50</f>
        <v>14.896000000000001</v>
      </c>
      <c r="AJ17" s="548">
        <f>'qtrP&amp;L'!AZ51</f>
        <v>20.983000000000001</v>
      </c>
      <c r="AK17" s="544"/>
      <c r="AL17" s="544">
        <f>'qtrP&amp;L'!BD48</f>
        <v>20.939</v>
      </c>
      <c r="AM17" s="544">
        <f>'qtrP&amp;L'!BD49</f>
        <v>14.791</v>
      </c>
      <c r="AN17" s="548">
        <f>'qtrP&amp;L'!BD50</f>
        <v>28.919</v>
      </c>
      <c r="AO17" s="548">
        <f>'qtrP&amp;L'!BD51</f>
        <v>31.068999999999999</v>
      </c>
      <c r="AP17" s="548"/>
      <c r="AQ17" s="548">
        <f>'qtrP&amp;L'!BH48</f>
        <v>22.843</v>
      </c>
      <c r="AR17" s="548">
        <f>'qtrP&amp;L'!BH49</f>
        <v>16.786000000000001</v>
      </c>
      <c r="AS17" s="548">
        <f>'qtrP&amp;L'!BH50</f>
        <v>22.042999999999999</v>
      </c>
      <c r="AT17" s="548">
        <f>'qtrP&amp;L'!BH51</f>
        <v>18.652999999999999</v>
      </c>
      <c r="AU17" s="548"/>
      <c r="AV17" s="548">
        <f>'qtrP&amp;L'!$BL$48</f>
        <v>17.834</v>
      </c>
      <c r="AW17" s="548">
        <f>'qtrP&amp;L'!$BL$49</f>
        <v>16.167999999999999</v>
      </c>
      <c r="AX17" s="548">
        <f>'qtrP&amp;L'!$BL$50</f>
        <v>24.974</v>
      </c>
      <c r="AY17" s="548">
        <f>'qtrP&amp;L'!$BL$51</f>
        <v>19.099</v>
      </c>
      <c r="AZ17" s="544"/>
      <c r="BA17" s="548">
        <f>'qtrP&amp;L'!$BP$48</f>
        <v>29.08</v>
      </c>
      <c r="BB17" s="548">
        <f>'qtrP&amp;L'!$BP$49</f>
        <v>18.010999999999999</v>
      </c>
      <c r="BC17" s="548">
        <f>'qtrP&amp;L'!$BP$50</f>
        <v>31.928000000000001</v>
      </c>
      <c r="BD17" s="548">
        <f>'qtrP&amp;L'!$BP$51</f>
        <v>23.462</v>
      </c>
      <c r="BE17" s="544"/>
      <c r="BF17" s="548">
        <f>'qtrP&amp;L'!$BT$48</f>
        <v>30.898</v>
      </c>
      <c r="BG17" s="548">
        <f>'qtrP&amp;L'!$BT$49</f>
        <v>21.073</v>
      </c>
      <c r="BH17" s="548">
        <f>'qtrP&amp;L'!$BT$50</f>
        <v>39.008000000000003</v>
      </c>
      <c r="BI17" s="548">
        <f>'qtrP&amp;L'!$BT$51</f>
        <v>29.413922079334867</v>
      </c>
      <c r="BJ17" s="544"/>
      <c r="BK17" s="548">
        <f>'qtrP&amp;L'!$BX$48</f>
        <v>48.024139999999996</v>
      </c>
      <c r="BL17" s="548">
        <f>'qtrP&amp;L'!$BX$49</f>
        <v>35.364640000000001</v>
      </c>
      <c r="BM17" s="548">
        <f>'qtrP&amp;L'!$BX$50</f>
        <v>56.060005999999994</v>
      </c>
      <c r="BN17" s="548">
        <f>'qtrP&amp;L'!$BX$51</f>
        <v>44.595937999999997</v>
      </c>
      <c r="BO17" s="544"/>
      <c r="BP17" s="544">
        <f>'qtrP&amp;L'!CB48</f>
        <v>49.703539999999997</v>
      </c>
      <c r="BQ17" s="544">
        <f>'qtrP&amp;L'!CB49</f>
        <v>48.189440000000005</v>
      </c>
      <c r="BR17" s="544">
        <f>'qtrP&amp;L'!CB50</f>
        <v>49.041139999999999</v>
      </c>
      <c r="BS17" s="544">
        <f>'qtrP&amp;L'!CB51</f>
        <v>46.413019999999996</v>
      </c>
      <c r="BT17" s="544"/>
      <c r="BU17" s="544">
        <f>'qtrP&amp;L'!CF48</f>
        <v>50.387632193658128</v>
      </c>
      <c r="BV17" s="544">
        <f>'qtrP&amp;L'!CF49</f>
        <v>49.853568871006452</v>
      </c>
      <c r="BW17" s="544">
        <f>'qtrP&amp;L'!CF50</f>
        <v>49.551812412964424</v>
      </c>
      <c r="BX17" s="553">
        <f>'qtrP&amp;L'!CF51</f>
        <v>49.575612507052973</v>
      </c>
      <c r="BY17" s="544"/>
      <c r="BZ17" s="544">
        <f>'qtrP&amp;L'!CJ48</f>
        <v>51.348079999999996</v>
      </c>
      <c r="CA17" s="544">
        <f>'qtrP&amp;L'!CJ49</f>
        <v>50.571379999999998</v>
      </c>
      <c r="CB17" s="544">
        <f>'qtrP&amp;L'!CJ50</f>
        <v>48.604100000000003</v>
      </c>
      <c r="CC17" s="553">
        <f>'qtrP&amp;L'!CJ51</f>
        <v>47.891599999999997</v>
      </c>
      <c r="CD17" s="544"/>
      <c r="CE17" s="544">
        <f>'qtrP&amp;L'!CN48</f>
        <v>49.578619999999994</v>
      </c>
      <c r="CF17" s="544">
        <f>'qtrP&amp;L'!CN49</f>
        <v>49.143919999999994</v>
      </c>
      <c r="CG17" s="544">
        <f>'qtrP&amp;L'!CN50</f>
        <v>47.895295865416934</v>
      </c>
      <c r="CH17" s="553">
        <f>'qtrP&amp;L'!CN51</f>
        <v>47.157260018798958</v>
      </c>
      <c r="CI17" s="553"/>
      <c r="CJ17" s="544"/>
      <c r="CK17" s="544"/>
      <c r="CL17" s="544"/>
      <c r="CM17" s="553"/>
      <c r="CN17" s="553"/>
      <c r="CO17" s="544"/>
      <c r="CP17" s="544"/>
      <c r="CQ17" s="544"/>
      <c r="CR17" s="553"/>
      <c r="CS17" s="544"/>
      <c r="CT17" s="553"/>
      <c r="CU17" s="553"/>
      <c r="CV17" s="553"/>
      <c r="CW17" s="553"/>
      <c r="CX17" s="553"/>
      <c r="CY17" s="553"/>
      <c r="CZ17" s="550">
        <f>'qtrP&amp;L'!$AZ$52</f>
        <v>66.463999999999999</v>
      </c>
      <c r="DA17" s="550">
        <f>'qtrP&amp;L'!$BD$52</f>
        <v>95.718000000000004</v>
      </c>
      <c r="DB17" s="549">
        <f>'qtrP&amp;L'!$BH$52</f>
        <v>80.325000000000003</v>
      </c>
      <c r="DC17" s="550">
        <f>'qtrP&amp;L'!$BL$52</f>
        <v>78.075000000000003</v>
      </c>
      <c r="DD17" s="550">
        <f>'yrP&amp;L'!$R$26</f>
        <v>102.48099999999999</v>
      </c>
      <c r="DE17" s="549">
        <f>'yrP&amp;L'!S$26</f>
        <v>120.39292207933488</v>
      </c>
      <c r="DF17" s="549">
        <f>'yrP&amp;L'!T$26</f>
        <v>184.04472399999997</v>
      </c>
      <c r="DG17" s="549">
        <f>'yrP&amp;L'!U$26</f>
        <v>0</v>
      </c>
      <c r="DH17" s="549">
        <f>'yrP&amp;L'!V$26</f>
        <v>0</v>
      </c>
      <c r="DI17" s="549">
        <f>'yrP&amp;L'!W$26</f>
        <v>0</v>
      </c>
      <c r="DJ17" s="549">
        <f>'yrP&amp;L'!X$26</f>
        <v>0</v>
      </c>
      <c r="DK17" s="549">
        <f>'yrP&amp;L'!Y$26</f>
        <v>0</v>
      </c>
      <c r="DL17" s="549">
        <f>'yrP&amp;L'!Z$26</f>
        <v>0</v>
      </c>
      <c r="DM17" s="549">
        <f>'yrP&amp;L'!AA$26</f>
        <v>0</v>
      </c>
      <c r="DN17" s="549">
        <f>'yrP&amp;L'!AB$26</f>
        <v>0</v>
      </c>
      <c r="DO17" s="549">
        <f>'yrP&amp;L'!AC$26</f>
        <v>0</v>
      </c>
      <c r="DP17" s="122"/>
    </row>
    <row r="18" spans="1:121" hidden="1" outlineLevel="1">
      <c r="A18" s="544" t="s">
        <v>697</v>
      </c>
      <c r="B18" s="544"/>
      <c r="C18" s="544"/>
      <c r="D18" s="544"/>
      <c r="E18" s="544"/>
      <c r="F18" s="544"/>
      <c r="G18" s="544"/>
      <c r="H18" s="544"/>
      <c r="I18" s="544"/>
      <c r="J18" s="544"/>
      <c r="K18" s="544"/>
      <c r="L18" s="544"/>
      <c r="M18" s="544"/>
      <c r="N18" s="544"/>
      <c r="O18" s="544"/>
      <c r="P18" s="544"/>
      <c r="Q18" s="544"/>
      <c r="R18" s="544"/>
      <c r="S18" s="544"/>
      <c r="T18" s="544"/>
      <c r="U18" s="544"/>
      <c r="V18" s="544"/>
      <c r="W18" s="544"/>
      <c r="X18" s="544"/>
      <c r="Y18" s="544"/>
      <c r="Z18" s="544"/>
      <c r="AA18" s="544"/>
      <c r="AB18" s="544"/>
      <c r="AC18" s="544"/>
      <c r="AD18" s="544"/>
      <c r="AE18" s="544"/>
      <c r="AF18" s="544"/>
      <c r="AG18" s="544">
        <f>'qtrP&amp;L'!AZ56</f>
        <v>30.148</v>
      </c>
      <c r="AH18" s="544">
        <f>'qtrP&amp;L'!AZ57</f>
        <v>24.373000000000001</v>
      </c>
      <c r="AI18" s="548">
        <f>'qtrP&amp;L'!AZ58</f>
        <v>27.670999999999999</v>
      </c>
      <c r="AJ18" s="548">
        <f>'qtrP&amp;L'!AZ59</f>
        <v>29.298999999999999</v>
      </c>
      <c r="AK18" s="544"/>
      <c r="AL18" s="544">
        <f>'qtrP&amp;L'!BD56</f>
        <v>29.471</v>
      </c>
      <c r="AM18" s="544">
        <f>'qtrP&amp;L'!BD57</f>
        <v>27.923999999999999</v>
      </c>
      <c r="AN18" s="548">
        <f>'qtrP&amp;L'!BD58</f>
        <v>28.553999999999998</v>
      </c>
      <c r="AO18" s="548">
        <f>'qtrP&amp;L'!BD59</f>
        <v>32.649000000000001</v>
      </c>
      <c r="AP18" s="548"/>
      <c r="AQ18" s="548">
        <f>'qtrP&amp;L'!BH56</f>
        <v>28.280999999999999</v>
      </c>
      <c r="AR18" s="548">
        <f>'qtrP&amp;L'!BH57</f>
        <v>28.736999999999998</v>
      </c>
      <c r="AS18" s="548">
        <f>'qtrP&amp;L'!BH58</f>
        <v>26.535</v>
      </c>
      <c r="AT18" s="548">
        <f>'qtrP&amp;L'!BH59</f>
        <v>26.190999999999999</v>
      </c>
      <c r="AU18" s="548"/>
      <c r="AV18" s="548">
        <f>'qtrP&amp;L'!$BL$56</f>
        <v>25.533999999999999</v>
      </c>
      <c r="AW18" s="548">
        <f>'qtrP&amp;L'!$BL$57</f>
        <v>28.701000000000001</v>
      </c>
      <c r="AX18" s="548">
        <f>'qtrP&amp;L'!$BL$58</f>
        <v>30.887</v>
      </c>
      <c r="AY18" s="548">
        <f>'qtrP&amp;L'!$BL$59</f>
        <v>26.324000000000002</v>
      </c>
      <c r="AZ18" s="544"/>
      <c r="BA18" s="548">
        <f>'qtrP&amp;L'!$BP$56</f>
        <v>28.8</v>
      </c>
      <c r="BB18" s="548">
        <f>'qtrP&amp;L'!$BP$57</f>
        <v>28.981999999999999</v>
      </c>
      <c r="BC18" s="548">
        <f>'qtrP&amp;L'!$BP$58</f>
        <v>29.251999999999999</v>
      </c>
      <c r="BD18" s="548">
        <f>'qtrP&amp;L'!$BP$59</f>
        <v>26.968</v>
      </c>
      <c r="BE18" s="544"/>
      <c r="BF18" s="548">
        <f>'qtrP&amp;L'!$BT$56</f>
        <v>32.430999999999997</v>
      </c>
      <c r="BG18" s="548">
        <f>'qtrP&amp;L'!$BT$57</f>
        <v>35.822000000000003</v>
      </c>
      <c r="BH18" s="548">
        <f>'qtrP&amp;L'!$BT$58</f>
        <v>31.1</v>
      </c>
      <c r="BI18" s="548">
        <f>'qtrP&amp;L'!$BT$59</f>
        <v>32.900959999999998</v>
      </c>
      <c r="BJ18" s="544"/>
      <c r="BK18" s="548">
        <f>'qtrP&amp;L'!$BX$56</f>
        <v>38.592889999999997</v>
      </c>
      <c r="BL18" s="548">
        <f>'qtrP&amp;L'!$BX$57</f>
        <v>41.338588000000001</v>
      </c>
      <c r="BM18" s="548">
        <f>'qtrP&amp;L'!$BX$58</f>
        <v>34.832000000000008</v>
      </c>
      <c r="BN18" s="548">
        <f>'qtrP&amp;L'!$BX$59</f>
        <v>37.836103999999992</v>
      </c>
      <c r="BO18" s="544"/>
      <c r="BP18" s="544">
        <f>'qtrP&amp;L'!CB56</f>
        <v>45.925539099999995</v>
      </c>
      <c r="BQ18" s="544">
        <f>'qtrP&amp;L'!CB57</f>
        <v>47.704730552000001</v>
      </c>
      <c r="BR18" s="544">
        <f>'qtrP&amp;L'!CB58</f>
        <v>39.011840000000014</v>
      </c>
      <c r="BS18" s="544">
        <f>'qtrP&amp;L'!CB59</f>
        <v>43.511519599999986</v>
      </c>
      <c r="BT18" s="544"/>
      <c r="BU18" s="544">
        <f>'qtrP&amp;L'!CF56</f>
        <v>54.651391528999994</v>
      </c>
      <c r="BV18" s="544">
        <f>'qtrP&amp;L'!CF57</f>
        <v>55.051259057007996</v>
      </c>
      <c r="BW18" s="544">
        <f>'qtrP&amp;L'!CF58</f>
        <v>43.693260800000019</v>
      </c>
      <c r="BX18" s="553">
        <f>'qtrP&amp;L'!CF59</f>
        <v>50.038247539999979</v>
      </c>
      <c r="BY18" s="544"/>
      <c r="BZ18" s="544">
        <f>'qtrP&amp;L'!CJ56</f>
        <v>65.03515591950999</v>
      </c>
      <c r="CA18" s="544">
        <f>'qtrP&amp;L'!CJ57</f>
        <v>63.529152951787225</v>
      </c>
      <c r="CB18" s="544">
        <f>'qtrP&amp;L'!CJ58</f>
        <v>48.936452096000025</v>
      </c>
      <c r="CC18" s="553">
        <f>'qtrP&amp;L'!CJ59</f>
        <v>57.543984670999969</v>
      </c>
      <c r="CD18" s="544"/>
      <c r="CE18" s="544">
        <f>'qtrP&amp;L'!CN56</f>
        <v>77.391835544216889</v>
      </c>
      <c r="CF18" s="544">
        <f>'qtrP&amp;L'!CN57</f>
        <v>73.312642506362451</v>
      </c>
      <c r="CG18" s="544">
        <f>'qtrP&amp;L'!CN58</f>
        <v>54.808826347520032</v>
      </c>
      <c r="CH18" s="553">
        <f>'qtrP&amp;L'!CN59</f>
        <v>66.175582371649952</v>
      </c>
      <c r="CI18" s="553"/>
      <c r="CJ18" s="544"/>
      <c r="CK18" s="544"/>
      <c r="CL18" s="544"/>
      <c r="CM18" s="553"/>
      <c r="CN18" s="553"/>
      <c r="CO18" s="544"/>
      <c r="CP18" s="544"/>
      <c r="CQ18" s="544"/>
      <c r="CR18" s="553"/>
      <c r="CS18" s="544"/>
      <c r="CT18" s="553"/>
      <c r="CU18" s="553"/>
      <c r="CV18" s="553"/>
      <c r="CW18" s="553"/>
      <c r="CX18" s="553"/>
      <c r="CY18" s="553"/>
      <c r="CZ18" s="550">
        <f>'qtrP&amp;L'!$AZ$60</f>
        <v>111.49100000000001</v>
      </c>
      <c r="DA18" s="550">
        <f>'qtrP&amp;L'!$BD$60</f>
        <v>118.598</v>
      </c>
      <c r="DB18" s="549">
        <f>'qtrP&amp;L'!$BH$60</f>
        <v>109.744</v>
      </c>
      <c r="DC18" s="550">
        <f>'qtrP&amp;L'!$BL$60</f>
        <v>111.446</v>
      </c>
      <c r="DD18" s="550">
        <f>'yrP&amp;L'!R$28</f>
        <v>114.002</v>
      </c>
      <c r="DE18" s="549">
        <f>'yrP&amp;L'!S$28</f>
        <v>132.25396000000001</v>
      </c>
      <c r="DF18" s="549">
        <f>'yrP&amp;L'!T$28</f>
        <v>152.599582</v>
      </c>
      <c r="DG18" s="549">
        <f>'yrP&amp;L'!U$28</f>
        <v>0</v>
      </c>
      <c r="DH18" s="549">
        <f>'yrP&amp;L'!V$28</f>
        <v>0</v>
      </c>
      <c r="DI18" s="549">
        <f>'yrP&amp;L'!W$28</f>
        <v>0</v>
      </c>
      <c r="DJ18" s="549">
        <f>'yrP&amp;L'!X$28</f>
        <v>0</v>
      </c>
      <c r="DK18" s="549">
        <f>'yrP&amp;L'!Y$28</f>
        <v>0</v>
      </c>
      <c r="DL18" s="549">
        <f>'yrP&amp;L'!Z$28</f>
        <v>0</v>
      </c>
      <c r="DM18" s="549">
        <f>'yrP&amp;L'!AA$28</f>
        <v>0</v>
      </c>
      <c r="DN18" s="549">
        <f>'yrP&amp;L'!AB$28</f>
        <v>0</v>
      </c>
      <c r="DO18" s="549">
        <f>'yrP&amp;L'!AC$28</f>
        <v>0</v>
      </c>
      <c r="DP18" s="122"/>
    </row>
    <row r="19" spans="1:121" hidden="1" outlineLevel="2">
      <c r="A19" s="555" t="s">
        <v>226</v>
      </c>
      <c r="B19" s="555"/>
      <c r="C19" s="555"/>
      <c r="D19" s="555"/>
      <c r="E19" s="555"/>
      <c r="F19" s="555"/>
      <c r="G19" s="555"/>
      <c r="H19" s="555"/>
      <c r="I19" s="555"/>
      <c r="J19" s="555"/>
      <c r="K19" s="555"/>
      <c r="L19" s="555"/>
      <c r="M19" s="555"/>
      <c r="N19" s="555"/>
      <c r="O19" s="555"/>
      <c r="P19" s="555"/>
      <c r="Q19" s="555"/>
      <c r="R19" s="555"/>
      <c r="S19" s="555"/>
      <c r="T19" s="555"/>
      <c r="U19" s="555"/>
      <c r="V19" s="555"/>
      <c r="W19" s="555"/>
      <c r="X19" s="555"/>
      <c r="Y19" s="555"/>
      <c r="Z19" s="555"/>
      <c r="AA19" s="555"/>
      <c r="AB19" s="555"/>
      <c r="AC19" s="555"/>
      <c r="AD19" s="555"/>
      <c r="AE19" s="555"/>
      <c r="AF19" s="555"/>
      <c r="AG19" s="555">
        <f>+'qtrP&amp;L'!$AZ64</f>
        <v>4.9050027613261982</v>
      </c>
      <c r="AH19" s="555">
        <f>+'qtrP&amp;L'!$AZ65</f>
        <v>5.2</v>
      </c>
      <c r="AI19" s="555">
        <f>+'qtrP&amp;L'!$AZ66</f>
        <v>5.6</v>
      </c>
      <c r="AJ19" s="555">
        <f>+'qtrP&amp;L'!$AZ67</f>
        <v>4</v>
      </c>
      <c r="AK19" s="555"/>
      <c r="AL19" s="555">
        <f>+'qtrP&amp;L'!$BD64</f>
        <v>3.6039999999999996</v>
      </c>
      <c r="AM19" s="555">
        <f>+'qtrP&amp;L'!$BD65</f>
        <v>3.4990000000000001</v>
      </c>
      <c r="AN19" s="555">
        <f>+'qtrP&amp;L'!$BD66</f>
        <v>3.5</v>
      </c>
      <c r="AO19" s="555">
        <f>+'qtrP&amp;L'!$BD67</f>
        <v>3.5</v>
      </c>
      <c r="AP19" s="555"/>
      <c r="AQ19" s="555">
        <f>'qtrP&amp;L'!BH64</f>
        <v>2.1290000000000004</v>
      </c>
      <c r="AR19" s="555">
        <f>'qtrP&amp;L'!BH65</f>
        <v>2.4329999999999998</v>
      </c>
      <c r="AS19" s="555">
        <f>'qtrP&amp;L'!BH66</f>
        <v>2.5</v>
      </c>
      <c r="AT19" s="555">
        <f>'qtrP&amp;L'!BH67</f>
        <v>2.5</v>
      </c>
      <c r="AU19" s="555"/>
      <c r="AV19" s="555">
        <f>'qtrP&amp;L'!BL64</f>
        <v>2.1290000000000004</v>
      </c>
      <c r="AW19" s="555">
        <f>'qtrP&amp;L'!BL65</f>
        <v>2.4329999999999998</v>
      </c>
      <c r="AX19" s="555">
        <f>'qtrP&amp;L'!BL66</f>
        <v>2.5</v>
      </c>
      <c r="AY19" s="555">
        <f>'qtrP&amp;L'!BL67</f>
        <v>2.5</v>
      </c>
      <c r="AZ19" s="555"/>
      <c r="BA19" s="555">
        <f>'qtrP&amp;L'!BQ64</f>
        <v>0.44207912157279672</v>
      </c>
      <c r="BB19" s="555">
        <f>'qtrP&amp;L'!BQ65</f>
        <v>0.5227761065749893</v>
      </c>
      <c r="BC19" s="555">
        <f>'qtrP&amp;L'!BQ66</f>
        <v>0.5175747688511082</v>
      </c>
      <c r="BD19" s="555">
        <f>'qtrP&amp;L'!BQ67</f>
        <v>0.52634459991494276</v>
      </c>
      <c r="BE19" s="555"/>
      <c r="BF19" s="555">
        <f>'qtrP&amp;L'!DC64</f>
        <v>0</v>
      </c>
      <c r="BG19" s="555">
        <f>'qtrP&amp;L'!DC65</f>
        <v>0</v>
      </c>
      <c r="BH19" s="555">
        <f>'qtrP&amp;L'!DC66</f>
        <v>0</v>
      </c>
      <c r="BI19" s="555">
        <f>'qtrP&amp;L'!DC67</f>
        <v>0</v>
      </c>
      <c r="BJ19" s="555"/>
      <c r="BK19" s="555">
        <f>'qtrP&amp;L'!BX64</f>
        <v>2.5</v>
      </c>
      <c r="BL19" s="555">
        <f>'qtrP&amp;L'!BX65</f>
        <v>2.5</v>
      </c>
      <c r="BM19" s="555">
        <f>'qtrP&amp;L'!BX66</f>
        <v>2.5</v>
      </c>
      <c r="BN19" s="555">
        <f>'qtrP&amp;L'!BX67</f>
        <v>2.5</v>
      </c>
      <c r="BO19" s="555"/>
      <c r="BP19" s="555">
        <f>'qtrP&amp;L'!CB64</f>
        <v>2.5</v>
      </c>
      <c r="BQ19" s="555">
        <f>'qtrP&amp;L'!CB65</f>
        <v>2.5</v>
      </c>
      <c r="BR19" s="555">
        <f>'qtrP&amp;L'!CB66</f>
        <v>2.5</v>
      </c>
      <c r="BS19" s="555">
        <f>'qtrP&amp;L'!CB67</f>
        <v>2.5</v>
      </c>
      <c r="BT19" s="555"/>
      <c r="BU19" s="555">
        <f>'qtrP&amp;L'!CF64</f>
        <v>2.5</v>
      </c>
      <c r="BV19" s="555">
        <f>'qtrP&amp;L'!CF65</f>
        <v>2.5</v>
      </c>
      <c r="BW19" s="555">
        <f>'qtrP&amp;L'!CF66</f>
        <v>2.5</v>
      </c>
      <c r="BX19" s="556">
        <f>'qtrP&amp;L'!CF67</f>
        <v>2.5</v>
      </c>
      <c r="BY19" s="555"/>
      <c r="BZ19" s="555">
        <f>'qtrP&amp;L'!CJ64</f>
        <v>2.5</v>
      </c>
      <c r="CA19" s="555">
        <f>'qtrP&amp;L'!CJ65</f>
        <v>2.5</v>
      </c>
      <c r="CB19" s="555">
        <f>'qtrP&amp;L'!CJ66</f>
        <v>2.5</v>
      </c>
      <c r="CC19" s="556">
        <f>'qtrP&amp;L'!CJ67</f>
        <v>2.5</v>
      </c>
      <c r="CD19" s="555"/>
      <c r="CE19" s="555">
        <f>'qtrP&amp;L'!CN64</f>
        <v>2.5</v>
      </c>
      <c r="CF19" s="555">
        <f>'qtrP&amp;L'!CN65</f>
        <v>2.5</v>
      </c>
      <c r="CG19" s="555">
        <f>'qtrP&amp;L'!CN66</f>
        <v>2.5</v>
      </c>
      <c r="CH19" s="556">
        <f>'qtrP&amp;L'!CN67</f>
        <v>2.5</v>
      </c>
      <c r="CI19" s="556"/>
      <c r="CJ19" s="555"/>
      <c r="CK19" s="555"/>
      <c r="CL19" s="555"/>
      <c r="CM19" s="556"/>
      <c r="CN19" s="556"/>
      <c r="CO19" s="555"/>
      <c r="CP19" s="555"/>
      <c r="CQ19" s="555"/>
      <c r="CR19" s="556"/>
      <c r="CS19" s="555"/>
      <c r="CT19" s="556"/>
      <c r="CU19" s="556"/>
      <c r="CV19" s="556"/>
      <c r="CW19" s="556"/>
      <c r="CX19" s="556"/>
      <c r="CY19" s="556"/>
      <c r="CZ19" s="557">
        <f>+'yrP&amp;L'!N31</f>
        <v>19.705002761326199</v>
      </c>
      <c r="DA19" s="557">
        <f>+'yrP&amp;L'!O31</f>
        <v>23</v>
      </c>
      <c r="DB19" s="556">
        <f>+'yrP&amp;L'!P31</f>
        <v>20</v>
      </c>
      <c r="DC19" s="557">
        <f>+'yrP&amp;L'!Q31</f>
        <v>20</v>
      </c>
      <c r="DD19" s="557">
        <f>+'yrP&amp;L'!R31</f>
        <v>20</v>
      </c>
      <c r="DE19" s="556">
        <f>+'yrP&amp;L'!S31</f>
        <v>20</v>
      </c>
      <c r="DF19" s="556">
        <f>+'yrP&amp;L'!T31</f>
        <v>20</v>
      </c>
      <c r="DG19" s="556">
        <f>+'yrP&amp;L'!U31</f>
        <v>20</v>
      </c>
      <c r="DH19" s="556">
        <f>+'yrP&amp;L'!V31</f>
        <v>20</v>
      </c>
      <c r="DI19" s="556">
        <f>+'yrP&amp;L'!W31</f>
        <v>20</v>
      </c>
      <c r="DJ19" s="556">
        <f>+'yrP&amp;L'!X31</f>
        <v>20</v>
      </c>
      <c r="DK19" s="556">
        <f>+'yrP&amp;L'!Y31</f>
        <v>20</v>
      </c>
      <c r="DL19" s="556">
        <f>+'yrP&amp;L'!Z31</f>
        <v>20</v>
      </c>
      <c r="DM19" s="556">
        <f>+'yrP&amp;L'!AA31</f>
        <v>20</v>
      </c>
      <c r="DN19" s="556">
        <f>+'yrP&amp;L'!AB31</f>
        <v>20</v>
      </c>
      <c r="DO19" s="556">
        <f>+'yrP&amp;L'!AC31</f>
        <v>20</v>
      </c>
      <c r="DP19" s="1067"/>
      <c r="DQ19" s="558"/>
    </row>
    <row r="20" spans="1:121" ht="9.75" customHeight="1" collapsed="1">
      <c r="A20" s="544"/>
      <c r="B20" s="544"/>
      <c r="C20" s="545"/>
      <c r="D20" s="545"/>
      <c r="E20" s="545"/>
      <c r="F20" s="545"/>
      <c r="G20" s="546"/>
      <c r="H20" s="545"/>
      <c r="I20" s="545"/>
      <c r="J20" s="545"/>
      <c r="K20" s="545"/>
      <c r="L20" s="544"/>
      <c r="M20" s="545"/>
      <c r="N20" s="545"/>
      <c r="O20" s="545"/>
      <c r="P20" s="545"/>
      <c r="Q20" s="544"/>
      <c r="R20" s="545"/>
      <c r="S20" s="545"/>
      <c r="T20" s="545"/>
      <c r="U20" s="545"/>
      <c r="V20" s="544"/>
      <c r="W20" s="545"/>
      <c r="X20" s="545"/>
      <c r="Y20" s="545"/>
      <c r="Z20" s="545"/>
      <c r="AA20" s="544"/>
      <c r="AB20" s="545"/>
      <c r="AC20" s="545"/>
      <c r="AD20" s="545"/>
      <c r="AE20" s="545"/>
      <c r="AF20" s="544"/>
      <c r="AG20" s="545"/>
      <c r="AH20" s="545"/>
      <c r="AI20" s="545"/>
      <c r="AJ20" s="545"/>
      <c r="AK20" s="544"/>
      <c r="AL20" s="547"/>
      <c r="AM20" s="547"/>
      <c r="AN20" s="547"/>
      <c r="AO20" s="547"/>
      <c r="AP20" s="547"/>
      <c r="AQ20" s="547"/>
      <c r="AR20" s="547"/>
      <c r="AS20" s="547"/>
      <c r="AT20" s="547"/>
      <c r="AU20" s="547"/>
      <c r="AV20" s="547"/>
      <c r="AW20" s="547"/>
      <c r="AX20" s="547"/>
      <c r="AY20" s="547"/>
      <c r="AZ20" s="548"/>
      <c r="BA20" s="547"/>
      <c r="BB20" s="547"/>
      <c r="BC20" s="547"/>
      <c r="BD20" s="547"/>
      <c r="BE20" s="548"/>
      <c r="BF20" s="547"/>
      <c r="BG20" s="547"/>
      <c r="BH20" s="547"/>
      <c r="BI20" s="547"/>
      <c r="BJ20" s="548"/>
      <c r="BK20" s="547"/>
      <c r="BL20" s="547"/>
      <c r="BM20" s="547"/>
      <c r="BN20" s="547"/>
      <c r="BO20" s="548"/>
      <c r="BP20" s="548"/>
      <c r="BQ20" s="548"/>
      <c r="BR20" s="548"/>
      <c r="BS20" s="548"/>
      <c r="BT20" s="548"/>
      <c r="BU20" s="548"/>
      <c r="BV20" s="548"/>
      <c r="BW20" s="548"/>
      <c r="BX20" s="549"/>
      <c r="BY20" s="548"/>
      <c r="BZ20" s="548"/>
      <c r="CA20" s="548"/>
      <c r="CB20" s="548"/>
      <c r="CC20" s="549"/>
      <c r="CD20" s="548"/>
      <c r="CE20" s="548"/>
      <c r="CF20" s="548"/>
      <c r="CG20" s="548"/>
      <c r="CH20" s="549"/>
      <c r="CI20" s="549"/>
      <c r="CJ20" s="548"/>
      <c r="CK20" s="548"/>
      <c r="CL20" s="548"/>
      <c r="CM20" s="549"/>
      <c r="CN20" s="549"/>
      <c r="CO20" s="548"/>
      <c r="CP20" s="548"/>
      <c r="CQ20" s="548"/>
      <c r="CR20" s="549"/>
      <c r="CS20" s="548"/>
      <c r="CT20" s="549"/>
      <c r="CU20" s="549"/>
      <c r="CV20" s="549"/>
      <c r="CW20" s="549"/>
      <c r="CX20" s="549"/>
      <c r="CY20" s="549"/>
      <c r="CZ20" s="550"/>
      <c r="DA20" s="550"/>
      <c r="DB20" s="549"/>
      <c r="DC20" s="550"/>
      <c r="DD20" s="550"/>
      <c r="DE20" s="549"/>
      <c r="DF20" s="549"/>
      <c r="DG20" s="549"/>
      <c r="DH20" s="549"/>
      <c r="DI20" s="549"/>
      <c r="DJ20" s="549"/>
      <c r="DK20" s="549"/>
      <c r="DL20" s="549"/>
      <c r="DM20" s="549"/>
      <c r="DN20" s="549"/>
      <c r="DO20" s="549"/>
      <c r="DP20" s="122"/>
    </row>
    <row r="21" spans="1:121">
      <c r="A21" s="538" t="s">
        <v>254</v>
      </c>
      <c r="B21" s="539"/>
      <c r="C21" s="539">
        <f>C14-C15-C11</f>
        <v>11.960601000000002</v>
      </c>
      <c r="D21" s="539">
        <f>D14-D15-D11</f>
        <v>11.727242000000004</v>
      </c>
      <c r="E21" s="539">
        <f>E14-E15-E11</f>
        <v>12.525252999999994</v>
      </c>
      <c r="F21" s="539">
        <f>F14-F15-F11</f>
        <v>9.1503789999999956</v>
      </c>
      <c r="G21" s="539"/>
      <c r="H21" s="539">
        <f>H14-H15-H11</f>
        <v>19.862522999999999</v>
      </c>
      <c r="I21" s="539">
        <f>I14-I15-I11</f>
        <v>17.742312999999996</v>
      </c>
      <c r="J21" s="539">
        <f>J14-J15-J11</f>
        <v>14.211653999999992</v>
      </c>
      <c r="K21" s="539">
        <f>K14-K15-K11</f>
        <v>15.719395999999993</v>
      </c>
      <c r="L21" s="539"/>
      <c r="M21" s="539">
        <f>M14-M15-M11</f>
        <v>31.746566000000016</v>
      </c>
      <c r="N21" s="539">
        <f>N14-N15-N11</f>
        <v>26.193724</v>
      </c>
      <c r="O21" s="539">
        <f>O14-O15-O11</f>
        <v>24.841784000000001</v>
      </c>
      <c r="P21" s="539">
        <f>P14-P15-P11</f>
        <v>24.011181000000004</v>
      </c>
      <c r="Q21" s="539"/>
      <c r="R21" s="539">
        <f>R14-R15-R11</f>
        <v>37.386151999999981</v>
      </c>
      <c r="S21" s="539">
        <f>S14-S15-S11</f>
        <v>39.215430999999995</v>
      </c>
      <c r="T21" s="539">
        <f>T14-T15-T11</f>
        <v>43.004999999999995</v>
      </c>
      <c r="U21" s="539">
        <f>U14-U15-U11</f>
        <v>41.167999999999999</v>
      </c>
      <c r="V21" s="539"/>
      <c r="W21" s="539">
        <f>W14-W15-W11</f>
        <v>57.254000000000005</v>
      </c>
      <c r="X21" s="539">
        <f>X14-X15-X11</f>
        <v>56.767000000000003</v>
      </c>
      <c r="Y21" s="539">
        <f>Y14-Y15-Y11</f>
        <v>59.182000000000045</v>
      </c>
      <c r="Z21" s="539">
        <f>Z14-Z15-Z11</f>
        <v>51.171999999999983</v>
      </c>
      <c r="AA21" s="539"/>
      <c r="AB21" s="539">
        <f>AB14-AB15-AB11</f>
        <v>73.413000000000011</v>
      </c>
      <c r="AC21" s="539">
        <f>AC14-AC15-AC11</f>
        <v>75.958000000000013</v>
      </c>
      <c r="AD21" s="539">
        <f>AD14-AD15-AD11</f>
        <v>82.307000000000016</v>
      </c>
      <c r="AE21" s="539">
        <f>AE14-AE15-AE11</f>
        <v>66.63600000000001</v>
      </c>
      <c r="AF21" s="539"/>
      <c r="AG21" s="539">
        <f>AG14-AG15</f>
        <v>79.956000000000046</v>
      </c>
      <c r="AH21" s="539">
        <f>AH14-AH15</f>
        <v>83.530999999999977</v>
      </c>
      <c r="AI21" s="539">
        <f>AI14-AI15</f>
        <v>65.355999999999966</v>
      </c>
      <c r="AJ21" s="539">
        <f>AJ14-AJ15</f>
        <v>34.856999999999971</v>
      </c>
      <c r="AK21" s="539"/>
      <c r="AL21" s="539">
        <f>AL14-AL15</f>
        <v>74.661999999999978</v>
      </c>
      <c r="AM21" s="539">
        <f>AM14-AM15</f>
        <v>57.754999999999995</v>
      </c>
      <c r="AN21" s="539">
        <f>AN14-AN15</f>
        <v>23.282999999999987</v>
      </c>
      <c r="AO21" s="539">
        <f>AO14-AO15</f>
        <v>-34.241999999999962</v>
      </c>
      <c r="AP21" s="539"/>
      <c r="AQ21" s="539">
        <f>AQ14-AQ15</f>
        <v>16.693000000000012</v>
      </c>
      <c r="AR21" s="539">
        <f>AR14-AR15</f>
        <v>7.8810000000000286</v>
      </c>
      <c r="AS21" s="539">
        <f>AS14-AS15</f>
        <v>-1.6990000000000123</v>
      </c>
      <c r="AT21" s="539">
        <f>AT14-AT15</f>
        <v>-38.803999999999974</v>
      </c>
      <c r="AU21" s="539"/>
      <c r="AV21" s="539">
        <f>AV14-AV15</f>
        <v>29.824999999999989</v>
      </c>
      <c r="AW21" s="539">
        <f>AW14-AW15</f>
        <v>28.992000000000019</v>
      </c>
      <c r="AX21" s="539">
        <f>AX14-AX15</f>
        <v>36.311000000000035</v>
      </c>
      <c r="AY21" s="539">
        <f>AY14-AY15</f>
        <v>28.051000000000016</v>
      </c>
      <c r="AZ21" s="539"/>
      <c r="BA21" s="539">
        <f>BA14-BA15</f>
        <v>55.052000000000021</v>
      </c>
      <c r="BB21" s="539">
        <f>BB14-BB15</f>
        <v>47.389999999999986</v>
      </c>
      <c r="BC21" s="539">
        <f>BC14-BC15</f>
        <v>44.161000000000001</v>
      </c>
      <c r="BD21" s="539">
        <f>BD14-BD15</f>
        <v>31.555000000000007</v>
      </c>
      <c r="BE21" s="539"/>
      <c r="BF21" s="539">
        <f>BF14-BF15</f>
        <v>72.81800000000004</v>
      </c>
      <c r="BG21" s="539">
        <f>BG14-BG15</f>
        <v>68.971000000000032</v>
      </c>
      <c r="BH21" s="539">
        <f>BH14-BH15</f>
        <v>46.986000000000047</v>
      </c>
      <c r="BI21" s="539">
        <f>BI14-BI15</f>
        <v>38.735000000000014</v>
      </c>
      <c r="BJ21" s="539"/>
      <c r="BK21" s="539">
        <f>BK14-BK15</f>
        <v>86.362000000000023</v>
      </c>
      <c r="BL21" s="539">
        <f>BL14-BL15</f>
        <v>85.77600000000001</v>
      </c>
      <c r="BM21" s="539">
        <f>BM14-BM15</f>
        <v>66.62599999999992</v>
      </c>
      <c r="BN21" s="539">
        <f>BN14-BN15</f>
        <v>50.609999999999957</v>
      </c>
      <c r="BO21" s="539"/>
      <c r="BP21" s="539">
        <f t="shared" ref="BP21:BX21" si="4">BP14-BP15</f>
        <v>81.031000000000006</v>
      </c>
      <c r="BQ21" s="539">
        <f t="shared" si="4"/>
        <v>69.880000000000052</v>
      </c>
      <c r="BR21" s="539">
        <f t="shared" si="4"/>
        <v>55.481999999999914</v>
      </c>
      <c r="BS21" s="539">
        <f t="shared" si="4"/>
        <v>7.2569999999999482</v>
      </c>
      <c r="BT21" s="539"/>
      <c r="BU21" s="539">
        <f t="shared" si="4"/>
        <v>65.76400000000001</v>
      </c>
      <c r="BV21" s="539">
        <f t="shared" si="4"/>
        <v>48.529000000000053</v>
      </c>
      <c r="BW21" s="539">
        <f t="shared" si="4"/>
        <v>46.162999999999982</v>
      </c>
      <c r="BX21" s="540">
        <f t="shared" si="4"/>
        <v>15.875000000000028</v>
      </c>
      <c r="BY21" s="539"/>
      <c r="BZ21" s="539">
        <f>BZ14-BZ15</f>
        <v>71.939999999999941</v>
      </c>
      <c r="CA21" s="539">
        <f>CA14-CA15</f>
        <v>60.770999999999987</v>
      </c>
      <c r="CB21" s="539">
        <f>CB14-CB15</f>
        <v>28.547000000000025</v>
      </c>
      <c r="CC21" s="540">
        <f>CC14-CC15</f>
        <v>7.6940000000000452</v>
      </c>
      <c r="CD21" s="539"/>
      <c r="CE21" s="539">
        <f>CE14-CE15</f>
        <v>54.193999999999988</v>
      </c>
      <c r="CF21" s="539">
        <f>CF14-CF15</f>
        <v>54.183999999999941</v>
      </c>
      <c r="CG21" s="539">
        <f>CG14-CG15</f>
        <v>37.930000000000064</v>
      </c>
      <c r="CH21" s="540">
        <f>CH14-CH15</f>
        <v>21.406999999999982</v>
      </c>
      <c r="CI21" s="540"/>
      <c r="CJ21" s="539">
        <f>CJ14-CJ15</f>
        <v>54.873999999999967</v>
      </c>
      <c r="CK21" s="539">
        <f>CK14-CK15</f>
        <v>35.459000000000003</v>
      </c>
      <c r="CL21" s="539">
        <f>CL14-CL15</f>
        <v>25.278000000000048</v>
      </c>
      <c r="CM21" s="539">
        <f>CM14-CM15</f>
        <v>29.559000000000026</v>
      </c>
      <c r="CN21" s="540"/>
      <c r="CO21" s="539">
        <f>CO14-CO15</f>
        <v>41.893909511600356</v>
      </c>
      <c r="CP21" s="539">
        <f>CP14-CP15</f>
        <v>43.235119750248742</v>
      </c>
      <c r="CQ21" s="539">
        <f>CQ14-CQ15</f>
        <v>27.044492931211096</v>
      </c>
      <c r="CR21" s="539">
        <f>CR14-CR15</f>
        <v>31.315032903176984</v>
      </c>
      <c r="CS21" s="539"/>
      <c r="CT21" s="540">
        <f t="shared" ref="CT21:CZ21" si="5">CT14-CT15-CT11</f>
        <v>45.363474999999966</v>
      </c>
      <c r="CU21" s="540">
        <f t="shared" si="5"/>
        <v>67.535885999999977</v>
      </c>
      <c r="CV21" s="540">
        <f t="shared" si="5"/>
        <v>106.79325500000002</v>
      </c>
      <c r="CW21" s="540">
        <f t="shared" si="5"/>
        <v>160.77458300000001</v>
      </c>
      <c r="CX21" s="540">
        <f t="shared" si="5"/>
        <v>224.37500000000011</v>
      </c>
      <c r="CY21" s="540">
        <f t="shared" si="5"/>
        <v>298.31400000000002</v>
      </c>
      <c r="CZ21" s="541">
        <f t="shared" si="5"/>
        <v>263.70000000000027</v>
      </c>
      <c r="DA21" s="541">
        <f t="shared" ref="DA21:DK21" si="6">DA14-DA15</f>
        <v>121.45799999999986</v>
      </c>
      <c r="DB21" s="540">
        <f t="shared" si="6"/>
        <v>-15.929000000000087</v>
      </c>
      <c r="DC21" s="541">
        <f t="shared" si="6"/>
        <v>123.17900000000009</v>
      </c>
      <c r="DD21" s="541">
        <f t="shared" si="6"/>
        <v>178.15799999999979</v>
      </c>
      <c r="DE21" s="540">
        <f t="shared" si="6"/>
        <v>227.51000000000022</v>
      </c>
      <c r="DF21" s="540">
        <f t="shared" si="6"/>
        <v>289.3739999999998</v>
      </c>
      <c r="DG21" s="540">
        <f t="shared" si="6"/>
        <v>213.64999999999986</v>
      </c>
      <c r="DH21" s="540">
        <f t="shared" si="6"/>
        <v>176.33100000000024</v>
      </c>
      <c r="DI21" s="540">
        <f t="shared" si="6"/>
        <v>168.95200000000034</v>
      </c>
      <c r="DJ21" s="540">
        <f t="shared" si="6"/>
        <v>167.7149999999998</v>
      </c>
      <c r="DK21" s="540">
        <f t="shared" si="6"/>
        <v>145.16999999999985</v>
      </c>
      <c r="DL21" s="540">
        <f>DL14-DL15</f>
        <v>143.48855509623695</v>
      </c>
      <c r="DM21" s="540">
        <f>DM14-DM15</f>
        <v>165.03751399318924</v>
      </c>
      <c r="DN21" s="540">
        <f>DN14-DN15</f>
        <v>173.71764455890116</v>
      </c>
      <c r="DO21" s="540">
        <f>DO14-DO15</f>
        <v>181.87670159120137</v>
      </c>
    </row>
    <row r="22" spans="1:121" ht="7.5" customHeight="1">
      <c r="A22" s="488"/>
      <c r="B22" s="539"/>
      <c r="C22" s="539"/>
      <c r="D22" s="539"/>
      <c r="E22" s="539"/>
      <c r="F22" s="539"/>
      <c r="G22" s="539"/>
      <c r="H22" s="539"/>
      <c r="I22" s="539"/>
      <c r="J22" s="539"/>
      <c r="K22" s="539"/>
      <c r="L22" s="539"/>
      <c r="M22" s="539"/>
      <c r="N22" s="539"/>
      <c r="O22" s="539"/>
      <c r="P22" s="539"/>
      <c r="Q22" s="539"/>
      <c r="R22" s="559"/>
      <c r="S22" s="559"/>
      <c r="T22" s="559"/>
      <c r="U22" s="559"/>
      <c r="V22" s="559"/>
      <c r="W22" s="559"/>
      <c r="X22" s="559"/>
      <c r="Y22" s="559"/>
      <c r="Z22" s="559"/>
      <c r="AA22" s="559"/>
      <c r="AB22" s="559"/>
      <c r="AC22" s="559"/>
      <c r="AD22" s="559"/>
      <c r="AE22" s="559"/>
      <c r="AF22" s="559"/>
      <c r="AG22" s="559"/>
      <c r="AH22" s="559"/>
      <c r="AI22" s="559"/>
      <c r="AJ22" s="559"/>
      <c r="AK22" s="559"/>
      <c r="AL22" s="559"/>
      <c r="AM22" s="559"/>
      <c r="AN22" s="559"/>
      <c r="AO22" s="559"/>
      <c r="AP22" s="559"/>
      <c r="AQ22" s="559"/>
      <c r="AR22" s="559"/>
      <c r="AS22" s="559"/>
      <c r="AT22" s="559"/>
      <c r="AU22" s="559"/>
      <c r="AV22" s="559"/>
      <c r="AW22" s="559"/>
      <c r="AX22" s="559"/>
      <c r="AY22" s="559"/>
      <c r="AZ22" s="559"/>
      <c r="BA22" s="559"/>
      <c r="BB22" s="559"/>
      <c r="BC22" s="559"/>
      <c r="BD22" s="559"/>
      <c r="BE22" s="559"/>
      <c r="BF22" s="559"/>
      <c r="BG22" s="559"/>
      <c r="BH22" s="559"/>
      <c r="BI22" s="559"/>
      <c r="BJ22" s="559"/>
      <c r="BK22" s="559"/>
      <c r="BL22" s="559"/>
      <c r="BM22" s="559"/>
      <c r="BN22" s="559"/>
      <c r="BO22" s="539"/>
      <c r="BP22" s="539"/>
      <c r="BQ22" s="539"/>
      <c r="BR22" s="539"/>
      <c r="BS22" s="539"/>
      <c r="BT22" s="539"/>
      <c r="BU22" s="539"/>
      <c r="BV22" s="539"/>
      <c r="BW22" s="539"/>
      <c r="BX22" s="540"/>
      <c r="BY22" s="539"/>
      <c r="BZ22" s="539"/>
      <c r="CA22" s="539"/>
      <c r="CB22" s="539"/>
      <c r="CC22" s="540"/>
      <c r="CD22" s="539"/>
      <c r="CE22" s="539"/>
      <c r="CF22" s="539"/>
      <c r="CG22" s="539"/>
      <c r="CH22" s="540"/>
      <c r="CI22" s="540"/>
      <c r="CJ22" s="539"/>
      <c r="CK22" s="539"/>
      <c r="CL22" s="539"/>
      <c r="CM22" s="540"/>
      <c r="CN22" s="540"/>
      <c r="CO22" s="539"/>
      <c r="CP22" s="539"/>
      <c r="CQ22" s="539"/>
      <c r="CR22" s="540"/>
      <c r="CS22" s="539"/>
      <c r="CT22" s="540"/>
      <c r="CU22" s="540"/>
      <c r="CV22" s="540"/>
      <c r="CW22" s="540"/>
      <c r="CX22" s="540"/>
      <c r="CY22" s="540"/>
      <c r="CZ22" s="541"/>
      <c r="DA22" s="541"/>
      <c r="DB22" s="540"/>
      <c r="DC22" s="541"/>
      <c r="DD22" s="541"/>
      <c r="DE22" s="540"/>
      <c r="DF22" s="540"/>
      <c r="DG22" s="540"/>
      <c r="DH22" s="540"/>
      <c r="DI22" s="540"/>
      <c r="DJ22" s="122"/>
      <c r="DK22" s="122"/>
      <c r="DL22" s="122"/>
      <c r="DM22" s="122"/>
      <c r="DN22" s="122"/>
      <c r="DO22" s="122"/>
    </row>
    <row r="23" spans="1:121">
      <c r="A23" s="544" t="s">
        <v>530</v>
      </c>
      <c r="B23" s="544"/>
      <c r="C23" s="544">
        <f>'qtrP&amp;L'!$AB94</f>
        <v>9.7321000000000005E-2</v>
      </c>
      <c r="D23" s="544">
        <f>'qtrP&amp;L'!$AB95</f>
        <v>0.171184</v>
      </c>
      <c r="E23" s="544">
        <f>'qtrP&amp;L'!$AB96</f>
        <v>8.7843000000000004E-2</v>
      </c>
      <c r="F23" s="544">
        <f>'qtrP&amp;L'!$AB97</f>
        <v>5.1797999999999997E-2</v>
      </c>
      <c r="G23" s="544"/>
      <c r="H23" s="544">
        <f>'qtrP&amp;L'!$AF94</f>
        <v>0.102605</v>
      </c>
      <c r="I23" s="544">
        <f>'qtrP&amp;L'!$AF95</f>
        <v>0.14630000000000001</v>
      </c>
      <c r="J23" s="544">
        <f>'qtrP&amp;L'!$AF96</f>
        <v>0.14300599999999999</v>
      </c>
      <c r="K23" s="544">
        <f>'qtrP&amp;L'!$AF97</f>
        <v>0.115234</v>
      </c>
      <c r="L23" s="544"/>
      <c r="M23" s="544">
        <f>'qtrP&amp;L'!$AJ94</f>
        <v>0.15371699999999999</v>
      </c>
      <c r="N23" s="544">
        <f>'qtrP&amp;L'!$AJ95</f>
        <v>0.239564</v>
      </c>
      <c r="O23" s="544">
        <f>'qtrP&amp;L'!$AJ96</f>
        <v>0.22789499999999999</v>
      </c>
      <c r="P23" s="544">
        <f>'qtrP&amp;L'!$AJ97</f>
        <v>0.26151099999999999</v>
      </c>
      <c r="Q23" s="544"/>
      <c r="R23" s="560">
        <f>'qtrP&amp;L'!$AN94</f>
        <v>0.30331000000000002</v>
      </c>
      <c r="S23" s="560">
        <f>'qtrP&amp;L'!$AN95</f>
        <v>0.24606700000000001</v>
      </c>
      <c r="T23" s="560">
        <f>'qtrP&amp;L'!$AN96</f>
        <v>0.155</v>
      </c>
      <c r="U23" s="560">
        <f>'qtrP&amp;L'!$AN97</f>
        <v>0.183</v>
      </c>
      <c r="V23" s="560"/>
      <c r="W23" s="560">
        <f>+'qtrP&amp;L'!$AR$94</f>
        <v>0.26900000000000002</v>
      </c>
      <c r="X23" s="560">
        <f>+'qtrP&amp;L'!$AR$95</f>
        <v>0.48399999999999999</v>
      </c>
      <c r="Y23" s="560">
        <f>+'qtrP&amp;L'!$AR$96</f>
        <v>0.62</v>
      </c>
      <c r="Z23" s="560">
        <f>+'qtrP&amp;L'!$AR$97</f>
        <v>0.95499999999999996</v>
      </c>
      <c r="AA23" s="560"/>
      <c r="AB23" s="560">
        <f>+'qtrP&amp;L'!$AV$94</f>
        <v>1.5089999999999999</v>
      </c>
      <c r="AC23" s="560">
        <f>+'qtrP&amp;L'!$AV$95</f>
        <v>1.994</v>
      </c>
      <c r="AD23" s="560">
        <f>+'qtrP&amp;L'!$AV$96</f>
        <v>2.1539999999999999</v>
      </c>
      <c r="AE23" s="560">
        <f>+'qtrP&amp;L'!$AV$97</f>
        <v>2.5779999999999998</v>
      </c>
      <c r="AF23" s="560"/>
      <c r="AG23" s="560">
        <f>+'qtrP&amp;L'!$AZ$94</f>
        <v>3.13</v>
      </c>
      <c r="AH23" s="560">
        <f>+'qtrP&amp;L'!$AZ$95</f>
        <v>2.835</v>
      </c>
      <c r="AI23" s="560">
        <f>+'qtrP&amp;L'!$AZ$96</f>
        <v>2.339</v>
      </c>
      <c r="AJ23" s="560">
        <f>+'qtrP&amp;L'!$AZ$97</f>
        <v>2.3220000000000001</v>
      </c>
      <c r="AK23" s="560"/>
      <c r="AL23" s="560">
        <f>+'qtrP&amp;L'!$BD$94</f>
        <v>2.2450000000000001</v>
      </c>
      <c r="AM23" s="560">
        <f>+'qtrP&amp;L'!$BD$95</f>
        <v>2.6739999999999999</v>
      </c>
      <c r="AN23" s="560">
        <f>+'qtrP&amp;L'!$BD$96</f>
        <v>3.2570000000000001</v>
      </c>
      <c r="AO23" s="560">
        <f>+'qtrP&amp;L'!$BD$97</f>
        <v>2.6920000000000002</v>
      </c>
      <c r="AP23" s="560"/>
      <c r="AQ23" s="560">
        <f>'qtrP&amp;L'!BH94</f>
        <v>2.2389999999999999</v>
      </c>
      <c r="AR23" s="560">
        <f>'qtrP&amp;L'!BH95</f>
        <v>1.7989999999999999</v>
      </c>
      <c r="AS23" s="560">
        <f>'qtrP&amp;L'!BH96</f>
        <v>2.3940000000000001</v>
      </c>
      <c r="AT23" s="560">
        <f>'qtrP&amp;L'!BH97</f>
        <v>1.3240000000000001</v>
      </c>
      <c r="AU23" s="560"/>
      <c r="AV23" s="560">
        <f>'qtrP&amp;L'!$BL$94</f>
        <v>1.022</v>
      </c>
      <c r="AW23" s="560">
        <f>'qtrP&amp;L'!$BL$95</f>
        <v>-1.9E-2</v>
      </c>
      <c r="AX23" s="560">
        <f>'qtrP&amp;L'!$BL$96</f>
        <v>0.33400000000000002</v>
      </c>
      <c r="AY23" s="560">
        <f>'qtrP&amp;L'!$BL$97</f>
        <v>0.35699999999999998</v>
      </c>
      <c r="AZ23" s="560"/>
      <c r="BA23" s="560">
        <f>'qtrP&amp;L'!$BP$94</f>
        <v>0.45</v>
      </c>
      <c r="BB23" s="560">
        <f>'qtrP&amp;L'!$BP$95</f>
        <v>0.39400000000000002</v>
      </c>
      <c r="BC23" s="560">
        <f>'qtrP&amp;L'!$BP$96</f>
        <v>0.48299999999999998</v>
      </c>
      <c r="BD23" s="560">
        <f>'qtrP&amp;L'!$BP$97</f>
        <v>0.38500000000000001</v>
      </c>
      <c r="BE23" s="560"/>
      <c r="BF23" s="560">
        <f>'qtrP&amp;L'!$BT$94</f>
        <v>0.4</v>
      </c>
      <c r="BG23" s="560">
        <f>'qtrP&amp;L'!$BT$95</f>
        <v>0.42</v>
      </c>
      <c r="BH23" s="560">
        <f>'qtrP&amp;L'!$BT$96</f>
        <v>0.56599999999999995</v>
      </c>
      <c r="BI23" s="560">
        <f>'qtrP&amp;L'!$BT$97</f>
        <v>0.21100000000000019</v>
      </c>
      <c r="BJ23" s="560"/>
      <c r="BK23" s="560">
        <f>'qtrP&amp;L'!$BX$94</f>
        <v>0.183</v>
      </c>
      <c r="BL23" s="560">
        <f>'qtrP&amp;L'!$BX$95</f>
        <v>0.219</v>
      </c>
      <c r="BM23" s="560">
        <f>'qtrP&amp;L'!$BX$96</f>
        <v>0.23100000000000001</v>
      </c>
      <c r="BN23" s="560">
        <f>'qtrP&amp;L'!$BX$97</f>
        <v>0.248</v>
      </c>
      <c r="BO23" s="560"/>
      <c r="BP23" s="560">
        <f>'qtrP&amp;L'!CB94</f>
        <v>0.191</v>
      </c>
      <c r="BQ23" s="560">
        <f>'qtrP&amp;L'!CB95</f>
        <v>0.108</v>
      </c>
      <c r="BR23" s="560">
        <f>'qtrP&amp;L'!CB96</f>
        <v>0.105</v>
      </c>
      <c r="BS23" s="560">
        <f>'qtrP&amp;L'!CB97</f>
        <v>9.5000000000000001E-2</v>
      </c>
      <c r="BT23" s="560"/>
      <c r="BU23" s="560">
        <f>'qtrP&amp;L'!CF94</f>
        <v>0.04</v>
      </c>
      <c r="BV23" s="560">
        <f>'qtrP&amp;L'!CF95</f>
        <v>-8.9999999999999993E-3</v>
      </c>
      <c r="BW23" s="560">
        <f>'qtrP&amp;L'!CF96</f>
        <v>4.3999999999999997E-2</v>
      </c>
      <c r="BX23" s="561">
        <f>'qtrP&amp;L'!CF97</f>
        <v>2.3E-2</v>
      </c>
      <c r="BY23" s="560"/>
      <c r="BZ23" s="560">
        <f>'qtrP&amp;L'!CJ94</f>
        <v>-0.45300000000000001</v>
      </c>
      <c r="CA23" s="560">
        <f>'qtrP&amp;L'!CJ95</f>
        <v>-0.502</v>
      </c>
      <c r="CB23" s="560">
        <f>'qtrP&amp;L'!CJ96</f>
        <v>-0.46600000000000003</v>
      </c>
      <c r="CC23" s="561">
        <f>'qtrP&amp;L'!CJ97</f>
        <v>-0.44900000000000001</v>
      </c>
      <c r="CD23" s="560"/>
      <c r="CE23" s="560">
        <f>'qtrP&amp;L'!CN94</f>
        <v>-0.45900000000000002</v>
      </c>
      <c r="CF23" s="560">
        <f>'qtrP&amp;L'!CN95</f>
        <v>-0.48899999999999999</v>
      </c>
      <c r="CG23" s="560">
        <f>'qtrP&amp;L'!CN96</f>
        <v>-0.52600000000000002</v>
      </c>
      <c r="CH23" s="561">
        <f>'qtrP&amp;L'!CN97</f>
        <v>-0.499</v>
      </c>
      <c r="CI23" s="561"/>
      <c r="CJ23" s="560">
        <f t="array" ref="CJ23:CM23">TRANSPOSE('qtrP&amp;L'!CR94:CR97)</f>
        <v>-0.45500000000000002</v>
      </c>
      <c r="CK23" s="560">
        <v>-0.443</v>
      </c>
      <c r="CL23" s="560">
        <v>-0.38800000000000001</v>
      </c>
      <c r="CM23" s="561">
        <v>-0.28399999999999997</v>
      </c>
      <c r="CN23" s="561"/>
      <c r="CO23" s="560">
        <f t="array" ref="CO23:CR23">TRANSPOSE('qtrP&amp;L'!CV94:CV97)</f>
        <v>-0.28399999999999997</v>
      </c>
      <c r="CP23" s="560">
        <v>-0.28399999999999997</v>
      </c>
      <c r="CQ23" s="560">
        <v>-0.28399999999999997</v>
      </c>
      <c r="CR23" s="561">
        <v>-0.28399999999999997</v>
      </c>
      <c r="CS23" s="560"/>
      <c r="CT23" s="561">
        <f>'yrP&amp;L'!H40</f>
        <v>0.40814600000000001</v>
      </c>
      <c r="CU23" s="561">
        <f>'yrP&amp;L'!I40</f>
        <v>0.50714499999999996</v>
      </c>
      <c r="CV23" s="561">
        <f>'yrP&amp;L'!J40</f>
        <v>0.882687</v>
      </c>
      <c r="CW23" s="561">
        <f>'yrP&amp;L'!K40</f>
        <v>0.88737700000000008</v>
      </c>
      <c r="CX23" s="561">
        <f>'yrP&amp;L'!L40</f>
        <v>2.3279999999999998</v>
      </c>
      <c r="CY23" s="561">
        <f>'yrP&amp;L'!M40</f>
        <v>8.2349999999999994</v>
      </c>
      <c r="CZ23" s="562">
        <f>'yrP&amp;L'!N40</f>
        <v>10.626000000000001</v>
      </c>
      <c r="DA23" s="562">
        <f>'yrP&amp;L'!O40</f>
        <v>10.868</v>
      </c>
      <c r="DB23" s="561">
        <f>'yrP&amp;L'!P40</f>
        <v>7.7560000000000002</v>
      </c>
      <c r="DC23" s="562">
        <f>'yrP&amp;L'!Q40</f>
        <v>1.6940000000000002</v>
      </c>
      <c r="DD23" s="562">
        <f>'yrP&amp;L'!R40</f>
        <v>1.712</v>
      </c>
      <c r="DE23" s="561">
        <f>'yrP&amp;L'!S40</f>
        <v>1.5970000000000004</v>
      </c>
      <c r="DF23" s="561">
        <f>'yrP&amp;L'!T40</f>
        <v>0.88100000000000001</v>
      </c>
      <c r="DG23" s="561">
        <f>'yrP&amp;L'!U40</f>
        <v>0.499</v>
      </c>
      <c r="DH23" s="561">
        <f>'yrP&amp;L'!V40</f>
        <v>9.8000000000000004E-2</v>
      </c>
      <c r="DI23" s="561">
        <f>'yrP&amp;L'!W40</f>
        <v>-1.87</v>
      </c>
      <c r="DJ23" s="561">
        <f>'yrP&amp;L'!X40</f>
        <v>-1.9729999999999999</v>
      </c>
      <c r="DK23" s="561">
        <f>'yrP&amp;L'!Y40</f>
        <v>-1.57</v>
      </c>
      <c r="DL23" s="561">
        <f>'yrP&amp;L'!Z40</f>
        <v>-1.1359999999999999</v>
      </c>
      <c r="DM23" s="561">
        <f>'yrP&amp;L'!AA40</f>
        <v>-1.1359999999999999</v>
      </c>
      <c r="DN23" s="561">
        <f>'yrP&amp;L'!AB40</f>
        <v>-1.1359999999999999</v>
      </c>
      <c r="DO23" s="561">
        <f>'yrP&amp;L'!AC40</f>
        <v>-1.1359999999999999</v>
      </c>
    </row>
    <row r="24" spans="1:121">
      <c r="A24" s="544" t="s">
        <v>255</v>
      </c>
      <c r="B24" s="539"/>
      <c r="C24" s="539">
        <f>C21+C23</f>
        <v>12.057922000000003</v>
      </c>
      <c r="D24" s="539">
        <f>D21+D23</f>
        <v>11.898426000000004</v>
      </c>
      <c r="E24" s="539">
        <f>E21+E23</f>
        <v>12.613095999999993</v>
      </c>
      <c r="F24" s="539">
        <f>F21+F23</f>
        <v>9.2021769999999954</v>
      </c>
      <c r="G24" s="539"/>
      <c r="H24" s="539">
        <f>H21+H23</f>
        <v>19.965128</v>
      </c>
      <c r="I24" s="539">
        <f>I21+I23</f>
        <v>17.888612999999996</v>
      </c>
      <c r="J24" s="539">
        <f>J21+J23</f>
        <v>14.354659999999992</v>
      </c>
      <c r="K24" s="539">
        <f>K21+K23</f>
        <v>15.834629999999992</v>
      </c>
      <c r="L24" s="539"/>
      <c r="M24" s="539">
        <f>M21+M23</f>
        <v>31.900283000000016</v>
      </c>
      <c r="N24" s="539">
        <f>N21+N23</f>
        <v>26.433288000000001</v>
      </c>
      <c r="O24" s="539">
        <f>O21+O23</f>
        <v>25.069679000000001</v>
      </c>
      <c r="P24" s="539">
        <f>P21+P23</f>
        <v>24.272692000000003</v>
      </c>
      <c r="Q24" s="539"/>
      <c r="R24" s="539">
        <f>R21+R23</f>
        <v>37.689461999999985</v>
      </c>
      <c r="S24" s="539">
        <f>S21+S23</f>
        <v>39.461497999999992</v>
      </c>
      <c r="T24" s="539">
        <f>T21+T23</f>
        <v>43.16</v>
      </c>
      <c r="U24" s="539">
        <f>U21+U23</f>
        <v>41.350999999999999</v>
      </c>
      <c r="V24" s="539"/>
      <c r="W24" s="539">
        <f>W21+W23</f>
        <v>57.523000000000003</v>
      </c>
      <c r="X24" s="539">
        <f>X21+X23</f>
        <v>57.251000000000005</v>
      </c>
      <c r="Y24" s="539">
        <f>Y21+Y23</f>
        <v>59.802000000000042</v>
      </c>
      <c r="Z24" s="539">
        <f>Z21+Z23</f>
        <v>52.126999999999981</v>
      </c>
      <c r="AA24" s="539"/>
      <c r="AB24" s="539">
        <f>AB21+AB23</f>
        <v>74.922000000000011</v>
      </c>
      <c r="AC24" s="539">
        <f>AC21+AC23</f>
        <v>77.952000000000012</v>
      </c>
      <c r="AD24" s="539">
        <f>AD21+AD23</f>
        <v>84.461000000000013</v>
      </c>
      <c r="AE24" s="539">
        <f>AE21+AE23</f>
        <v>69.214000000000013</v>
      </c>
      <c r="AF24" s="539"/>
      <c r="AG24" s="539">
        <f>AG21+AG23</f>
        <v>83.086000000000041</v>
      </c>
      <c r="AH24" s="539">
        <f>AH21+AH23</f>
        <v>86.365999999999971</v>
      </c>
      <c r="AI24" s="539">
        <f>AI21+AI23</f>
        <v>67.694999999999965</v>
      </c>
      <c r="AJ24" s="539">
        <f>AJ21+AJ23</f>
        <v>37.178999999999974</v>
      </c>
      <c r="AK24" s="539"/>
      <c r="AL24" s="539">
        <f>AL21+AL23</f>
        <v>76.906999999999982</v>
      </c>
      <c r="AM24" s="539">
        <f>AM21+AM23</f>
        <v>60.428999999999995</v>
      </c>
      <c r="AN24" s="539">
        <f>AN21+AN23</f>
        <v>26.539999999999988</v>
      </c>
      <c r="AO24" s="539">
        <f>AO21+AO23</f>
        <v>-31.549999999999962</v>
      </c>
      <c r="AP24" s="539"/>
      <c r="AQ24" s="539">
        <f>AQ21+AQ23</f>
        <v>18.932000000000013</v>
      </c>
      <c r="AR24" s="539">
        <f>AR21+AR23</f>
        <v>9.6800000000000281</v>
      </c>
      <c r="AS24" s="539">
        <f>AS21+AS23</f>
        <v>0.69499999999998785</v>
      </c>
      <c r="AT24" s="539">
        <f>AT21+AT23</f>
        <v>-37.479999999999976</v>
      </c>
      <c r="AU24" s="539"/>
      <c r="AV24" s="539">
        <f>AV21+AV23</f>
        <v>30.846999999999987</v>
      </c>
      <c r="AW24" s="539">
        <f>AW21+AW23</f>
        <v>28.97300000000002</v>
      </c>
      <c r="AX24" s="539">
        <f>AX21+AX23</f>
        <v>36.645000000000039</v>
      </c>
      <c r="AY24" s="539">
        <f>AY21+AY23</f>
        <v>28.408000000000015</v>
      </c>
      <c r="AZ24" s="539"/>
      <c r="BA24" s="539">
        <f>BA21+BA23</f>
        <v>55.502000000000024</v>
      </c>
      <c r="BB24" s="539">
        <f>BB21+BB23</f>
        <v>47.783999999999985</v>
      </c>
      <c r="BC24" s="539">
        <f>BC21+BC23</f>
        <v>44.643999999999998</v>
      </c>
      <c r="BD24" s="539">
        <f>BD21+BD23</f>
        <v>31.940000000000008</v>
      </c>
      <c r="BE24" s="539"/>
      <c r="BF24" s="539">
        <f>BF21+BF23</f>
        <v>73.218000000000046</v>
      </c>
      <c r="BG24" s="539">
        <f>BG21+BG23</f>
        <v>69.391000000000034</v>
      </c>
      <c r="BH24" s="539">
        <f>BH21+BH23</f>
        <v>47.552000000000049</v>
      </c>
      <c r="BI24" s="539">
        <f>BI21+BI23</f>
        <v>38.946000000000012</v>
      </c>
      <c r="BJ24" s="539"/>
      <c r="BK24" s="539">
        <f>BK21+BK23</f>
        <v>86.54500000000003</v>
      </c>
      <c r="BL24" s="539">
        <f>BL21+BL23</f>
        <v>85.995000000000005</v>
      </c>
      <c r="BM24" s="539">
        <f>BM21+BM23</f>
        <v>66.856999999999914</v>
      </c>
      <c r="BN24" s="539">
        <f>BN21+BN23</f>
        <v>50.857999999999954</v>
      </c>
      <c r="BO24" s="539"/>
      <c r="BP24" s="539">
        <f t="shared" ref="BP24:BX24" si="7">BP21+BP23</f>
        <v>81.222000000000008</v>
      </c>
      <c r="BQ24" s="539">
        <f t="shared" si="7"/>
        <v>69.988000000000056</v>
      </c>
      <c r="BR24" s="539">
        <f t="shared" si="7"/>
        <v>55.586999999999911</v>
      </c>
      <c r="BS24" s="539">
        <f t="shared" si="7"/>
        <v>7.3519999999999479</v>
      </c>
      <c r="BT24" s="539"/>
      <c r="BU24" s="539">
        <f t="shared" si="7"/>
        <v>65.804000000000016</v>
      </c>
      <c r="BV24" s="539">
        <f t="shared" si="7"/>
        <v>48.520000000000053</v>
      </c>
      <c r="BW24" s="539">
        <f t="shared" si="7"/>
        <v>46.206999999999979</v>
      </c>
      <c r="BX24" s="540">
        <f t="shared" si="7"/>
        <v>15.898000000000028</v>
      </c>
      <c r="BY24" s="539"/>
      <c r="BZ24" s="539">
        <f>BZ21+BZ23</f>
        <v>71.486999999999938</v>
      </c>
      <c r="CA24" s="539">
        <f>CA21+CA23</f>
        <v>60.268999999999984</v>
      </c>
      <c r="CB24" s="539">
        <f>CB21+CB23</f>
        <v>28.081000000000024</v>
      </c>
      <c r="CC24" s="540">
        <f>CC21+CC23</f>
        <v>7.2450000000000454</v>
      </c>
      <c r="CD24" s="539"/>
      <c r="CE24" s="539">
        <f>CE21+CE23</f>
        <v>53.734999999999985</v>
      </c>
      <c r="CF24" s="539">
        <f>CF21+CF23</f>
        <v>53.694999999999943</v>
      </c>
      <c r="CG24" s="539">
        <f>CG21+CG23</f>
        <v>37.40400000000006</v>
      </c>
      <c r="CH24" s="540">
        <f>CH21+CH23</f>
        <v>20.907999999999983</v>
      </c>
      <c r="CI24" s="540"/>
      <c r="CJ24" s="540">
        <f>CJ21+CJ23</f>
        <v>54.418999999999969</v>
      </c>
      <c r="CK24" s="540">
        <f>CK21+CK23</f>
        <v>35.016000000000005</v>
      </c>
      <c r="CL24" s="540">
        <f>CL21+CL23</f>
        <v>24.890000000000047</v>
      </c>
      <c r="CM24" s="540">
        <f>CM21+CM23</f>
        <v>29.275000000000027</v>
      </c>
      <c r="CN24" s="540"/>
      <c r="CO24" s="540">
        <f>CO21+CO23</f>
        <v>41.609909511600357</v>
      </c>
      <c r="CP24" s="540">
        <f>CP21+CP23</f>
        <v>42.951119750248743</v>
      </c>
      <c r="CQ24" s="540">
        <f>CQ21+CQ23</f>
        <v>26.760492931211097</v>
      </c>
      <c r="CR24" s="540">
        <f>CR21+CR23</f>
        <v>31.031032903176985</v>
      </c>
      <c r="CS24" s="539"/>
      <c r="CT24" s="540">
        <f t="shared" ref="CT24:DI24" si="8">CT21+CT23</f>
        <v>45.771620999999968</v>
      </c>
      <c r="CU24" s="540">
        <f t="shared" si="8"/>
        <v>68.043030999999971</v>
      </c>
      <c r="CV24" s="540">
        <f t="shared" si="8"/>
        <v>107.67594200000002</v>
      </c>
      <c r="CW24" s="540">
        <f t="shared" si="8"/>
        <v>161.66195999999999</v>
      </c>
      <c r="CX24" s="540">
        <f t="shared" si="8"/>
        <v>226.70300000000012</v>
      </c>
      <c r="CY24" s="540">
        <f t="shared" si="8"/>
        <v>306.54900000000004</v>
      </c>
      <c r="CZ24" s="541">
        <f t="shared" si="8"/>
        <v>274.32600000000025</v>
      </c>
      <c r="DA24" s="541">
        <f t="shared" si="8"/>
        <v>132.32599999999985</v>
      </c>
      <c r="DB24" s="540">
        <f t="shared" si="8"/>
        <v>-8.1730000000000871</v>
      </c>
      <c r="DC24" s="541">
        <f t="shared" si="8"/>
        <v>124.87300000000009</v>
      </c>
      <c r="DD24" s="541">
        <f>DD21+DD23</f>
        <v>179.86999999999978</v>
      </c>
      <c r="DE24" s="540">
        <f t="shared" si="8"/>
        <v>229.10700000000023</v>
      </c>
      <c r="DF24" s="540">
        <f t="shared" si="8"/>
        <v>290.25499999999977</v>
      </c>
      <c r="DG24" s="540">
        <f t="shared" si="8"/>
        <v>214.14899999999986</v>
      </c>
      <c r="DH24" s="540">
        <f t="shared" si="8"/>
        <v>176.42900000000026</v>
      </c>
      <c r="DI24" s="540">
        <f t="shared" si="8"/>
        <v>167.08200000000033</v>
      </c>
      <c r="DJ24" s="540">
        <f t="shared" ref="DJ24:DO24" si="9">DJ21+DJ23</f>
        <v>165.74199999999979</v>
      </c>
      <c r="DK24" s="540">
        <f t="shared" si="9"/>
        <v>143.59999999999985</v>
      </c>
      <c r="DL24" s="540">
        <f t="shared" si="9"/>
        <v>142.35255509623696</v>
      </c>
      <c r="DM24" s="540">
        <f t="shared" si="9"/>
        <v>163.90151399318924</v>
      </c>
      <c r="DN24" s="540">
        <f t="shared" si="9"/>
        <v>172.58164455890116</v>
      </c>
      <c r="DO24" s="540">
        <f t="shared" si="9"/>
        <v>180.74070159120137</v>
      </c>
    </row>
    <row r="25" spans="1:121" ht="8.25" customHeight="1">
      <c r="A25" s="544"/>
      <c r="B25" s="563"/>
      <c r="C25" s="563"/>
      <c r="D25" s="563"/>
      <c r="E25" s="563"/>
      <c r="F25" s="563"/>
      <c r="G25" s="563"/>
      <c r="H25" s="563"/>
      <c r="I25" s="563"/>
      <c r="J25" s="563"/>
      <c r="K25" s="563"/>
      <c r="L25" s="563"/>
      <c r="M25" s="563"/>
      <c r="N25" s="563"/>
      <c r="O25" s="563"/>
      <c r="P25" s="563"/>
      <c r="Q25" s="563"/>
      <c r="R25" s="563"/>
      <c r="S25" s="563"/>
      <c r="T25" s="563"/>
      <c r="U25" s="563"/>
      <c r="V25" s="563"/>
      <c r="W25" s="563"/>
      <c r="X25" s="563"/>
      <c r="Y25" s="563"/>
      <c r="Z25" s="563"/>
      <c r="AA25" s="563"/>
      <c r="AB25" s="563"/>
      <c r="AC25" s="563"/>
      <c r="AD25" s="563"/>
      <c r="AE25" s="563"/>
      <c r="AF25" s="563"/>
      <c r="AG25" s="564"/>
      <c r="AH25" s="564"/>
      <c r="AI25" s="564"/>
      <c r="AJ25" s="564"/>
      <c r="AK25" s="564"/>
      <c r="AL25" s="564"/>
      <c r="AM25" s="564"/>
      <c r="AN25" s="564"/>
      <c r="AO25" s="564"/>
      <c r="AP25" s="564"/>
      <c r="AQ25" s="564"/>
      <c r="AR25" s="564"/>
      <c r="AS25" s="564"/>
      <c r="AT25" s="564"/>
      <c r="AU25" s="564"/>
      <c r="AV25" s="564"/>
      <c r="AW25" s="564"/>
      <c r="AX25" s="564"/>
      <c r="AY25" s="564"/>
      <c r="AZ25" s="564"/>
      <c r="BA25" s="564"/>
      <c r="BB25" s="564"/>
      <c r="BC25" s="564"/>
      <c r="BD25" s="564"/>
      <c r="BE25" s="564"/>
      <c r="BF25" s="564"/>
      <c r="BG25" s="564"/>
      <c r="BH25" s="564"/>
      <c r="BI25" s="564"/>
      <c r="BJ25" s="564"/>
      <c r="BK25" s="564"/>
      <c r="BL25" s="564"/>
      <c r="BM25" s="564"/>
      <c r="BN25" s="564"/>
      <c r="BO25" s="563"/>
      <c r="BP25" s="563"/>
      <c r="BQ25" s="563"/>
      <c r="BR25" s="563"/>
      <c r="BS25" s="563"/>
      <c r="BT25" s="563"/>
      <c r="BU25" s="563"/>
      <c r="BV25" s="563"/>
      <c r="BW25" s="563"/>
      <c r="BX25" s="565"/>
      <c r="BY25" s="563"/>
      <c r="BZ25" s="563"/>
      <c r="CA25" s="563"/>
      <c r="CB25" s="563"/>
      <c r="CC25" s="565"/>
      <c r="CD25" s="563"/>
      <c r="CE25" s="563"/>
      <c r="CF25" s="563"/>
      <c r="CG25" s="563"/>
      <c r="CH25" s="565"/>
      <c r="CI25" s="565"/>
      <c r="CJ25" s="563"/>
      <c r="CK25" s="563"/>
      <c r="CL25" s="563"/>
      <c r="CM25" s="565"/>
      <c r="CN25" s="565"/>
      <c r="CO25" s="563"/>
      <c r="CP25" s="563"/>
      <c r="CQ25" s="563"/>
      <c r="CR25" s="565"/>
      <c r="CS25" s="563"/>
      <c r="CT25" s="565"/>
      <c r="CU25" s="565"/>
      <c r="CV25" s="565"/>
      <c r="CW25" s="565"/>
      <c r="CX25" s="565"/>
      <c r="CY25" s="565"/>
      <c r="CZ25" s="566"/>
      <c r="DA25" s="566"/>
      <c r="DB25" s="565"/>
      <c r="DC25" s="566"/>
      <c r="DD25" s="566"/>
      <c r="DE25" s="565"/>
      <c r="DF25" s="565"/>
      <c r="DG25" s="565"/>
      <c r="DH25" s="565"/>
      <c r="DI25" s="565"/>
      <c r="DJ25" s="122"/>
      <c r="DK25" s="122"/>
      <c r="DL25" s="122"/>
      <c r="DM25" s="122"/>
      <c r="DN25" s="122"/>
      <c r="DO25" s="122"/>
    </row>
    <row r="26" spans="1:121">
      <c r="A26" s="544" t="s">
        <v>256</v>
      </c>
      <c r="B26" s="544"/>
      <c r="C26" s="544">
        <f>'qtrP&amp;L'!$AB114</f>
        <v>4.5819999999999999</v>
      </c>
      <c r="D26" s="544">
        <f>'qtrP&amp;L'!$AB115</f>
        <v>4.5209999999999999</v>
      </c>
      <c r="E26" s="544">
        <f>'qtrP&amp;L'!$AB116</f>
        <v>4.7930000000000001</v>
      </c>
      <c r="F26" s="544">
        <f>'qtrP&amp;L'!$AB117</f>
        <v>3.4969999999999999</v>
      </c>
      <c r="G26" s="544"/>
      <c r="H26" s="544">
        <f>'qtrP&amp;L'!$AF$114</f>
        <v>7.5860000000000003</v>
      </c>
      <c r="I26" s="544">
        <f>'qtrP&amp;L'!$AF115</f>
        <v>6.798</v>
      </c>
      <c r="J26" s="544">
        <f>'qtrP&amp;L'!$AF116</f>
        <v>5.4550000000000001</v>
      </c>
      <c r="K26" s="544">
        <f>'qtrP&amp;L'!$AF117</f>
        <v>6.0170000000000003</v>
      </c>
      <c r="L26" s="544"/>
      <c r="M26" s="544">
        <f>'qtrP&amp;L'!$AJ$114</f>
        <v>12.122999999999999</v>
      </c>
      <c r="N26" s="544">
        <f>'qtrP&amp;L'!$AJ115</f>
        <v>10.045</v>
      </c>
      <c r="O26" s="544">
        <f>'qtrP&amp;L'!$AJ116</f>
        <v>9.5259999999999998</v>
      </c>
      <c r="P26" s="544">
        <f>'qtrP&amp;L'!$AJ117</f>
        <v>9.2230000000000008</v>
      </c>
      <c r="Q26" s="544"/>
      <c r="R26" s="544">
        <f>'qtrP&amp;L'!$AN$114</f>
        <v>14.321999999999999</v>
      </c>
      <c r="S26" s="544">
        <f>'qtrP&amp;L'!$AN115</f>
        <v>14.994999999999999</v>
      </c>
      <c r="T26" s="544">
        <f>'qtrP&amp;L'!$AN116</f>
        <v>16.401</v>
      </c>
      <c r="U26" s="544">
        <f>'qtrP&amp;L'!$AN117</f>
        <v>15.714</v>
      </c>
      <c r="V26" s="544"/>
      <c r="W26" s="544">
        <f>+'qtrP&amp;L'!$AR$114</f>
        <v>21.858000000000001</v>
      </c>
      <c r="X26" s="544">
        <f>+'qtrP&amp;L'!$AR$115</f>
        <v>21.754999999999999</v>
      </c>
      <c r="Y26" s="544">
        <f>+'qtrP&amp;L'!$AR$116</f>
        <v>22.725000000000001</v>
      </c>
      <c r="Z26" s="544">
        <f>+'qtrP&amp;L'!$AR$117</f>
        <v>19.158999999999999</v>
      </c>
      <c r="AA26" s="544"/>
      <c r="AB26" s="544">
        <f>+'qtrP&amp;L'!$AV$114</f>
        <v>27.722000000000001</v>
      </c>
      <c r="AC26" s="544">
        <f>+'qtrP&amp;L'!$AV$115</f>
        <v>28.841000000000001</v>
      </c>
      <c r="AD26" s="544">
        <f>+'qtrP&amp;L'!$AV$116</f>
        <v>31.251000000000001</v>
      </c>
      <c r="AE26" s="544">
        <f>+'qtrP&amp;L'!$AV$117</f>
        <v>24.754000000000001</v>
      </c>
      <c r="AF26" s="544"/>
      <c r="AG26" s="544">
        <f>+'qtrP&amp;L'!$AZ$114</f>
        <v>30.574999999999999</v>
      </c>
      <c r="AH26" s="544">
        <f>+'qtrP&amp;L'!$AZ$115</f>
        <v>31.446000000000002</v>
      </c>
      <c r="AI26" s="544">
        <f>+'qtrP&amp;L'!$AZ$116</f>
        <v>24.777000000000001</v>
      </c>
      <c r="AJ26" s="544">
        <f>+'qtrP&amp;L'!$AZ$117</f>
        <v>12.837999999999999</v>
      </c>
      <c r="AK26" s="544"/>
      <c r="AL26" s="544">
        <f>+'qtrP&amp;L'!$BD$114</f>
        <v>27.763999999999999</v>
      </c>
      <c r="AM26" s="544">
        <f>+'qtrP&amp;L'!$BD$115</f>
        <v>21.664000000000001</v>
      </c>
      <c r="AN26" s="544">
        <f>+'qtrP&amp;L'!$BD$116</f>
        <v>9.6370000000000005</v>
      </c>
      <c r="AO26" s="544">
        <f>+'qtrP&amp;L'!$BD$117</f>
        <v>-11.053000000000001</v>
      </c>
      <c r="AP26" s="544"/>
      <c r="AQ26" s="544">
        <f>'qtrP&amp;L'!BH114</f>
        <v>6.2</v>
      </c>
      <c r="AR26" s="544">
        <f>'qtrP&amp;L'!BH115</f>
        <v>3</v>
      </c>
      <c r="AS26" s="544">
        <f>'qtrP&amp;L'!BH116</f>
        <v>-1.3</v>
      </c>
      <c r="AT26" s="544">
        <f>'qtrP&amp;L'!BH117</f>
        <v>-12.636000000000001</v>
      </c>
      <c r="AU26" s="544"/>
      <c r="AV26" s="544">
        <f>'qtrP&amp;L'!$BL$114</f>
        <v>11.3</v>
      </c>
      <c r="AW26" s="544">
        <f>'qtrP&amp;L'!$BL$115</f>
        <v>11</v>
      </c>
      <c r="AX26" s="544">
        <f>'qtrP&amp;L'!$BL$116</f>
        <v>13.9</v>
      </c>
      <c r="AY26" s="544">
        <f>'qtrP&amp;L'!$BL$117</f>
        <v>9.5739999999999998</v>
      </c>
      <c r="AZ26" s="544"/>
      <c r="BA26" s="544">
        <f>'qtrP&amp;L'!$BP$114</f>
        <v>20.100000000000001</v>
      </c>
      <c r="BB26" s="544">
        <f>'qtrP&amp;L'!$BP$115</f>
        <v>17.3</v>
      </c>
      <c r="BC26" s="544">
        <f>'qtrP&amp;L'!$BP$116</f>
        <v>15.8</v>
      </c>
      <c r="BD26" s="544">
        <f>'qtrP&amp;L'!$BP$117</f>
        <v>10.199999999999999</v>
      </c>
      <c r="BE26" s="544"/>
      <c r="BF26" s="544">
        <f>'qtrP&amp;L'!$BT$114</f>
        <v>27.3</v>
      </c>
      <c r="BG26" s="544">
        <f>'qtrP&amp;L'!$BT$115</f>
        <v>26</v>
      </c>
      <c r="BH26" s="544">
        <f>'qtrP&amp;L'!$BT$116</f>
        <v>17.552000000000003</v>
      </c>
      <c r="BI26" s="544">
        <f>'qtrP&amp;L'!$BT$117</f>
        <v>13.806999999999999</v>
      </c>
      <c r="BJ26" s="544"/>
      <c r="BK26" s="544">
        <f>'qtrP&amp;L'!$BX$114</f>
        <v>32.9</v>
      </c>
      <c r="BL26" s="544">
        <f>'qtrP&amp;L'!$BX$115</f>
        <v>32.6</v>
      </c>
      <c r="BM26" s="544">
        <f>'qtrP&amp;L'!$BX$116</f>
        <v>25.2</v>
      </c>
      <c r="BN26" s="544">
        <f>'qtrP&amp;L'!$BX$117</f>
        <v>18.12424</v>
      </c>
      <c r="BO26" s="544"/>
      <c r="BP26" s="544">
        <f>'qtrP&amp;L'!CB114</f>
        <v>30.1</v>
      </c>
      <c r="BQ26" s="544">
        <f>'qtrP&amp;L'!CB115</f>
        <v>26.4</v>
      </c>
      <c r="BR26" s="544">
        <f>'qtrP&amp;L'!CB116</f>
        <v>19.8</v>
      </c>
      <c r="BS26" s="544">
        <f>'qtrP&amp;L'!CB117</f>
        <v>1.5</v>
      </c>
      <c r="BT26" s="544"/>
      <c r="BU26" s="544">
        <f>'qtrP&amp;L'!CF114</f>
        <v>24</v>
      </c>
      <c r="BV26" s="544">
        <f>'qtrP&amp;L'!CF115</f>
        <v>16.600000000000001</v>
      </c>
      <c r="BW26" s="544">
        <f>'qtrP&amp;L'!CF116</f>
        <v>15.8</v>
      </c>
      <c r="BX26" s="553">
        <f>'qtrP&amp;L'!CF117</f>
        <v>3.8899999999999997</v>
      </c>
      <c r="BY26" s="544"/>
      <c r="BZ26" s="544">
        <f>'qtrP&amp;L'!CJ114</f>
        <v>27.165059999999976</v>
      </c>
      <c r="CA26" s="544">
        <f>'qtrP&amp;L'!CJ115</f>
        <v>22.902219999999993</v>
      </c>
      <c r="CB26" s="544">
        <f>'qtrP&amp;L'!CJ116</f>
        <v>10.389970000000011</v>
      </c>
      <c r="CC26" s="553">
        <f>'qtrP&amp;L'!CJ117</f>
        <v>1.07</v>
      </c>
      <c r="CD26" s="544"/>
      <c r="CE26" s="544">
        <f>'qtrP&amp;L'!CN114</f>
        <v>19.739000000000001</v>
      </c>
      <c r="CF26" s="544">
        <f>'qtrP&amp;L'!CN115</f>
        <v>20.385999999999999</v>
      </c>
      <c r="CG26" s="544">
        <f>'qtrP&amp;L'!CN116</f>
        <v>10.978999999999999</v>
      </c>
      <c r="CH26" s="553">
        <f>'qtrP&amp;L'!CN117</f>
        <v>7.4</v>
      </c>
      <c r="CI26" s="553"/>
      <c r="CJ26" s="544">
        <f t="array" ref="CJ26:CM26">TRANSPOSE('qtrP&amp;L'!CR114:CR117)</f>
        <v>20.8</v>
      </c>
      <c r="CK26" s="544">
        <v>12.3</v>
      </c>
      <c r="CL26" s="544">
        <v>8.1999999999999993</v>
      </c>
      <c r="CM26" s="553">
        <v>1.3</v>
      </c>
      <c r="CN26" s="553"/>
      <c r="CO26" s="544">
        <f t="array" ref="CO26:CR26">TRANSPOSE('qtrP&amp;L'!CV114:CV117)</f>
        <v>11.234675568132097</v>
      </c>
      <c r="CP26" s="544">
        <v>11.59680233256716</v>
      </c>
      <c r="CQ26" s="544">
        <v>7.2253330914269966</v>
      </c>
      <c r="CR26" s="553">
        <v>8.3783788838577848</v>
      </c>
      <c r="CS26" s="544"/>
      <c r="CT26" s="553">
        <f>'yrP&amp;L'!H46</f>
        <v>17.393000000000001</v>
      </c>
      <c r="CU26" s="553">
        <f>'yrP&amp;L'!I46</f>
        <v>25.855999999999998</v>
      </c>
      <c r="CV26" s="553">
        <f>'yrP&amp;L'!J46</f>
        <v>40.917000000000002</v>
      </c>
      <c r="CW26" s="553">
        <f>'yrP&amp;L'!K46</f>
        <v>61.432000000000002</v>
      </c>
      <c r="CX26" s="553">
        <f>'yrP&amp;L'!L46</f>
        <v>85.496999999999986</v>
      </c>
      <c r="CY26" s="553">
        <f>'yrP&amp;L'!M46</f>
        <v>112.56800000000001</v>
      </c>
      <c r="CZ26" s="554">
        <f>'yrP&amp;L'!N46</f>
        <v>99.635999999999996</v>
      </c>
      <c r="DA26" s="554">
        <f>'yrP&amp;L'!O46</f>
        <v>48.012</v>
      </c>
      <c r="DB26" s="553">
        <f>'yrP&amp;L'!P46</f>
        <v>-4.7360000000000015</v>
      </c>
      <c r="DC26" s="554">
        <f>'yrP&amp;L'!Q46</f>
        <v>45.774000000000001</v>
      </c>
      <c r="DD26" s="554">
        <f>'yrP&amp;L'!R46</f>
        <v>63.400000000000006</v>
      </c>
      <c r="DE26" s="553">
        <f>'yrP&amp;L'!S46</f>
        <v>84.659000000000006</v>
      </c>
      <c r="DF26" s="553">
        <f>'yrP&amp;L'!T46</f>
        <v>108.82424</v>
      </c>
      <c r="DG26" s="553">
        <f>'yrP&amp;L'!U46</f>
        <v>77.8</v>
      </c>
      <c r="DH26" s="553">
        <f>'yrP&amp;L'!V46</f>
        <v>60.290000000000006</v>
      </c>
      <c r="DI26" s="553">
        <f>'yrP&amp;L'!W46</f>
        <v>61.527249999999981</v>
      </c>
      <c r="DJ26" s="553">
        <f>'yrP&amp;L'!X46</f>
        <v>58.503999999999998</v>
      </c>
      <c r="DK26" s="553">
        <f>'yrP&amp;L'!Y46</f>
        <v>42.599999999999994</v>
      </c>
      <c r="DL26" s="553">
        <f>'yrP&amp;L'!Z46</f>
        <v>38.435189875984037</v>
      </c>
      <c r="DM26" s="553">
        <f>'yrP&amp;L'!AA46</f>
        <v>44.253408778161159</v>
      </c>
      <c r="DN26" s="553">
        <f>'yrP&amp;L'!AB46</f>
        <v>46.597044030903383</v>
      </c>
      <c r="DO26" s="553">
        <f>'yrP&amp;L'!AC46</f>
        <v>48.799989429624446</v>
      </c>
    </row>
    <row r="27" spans="1:121" ht="9" customHeight="1">
      <c r="A27" s="488"/>
      <c r="B27" s="563"/>
      <c r="C27" s="563"/>
      <c r="D27" s="563"/>
      <c r="E27" s="563"/>
      <c r="F27" s="563"/>
      <c r="G27" s="563"/>
      <c r="H27" s="563"/>
      <c r="I27" s="563"/>
      <c r="J27" s="563"/>
      <c r="K27" s="563"/>
      <c r="L27" s="563"/>
      <c r="M27" s="563"/>
      <c r="N27" s="563"/>
      <c r="O27" s="563"/>
      <c r="P27" s="563"/>
      <c r="Q27" s="563"/>
      <c r="R27" s="563"/>
      <c r="S27" s="563"/>
      <c r="T27" s="563"/>
      <c r="U27" s="563"/>
      <c r="V27" s="563"/>
      <c r="W27" s="563"/>
      <c r="X27" s="563"/>
      <c r="Y27" s="563"/>
      <c r="Z27" s="563"/>
      <c r="AA27" s="563"/>
      <c r="AB27" s="563"/>
      <c r="AC27" s="563"/>
      <c r="AD27" s="563"/>
      <c r="AE27" s="563"/>
      <c r="AF27" s="563"/>
      <c r="AG27" s="563"/>
      <c r="AH27" s="563"/>
      <c r="AI27" s="563"/>
      <c r="AJ27" s="563"/>
      <c r="AK27" s="563"/>
      <c r="AL27" s="563"/>
      <c r="AM27" s="563"/>
      <c r="AN27" s="563"/>
      <c r="AO27" s="563"/>
      <c r="AP27" s="563"/>
      <c r="AQ27" s="563"/>
      <c r="AR27" s="563"/>
      <c r="AS27" s="563"/>
      <c r="AT27" s="563"/>
      <c r="AU27" s="563"/>
      <c r="AV27" s="563"/>
      <c r="AW27" s="563"/>
      <c r="AX27" s="563"/>
      <c r="AY27" s="563"/>
      <c r="AZ27" s="563"/>
      <c r="BA27" s="563"/>
      <c r="BB27" s="563"/>
      <c r="BC27" s="563"/>
      <c r="BD27" s="563"/>
      <c r="BE27" s="563"/>
      <c r="BF27" s="563"/>
      <c r="BG27" s="563"/>
      <c r="BH27" s="563"/>
      <c r="BI27" s="563"/>
      <c r="BJ27" s="563"/>
      <c r="BK27" s="563"/>
      <c r="BL27" s="563"/>
      <c r="BM27" s="563"/>
      <c r="BN27" s="563"/>
      <c r="BO27" s="563"/>
      <c r="BP27" s="563"/>
      <c r="BQ27" s="563"/>
      <c r="BR27" s="563"/>
      <c r="BS27" s="563"/>
      <c r="BT27" s="563"/>
      <c r="BU27" s="563"/>
      <c r="BV27" s="563"/>
      <c r="BW27" s="563"/>
      <c r="BX27" s="565"/>
      <c r="BY27" s="563"/>
      <c r="BZ27" s="563"/>
      <c r="CA27" s="563"/>
      <c r="CB27" s="563"/>
      <c r="CC27" s="565"/>
      <c r="CD27" s="563"/>
      <c r="CE27" s="563"/>
      <c r="CF27" s="563"/>
      <c r="CG27" s="563"/>
      <c r="CH27" s="565"/>
      <c r="CI27" s="565"/>
      <c r="CJ27" s="563"/>
      <c r="CK27" s="563"/>
      <c r="CL27" s="563"/>
      <c r="CM27" s="565"/>
      <c r="CN27" s="565"/>
      <c r="CO27" s="563"/>
      <c r="CP27" s="563"/>
      <c r="CQ27" s="563"/>
      <c r="CR27" s="565"/>
      <c r="CS27" s="563"/>
      <c r="CT27" s="565"/>
      <c r="CU27" s="565"/>
      <c r="CV27" s="565"/>
      <c r="CW27" s="565"/>
      <c r="CX27" s="565"/>
      <c r="CY27" s="565"/>
      <c r="CZ27" s="566"/>
      <c r="DA27" s="566"/>
      <c r="DB27" s="565"/>
      <c r="DC27" s="566"/>
      <c r="DD27" s="566"/>
      <c r="DE27" s="565"/>
      <c r="DF27" s="565"/>
      <c r="DG27" s="565"/>
      <c r="DH27" s="565"/>
      <c r="DI27" s="565"/>
      <c r="DJ27" s="122"/>
      <c r="DK27" s="122"/>
      <c r="DL27" s="122"/>
      <c r="DM27" s="122"/>
      <c r="DN27" s="122"/>
      <c r="DO27" s="122"/>
    </row>
    <row r="28" spans="1:121" hidden="1" outlineLevel="1">
      <c r="A28" s="488" t="s">
        <v>240</v>
      </c>
      <c r="B28" s="563"/>
      <c r="C28" s="563"/>
      <c r="D28" s="563"/>
      <c r="E28" s="563"/>
      <c r="F28" s="563"/>
      <c r="G28" s="563"/>
      <c r="H28" s="563"/>
      <c r="I28" s="563"/>
      <c r="J28" s="563"/>
      <c r="K28" s="563"/>
      <c r="L28" s="563"/>
      <c r="M28" s="563"/>
      <c r="N28" s="563"/>
      <c r="O28" s="563"/>
      <c r="P28" s="563"/>
      <c r="Q28" s="563"/>
      <c r="R28" s="563"/>
      <c r="S28" s="563"/>
      <c r="T28" s="563"/>
      <c r="U28" s="563"/>
      <c r="V28" s="563"/>
      <c r="W28" s="563"/>
      <c r="X28" s="563"/>
      <c r="Y28" s="563"/>
      <c r="Z28" s="563"/>
      <c r="AA28" s="563"/>
      <c r="AB28" s="563"/>
      <c r="AC28" s="563"/>
      <c r="AD28" s="563"/>
      <c r="AE28" s="563"/>
      <c r="AF28" s="563"/>
      <c r="AG28" s="563"/>
      <c r="AH28" s="563"/>
      <c r="AI28" s="563"/>
      <c r="AJ28" s="563"/>
      <c r="AK28" s="563"/>
      <c r="AL28" s="563"/>
      <c r="AM28" s="563"/>
      <c r="AN28" s="563"/>
      <c r="AO28" s="563"/>
      <c r="AP28" s="563"/>
      <c r="AQ28" s="563"/>
      <c r="AR28" s="563"/>
      <c r="AS28" s="563"/>
      <c r="AT28" s="563"/>
      <c r="AU28" s="563"/>
      <c r="AV28" s="563"/>
      <c r="AW28" s="563"/>
      <c r="AX28" s="563"/>
      <c r="AY28" s="563"/>
      <c r="AZ28" s="563"/>
      <c r="BA28" s="567">
        <f>+'qtrP&amp;L'!$BP$124</f>
        <v>-0.223</v>
      </c>
      <c r="BB28" s="567">
        <f>+'qtrP&amp;L'!$BP$125</f>
        <v>-0.216</v>
      </c>
      <c r="BC28" s="567">
        <f>+'qtrP&amp;L'!$BP$126</f>
        <v>-0.28799999999999998</v>
      </c>
      <c r="BD28" s="567">
        <f>+'qtrP&amp;L'!$BP$127</f>
        <v>-0.21600000000000003</v>
      </c>
      <c r="BE28" s="563"/>
      <c r="BF28" s="567">
        <f>+'qtrP&amp;L'!$BT$124</f>
        <v>-0.53700000000000003</v>
      </c>
      <c r="BG28" s="567">
        <f>+'qtrP&amp;L'!$BT$125</f>
        <v>-0.57299999999999995</v>
      </c>
      <c r="BH28" s="567">
        <f>+'qtrP&amp;L'!$BT$126</f>
        <v>-0.36199999999999999</v>
      </c>
      <c r="BI28" s="567">
        <f>+'qtrP&amp;L'!$BT$127</f>
        <v>-0.36199999999999999</v>
      </c>
      <c r="BJ28" s="539"/>
      <c r="BK28" s="567">
        <f>+'qtrP&amp;L'!$BX$124</f>
        <v>0</v>
      </c>
      <c r="BL28" s="567">
        <f>+'qtrP&amp;L'!$BX$125</f>
        <v>0</v>
      </c>
      <c r="BM28" s="567">
        <f>+'qtrP&amp;L'!$BX$126</f>
        <v>0</v>
      </c>
      <c r="BN28" s="567">
        <f>+'qtrP&amp;L'!$BX$127</f>
        <v>0</v>
      </c>
      <c r="BO28" s="539"/>
      <c r="BP28" s="539"/>
      <c r="BQ28" s="539"/>
      <c r="BR28" s="539"/>
      <c r="BS28" s="539"/>
      <c r="BT28" s="539"/>
      <c r="BU28" s="539"/>
      <c r="BV28" s="539"/>
      <c r="BW28" s="539"/>
      <c r="BX28" s="540"/>
      <c r="BY28" s="539"/>
      <c r="BZ28" s="539">
        <f>'qtrP&amp;L'!CJ124</f>
        <v>-1.1000000000000001</v>
      </c>
      <c r="CA28" s="539">
        <f>'qtrP&amp;L'!CJ125</f>
        <v>-0.28000000000000003</v>
      </c>
      <c r="CB28" s="539">
        <f>'qtrP&amp;L'!CJ126</f>
        <v>0</v>
      </c>
      <c r="CC28" s="540">
        <f>'qtrP&amp;L'!CJ127</f>
        <v>0</v>
      </c>
      <c r="CD28" s="539"/>
      <c r="CE28" s="539">
        <f>'qtrP&amp;L'!CN124</f>
        <v>-0.64600000000000002</v>
      </c>
      <c r="CF28" s="539">
        <f>'qtrP&amp;L'!CN125</f>
        <v>-0.50600000000000001</v>
      </c>
      <c r="CG28" s="539">
        <f>'qtrP&amp;L'!CN126</f>
        <v>-0.502</v>
      </c>
      <c r="CH28" s="540">
        <f>'qtrP&amp;L'!CN127</f>
        <v>-0.25800000000000001</v>
      </c>
      <c r="CI28" s="540"/>
      <c r="CJ28" s="539">
        <f>'qtrP&amp;L'!CR124</f>
        <v>-0.74099999999999999</v>
      </c>
      <c r="CK28" s="539">
        <f>'qtrP&amp;L'!CR125</f>
        <v>-0.53700000000000003</v>
      </c>
      <c r="CL28" s="539">
        <f>'qtrP&amp;L'!CR126</f>
        <v>-0.39400000000000002</v>
      </c>
      <c r="CM28" s="540">
        <f>'qtrP&amp;L'!CR127</f>
        <v>-0.61699999999999999</v>
      </c>
      <c r="CN28" s="540"/>
      <c r="CO28" s="539">
        <f>'qtrP&amp;L'!DA124</f>
        <v>0</v>
      </c>
      <c r="CP28" s="539">
        <f>'qtrP&amp;L'!DA125</f>
        <v>0</v>
      </c>
      <c r="CQ28" s="539">
        <f>'qtrP&amp;L'!DA126</f>
        <v>0</v>
      </c>
      <c r="CR28" s="540">
        <f>'qtrP&amp;L'!DA127</f>
        <v>0</v>
      </c>
      <c r="CS28" s="539"/>
      <c r="CT28" s="540"/>
      <c r="CU28" s="540"/>
      <c r="CV28" s="540"/>
      <c r="CW28" s="540"/>
      <c r="CX28" s="540"/>
      <c r="CY28" s="540"/>
      <c r="CZ28" s="541"/>
      <c r="DA28" s="541"/>
      <c r="DB28" s="540"/>
      <c r="DC28" s="541"/>
      <c r="DD28" s="678"/>
      <c r="DE28" s="567"/>
      <c r="DF28" s="567"/>
      <c r="DG28" s="567"/>
      <c r="DH28" s="540"/>
      <c r="DI28" s="540">
        <f>'qtrP&amp;L'!CJ128</f>
        <v>-1.3800000000000001</v>
      </c>
      <c r="DJ28" s="122">
        <f>'qtrP&amp;L'!CN128</f>
        <v>-1.9120000000000001</v>
      </c>
      <c r="DK28" s="122">
        <f>'qtrP&amp;L'!CR128</f>
        <v>-2.2890000000000001</v>
      </c>
      <c r="DL28" s="122"/>
      <c r="DM28" s="122"/>
      <c r="DN28" s="122"/>
      <c r="DO28" s="122"/>
    </row>
    <row r="29" spans="1:121" collapsed="1">
      <c r="A29" s="538" t="s">
        <v>257</v>
      </c>
      <c r="B29" s="539"/>
      <c r="C29" s="539">
        <f>C24-C26</f>
        <v>7.4759220000000033</v>
      </c>
      <c r="D29" s="539">
        <f>D24-D26</f>
        <v>7.3774260000000043</v>
      </c>
      <c r="E29" s="539">
        <f>E24-E26</f>
        <v>7.8200959999999933</v>
      </c>
      <c r="F29" s="539">
        <f>F24-F26</f>
        <v>5.7051769999999955</v>
      </c>
      <c r="G29" s="539"/>
      <c r="H29" s="539">
        <f>H24-H26</f>
        <v>12.379128</v>
      </c>
      <c r="I29" s="539">
        <f>I24-I26</f>
        <v>11.090612999999996</v>
      </c>
      <c r="J29" s="539">
        <f>J24-J26</f>
        <v>8.8996599999999919</v>
      </c>
      <c r="K29" s="539">
        <f>K24-K26</f>
        <v>9.8176299999999905</v>
      </c>
      <c r="L29" s="539"/>
      <c r="M29" s="539">
        <f>M24-M26</f>
        <v>19.777283000000018</v>
      </c>
      <c r="N29" s="539">
        <f>N24-N26</f>
        <v>16.388288000000003</v>
      </c>
      <c r="O29" s="539">
        <f>O24-O26</f>
        <v>15.543679000000001</v>
      </c>
      <c r="P29" s="539">
        <f>P24-P26</f>
        <v>15.049692000000002</v>
      </c>
      <c r="Q29" s="539"/>
      <c r="R29" s="539">
        <f>R24-R26</f>
        <v>23.367461999999986</v>
      </c>
      <c r="S29" s="539">
        <f>S24-S26</f>
        <v>24.466497999999994</v>
      </c>
      <c r="T29" s="539">
        <f>T24-T26</f>
        <v>26.758999999999997</v>
      </c>
      <c r="U29" s="539">
        <f>U24-U26</f>
        <v>25.637</v>
      </c>
      <c r="V29" s="539"/>
      <c r="W29" s="539">
        <f>W24-W26</f>
        <v>35.665000000000006</v>
      </c>
      <c r="X29" s="539">
        <f>X24-X26</f>
        <v>35.496000000000009</v>
      </c>
      <c r="Y29" s="539">
        <f>Y24-Y26</f>
        <v>37.077000000000041</v>
      </c>
      <c r="Z29" s="539">
        <f>Z24-Z26</f>
        <v>32.967999999999982</v>
      </c>
      <c r="AA29" s="539"/>
      <c r="AB29" s="539">
        <f>AB24-AB26</f>
        <v>47.20000000000001</v>
      </c>
      <c r="AC29" s="539">
        <f>AC24-AC26</f>
        <v>49.111000000000011</v>
      </c>
      <c r="AD29" s="539">
        <f>AD24-AD26</f>
        <v>53.210000000000008</v>
      </c>
      <c r="AE29" s="539">
        <f>AE24-AE26</f>
        <v>44.460000000000008</v>
      </c>
      <c r="AF29" s="539"/>
      <c r="AG29" s="539">
        <f>AG24-AG26</f>
        <v>52.511000000000038</v>
      </c>
      <c r="AH29" s="539">
        <f>AH24-AH26</f>
        <v>54.919999999999973</v>
      </c>
      <c r="AI29" s="539">
        <f>AI24-AI26</f>
        <v>42.917999999999964</v>
      </c>
      <c r="AJ29" s="539">
        <f>AJ24-AJ26</f>
        <v>24.340999999999973</v>
      </c>
      <c r="AK29" s="539"/>
      <c r="AL29" s="539">
        <f>AL24-AL26</f>
        <v>49.142999999999986</v>
      </c>
      <c r="AM29" s="539">
        <f>AM24-AM26</f>
        <v>38.764999999999993</v>
      </c>
      <c r="AN29" s="539">
        <f>AN24-AN26</f>
        <v>16.902999999999988</v>
      </c>
      <c r="AO29" s="539">
        <f>AO24-AO26</f>
        <v>-20.496999999999961</v>
      </c>
      <c r="AP29" s="539"/>
      <c r="AQ29" s="539">
        <f>AQ24-AQ26</f>
        <v>12.732000000000014</v>
      </c>
      <c r="AR29" s="539">
        <f>AR24-AR26</f>
        <v>6.6800000000000281</v>
      </c>
      <c r="AS29" s="539">
        <f>AS24-AS26</f>
        <v>1.9949999999999879</v>
      </c>
      <c r="AT29" s="539">
        <f>AT24-AT26</f>
        <v>-24.843999999999973</v>
      </c>
      <c r="AU29" s="539"/>
      <c r="AV29" s="539">
        <f>AV24-AV26</f>
        <v>19.546999999999986</v>
      </c>
      <c r="AW29" s="539">
        <f>AW24-AW26</f>
        <v>17.97300000000002</v>
      </c>
      <c r="AX29" s="539">
        <f>AX24-AX26</f>
        <v>22.74500000000004</v>
      </c>
      <c r="AY29" s="539">
        <f>AY24-AY26</f>
        <v>18.834000000000017</v>
      </c>
      <c r="AZ29" s="539"/>
      <c r="BA29" s="539">
        <f>BA24-BA26+BA28</f>
        <v>35.179000000000023</v>
      </c>
      <c r="BB29" s="539">
        <f>BB24-BB26+BB28</f>
        <v>30.267999999999983</v>
      </c>
      <c r="BC29" s="539">
        <f>BC24-BC26+BC28</f>
        <v>28.555999999999997</v>
      </c>
      <c r="BD29" s="539">
        <f>BD24-BD26+BD28</f>
        <v>21.524000000000008</v>
      </c>
      <c r="BE29" s="539"/>
      <c r="BF29" s="539">
        <f>BF24-BF26+BF28</f>
        <v>45.38100000000005</v>
      </c>
      <c r="BG29" s="539">
        <f>BG24-BG26+BG28</f>
        <v>42.818000000000033</v>
      </c>
      <c r="BH29" s="539">
        <f>BH24-BH26+BH28</f>
        <v>29.638000000000048</v>
      </c>
      <c r="BI29" s="539">
        <f>BI24-BI26+BI28</f>
        <v>24.777000000000015</v>
      </c>
      <c r="BJ29" s="539"/>
      <c r="BK29" s="539">
        <f>BK24-BK26+BK28</f>
        <v>53.645000000000032</v>
      </c>
      <c r="BL29" s="539">
        <f>BL24-BL26+BL28</f>
        <v>53.395000000000003</v>
      </c>
      <c r="BM29" s="539">
        <f>BM24-BM26+BM28</f>
        <v>41.656999999999911</v>
      </c>
      <c r="BN29" s="539">
        <f>BN24-BN26+BN28</f>
        <v>32.733759999999954</v>
      </c>
      <c r="BO29" s="539"/>
      <c r="BP29" s="539">
        <f t="shared" ref="BP29:BX29" si="10">BP24-BP26+BP28</f>
        <v>51.122000000000007</v>
      </c>
      <c r="BQ29" s="539">
        <f t="shared" si="10"/>
        <v>43.588000000000058</v>
      </c>
      <c r="BR29" s="539">
        <f t="shared" si="10"/>
        <v>35.786999999999907</v>
      </c>
      <c r="BS29" s="539">
        <f t="shared" si="10"/>
        <v>5.8519999999999479</v>
      </c>
      <c r="BT29" s="539"/>
      <c r="BU29" s="539">
        <f t="shared" si="10"/>
        <v>41.804000000000016</v>
      </c>
      <c r="BV29" s="539">
        <f t="shared" si="10"/>
        <v>31.920000000000051</v>
      </c>
      <c r="BW29" s="539">
        <f>BW24-BW26+BW28</f>
        <v>30.406999999999979</v>
      </c>
      <c r="BX29" s="540">
        <f t="shared" si="10"/>
        <v>12.008000000000028</v>
      </c>
      <c r="BY29" s="539"/>
      <c r="BZ29" s="539">
        <f>BZ24-BZ26+BZ28</f>
        <v>43.221939999999961</v>
      </c>
      <c r="CA29" s="539">
        <f>CA24-CA26+CA28</f>
        <v>37.08677999999999</v>
      </c>
      <c r="CB29" s="539">
        <f>CB24-CB26+CB28</f>
        <v>17.691030000000012</v>
      </c>
      <c r="CC29" s="540">
        <f>CC24-CC26+CC28</f>
        <v>6.1750000000000451</v>
      </c>
      <c r="CD29" s="539"/>
      <c r="CE29" s="539">
        <f>CE24-CE26+CE28</f>
        <v>33.34999999999998</v>
      </c>
      <c r="CF29" s="539">
        <f>CF24-CF26+CF28</f>
        <v>32.80299999999994</v>
      </c>
      <c r="CG29" s="539">
        <f>CG24-CG26+CG28</f>
        <v>25.923000000000062</v>
      </c>
      <c r="CH29" s="540">
        <f>CH24-CH26+CH28</f>
        <v>13.249999999999982</v>
      </c>
      <c r="CI29" s="540"/>
      <c r="CJ29" s="540">
        <f>CJ24-CJ26+CJ28</f>
        <v>32.877999999999972</v>
      </c>
      <c r="CK29" s="540">
        <f>CK24-CK26+CK28</f>
        <v>22.179000000000006</v>
      </c>
      <c r="CL29" s="540">
        <f>CL24-CL26+CL28</f>
        <v>16.296000000000049</v>
      </c>
      <c r="CM29" s="540">
        <f>CM24-CM26+CM28</f>
        <v>27.358000000000025</v>
      </c>
      <c r="CN29" s="540"/>
      <c r="CO29" s="540">
        <f>CO24-CO26+CO28</f>
        <v>30.37523394346826</v>
      </c>
      <c r="CP29" s="540">
        <f>CP24-CP26+CP28</f>
        <v>31.354317417681585</v>
      </c>
      <c r="CQ29" s="540">
        <f>CQ24-CQ26+CQ28</f>
        <v>19.5351598397841</v>
      </c>
      <c r="CR29" s="540">
        <f>CR24-CR26+CR28</f>
        <v>22.652654019319201</v>
      </c>
      <c r="CS29" s="539"/>
      <c r="CT29" s="540">
        <f t="shared" ref="CT29:DA29" si="11">CT24-CT26</f>
        <v>28.378620999999967</v>
      </c>
      <c r="CU29" s="540">
        <f t="shared" si="11"/>
        <v>42.187030999999976</v>
      </c>
      <c r="CV29" s="540">
        <f t="shared" si="11"/>
        <v>66.758942000000019</v>
      </c>
      <c r="CW29" s="540">
        <f t="shared" si="11"/>
        <v>100.22995999999999</v>
      </c>
      <c r="CX29" s="540">
        <f t="shared" si="11"/>
        <v>141.20600000000013</v>
      </c>
      <c r="CY29" s="540">
        <f t="shared" si="11"/>
        <v>193.98100000000002</v>
      </c>
      <c r="CZ29" s="541">
        <f t="shared" si="11"/>
        <v>174.69000000000025</v>
      </c>
      <c r="DA29" s="541">
        <f t="shared" si="11"/>
        <v>84.313999999999851</v>
      </c>
      <c r="DB29" s="540">
        <f t="shared" ref="DB29:DG29" si="12">DB24-DB26</f>
        <v>-3.4370000000000855</v>
      </c>
      <c r="DC29" s="541">
        <f t="shared" si="12"/>
        <v>79.099000000000089</v>
      </c>
      <c r="DD29" s="541">
        <f>DD24-DD26</f>
        <v>116.46999999999977</v>
      </c>
      <c r="DE29" s="540">
        <f t="shared" si="12"/>
        <v>144.44800000000021</v>
      </c>
      <c r="DF29" s="540">
        <f t="shared" si="12"/>
        <v>181.43075999999976</v>
      </c>
      <c r="DG29" s="540">
        <f t="shared" si="12"/>
        <v>136.34899999999988</v>
      </c>
      <c r="DH29" s="540">
        <f>DH24-DH26</f>
        <v>116.13900000000025</v>
      </c>
      <c r="DI29" s="539">
        <f t="shared" ref="DI29:DN29" si="13">DI24-DI26+DI28</f>
        <v>104.17475000000036</v>
      </c>
      <c r="DJ29" s="539">
        <f t="shared" si="13"/>
        <v>105.32599999999979</v>
      </c>
      <c r="DK29" s="539">
        <f t="shared" si="13"/>
        <v>98.710999999999856</v>
      </c>
      <c r="DL29" s="539">
        <f t="shared" si="13"/>
        <v>103.91736522025292</v>
      </c>
      <c r="DM29" s="539">
        <f t="shared" si="13"/>
        <v>119.64810521502808</v>
      </c>
      <c r="DN29" s="539">
        <f t="shared" si="13"/>
        <v>125.98460052799777</v>
      </c>
      <c r="DO29" s="539">
        <f t="shared" ref="DO29" si="14">DO24-DO26+DO28</f>
        <v>131.94071216157693</v>
      </c>
    </row>
    <row r="30" spans="1:121">
      <c r="A30" s="488"/>
      <c r="B30" s="568"/>
      <c r="C30" s="568"/>
      <c r="D30" s="568"/>
      <c r="E30" s="568"/>
      <c r="F30" s="568"/>
      <c r="G30" s="568"/>
      <c r="H30" s="568"/>
      <c r="I30" s="568"/>
      <c r="J30" s="568"/>
      <c r="K30" s="568"/>
      <c r="L30" s="568"/>
      <c r="M30" s="568"/>
      <c r="N30" s="568"/>
      <c r="O30" s="568"/>
      <c r="P30" s="568"/>
      <c r="Q30" s="568"/>
      <c r="R30" s="568"/>
      <c r="S30" s="568"/>
      <c r="T30" s="568"/>
      <c r="U30" s="568"/>
      <c r="V30" s="568"/>
      <c r="W30" s="568"/>
      <c r="X30" s="568"/>
      <c r="Y30" s="568"/>
      <c r="Z30" s="568"/>
      <c r="AA30" s="568"/>
      <c r="AB30" s="568"/>
      <c r="AC30" s="568"/>
      <c r="AD30" s="568"/>
      <c r="AE30" s="568"/>
      <c r="AF30" s="568"/>
      <c r="AG30" s="568"/>
      <c r="AH30" s="568"/>
      <c r="AI30" s="568"/>
      <c r="AJ30" s="568"/>
      <c r="AK30" s="568"/>
      <c r="AL30" s="568"/>
      <c r="AM30" s="568"/>
      <c r="AN30" s="568"/>
      <c r="AO30" s="568"/>
      <c r="AP30" s="568"/>
      <c r="AQ30" s="568"/>
      <c r="AR30" s="568"/>
      <c r="AS30" s="568"/>
      <c r="AT30" s="568"/>
      <c r="AU30" s="568"/>
      <c r="AV30" s="568"/>
      <c r="AW30" s="568"/>
      <c r="AX30" s="568"/>
      <c r="AY30" s="568"/>
      <c r="AZ30" s="568"/>
      <c r="BA30" s="568"/>
      <c r="BB30" s="568"/>
      <c r="BC30" s="568"/>
      <c r="BD30" s="568"/>
      <c r="BE30" s="568"/>
      <c r="BF30" s="568"/>
      <c r="BG30" s="568"/>
      <c r="BH30" s="568"/>
      <c r="BI30" s="568"/>
      <c r="BJ30" s="568"/>
      <c r="BK30" s="568"/>
      <c r="BL30" s="568"/>
      <c r="BM30" s="568"/>
      <c r="BN30" s="568"/>
      <c r="BO30" s="568"/>
      <c r="BP30" s="568"/>
      <c r="BQ30" s="568"/>
      <c r="BR30" s="568"/>
      <c r="BS30" s="568"/>
      <c r="BT30" s="568"/>
      <c r="BU30" s="568"/>
      <c r="BV30" s="568"/>
      <c r="BW30" s="568"/>
      <c r="BX30" s="569"/>
      <c r="BY30" s="568"/>
      <c r="BZ30" s="568"/>
      <c r="CA30" s="568"/>
      <c r="CB30" s="568"/>
      <c r="CC30" s="569"/>
      <c r="CD30" s="568"/>
      <c r="CE30" s="568"/>
      <c r="CF30" s="568"/>
      <c r="CG30" s="568"/>
      <c r="CH30" s="569"/>
      <c r="CI30" s="569"/>
      <c r="CJ30" s="568"/>
      <c r="CK30" s="568"/>
      <c r="CL30" s="568"/>
      <c r="CM30" s="569"/>
      <c r="CN30" s="569"/>
      <c r="CO30" s="568"/>
      <c r="CP30" s="568"/>
      <c r="CQ30" s="568"/>
      <c r="CR30" s="569"/>
      <c r="CS30" s="568"/>
      <c r="CT30" s="569"/>
      <c r="CU30" s="569"/>
      <c r="CV30" s="569"/>
      <c r="CW30" s="569"/>
      <c r="CX30" s="569"/>
      <c r="CY30" s="569"/>
      <c r="CZ30" s="570"/>
      <c r="DA30" s="570"/>
      <c r="DB30" s="569"/>
      <c r="DC30" s="570"/>
      <c r="DD30" s="570"/>
      <c r="DE30" s="569"/>
      <c r="DF30" s="569"/>
      <c r="DG30" s="569"/>
      <c r="DH30" s="569"/>
      <c r="DI30" s="569"/>
      <c r="DJ30" s="122"/>
      <c r="DK30" s="122"/>
      <c r="DL30" s="122"/>
      <c r="DM30" s="122"/>
      <c r="DN30" s="122"/>
      <c r="DO30" s="122"/>
    </row>
    <row r="31" spans="1:121">
      <c r="A31" s="571" t="s">
        <v>258</v>
      </c>
      <c r="B31" s="572"/>
      <c r="C31" s="573">
        <f>C29/C32</f>
        <v>4.6544745058398229E-2</v>
      </c>
      <c r="D31" s="573">
        <f>D29/D32</f>
        <v>4.5346377731585806E-2</v>
      </c>
      <c r="E31" s="573">
        <f>E29/E32</f>
        <v>4.7482365314584614E-2</v>
      </c>
      <c r="F31" s="573">
        <f>F29/F32</f>
        <v>3.4720851764862712E-2</v>
      </c>
      <c r="G31" s="573"/>
      <c r="H31" s="573">
        <f>H29/H32</f>
        <v>7.4686614489504671E-2</v>
      </c>
      <c r="I31" s="573">
        <f>I29/I32</f>
        <v>6.6322525009774674E-2</v>
      </c>
      <c r="J31" s="573">
        <f>J29/J32</f>
        <v>5.2993225301623308E-2</v>
      </c>
      <c r="K31" s="573">
        <f>K29/K32</f>
        <v>5.8005110975793514E-2</v>
      </c>
      <c r="L31" s="573"/>
      <c r="M31" s="573">
        <f>M29/M32</f>
        <v>0.11589816835812566</v>
      </c>
      <c r="N31" s="573">
        <f>N29/N32</f>
        <v>9.5634349971009683E-2</v>
      </c>
      <c r="O31" s="573">
        <f>O29/O32</f>
        <v>9.020426767385549E-2</v>
      </c>
      <c r="P31" s="573">
        <f>P29/P32</f>
        <v>8.6520201046477799E-2</v>
      </c>
      <c r="Q31" s="573"/>
      <c r="R31" s="573">
        <f>R29/R32</f>
        <v>0.13401369522115697</v>
      </c>
      <c r="S31" s="573">
        <f>S29/S32</f>
        <v>0.13962072146183946</v>
      </c>
      <c r="T31" s="573">
        <f>T29/T32</f>
        <v>0.15116541820605811</v>
      </c>
      <c r="U31" s="573">
        <f>U29/U32</f>
        <v>0.1440879916369727</v>
      </c>
      <c r="V31" s="573"/>
      <c r="W31" s="573">
        <f>W29/W32</f>
        <v>0.19862884002762371</v>
      </c>
      <c r="X31" s="573">
        <f>X29/X32</f>
        <v>0.19678674782955799</v>
      </c>
      <c r="Y31" s="573">
        <f>Y29/Y32</f>
        <v>0.20571133723188251</v>
      </c>
      <c r="Z31" s="573">
        <f>Z29/Z32</f>
        <v>0.18262998703730365</v>
      </c>
      <c r="AA31" s="573"/>
      <c r="AB31" s="573">
        <f>AB29/AB32</f>
        <v>0.26022284337561957</v>
      </c>
      <c r="AC31" s="573">
        <f>AC29/AC32</f>
        <v>0.26940842165317191</v>
      </c>
      <c r="AD31" s="573">
        <f>AD29/AD32</f>
        <v>0.29147220578890864</v>
      </c>
      <c r="AE31" s="573">
        <f>AE29/AE32</f>
        <v>0.24270678661891873</v>
      </c>
      <c r="AF31" s="573"/>
      <c r="AG31" s="573">
        <f>AG29/AG32</f>
        <v>0.28684660472077939</v>
      </c>
      <c r="AH31" s="573">
        <f>AH29/AH32</f>
        <v>0.30768368861872863</v>
      </c>
      <c r="AI31" s="573">
        <f>AI29/AI32</f>
        <v>0.24359760250647031</v>
      </c>
      <c r="AJ31" s="573">
        <f>AJ29/AJ32</f>
        <v>0.13799300425753841</v>
      </c>
      <c r="AK31" s="573"/>
      <c r="AL31" s="573">
        <f>AL29/AL32</f>
        <v>0.27828081202752053</v>
      </c>
      <c r="AM31" s="573">
        <f>AM29/AM32</f>
        <v>0.21936078950644528</v>
      </c>
      <c r="AN31" s="573">
        <f>(AN29+6.833*35%)/AN32</f>
        <v>0.10924700193642625</v>
      </c>
      <c r="AO31" s="573">
        <f>AO29/AO32</f>
        <v>-0.11672285369353751</v>
      </c>
      <c r="AP31" s="573"/>
      <c r="AQ31" s="573">
        <f>AQ29/AQ32</f>
        <v>7.2115139534752085E-2</v>
      </c>
      <c r="AR31" s="573">
        <f>AR29/AR32</f>
        <v>3.7822167867011071E-2</v>
      </c>
      <c r="AS31" s="573">
        <f>AS29/AS32</f>
        <v>1.1333359844116526E-2</v>
      </c>
      <c r="AT31" s="573">
        <f>AT29/AT32</f>
        <v>-0.14120883493048672</v>
      </c>
      <c r="AU31" s="573"/>
      <c r="AV31" s="573">
        <f>AV29/AV32</f>
        <v>0.11000495238952787</v>
      </c>
      <c r="AW31" s="573">
        <f>AW29/AW32</f>
        <v>0.10065185981653854</v>
      </c>
      <c r="AX31" s="573">
        <f>AX29/AX32</f>
        <v>0.12688911079993997</v>
      </c>
      <c r="AY31" s="573">
        <f>AY29/AY32</f>
        <v>0.10491953049707825</v>
      </c>
      <c r="AZ31" s="573"/>
      <c r="BA31" s="573">
        <f>BA29/BA32</f>
        <v>0.196714252962261</v>
      </c>
      <c r="BB31" s="573">
        <f>BB29/BB32</f>
        <v>0.169308736169689</v>
      </c>
      <c r="BC31" s="573">
        <f>BC29/BC32</f>
        <v>0.16109487651047599</v>
      </c>
      <c r="BD31" s="573">
        <f>BD29/BD32</f>
        <v>0.12146932510144082</v>
      </c>
      <c r="BE31" s="573"/>
      <c r="BF31" s="573">
        <f>BF29/BF32</f>
        <v>0.25768261106568574</v>
      </c>
      <c r="BG31" s="573">
        <f>BG29/BG32</f>
        <v>0.24822748485463367</v>
      </c>
      <c r="BH31" s="573">
        <f>BH29/BH32</f>
        <v>0.17686409070565448</v>
      </c>
      <c r="BI31" s="573">
        <f>BI29/BI32</f>
        <v>0.15034496149902013</v>
      </c>
      <c r="BJ31" s="573"/>
      <c r="BK31" s="573">
        <f>BK29/BK32</f>
        <v>0.31976518652028202</v>
      </c>
      <c r="BL31" s="573">
        <f>BL29/BL32</f>
        <v>0.32413253041303453</v>
      </c>
      <c r="BM31" s="573">
        <f>BM29/BM32</f>
        <v>0.25337112480308444</v>
      </c>
      <c r="BN31" s="573">
        <f>BN29/BN32</f>
        <v>0.20038436566870405</v>
      </c>
      <c r="BO31" s="573"/>
      <c r="BP31" s="573">
        <f>BP29/BP32</f>
        <v>0.32044178116537964</v>
      </c>
      <c r="BQ31" s="573">
        <f>BQ29/BQ32</f>
        <v>0.27490581883562776</v>
      </c>
      <c r="BR31" s="573">
        <f>(BR29-1)/BR32</f>
        <v>0.22295411828949349</v>
      </c>
      <c r="BS31" s="573">
        <f>BS29/BS32</f>
        <v>3.8937741419236283E-2</v>
      </c>
      <c r="BT31" s="573"/>
      <c r="BU31" s="573">
        <f>BU29/BU32</f>
        <v>0.27768625783824008</v>
      </c>
      <c r="BV31" s="573">
        <f>BV29/BV32</f>
        <v>0.21391521130158597</v>
      </c>
      <c r="BW31" s="573">
        <v>0.17</v>
      </c>
      <c r="BX31" s="573">
        <f>BX29/BX32</f>
        <v>8.0723879693991613E-2</v>
      </c>
      <c r="BY31" s="573"/>
      <c r="BZ31" s="573">
        <f>BZ29/BZ32</f>
        <v>0.30063044703034664</v>
      </c>
      <c r="CA31" s="573">
        <f>CA29/CA32</f>
        <v>0.26403613814510779</v>
      </c>
      <c r="CB31" s="573">
        <f>CB29/CB32</f>
        <v>0.12991679640454729</v>
      </c>
      <c r="CC31" s="573">
        <f>CC29/CC32</f>
        <v>4.5647754574016222E-2</v>
      </c>
      <c r="CD31" s="573"/>
      <c r="CE31" s="573">
        <f>CE29/CE32</f>
        <v>0.253248183219555</v>
      </c>
      <c r="CF31" s="573">
        <f>CF29/CF32</f>
        <v>0.25357523847806884</v>
      </c>
      <c r="CG31" s="573">
        <f>CG29/CG32</f>
        <v>0.20095971968123089</v>
      </c>
      <c r="CH31" s="573">
        <f>CH29/CH32</f>
        <v>0.10440880973956883</v>
      </c>
      <c r="CI31" s="573"/>
      <c r="CJ31" s="1539">
        <f>CJ29/CJ32</f>
        <v>0.26072337692203973</v>
      </c>
      <c r="CK31" s="1539">
        <f>CK29/CK32</f>
        <v>0.17647620487440027</v>
      </c>
      <c r="CL31" s="1539">
        <f>CL29/CL32</f>
        <v>0.13037947339365902</v>
      </c>
      <c r="CM31" s="1539">
        <f>CM29/CM32</f>
        <v>0.21920069226331665</v>
      </c>
      <c r="CN31" s="573"/>
      <c r="CO31" s="1539">
        <f>CO29/CO32</f>
        <v>0.24666968532202774</v>
      </c>
      <c r="CP31" s="1539">
        <f>CP29/CP32</f>
        <v>0.25811404367726815</v>
      </c>
      <c r="CQ31" s="1539">
        <f>CQ29/CQ32</f>
        <v>0.1630538848806766</v>
      </c>
      <c r="CR31" s="1539">
        <f>CR29/CR32</f>
        <v>0.19174198716214932</v>
      </c>
      <c r="CS31" s="573"/>
      <c r="CT31" s="573">
        <f>CT29/CT32</f>
        <v>0.17374937002843627</v>
      </c>
      <c r="CU31" s="573">
        <f>CU29/CU32</f>
        <v>0.25177768510465509</v>
      </c>
      <c r="CV31" s="573">
        <f>CV29/CV32</f>
        <v>0.38798878120447494</v>
      </c>
      <c r="CW31" s="573">
        <f>CW29/CW32</f>
        <v>0.56904734889716013</v>
      </c>
      <c r="CX31" s="573">
        <f>CX29/CX32</f>
        <v>0.78382894159834426</v>
      </c>
      <c r="CY31" s="573">
        <f t="shared" ref="CY31:DD31" si="15">CY29/CY32</f>
        <v>1.0634456822069209</v>
      </c>
      <c r="CZ31" s="574">
        <f t="shared" si="15"/>
        <v>0.97891870082711463</v>
      </c>
      <c r="DA31" s="574">
        <f t="shared" si="15"/>
        <v>0.47809248391029374</v>
      </c>
      <c r="DB31" s="573">
        <f t="shared" si="15"/>
        <v>-1.9461399952436981E-2</v>
      </c>
      <c r="DC31" s="574">
        <f t="shared" si="15"/>
        <v>0.44224468572834363</v>
      </c>
      <c r="DD31" s="574">
        <f t="shared" si="15"/>
        <v>0.65420088297740753</v>
      </c>
      <c r="DE31" s="573">
        <f t="shared" ref="DE31:DL31" si="16">DE29/DE32</f>
        <v>0.84844640234948732</v>
      </c>
      <c r="DF31" s="573">
        <f t="shared" si="16"/>
        <v>1.0913168266424875</v>
      </c>
      <c r="DG31" s="573">
        <f t="shared" si="16"/>
        <v>0.8524892490376188</v>
      </c>
      <c r="DH31" s="573">
        <f t="shared" si="16"/>
        <v>0.77361016745933586</v>
      </c>
      <c r="DI31" s="573">
        <f t="shared" si="16"/>
        <v>0.75085771329311701</v>
      </c>
      <c r="DJ31" s="573">
        <f t="shared" si="16"/>
        <v>0.81498332520872352</v>
      </c>
      <c r="DK31" s="573">
        <f t="shared" si="16"/>
        <v>0.78715022766600362</v>
      </c>
      <c r="DL31" s="573">
        <f t="shared" si="16"/>
        <v>0.86137447547208468</v>
      </c>
      <c r="DM31" s="573">
        <f>DM29/DM32</f>
        <v>1.0539273757781109</v>
      </c>
      <c r="DN31" s="573">
        <f>DN29/DN32</f>
        <v>1.1532802101971913</v>
      </c>
      <c r="DO31" s="573">
        <f>DO29/DO32</f>
        <v>1.2537097895438014</v>
      </c>
    </row>
    <row r="32" spans="1:121">
      <c r="A32" s="560" t="s">
        <v>259</v>
      </c>
      <c r="B32" s="575"/>
      <c r="C32" s="575">
        <f>'qtrP&amp;L'!$AB171</f>
        <v>160.61795999999998</v>
      </c>
      <c r="D32" s="575">
        <f>'qtrP&amp;L'!$AB172</f>
        <v>162.69052500000001</v>
      </c>
      <c r="E32" s="575">
        <f>'qtrP&amp;L'!$AB173</f>
        <v>164.69474400000001</v>
      </c>
      <c r="F32" s="575">
        <f>'qtrP&amp;L'!$AB174</f>
        <v>164.315583</v>
      </c>
      <c r="G32" s="575"/>
      <c r="H32" s="575">
        <f>'qtrP&amp;L'!$AF171</f>
        <v>165.747612</v>
      </c>
      <c r="I32" s="575">
        <f>'qtrP&amp;L'!$AF172</f>
        <v>167.222418</v>
      </c>
      <c r="J32" s="575">
        <f>'qtrP&amp;L'!$AF173</f>
        <v>167.93958000000001</v>
      </c>
      <c r="K32" s="575">
        <f>'qtrP&amp;L'!$AF174</f>
        <v>169.25456800000001</v>
      </c>
      <c r="L32" s="575"/>
      <c r="M32" s="575">
        <f>'qtrP&amp;L'!$AJ171</f>
        <v>170.64362</v>
      </c>
      <c r="N32" s="575">
        <f>'qtrP&amp;L'!$AJ172</f>
        <v>171.364034</v>
      </c>
      <c r="O32" s="575">
        <f>'qtrP&amp;L'!$AJ173</f>
        <v>172.31644800000001</v>
      </c>
      <c r="P32" s="575">
        <f>'qtrP&amp;L'!$AJ174</f>
        <v>173.944256</v>
      </c>
      <c r="Q32" s="575"/>
      <c r="R32" s="575">
        <f>'qtrP&amp;L'!$AN171</f>
        <v>174.36622399999999</v>
      </c>
      <c r="S32" s="575">
        <f>'qtrP&amp;L'!$AN172</f>
        <v>175.23543599999999</v>
      </c>
      <c r="T32" s="575">
        <f>'qtrP&amp;L'!$AN173</f>
        <v>177.018</v>
      </c>
      <c r="U32" s="575">
        <f>'qtrP&amp;L'!$AN174</f>
        <v>177.92599999999999</v>
      </c>
      <c r="V32" s="575"/>
      <c r="W32" s="575">
        <f>+'qtrP&amp;L'!$AR$171</f>
        <v>179.55600000000001</v>
      </c>
      <c r="X32" s="575">
        <f>+'qtrP&amp;L'!$AR$172</f>
        <v>180.37799999999999</v>
      </c>
      <c r="Y32" s="575">
        <f>+'qtrP&amp;L'!$AR$173</f>
        <v>180.238</v>
      </c>
      <c r="Z32" s="575">
        <f>+'qtrP&amp;L'!$AR$174</f>
        <v>180.518</v>
      </c>
      <c r="AA32" s="575"/>
      <c r="AB32" s="575">
        <f>+'qtrP&amp;L'!$AV$171</f>
        <v>181.38300000000001</v>
      </c>
      <c r="AC32" s="575">
        <f>+'qtrP&amp;L'!$AV$172</f>
        <v>182.292</v>
      </c>
      <c r="AD32" s="575">
        <f>+'qtrP&amp;L'!$AV$173</f>
        <v>182.55600000000001</v>
      </c>
      <c r="AE32" s="575">
        <f>+'qtrP&amp;L'!$AV$174</f>
        <v>183.184</v>
      </c>
      <c r="AF32" s="575"/>
      <c r="AG32" s="575">
        <f>+'qtrP&amp;L'!$AZ$171</f>
        <v>183.06299999999999</v>
      </c>
      <c r="AH32" s="575">
        <f>+'qtrP&amp;L'!$AZ$172</f>
        <v>178.495</v>
      </c>
      <c r="AI32" s="575">
        <f>+'qtrP&amp;L'!$AZ$173</f>
        <v>176.184</v>
      </c>
      <c r="AJ32" s="575">
        <f>+'qtrP&amp;L'!$AZ$174</f>
        <v>176.393</v>
      </c>
      <c r="AK32" s="575"/>
      <c r="AL32" s="575">
        <f>+'qtrP&amp;L'!$BD$171</f>
        <v>176.595</v>
      </c>
      <c r="AM32" s="575">
        <f>+'qtrP&amp;L'!$BD$172</f>
        <v>176.71799999999999</v>
      </c>
      <c r="AN32" s="575">
        <f>+'qtrP&amp;L'!$BD$173</f>
        <v>176.614</v>
      </c>
      <c r="AO32" s="575">
        <f>+'qtrP&amp;L'!$BD$174</f>
        <v>175.60400000000001</v>
      </c>
      <c r="AP32" s="575"/>
      <c r="AQ32" s="575">
        <f>'qtrP&amp;L'!BH171</f>
        <v>176.55099999999999</v>
      </c>
      <c r="AR32" s="575">
        <f>'qtrP&amp;L'!BH172</f>
        <v>176.61600000000001</v>
      </c>
      <c r="AS32" s="575">
        <f>'qtrP&amp;L'!BH173</f>
        <v>176.029</v>
      </c>
      <c r="AT32" s="575">
        <f>'qtrP&amp;L'!BH174</f>
        <v>175.93799999999999</v>
      </c>
      <c r="AU32" s="575"/>
      <c r="AV32" s="575">
        <f>'qtrP&amp;L'!$BL$171</f>
        <v>177.69200000000001</v>
      </c>
      <c r="AW32" s="575">
        <f>'qtrP&amp;L'!$BL$172</f>
        <v>178.566</v>
      </c>
      <c r="AX32" s="575">
        <f>'qtrP&amp;L'!$BL$173</f>
        <v>179.251</v>
      </c>
      <c r="AY32" s="575">
        <f>'qtrP&amp;L'!$BL$174</f>
        <v>179.50899999999999</v>
      </c>
      <c r="AZ32" s="575"/>
      <c r="BA32" s="575">
        <f>'qtrP&amp;L'!$BP$171</f>
        <v>178.833</v>
      </c>
      <c r="BB32" s="575">
        <f>'qtrP&amp;L'!$BP$172</f>
        <v>178.774</v>
      </c>
      <c r="BC32" s="575">
        <f>'qtrP&amp;L'!$BP$173</f>
        <v>177.262</v>
      </c>
      <c r="BD32" s="575">
        <f>'qtrP&amp;L'!$BP$174</f>
        <v>177.197</v>
      </c>
      <c r="BE32" s="575"/>
      <c r="BF32" s="575">
        <f>'qtrP&amp;L'!$BT$171</f>
        <v>176.11199999999999</v>
      </c>
      <c r="BG32" s="575">
        <f>'qtrP&amp;L'!$BT$172</f>
        <v>172.495</v>
      </c>
      <c r="BH32" s="575">
        <f>'qtrP&amp;L'!$BT$173</f>
        <v>167.57499999999999</v>
      </c>
      <c r="BI32" s="575">
        <f>'qtrP&amp;L'!$BT$174</f>
        <v>164.80099999999999</v>
      </c>
      <c r="BJ32" s="575"/>
      <c r="BK32" s="575">
        <f>'qtrP&amp;L'!$BX$171</f>
        <v>167.76372870283501</v>
      </c>
      <c r="BL32" s="575">
        <f>'qtrP&amp;L'!$BX$172</f>
        <v>164.732</v>
      </c>
      <c r="BM32" s="575">
        <f>'qtrP&amp;L'!$BX$173</f>
        <v>164.411</v>
      </c>
      <c r="BN32" s="575">
        <f>'qtrP&amp;L'!$BX$174</f>
        <v>163.35486</v>
      </c>
      <c r="BO32" s="575"/>
      <c r="BP32" s="575">
        <f>'qtrP&amp;L'!CB171</f>
        <v>159.536</v>
      </c>
      <c r="BQ32" s="575">
        <f>'qtrP&amp;L'!CB172</f>
        <v>158.55612000000002</v>
      </c>
      <c r="BR32" s="575">
        <f>'qtrP&amp;L'!CB173</f>
        <v>156.02761800000002</v>
      </c>
      <c r="BS32" s="575">
        <f>'qtrP&amp;L'!CB174</f>
        <v>150.291203</v>
      </c>
      <c r="BT32" s="575"/>
      <c r="BU32" s="575">
        <f>'qtrP&amp;L'!CF171</f>
        <v>150.54400000000001</v>
      </c>
      <c r="BV32" s="575">
        <f>'qtrP&amp;L'!CF172</f>
        <v>149.21799999999999</v>
      </c>
      <c r="BW32" s="575">
        <f>'qtrP&amp;L'!CF173</f>
        <v>149.03700000000001</v>
      </c>
      <c r="BX32" s="576">
        <f>'qtrP&amp;L'!CF174</f>
        <v>148.75399999999999</v>
      </c>
      <c r="BY32" s="575"/>
      <c r="BZ32" s="575">
        <f>'qtrP&amp;L'!CJ171</f>
        <v>143.77099999999999</v>
      </c>
      <c r="CA32" s="575">
        <f>'qtrP&amp;L'!CJ172</f>
        <v>140.46100000000001</v>
      </c>
      <c r="CB32" s="575">
        <f>'qtrP&amp;L'!CJ173</f>
        <v>136.172</v>
      </c>
      <c r="CC32" s="576">
        <f>'qtrP&amp;L'!CJ174</f>
        <v>135.27500000000001</v>
      </c>
      <c r="CD32" s="575"/>
      <c r="CE32" s="575">
        <f>'qtrP&amp;L'!CN171</f>
        <v>131.68899999999999</v>
      </c>
      <c r="CF32" s="575">
        <f>'qtrP&amp;L'!CN172</f>
        <v>129.36199999999999</v>
      </c>
      <c r="CG32" s="575">
        <f>'qtrP&amp;L'!CN173</f>
        <v>128.99600000000001</v>
      </c>
      <c r="CH32" s="576">
        <f>'qtrP&amp;L'!CN174</f>
        <v>126.905</v>
      </c>
      <c r="CI32" s="576"/>
      <c r="CJ32" s="575">
        <f t="array" ref="CJ32:CM32">TRANSPOSE('qtrP&amp;L'!CR171:CR174)</f>
        <v>126.10299999999999</v>
      </c>
      <c r="CK32" s="575">
        <v>125.67700000000001</v>
      </c>
      <c r="CL32" s="575">
        <v>124.989</v>
      </c>
      <c r="CM32" s="576">
        <v>124.80800000000001</v>
      </c>
      <c r="CN32" s="576"/>
      <c r="CO32" s="575">
        <f t="array" ref="CO32:CR32">TRANSPOSE('qtrP&amp;L'!CV171:CV174)</f>
        <v>123.14133333333334</v>
      </c>
      <c r="CP32" s="575">
        <v>121.47466666666666</v>
      </c>
      <c r="CQ32" s="575">
        <v>119.80799999999999</v>
      </c>
      <c r="CR32" s="576">
        <v>118.14133333333332</v>
      </c>
      <c r="CS32" s="575"/>
      <c r="CT32" s="576">
        <f>'yrP&amp;L'!H57</f>
        <v>163.33078499999999</v>
      </c>
      <c r="CU32" s="576">
        <f>'yrP&amp;L'!I57</f>
        <v>167.55667199999999</v>
      </c>
      <c r="CV32" s="576">
        <f>'yrP&amp;L'!J57</f>
        <v>172.06410399999999</v>
      </c>
      <c r="CW32" s="576">
        <f>'yrP&amp;L'!K57</f>
        <v>176.136415</v>
      </c>
      <c r="CX32" s="576">
        <f>'yrP&amp;L'!L57</f>
        <v>180.149</v>
      </c>
      <c r="CY32" s="576">
        <f>'yrP&amp;L'!M57</f>
        <v>182.40799999999999</v>
      </c>
      <c r="CZ32" s="577">
        <f>'yrP&amp;L'!N57</f>
        <v>178.452</v>
      </c>
      <c r="DA32" s="577">
        <f>'yrP&amp;L'!O57</f>
        <v>176.35499999999999</v>
      </c>
      <c r="DB32" s="576">
        <f>'yrP&amp;L'!P57</f>
        <v>176.60599999999999</v>
      </c>
      <c r="DC32" s="577">
        <f>'yrP&amp;L'!Q57</f>
        <v>178.858</v>
      </c>
      <c r="DD32" s="577">
        <f>'yrP&amp;L'!R57</f>
        <v>178.03399999999999</v>
      </c>
      <c r="DE32" s="576">
        <f>'yrP&amp;L'!S57</f>
        <v>170.25</v>
      </c>
      <c r="DF32" s="576">
        <f>'yrP&amp;L'!T57</f>
        <v>166.249393</v>
      </c>
      <c r="DG32" s="576">
        <f>'yrP&amp;L'!U57</f>
        <v>159.94219299999997</v>
      </c>
      <c r="DH32" s="576">
        <f>'yrP&amp;L'!V57</f>
        <v>150.126</v>
      </c>
      <c r="DI32" s="576">
        <f>'yrP&amp;L'!W57</f>
        <v>138.74100000000001</v>
      </c>
      <c r="DJ32" s="578">
        <f>'yrP&amp;L'!X57</f>
        <v>129.23699999999999</v>
      </c>
      <c r="DK32" s="576">
        <f>'yrP&amp;L'!Y57</f>
        <v>125.40300000000001</v>
      </c>
      <c r="DL32" s="576">
        <f>'yrP&amp;L'!Z57</f>
        <v>120.64133333333332</v>
      </c>
      <c r="DM32" s="576">
        <f>'yrP&amp;L'!AA57</f>
        <v>113.52594871794871</v>
      </c>
      <c r="DN32" s="576">
        <f>'yrP&amp;L'!AB57</f>
        <v>109.24023443223442</v>
      </c>
      <c r="DO32" s="576">
        <f>'yrP&amp;L'!AC57</f>
        <v>105.24023443223442</v>
      </c>
      <c r="DP32" s="174"/>
    </row>
    <row r="33" spans="1:120" hidden="1" outlineLevel="1">
      <c r="A33" s="560" t="s">
        <v>489</v>
      </c>
      <c r="B33" s="575"/>
      <c r="C33" s="575">
        <f>+'qtrP&amp;L'!$AB199</f>
        <v>154.29599999999999</v>
      </c>
      <c r="D33" s="575">
        <f>+'qtrP&amp;L'!$AB200</f>
        <v>155.637</v>
      </c>
      <c r="E33" s="575">
        <f>+'qtrP&amp;L'!$AB201</f>
        <v>157.221</v>
      </c>
      <c r="F33" s="575">
        <f>+'qtrP&amp;L'!$AB202</f>
        <v>157.30199999999999</v>
      </c>
      <c r="G33" s="575"/>
      <c r="H33" s="575">
        <f>+'qtrP&amp;L'!$AF199</f>
        <v>158.499</v>
      </c>
      <c r="I33" s="575">
        <f>+'qtrP&amp;L'!$AF200</f>
        <v>160.00200000000001</v>
      </c>
      <c r="J33" s="575">
        <f>+'qtrP&amp;L'!$AF201</f>
        <v>161.58600000000001</v>
      </c>
      <c r="K33" s="575">
        <f>+'qtrP&amp;L'!$AF202</f>
        <v>162.84800000000001</v>
      </c>
      <c r="L33" s="575"/>
      <c r="M33" s="575">
        <f>+'qtrP&amp;L'!$AJ199</f>
        <v>163.77199999999999</v>
      </c>
      <c r="N33" s="575">
        <f>+'qtrP&amp;L'!$AJ200</f>
        <v>164.93600000000001</v>
      </c>
      <c r="O33" s="575">
        <f>+'qtrP&amp;L'!$AJ201</f>
        <v>167.49</v>
      </c>
      <c r="P33" s="575">
        <f>+'qtrP&amp;L'!$AJ202</f>
        <v>170.27199999999999</v>
      </c>
      <c r="Q33" s="575"/>
      <c r="R33" s="575">
        <f>+'qtrP&amp;L'!$AN199</f>
        <v>171.02600000000001</v>
      </c>
      <c r="S33" s="575">
        <f>+'qtrP&amp;L'!$AN200</f>
        <v>171.93799999999999</v>
      </c>
      <c r="T33" s="575">
        <f>+'qtrP&amp;L'!$AN201</f>
        <v>173.636</v>
      </c>
      <c r="U33" s="575">
        <f>+'qtrP&amp;L'!$AN202</f>
        <v>174.62</v>
      </c>
      <c r="V33" s="575"/>
      <c r="W33" s="575">
        <f>+'qtrP&amp;L'!$AR199</f>
        <v>176.94</v>
      </c>
      <c r="X33" s="575">
        <f>+'qtrP&amp;L'!$AR200</f>
        <v>178.69919999999996</v>
      </c>
      <c r="Y33" s="575">
        <f>+'qtrP&amp;L'!$AR201</f>
        <v>179.04019999999997</v>
      </c>
      <c r="Z33" s="575">
        <f>+'qtrP&amp;L'!$AR202</f>
        <v>179.11019999999996</v>
      </c>
      <c r="AA33" s="575"/>
      <c r="AB33" s="575">
        <f>+'qtrP&amp;L'!$AV199</f>
        <v>179.60499999999999</v>
      </c>
      <c r="AC33" s="575">
        <f>+'qtrP&amp;L'!$AV200</f>
        <v>180.56969999999998</v>
      </c>
      <c r="AD33" s="575">
        <f>+'qtrP&amp;L'!$AV201</f>
        <v>181.15619999999998</v>
      </c>
      <c r="AE33" s="575">
        <f>+'qtrP&amp;L'!$AV202</f>
        <v>181.60219999999998</v>
      </c>
      <c r="AF33" s="575"/>
      <c r="AG33" s="575">
        <f>+'qtrP&amp;L'!$AZ199</f>
        <v>175.42099999999999</v>
      </c>
      <c r="AH33" s="575">
        <f>+'qtrP&amp;L'!$AZ200</f>
        <v>177.38499999999999</v>
      </c>
      <c r="AI33" s="575">
        <f>+'qtrP&amp;L'!$AZ201</f>
        <v>175.23400000000001</v>
      </c>
      <c r="AJ33" s="575">
        <f>+'qtrP&amp;L'!$AZ202</f>
        <v>175.32599999999999</v>
      </c>
      <c r="AK33" s="575"/>
      <c r="AL33" s="575">
        <f>+'qtrP&amp;L'!$BD199</f>
        <v>175.42099999999999</v>
      </c>
      <c r="AM33" s="575">
        <f>+'qtrP&amp;L'!$BD200</f>
        <v>175.5</v>
      </c>
      <c r="AN33" s="575">
        <f>+'qtrP&amp;L'!$BD201</f>
        <v>175.511</v>
      </c>
      <c r="AO33" s="575">
        <f>+'qtrP&amp;L'!$BD202</f>
        <v>175.60400000000001</v>
      </c>
      <c r="AP33" s="575"/>
      <c r="AQ33" s="575">
        <f>+'qtrP&amp;L'!$BH199</f>
        <v>176.36799999999999</v>
      </c>
      <c r="AR33" s="575">
        <f>+'qtrP&amp;L'!$BH200</f>
        <v>176.47300000000001</v>
      </c>
      <c r="AS33" s="575">
        <f>+'qtrP&amp;L'!$BH201</f>
        <v>175.876</v>
      </c>
      <c r="AT33" s="575">
        <f>+'qtrP&amp;L'!$BH202</f>
        <v>177.06899999999999</v>
      </c>
      <c r="AU33" s="575"/>
      <c r="AV33" s="575">
        <f>+'qtrP&amp;L'!$BL199</f>
        <v>177.221</v>
      </c>
      <c r="AW33" s="575">
        <f>+'qtrP&amp;L'!$BL200</f>
        <v>177.22800000000001</v>
      </c>
      <c r="AX33" s="575">
        <f>+'qtrP&amp;L'!$BL201</f>
        <v>177.66200000000001</v>
      </c>
      <c r="AY33" s="575">
        <f>+'qtrP&amp;L'!$BL202</f>
        <v>177.95</v>
      </c>
      <c r="AZ33" s="575"/>
      <c r="BA33" s="575">
        <f>+'qtrP&amp;L'!$BP199</f>
        <v>177.33600000000001</v>
      </c>
      <c r="BB33" s="575">
        <f>+'qtrP&amp;L'!$BP200</f>
        <v>177.499</v>
      </c>
      <c r="BC33" s="575">
        <f>+'qtrP&amp;L'!$BP201</f>
        <v>176.215</v>
      </c>
      <c r="BD33" s="575">
        <f>+'qtrP&amp;L'!$BP202</f>
        <v>176.029</v>
      </c>
      <c r="BE33" s="575"/>
      <c r="BF33" s="575">
        <f>+'qtrP&amp;L'!$BT199</f>
        <v>174.881</v>
      </c>
      <c r="BG33" s="575">
        <f>+'qtrP&amp;L'!$BT200</f>
        <v>171.28200000000001</v>
      </c>
      <c r="BH33" s="575">
        <f>+'qtrP&amp;L'!$BT201</f>
        <v>166.51900000000001</v>
      </c>
      <c r="BI33" s="575">
        <f>+'qtrP&amp;L'!$BT202</f>
        <v>163.87100000000001</v>
      </c>
      <c r="BJ33" s="575"/>
      <c r="BK33" s="575">
        <f>+'qtrP&amp;L'!$BX199</f>
        <v>163.97399999999999</v>
      </c>
      <c r="BL33" s="575">
        <f>+'qtrP&amp;L'!$BX200</f>
        <v>163.822</v>
      </c>
      <c r="BM33" s="575">
        <f>+'qtrP&amp;L'!$BX201</f>
        <v>163.25299999999999</v>
      </c>
      <c r="BN33" s="575">
        <f>+'qtrP&amp;L'!$BX202</f>
        <v>161.05099999999999</v>
      </c>
      <c r="BO33" s="575"/>
      <c r="BP33" s="579">
        <f>'qtrP&amp;L'!CB199</f>
        <v>158.584</v>
      </c>
      <c r="BQ33" s="579">
        <f>'qtrP&amp;L'!CB200</f>
        <v>156.589</v>
      </c>
      <c r="BR33" s="579">
        <f>'qtrP&amp;L'!CB201</f>
        <v>155.22800000000001</v>
      </c>
      <c r="BS33" s="579">
        <f>'qtrP&amp;L'!CB202</f>
        <v>150.291</v>
      </c>
      <c r="BT33" s="579"/>
      <c r="BU33" s="579">
        <f>'qtrP&amp;L'!CF199</f>
        <v>148.47499999999999</v>
      </c>
      <c r="BV33" s="579">
        <f>'qtrP&amp;L'!CF200</f>
        <v>148.69399999999999</v>
      </c>
      <c r="BW33" s="579">
        <f>'qtrP&amp;L'!CF201</f>
        <v>148.56399999999999</v>
      </c>
      <c r="BX33" s="578">
        <f>'qtrP&amp;L'!CF202</f>
        <v>148.75399999999999</v>
      </c>
      <c r="BY33" s="579"/>
      <c r="BZ33" s="579">
        <f>'qtrP&amp;L'!CJ199</f>
        <v>143.77099999999999</v>
      </c>
      <c r="CA33" s="579">
        <f>'qtrP&amp;L'!CJ200</f>
        <v>140.46100000000001</v>
      </c>
      <c r="CB33" s="579">
        <f>'qtrP&amp;L'!CJ201</f>
        <v>136.172</v>
      </c>
      <c r="CC33" s="578">
        <f>'qtrP&amp;L'!CJ202</f>
        <v>135.27500000000001</v>
      </c>
      <c r="CD33" s="579"/>
      <c r="CE33" s="579">
        <f>'qtrP&amp;L'!CN199</f>
        <v>131.59399999999999</v>
      </c>
      <c r="CF33" s="579">
        <f>'qtrP&amp;L'!CN200</f>
        <v>129.215</v>
      </c>
      <c r="CG33" s="579">
        <f>'qtrP&amp;L'!CN201</f>
        <v>128.75299999999999</v>
      </c>
      <c r="CH33" s="578">
        <f>'qtrP&amp;L'!CN202</f>
        <v>126.489</v>
      </c>
      <c r="CI33" s="578"/>
      <c r="CJ33" s="579"/>
      <c r="CK33" s="579"/>
      <c r="CL33" s="579"/>
      <c r="CM33" s="578"/>
      <c r="CN33" s="578"/>
      <c r="CO33" s="579"/>
      <c r="CP33" s="579"/>
      <c r="CQ33" s="579"/>
      <c r="CR33" s="578"/>
      <c r="CS33" s="575"/>
      <c r="CT33" s="576">
        <f>+'yrP&amp;L'!H72</f>
        <v>156.114</v>
      </c>
      <c r="CU33" s="576">
        <f>+'yrP&amp;L'!I72</f>
        <v>160.73374999999999</v>
      </c>
      <c r="CV33" s="576">
        <f>+'yrP&amp;L'!J72</f>
        <v>166.61750000000001</v>
      </c>
      <c r="CW33" s="576">
        <f>+'yrP&amp;L'!K72</f>
        <v>172.80500000000001</v>
      </c>
      <c r="CX33" s="576">
        <f>+'yrP&amp;L'!L72</f>
        <v>178.256</v>
      </c>
      <c r="CY33" s="576">
        <f>+'yrP&amp;L'!M72</f>
        <v>180.465</v>
      </c>
      <c r="CZ33" s="577">
        <f>+'yrP&amp;L'!N72</f>
        <v>177.273</v>
      </c>
      <c r="DA33" s="577">
        <f>+'yrP&amp;L'!O72</f>
        <v>174.73069999999998</v>
      </c>
      <c r="DB33" s="576">
        <f>+'yrP&amp;L'!P72</f>
        <v>174.50319999999999</v>
      </c>
      <c r="DC33" s="577">
        <f>+'yrP&amp;L'!Q72</f>
        <v>176.45569999999998</v>
      </c>
      <c r="DD33" s="577">
        <f>+'yrP&amp;L'!R72</f>
        <v>177.08519999999999</v>
      </c>
      <c r="DE33" s="576">
        <f>+'yrP&amp;L'!S72</f>
        <v>169.73119999999997</v>
      </c>
      <c r="DF33" s="576">
        <f>+'yrP&amp;L'!T72</f>
        <v>154.55892866666662</v>
      </c>
      <c r="DG33" s="576">
        <f>+'yrP&amp;L'!U72</f>
        <v>150.07179299999993</v>
      </c>
      <c r="DH33" s="576">
        <f>+'yrP&amp;L'!V72</f>
        <v>142.01009649999992</v>
      </c>
      <c r="DI33" s="576">
        <f>+'yrP&amp;L'!W72</f>
        <v>131.40949999999995</v>
      </c>
      <c r="DJ33" s="576">
        <f>+'yrP&amp;L'!X72</f>
        <v>120.96499999999995</v>
      </c>
      <c r="DK33" s="576">
        <f>+'yrP&amp;L'!Y72</f>
        <v>114.29599999999994</v>
      </c>
      <c r="DL33" s="576">
        <f>+'yrP&amp;L'!Z72</f>
        <v>109.99816666666661</v>
      </c>
      <c r="DM33" s="576">
        <f>+'yrP&amp;L'!AA72</f>
        <v>104.05964102564096</v>
      </c>
      <c r="DN33" s="576">
        <f>+'yrP&amp;L'!AB72</f>
        <v>98.359091575091497</v>
      </c>
      <c r="DO33" s="576">
        <f>+'yrP&amp;L'!AC72</f>
        <v>94.216234432234359</v>
      </c>
      <c r="DP33" s="122"/>
    </row>
    <row r="34" spans="1:120" collapsed="1">
      <c r="A34" s="560" t="s">
        <v>689</v>
      </c>
      <c r="B34" s="575"/>
      <c r="C34" s="575">
        <f>+'qtrP&amp;L'!$AB189</f>
        <v>155.04300000000001</v>
      </c>
      <c r="D34" s="575">
        <f>+'qtrP&amp;L'!$AB190</f>
        <v>156.94200000000001</v>
      </c>
      <c r="E34" s="575">
        <f>+'qtrP&amp;L'!$AB191</f>
        <v>157.446</v>
      </c>
      <c r="F34" s="575">
        <f>+'qtrP&amp;L'!$AB192</f>
        <v>157.49100000000001</v>
      </c>
      <c r="G34" s="575"/>
      <c r="H34" s="575">
        <f>+'qtrP&amp;L'!$AF189</f>
        <v>159.74719999999999</v>
      </c>
      <c r="I34" s="575">
        <f>+'qtrP&amp;L'!$AF190</f>
        <v>160.4572</v>
      </c>
      <c r="J34" s="575">
        <f>+'qtrP&amp;L'!$AF191</f>
        <v>162.36099999999999</v>
      </c>
      <c r="K34" s="575">
        <f>+'qtrP&amp;L'!$AF192</f>
        <v>163.1626</v>
      </c>
      <c r="L34" s="575"/>
      <c r="M34" s="575">
        <f>+'qtrP&amp;L'!$AJ189</f>
        <v>163.77199999999999</v>
      </c>
      <c r="N34" s="575">
        <f>+'qtrP&amp;L'!$AJ190</f>
        <v>167.154</v>
      </c>
      <c r="O34" s="575">
        <f>+'qtrP&amp;L'!$AJ191</f>
        <v>169.79519999999999</v>
      </c>
      <c r="P34" s="575">
        <f>+'qtrP&amp;L'!$AJ192</f>
        <v>170.56399999999999</v>
      </c>
      <c r="Q34" s="575"/>
      <c r="R34" s="575">
        <f>+'qtrP&amp;L'!$AN189</f>
        <v>171.02539999999999</v>
      </c>
      <c r="S34" s="575">
        <f>+'qtrP&amp;L'!$AN190</f>
        <v>172.7996</v>
      </c>
      <c r="T34" s="575">
        <f>+'qtrP&amp;L'!$AN191</f>
        <v>174.23820000000001</v>
      </c>
      <c r="U34" s="575">
        <f>+'qtrP&amp;L'!$AN192</f>
        <v>175.07400000000001</v>
      </c>
      <c r="V34" s="575"/>
      <c r="W34" s="575">
        <f>+'qtrP&amp;L'!$AR189</f>
        <v>178.28819999999999</v>
      </c>
      <c r="X34" s="575">
        <f>+'qtrP&amp;L'!$AR190</f>
        <v>179.11019999999996</v>
      </c>
      <c r="Y34" s="575">
        <f>+'qtrP&amp;L'!$AR191</f>
        <v>178.97019999999998</v>
      </c>
      <c r="Z34" s="575">
        <f>+'qtrP&amp;L'!$AR192</f>
        <v>179.25019999999998</v>
      </c>
      <c r="AA34" s="575"/>
      <c r="AB34" s="575">
        <f>+'qtrP&amp;L'!$AV189</f>
        <v>180.11519999999999</v>
      </c>
      <c r="AC34" s="575">
        <f>+'qtrP&amp;L'!$AV190</f>
        <v>181.02419999999998</v>
      </c>
      <c r="AD34" s="575">
        <f>+'qtrP&amp;L'!$AV191</f>
        <v>181.28819999999999</v>
      </c>
      <c r="AE34" s="575">
        <f>+'qtrP&amp;L'!$AV192</f>
        <v>181.91619999999998</v>
      </c>
      <c r="AF34" s="575"/>
      <c r="AG34" s="575">
        <f>+'qtrP&amp;L'!$AZ189</f>
        <v>181.79519999999997</v>
      </c>
      <c r="AH34" s="575">
        <f>+'qtrP&amp;L'!$AZ190</f>
        <v>177.22719999999998</v>
      </c>
      <c r="AI34" s="575">
        <f>+'qtrP&amp;L'!$AZ191</f>
        <v>174.91619999999998</v>
      </c>
      <c r="AJ34" s="575">
        <f>+'qtrP&amp;L'!$AZ192</f>
        <v>175.12519999999998</v>
      </c>
      <c r="AK34" s="575"/>
      <c r="AL34" s="575">
        <f>+'qtrP&amp;L'!$BD189</f>
        <v>175.32719999999998</v>
      </c>
      <c r="AM34" s="575">
        <f>+'qtrP&amp;L'!$BD190</f>
        <v>175.45019999999997</v>
      </c>
      <c r="AN34" s="575">
        <f>+'qtrP&amp;L'!$BD191</f>
        <v>175.34619999999998</v>
      </c>
      <c r="AO34" s="575">
        <f>+'qtrP&amp;L'!$BD192</f>
        <v>174.33619999999999</v>
      </c>
      <c r="AP34" s="575"/>
      <c r="AQ34" s="575">
        <f>+'qtrP&amp;L'!$BH189</f>
        <v>175.28319999999997</v>
      </c>
      <c r="AR34" s="575">
        <f>+'qtrP&amp;L'!$BH190</f>
        <v>175.34819999999999</v>
      </c>
      <c r="AS34" s="575">
        <f>+'qtrP&amp;L'!$BH191</f>
        <v>174.76119999999997</v>
      </c>
      <c r="AT34" s="575">
        <f>+'qtrP&amp;L'!$BH192</f>
        <v>174.67019999999997</v>
      </c>
      <c r="AU34" s="575"/>
      <c r="AV34" s="575">
        <f>+'qtrP&amp;L'!$BL189</f>
        <v>176.42419999999998</v>
      </c>
      <c r="AW34" s="575">
        <f>+'qtrP&amp;L'!$BL190</f>
        <v>177.29819999999998</v>
      </c>
      <c r="AX34" s="575">
        <f>+'qtrP&amp;L'!$BL191</f>
        <v>177.98319999999998</v>
      </c>
      <c r="AY34" s="575">
        <f>+'qtrP&amp;L'!$BL192</f>
        <v>178.24119999999996</v>
      </c>
      <c r="AZ34" s="575"/>
      <c r="BA34" s="575">
        <f>+'qtrP&amp;L'!$BP189</f>
        <v>177.56519999999998</v>
      </c>
      <c r="BB34" s="575">
        <f>+'qtrP&amp;L'!$BP190</f>
        <v>177.50619999999998</v>
      </c>
      <c r="BC34" s="575">
        <f>+'qtrP&amp;L'!$BP191</f>
        <v>175.99419999999998</v>
      </c>
      <c r="BD34" s="575">
        <f>+'qtrP&amp;L'!$BP192</f>
        <v>175.92919999999998</v>
      </c>
      <c r="BE34" s="575"/>
      <c r="BF34" s="575">
        <f>+'qtrP&amp;L'!$BT189</f>
        <v>174.84419999999997</v>
      </c>
      <c r="BG34" s="575">
        <f>+'qtrP&amp;L'!$BT190</f>
        <v>171.22719999999998</v>
      </c>
      <c r="BH34" s="575">
        <f>+'qtrP&amp;L'!$BT191</f>
        <v>166.30719999999997</v>
      </c>
      <c r="BI34" s="575">
        <f>+'qtrP&amp;L'!$BT192</f>
        <v>163.53319999999997</v>
      </c>
      <c r="BJ34" s="575"/>
      <c r="BK34" s="575">
        <f>+'qtrP&amp;L'!$BX189</f>
        <v>166.49592870283499</v>
      </c>
      <c r="BL34" s="575">
        <f>+'qtrP&amp;L'!$BX190</f>
        <v>163.46419999999998</v>
      </c>
      <c r="BM34" s="575">
        <f>+'qtrP&amp;L'!$BX191</f>
        <v>163.14319999999998</v>
      </c>
      <c r="BN34" s="575">
        <f>+'qtrP&amp;L'!$BX192</f>
        <v>162.08705999999998</v>
      </c>
      <c r="BO34" s="575"/>
      <c r="BP34" s="575">
        <f>'qtrP&amp;L'!CB189</f>
        <v>158.26819999999998</v>
      </c>
      <c r="BQ34" s="575">
        <f>'qtrP&amp;L'!CB190</f>
        <v>157.28832</v>
      </c>
      <c r="BR34" s="575">
        <f>'qtrP&amp;L'!CB191</f>
        <v>154.759818</v>
      </c>
      <c r="BS34" s="575">
        <f>'qtrP&amp;L'!CB192</f>
        <v>149.02340299999997</v>
      </c>
      <c r="BT34" s="575"/>
      <c r="BU34" s="575">
        <f>'qtrP&amp;L'!CF189</f>
        <v>149.27619999999999</v>
      </c>
      <c r="BV34" s="575">
        <f>'qtrP&amp;L'!CF190</f>
        <v>147.95019999999997</v>
      </c>
      <c r="BW34" s="575">
        <f>'qtrP&amp;L'!CF191</f>
        <v>147.76919999999998</v>
      </c>
      <c r="BX34" s="576">
        <f>'qtrP&amp;L'!CF192</f>
        <v>147.48619999999997</v>
      </c>
      <c r="BY34" s="575"/>
      <c r="BZ34" s="575">
        <f>'qtrP&amp;L'!CJ189</f>
        <v>142.50319999999996</v>
      </c>
      <c r="CA34" s="575">
        <f>'qtrP&amp;L'!CJ190</f>
        <v>139.19319999999999</v>
      </c>
      <c r="CB34" s="575">
        <f>'qtrP&amp;L'!CJ191</f>
        <v>134.90419999999997</v>
      </c>
      <c r="CC34" s="576">
        <f>'qtrP&amp;L'!CJ192</f>
        <v>134.00719999999998</v>
      </c>
      <c r="CD34" s="575"/>
      <c r="CE34" s="575">
        <f>'qtrP&amp;L'!CN189</f>
        <v>130.42119999999997</v>
      </c>
      <c r="CF34" s="575">
        <f>'qtrP&amp;L'!CN190</f>
        <v>128.09419999999997</v>
      </c>
      <c r="CG34" s="575">
        <f>'qtrP&amp;L'!CN191</f>
        <v>127.72819999999999</v>
      </c>
      <c r="CH34" s="576">
        <f>'qtrP&amp;L'!CN192</f>
        <v>125.63719999999998</v>
      </c>
      <c r="CI34" s="576"/>
      <c r="CJ34" s="575">
        <f t="array" ref="CJ34:CM34">TRANSPOSE('qtrP&amp;L'!CR189:CR192)</f>
        <v>124.83519999999997</v>
      </c>
      <c r="CK34" s="575">
        <v>124.40919999999998</v>
      </c>
      <c r="CL34" s="575">
        <v>123.72119999999998</v>
      </c>
      <c r="CM34" s="576">
        <v>123.54019999999998</v>
      </c>
      <c r="CN34" s="576"/>
      <c r="CO34" s="575">
        <f t="array" ref="CO34:CR34">TRANSPOSE('qtrP&amp;L'!CV189:CV192)</f>
        <v>121.87353333333331</v>
      </c>
      <c r="CP34" s="575">
        <v>120.20686666666664</v>
      </c>
      <c r="CQ34" s="575">
        <v>118.54019999999997</v>
      </c>
      <c r="CR34" s="576">
        <v>116.8735333333333</v>
      </c>
      <c r="CS34" s="575"/>
      <c r="CT34" s="576">
        <f>+'yrP&amp;L'!H71</f>
        <v>157.49100000000001</v>
      </c>
      <c r="CU34" s="576">
        <f>+'yrP&amp;L'!I71</f>
        <v>163.1626</v>
      </c>
      <c r="CV34" s="576">
        <f>+'yrP&amp;L'!J71</f>
        <v>170.56399999999999</v>
      </c>
      <c r="CW34" s="576">
        <f>+'yrP&amp;L'!K71</f>
        <v>175.07400000000001</v>
      </c>
      <c r="CX34" s="576">
        <f>+'yrP&amp;L'!L71</f>
        <v>179.25019999999998</v>
      </c>
      <c r="CY34" s="576">
        <f>+'yrP&amp;L'!M71</f>
        <v>181.91619999999998</v>
      </c>
      <c r="CZ34" s="577">
        <f>+'yrP&amp;L'!N71</f>
        <v>175.12519999999998</v>
      </c>
      <c r="DA34" s="577">
        <f>+'yrP&amp;L'!O71</f>
        <v>174.33619999999999</v>
      </c>
      <c r="DB34" s="576">
        <f>+'yrP&amp;L'!P71</f>
        <v>174.67019999999997</v>
      </c>
      <c r="DC34" s="577">
        <f>+'yrP&amp;L'!Q71</f>
        <v>178.24119999999996</v>
      </c>
      <c r="DD34" s="577">
        <f>+'yrP&amp;L'!R71</f>
        <v>175.92919999999998</v>
      </c>
      <c r="DE34" s="576">
        <f>+'yrP&amp;L'!S71</f>
        <v>163.53319999999997</v>
      </c>
      <c r="DF34" s="576">
        <f>+'yrP&amp;L'!T71</f>
        <v>153.22539299999994</v>
      </c>
      <c r="DG34" s="576">
        <f>+'yrP&amp;L'!U71</f>
        <v>146.91819299999992</v>
      </c>
      <c r="DH34" s="576">
        <f>+'yrP&amp;L'!V71</f>
        <v>137.10199999999995</v>
      </c>
      <c r="DI34" s="576">
        <f>+'yrP&amp;L'!W71</f>
        <v>125.71699999999996</v>
      </c>
      <c r="DJ34" s="576">
        <f>+'yrP&amp;L'!X71</f>
        <v>116.21299999999994</v>
      </c>
      <c r="DK34" s="576">
        <f>+'yrP&amp;L'!Y71</f>
        <v>112.37899999999995</v>
      </c>
      <c r="DL34" s="576">
        <f>+'yrP&amp;L'!Z71</f>
        <v>107.61733333333326</v>
      </c>
      <c r="DM34" s="576">
        <f>+'yrP&amp;L'!AA71</f>
        <v>100.50194871794865</v>
      </c>
      <c r="DN34" s="576">
        <f>+'yrP&amp;L'!AB71</f>
        <v>96.216234432234359</v>
      </c>
      <c r="DO34" s="576">
        <f>+'yrP&amp;L'!AC71</f>
        <v>92.216234432234359</v>
      </c>
    </row>
    <row r="35" spans="1:120" ht="7.5" customHeight="1">
      <c r="A35" s="488"/>
      <c r="B35" s="488"/>
      <c r="C35" s="488"/>
      <c r="D35" s="488"/>
      <c r="E35" s="488"/>
      <c r="F35" s="580"/>
      <c r="G35" s="488"/>
      <c r="H35" s="488"/>
      <c r="I35" s="488"/>
      <c r="J35" s="488"/>
      <c r="K35" s="580"/>
      <c r="L35" s="488"/>
      <c r="M35" s="488"/>
      <c r="N35" s="488"/>
      <c r="O35" s="488"/>
      <c r="P35" s="580"/>
      <c r="Q35" s="488"/>
      <c r="R35" s="488"/>
      <c r="S35" s="488"/>
      <c r="T35" s="488"/>
      <c r="U35" s="580"/>
      <c r="V35" s="488"/>
      <c r="W35" s="488"/>
      <c r="X35" s="488"/>
      <c r="Y35" s="488"/>
      <c r="Z35" s="580"/>
      <c r="AA35" s="488"/>
      <c r="AB35" s="488"/>
      <c r="AC35" s="488"/>
      <c r="AD35" s="488"/>
      <c r="AE35" s="580"/>
      <c r="AF35" s="488"/>
      <c r="AG35" s="488"/>
      <c r="AH35" s="488"/>
      <c r="AI35" s="488"/>
      <c r="AJ35" s="580"/>
      <c r="AK35" s="488"/>
      <c r="AL35" s="488"/>
      <c r="AM35" s="488"/>
      <c r="AN35" s="488"/>
      <c r="AO35" s="580"/>
      <c r="AP35" s="580"/>
      <c r="AQ35" s="580"/>
      <c r="AR35" s="580"/>
      <c r="AS35" s="580"/>
      <c r="AT35" s="580"/>
      <c r="AU35" s="580"/>
      <c r="AV35" s="580"/>
      <c r="AW35" s="580"/>
      <c r="AX35" s="580"/>
      <c r="AY35" s="580"/>
      <c r="AZ35" s="488"/>
      <c r="BA35" s="580"/>
      <c r="BB35" s="580"/>
      <c r="BC35" s="580"/>
      <c r="BD35" s="580"/>
      <c r="BE35" s="488"/>
      <c r="BF35" s="580"/>
      <c r="BG35" s="580"/>
      <c r="BH35" s="580"/>
      <c r="BI35" s="580"/>
      <c r="BJ35" s="488"/>
      <c r="BK35" s="580"/>
      <c r="BL35" s="580"/>
      <c r="BM35" s="580"/>
      <c r="BN35" s="580"/>
      <c r="BO35" s="488"/>
      <c r="BP35" s="488"/>
      <c r="BQ35" s="488"/>
      <c r="BR35" s="488"/>
      <c r="BS35" s="488"/>
      <c r="BT35" s="488"/>
      <c r="BU35" s="488"/>
      <c r="BV35" s="488"/>
      <c r="BW35" s="488"/>
      <c r="BX35" s="535"/>
      <c r="BY35" s="488"/>
      <c r="BZ35" s="488"/>
      <c r="CA35" s="488"/>
      <c r="CB35" s="488"/>
      <c r="CC35" s="535"/>
      <c r="CD35" s="488"/>
      <c r="CE35" s="488"/>
      <c r="CF35" s="488"/>
      <c r="CG35" s="488"/>
      <c r="CH35" s="535"/>
      <c r="CI35" s="535"/>
      <c r="CJ35" s="488"/>
      <c r="CK35" s="488"/>
      <c r="CL35" s="488"/>
      <c r="CM35" s="535"/>
      <c r="CN35" s="535"/>
      <c r="CO35" s="488"/>
      <c r="CP35" s="488"/>
      <c r="CQ35" s="488"/>
      <c r="CR35" s="535"/>
      <c r="CS35" s="488"/>
      <c r="CT35" s="535"/>
      <c r="CU35" s="581"/>
      <c r="CV35" s="581"/>
      <c r="CW35" s="581"/>
      <c r="CX35" s="581"/>
      <c r="CY35" s="581"/>
      <c r="CZ35" s="582"/>
      <c r="DA35" s="582"/>
      <c r="DB35" s="581"/>
      <c r="DC35" s="582"/>
      <c r="DD35" s="582"/>
      <c r="DE35" s="581"/>
      <c r="DF35" s="581"/>
      <c r="DG35" s="581"/>
      <c r="DH35" s="581"/>
      <c r="DI35" s="581"/>
      <c r="DJ35" s="122"/>
      <c r="DK35" s="122"/>
      <c r="DL35" s="122"/>
      <c r="DM35" s="122"/>
      <c r="DN35" s="122"/>
      <c r="DO35" s="122"/>
    </row>
    <row r="36" spans="1:120">
      <c r="A36" s="538" t="s">
        <v>260</v>
      </c>
      <c r="B36" s="540"/>
      <c r="C36" s="539">
        <f>C21+C11</f>
        <v>13.105831000000002</v>
      </c>
      <c r="D36" s="539">
        <f>D21+D11</f>
        <v>13.045511000000005</v>
      </c>
      <c r="E36" s="539">
        <f>E21+E11</f>
        <v>14.070424999999993</v>
      </c>
      <c r="F36" s="539">
        <f>F21+F11</f>
        <v>11.119451999999995</v>
      </c>
      <c r="G36" s="583"/>
      <c r="H36" s="539">
        <f>H21+H11</f>
        <v>21.879075</v>
      </c>
      <c r="I36" s="539">
        <f>I21+I11</f>
        <v>20.096602999999995</v>
      </c>
      <c r="J36" s="539">
        <f>J21+J11</f>
        <v>16.891091999999993</v>
      </c>
      <c r="K36" s="539">
        <f>K21+K11</f>
        <v>18.779276999999993</v>
      </c>
      <c r="L36" s="539"/>
      <c r="M36" s="539">
        <f>M21+M11</f>
        <v>35.054842000000015</v>
      </c>
      <c r="N36" s="539">
        <f>N21+N11</f>
        <v>29.737445000000001</v>
      </c>
      <c r="O36" s="539">
        <f>O21+O11</f>
        <v>28.709780000000002</v>
      </c>
      <c r="P36" s="539">
        <f>P21+P11</f>
        <v>28.320955000000005</v>
      </c>
      <c r="Q36" s="539"/>
      <c r="R36" s="539">
        <f>R21+R11</f>
        <v>42.011021999999983</v>
      </c>
      <c r="S36" s="539">
        <f>S21+S11</f>
        <v>44.192692999999991</v>
      </c>
      <c r="T36" s="539">
        <f>T21+T11</f>
        <v>48.551999999999992</v>
      </c>
      <c r="U36" s="539">
        <f>U21+U11</f>
        <v>47.161000000000001</v>
      </c>
      <c r="V36" s="539"/>
      <c r="W36" s="539">
        <f>W21+W11</f>
        <v>64.031000000000006</v>
      </c>
      <c r="X36" s="539">
        <f>X21+X11</f>
        <v>63.691000000000003</v>
      </c>
      <c r="Y36" s="539">
        <f>Y21+Y11</f>
        <v>66.229000000000042</v>
      </c>
      <c r="Z36" s="539">
        <f>Z21+Z11</f>
        <v>62.904999999999987</v>
      </c>
      <c r="AA36" s="539"/>
      <c r="AB36" s="539">
        <f>AB21+AB11</f>
        <v>82.783000000000015</v>
      </c>
      <c r="AC36" s="539">
        <f>AC21+AC11</f>
        <v>86.440000000000012</v>
      </c>
      <c r="AD36" s="539">
        <f>AD21+AD11</f>
        <v>93.646000000000015</v>
      </c>
      <c r="AE36" s="539">
        <f>AE21+AE11</f>
        <v>79.64500000000001</v>
      </c>
      <c r="AF36" s="539"/>
      <c r="AG36" s="539">
        <f>AG21+AG11</f>
        <v>93.490000000000052</v>
      </c>
      <c r="AH36" s="539">
        <f>AH21+AH11</f>
        <v>98.779999999999973</v>
      </c>
      <c r="AI36" s="539">
        <f>AI21+AI11</f>
        <v>80.57999999999997</v>
      </c>
      <c r="AJ36" s="539">
        <f>AJ21+AJ11</f>
        <v>52.690999999999974</v>
      </c>
      <c r="AK36" s="539"/>
      <c r="AL36" s="539">
        <f>AL21+AL11</f>
        <v>94.433999999999969</v>
      </c>
      <c r="AM36" s="539">
        <f>AM21+AM11</f>
        <v>77.312999999999988</v>
      </c>
      <c r="AN36" s="539">
        <f>AN21+AN11</f>
        <v>43.478999999999992</v>
      </c>
      <c r="AO36" s="539">
        <f>AO21+AO11</f>
        <v>-12.174999999999962</v>
      </c>
      <c r="AP36" s="539"/>
      <c r="AQ36" s="539">
        <f>AQ21+AQ11</f>
        <v>40.210000000000008</v>
      </c>
      <c r="AR36" s="539">
        <f>AR21+AR11</f>
        <v>30.114000000000029</v>
      </c>
      <c r="AS36" s="539">
        <f>AS21+AS11</f>
        <v>20.740999999999982</v>
      </c>
      <c r="AT36" s="539">
        <f>AT21+AT11</f>
        <v>-9.4219999999999722</v>
      </c>
      <c r="AU36" s="539"/>
      <c r="AV36" s="539">
        <f>AV21+AV11</f>
        <v>52.810999999999993</v>
      </c>
      <c r="AW36" s="539">
        <f>AW21+AW11</f>
        <v>51.365000000000023</v>
      </c>
      <c r="AX36" s="539">
        <f>AX21+AX11</f>
        <v>63.359000000000023</v>
      </c>
      <c r="AY36" s="539">
        <f>AY21+AY11</f>
        <v>52.01600000000002</v>
      </c>
      <c r="AZ36" s="539"/>
      <c r="BA36" s="539">
        <f>BA21+BA11</f>
        <v>78.414000000000016</v>
      </c>
      <c r="BB36" s="539">
        <f>BB21+BB11</f>
        <v>70.663999999999987</v>
      </c>
      <c r="BC36" s="539">
        <f>BC21+BC11</f>
        <v>67.743000000000009</v>
      </c>
      <c r="BD36" s="539">
        <f>BD21+BD11</f>
        <v>55.45</v>
      </c>
      <c r="BE36" s="539"/>
      <c r="BF36" s="539">
        <f>BF21+BF11</f>
        <v>97.006000000000043</v>
      </c>
      <c r="BG36" s="539">
        <f>BG21+BG11</f>
        <v>93.136000000000038</v>
      </c>
      <c r="BH36" s="539">
        <f>BH21+BH11</f>
        <v>71.585000000000036</v>
      </c>
      <c r="BI36" s="539">
        <f>BI21+BI11</f>
        <v>65.213000000000022</v>
      </c>
      <c r="BJ36" s="539"/>
      <c r="BK36" s="539">
        <f>BK21+BK11</f>
        <v>112.45400000000002</v>
      </c>
      <c r="BL36" s="539">
        <f>BL21+BL11</f>
        <v>112.33900000000001</v>
      </c>
      <c r="BM36" s="539">
        <f>BM21+BM11</f>
        <v>94.055999999999912</v>
      </c>
      <c r="BN36" s="539">
        <f>BN21+BN11</f>
        <v>78.995999999999967</v>
      </c>
      <c r="BO36" s="539"/>
      <c r="BP36" s="539">
        <f t="shared" ref="BP36:BX36" si="17">BP21+BP11</f>
        <v>110.155</v>
      </c>
      <c r="BQ36" s="539">
        <f t="shared" si="17"/>
        <v>99.384000000000057</v>
      </c>
      <c r="BR36" s="539">
        <f t="shared" si="17"/>
        <v>84.976999999999919</v>
      </c>
      <c r="BS36" s="539">
        <f t="shared" si="17"/>
        <v>37.436999999999941</v>
      </c>
      <c r="BT36" s="539"/>
      <c r="BU36" s="539">
        <f t="shared" si="17"/>
        <v>95.847000000000008</v>
      </c>
      <c r="BV36" s="539">
        <f t="shared" si="17"/>
        <v>78.819000000000045</v>
      </c>
      <c r="BW36" s="539">
        <f t="shared" si="17"/>
        <v>76.303999999999974</v>
      </c>
      <c r="BX36" s="540">
        <f t="shared" si="17"/>
        <v>47.630000000000045</v>
      </c>
      <c r="BY36" s="539"/>
      <c r="BZ36" s="539">
        <f>BZ21+BZ11</f>
        <v>102.68299999999994</v>
      </c>
      <c r="CA36" s="539">
        <f>CA21+CA11</f>
        <v>91.699999999999989</v>
      </c>
      <c r="CB36" s="539">
        <f>CB21+CB11</f>
        <v>57.141000000000034</v>
      </c>
      <c r="CC36" s="540">
        <f>CC21+CC11</f>
        <v>36.228000000000037</v>
      </c>
      <c r="CD36" s="539"/>
      <c r="CE36" s="539">
        <f>CE21+CE11</f>
        <v>82.150999999999982</v>
      </c>
      <c r="CF36" s="539">
        <f>CF21+CF11</f>
        <v>81.67199999999994</v>
      </c>
      <c r="CG36" s="539">
        <f>CG21+CG11</f>
        <v>65.07000000000005</v>
      </c>
      <c r="CH36" s="540">
        <f>CH21+CH11</f>
        <v>48.073</v>
      </c>
      <c r="CI36" s="540"/>
      <c r="CJ36" s="540">
        <f>CJ21+CJ11</f>
        <v>80.018999999999963</v>
      </c>
      <c r="CK36" s="540">
        <f>CK21+CK11</f>
        <v>60.326000000000008</v>
      </c>
      <c r="CL36" s="540">
        <f>CL21+CL11</f>
        <v>49.234000000000052</v>
      </c>
      <c r="CM36" s="540">
        <f>CM21+CM11</f>
        <v>51.901000000000025</v>
      </c>
      <c r="CN36" s="540"/>
      <c r="CO36" s="540">
        <f>CO21+CO11</f>
        <v>65.393909511600356</v>
      </c>
      <c r="CP36" s="540">
        <f>CP21+CP11</f>
        <v>66.735119750248742</v>
      </c>
      <c r="CQ36" s="540">
        <f>CQ21+CQ11</f>
        <v>50.544492931211096</v>
      </c>
      <c r="CR36" s="540">
        <f>CR21+CR11</f>
        <v>54.815032903176984</v>
      </c>
      <c r="CS36" s="539"/>
      <c r="CT36" s="540">
        <f t="shared" ref="CT36:DK36" si="18">CT21+CT11</f>
        <v>51.341218999999967</v>
      </c>
      <c r="CU36" s="540">
        <f t="shared" si="18"/>
        <v>77.646046999999982</v>
      </c>
      <c r="CV36" s="540">
        <f t="shared" si="18"/>
        <v>121.82302200000001</v>
      </c>
      <c r="CW36" s="540">
        <f t="shared" si="18"/>
        <v>181.91671500000001</v>
      </c>
      <c r="CX36" s="540">
        <f t="shared" si="18"/>
        <v>256.85600000000011</v>
      </c>
      <c r="CY36" s="540">
        <f t="shared" si="18"/>
        <v>342.51400000000001</v>
      </c>
      <c r="CZ36" s="541">
        <f t="shared" si="18"/>
        <v>325.54100000000028</v>
      </c>
      <c r="DA36" s="541">
        <f t="shared" si="18"/>
        <v>203.05099999999987</v>
      </c>
      <c r="DB36" s="540">
        <f t="shared" si="18"/>
        <v>81.642999999999915</v>
      </c>
      <c r="DC36" s="541">
        <f t="shared" si="18"/>
        <v>219.5510000000001</v>
      </c>
      <c r="DD36" s="541">
        <f t="shared" si="18"/>
        <v>272.27099999999979</v>
      </c>
      <c r="DE36" s="540">
        <f t="shared" si="18"/>
        <v>326.94000000000023</v>
      </c>
      <c r="DF36" s="540">
        <f t="shared" si="18"/>
        <v>397.8449999999998</v>
      </c>
      <c r="DG36" s="540">
        <f t="shared" si="18"/>
        <v>331.95299999999986</v>
      </c>
      <c r="DH36" s="540">
        <f t="shared" si="18"/>
        <v>298.60000000000025</v>
      </c>
      <c r="DI36" s="540">
        <f t="shared" si="18"/>
        <v>287.75200000000035</v>
      </c>
      <c r="DJ36" s="540">
        <f t="shared" si="18"/>
        <v>276.96599999999978</v>
      </c>
      <c r="DK36" s="540">
        <f t="shared" si="18"/>
        <v>241.47999999999985</v>
      </c>
      <c r="DL36" s="540">
        <f>DL21+DL11</f>
        <v>237.48855509623695</v>
      </c>
      <c r="DM36" s="540">
        <f>DM21+DM11</f>
        <v>261.03751399318924</v>
      </c>
      <c r="DN36" s="540">
        <f>DN21+DN11</f>
        <v>271.71764455890116</v>
      </c>
      <c r="DO36" s="540">
        <f>DO21+DO11</f>
        <v>281.87670159120137</v>
      </c>
    </row>
    <row r="37" spans="1:120">
      <c r="A37" s="538" t="s">
        <v>224</v>
      </c>
      <c r="B37" s="540"/>
      <c r="C37" s="539"/>
      <c r="D37" s="539"/>
      <c r="E37" s="539"/>
      <c r="F37" s="539"/>
      <c r="G37" s="583"/>
      <c r="H37" s="539"/>
      <c r="I37" s="539"/>
      <c r="J37" s="539"/>
      <c r="K37" s="539"/>
      <c r="L37" s="539"/>
      <c r="M37" s="539"/>
      <c r="N37" s="539"/>
      <c r="O37" s="539"/>
      <c r="P37" s="539"/>
      <c r="Q37" s="539"/>
      <c r="R37" s="539"/>
      <c r="S37" s="539"/>
      <c r="T37" s="539"/>
      <c r="U37" s="539"/>
      <c r="V37" s="539"/>
      <c r="W37" s="539"/>
      <c r="X37" s="539"/>
      <c r="Y37" s="539"/>
      <c r="Z37" s="539"/>
      <c r="AA37" s="539"/>
      <c r="AB37" s="539"/>
      <c r="AC37" s="539"/>
      <c r="AD37" s="539"/>
      <c r="AE37" s="539"/>
      <c r="AF37" s="539"/>
      <c r="AG37" s="539"/>
      <c r="AH37" s="539"/>
      <c r="AI37" s="539"/>
      <c r="AJ37" s="539"/>
      <c r="AK37" s="539"/>
      <c r="AL37" s="539"/>
      <c r="AM37" s="539"/>
      <c r="AN37" s="539"/>
      <c r="AO37" s="539"/>
      <c r="AP37" s="539"/>
      <c r="AQ37" s="539"/>
      <c r="AR37" s="539"/>
      <c r="AS37" s="539"/>
      <c r="AT37" s="539"/>
      <c r="AU37" s="539"/>
      <c r="AV37" s="539"/>
      <c r="AW37" s="539"/>
      <c r="AX37" s="539"/>
      <c r="AY37" s="539"/>
      <c r="AZ37" s="539"/>
      <c r="BA37" s="539"/>
      <c r="BB37" s="539"/>
      <c r="BC37" s="539"/>
      <c r="BD37" s="539"/>
      <c r="BE37" s="539"/>
      <c r="BF37" s="539"/>
      <c r="BG37" s="539"/>
      <c r="BH37" s="539"/>
      <c r="BI37" s="539"/>
      <c r="BJ37" s="539"/>
      <c r="BK37" s="539"/>
      <c r="BL37" s="539"/>
      <c r="BM37" s="539"/>
      <c r="BN37" s="539"/>
      <c r="BO37" s="539"/>
      <c r="BP37" s="539"/>
      <c r="BQ37" s="539"/>
      <c r="BR37" s="539"/>
      <c r="BS37" s="539"/>
      <c r="BT37" s="539"/>
      <c r="BU37" s="539"/>
      <c r="BV37" s="539"/>
      <c r="BW37" s="539"/>
      <c r="BX37" s="540"/>
      <c r="BY37" s="539"/>
      <c r="BZ37" s="539"/>
      <c r="CA37" s="539"/>
      <c r="CB37" s="539"/>
      <c r="CC37" s="540"/>
      <c r="CD37" s="539"/>
      <c r="CE37" s="539"/>
      <c r="CF37" s="539"/>
      <c r="CG37" s="539"/>
      <c r="CH37" s="540"/>
      <c r="CI37" s="540"/>
      <c r="CJ37" s="539"/>
      <c r="CK37" s="539"/>
      <c r="CL37" s="539"/>
      <c r="CM37" s="540"/>
      <c r="CN37" s="540"/>
      <c r="CO37" s="539"/>
      <c r="CP37" s="539"/>
      <c r="CQ37" s="539"/>
      <c r="CR37" s="540"/>
      <c r="CS37" s="539"/>
      <c r="CT37" s="540">
        <f>flow!N18</f>
        <v>40.468992999999998</v>
      </c>
      <c r="CU37" s="540">
        <f>flow!P18</f>
        <v>37.436495999999998</v>
      </c>
      <c r="CV37" s="540">
        <f>flow!R18</f>
        <v>64.741870000000006</v>
      </c>
      <c r="CW37" s="540">
        <f>flow!T18</f>
        <v>52.3</v>
      </c>
      <c r="CX37" s="540">
        <f>flow!V18</f>
        <v>93.064999999999998</v>
      </c>
      <c r="CY37" s="540">
        <f>flow!X18</f>
        <v>147.63499999999999</v>
      </c>
      <c r="CZ37" s="541">
        <f>flow!Z18</f>
        <v>218.31100000000001</v>
      </c>
      <c r="DA37" s="541">
        <f>flow!AB18</f>
        <v>202.22300000000001</v>
      </c>
      <c r="DB37" s="540">
        <f>flow!AD18</f>
        <v>104.61499999999999</v>
      </c>
      <c r="DC37" s="541">
        <f>flow!AF18</f>
        <v>67.92</v>
      </c>
      <c r="DD37" s="541">
        <f>flow!AH18</f>
        <v>73.045000000000002</v>
      </c>
      <c r="DE37" s="540">
        <f>flow!AJ18</f>
        <v>131.75700000000001</v>
      </c>
      <c r="DF37" s="540">
        <f>flow!AL18</f>
        <v>164.69</v>
      </c>
      <c r="DG37" s="540">
        <f>flow!AN18</f>
        <v>138.51</v>
      </c>
      <c r="DH37" s="540">
        <f>flow!AP18</f>
        <v>119.81699999999999</v>
      </c>
      <c r="DI37" s="540">
        <f>flow!AR18</f>
        <v>84.840999999999994</v>
      </c>
      <c r="DJ37" s="540">
        <f>flow!AT18</f>
        <v>47.835999999999999</v>
      </c>
      <c r="DK37" s="540">
        <f>flow!AV18</f>
        <v>48.53</v>
      </c>
      <c r="DL37" s="540">
        <f>flow!AX18</f>
        <v>75</v>
      </c>
      <c r="DM37" s="540">
        <f>flow!AZ18</f>
        <v>75</v>
      </c>
      <c r="DN37" s="540">
        <f>flow!BA18</f>
        <v>0</v>
      </c>
      <c r="DO37" s="540">
        <f>flow!BB18</f>
        <v>75</v>
      </c>
    </row>
    <row r="38" spans="1:120" ht="6.75" customHeight="1">
      <c r="A38" s="488"/>
      <c r="B38" s="488"/>
      <c r="C38" s="488"/>
      <c r="D38" s="488"/>
      <c r="E38" s="488"/>
      <c r="F38" s="488"/>
      <c r="G38" s="488"/>
      <c r="H38" s="488"/>
      <c r="I38" s="488"/>
      <c r="J38" s="488"/>
      <c r="K38" s="488"/>
      <c r="L38" s="488"/>
      <c r="M38" s="488"/>
      <c r="N38" s="488"/>
      <c r="O38" s="488"/>
      <c r="P38" s="488"/>
      <c r="Q38" s="488"/>
      <c r="R38" s="488"/>
      <c r="S38" s="488"/>
      <c r="T38" s="488"/>
      <c r="U38" s="488"/>
      <c r="V38" s="488"/>
      <c r="W38" s="488"/>
      <c r="X38" s="488"/>
      <c r="Y38" s="488"/>
      <c r="Z38" s="488"/>
      <c r="AA38" s="488"/>
      <c r="AB38" s="488"/>
      <c r="AC38" s="488"/>
      <c r="AD38" s="488"/>
      <c r="AE38" s="488"/>
      <c r="AF38" s="488"/>
      <c r="AG38" s="488"/>
      <c r="AH38" s="488"/>
      <c r="AI38" s="488"/>
      <c r="AJ38" s="488"/>
      <c r="AK38" s="488"/>
      <c r="AL38" s="488"/>
      <c r="AM38" s="488"/>
      <c r="AN38" s="488"/>
      <c r="AO38" s="488"/>
      <c r="AP38" s="488"/>
      <c r="AQ38" s="488"/>
      <c r="AR38" s="488"/>
      <c r="AS38" s="488"/>
      <c r="AT38" s="488"/>
      <c r="AU38" s="488"/>
      <c r="AV38" s="488"/>
      <c r="AW38" s="488"/>
      <c r="AX38" s="488"/>
      <c r="AY38" s="488"/>
      <c r="AZ38" s="488"/>
      <c r="BA38" s="488"/>
      <c r="BB38" s="488"/>
      <c r="BC38" s="488"/>
      <c r="BD38" s="488"/>
      <c r="BE38" s="488"/>
      <c r="BF38" s="488"/>
      <c r="BG38" s="488"/>
      <c r="BH38" s="488"/>
      <c r="BI38" s="488"/>
      <c r="BJ38" s="488"/>
      <c r="BK38" s="488"/>
      <c r="BL38" s="488"/>
      <c r="BM38" s="488"/>
      <c r="BN38" s="488"/>
      <c r="BO38" s="488"/>
      <c r="BP38" s="488"/>
      <c r="BQ38" s="488"/>
      <c r="BR38" s="488"/>
      <c r="BS38" s="488"/>
      <c r="BT38" s="488"/>
      <c r="BU38" s="488"/>
      <c r="BV38" s="488"/>
      <c r="BW38" s="488"/>
      <c r="BX38" s="535"/>
      <c r="BY38" s="488"/>
      <c r="BZ38" s="488"/>
      <c r="CA38" s="488"/>
      <c r="CB38" s="488"/>
      <c r="CC38" s="535"/>
      <c r="CD38" s="488"/>
      <c r="CE38" s="488"/>
      <c r="CF38" s="488"/>
      <c r="CG38" s="488"/>
      <c r="CH38" s="535"/>
      <c r="CI38" s="535"/>
      <c r="CJ38" s="488"/>
      <c r="CK38" s="488"/>
      <c r="CL38" s="488"/>
      <c r="CM38" s="535"/>
      <c r="CN38" s="535"/>
      <c r="CO38" s="488"/>
      <c r="CP38" s="488"/>
      <c r="CQ38" s="488"/>
      <c r="CR38" s="535"/>
      <c r="CS38" s="488"/>
      <c r="CT38" s="535"/>
      <c r="CU38" s="535"/>
      <c r="CV38" s="535"/>
      <c r="CW38" s="535"/>
      <c r="CX38" s="535"/>
      <c r="CY38" s="535"/>
      <c r="CZ38" s="536"/>
      <c r="DA38" s="536"/>
      <c r="DB38" s="535"/>
      <c r="DC38" s="536"/>
      <c r="DD38" s="536"/>
      <c r="DE38" s="535"/>
      <c r="DF38" s="535"/>
      <c r="DG38" s="535"/>
      <c r="DH38" s="535"/>
      <c r="DI38" s="535"/>
      <c r="DJ38" s="122"/>
      <c r="DK38" s="122"/>
      <c r="DL38" s="122"/>
      <c r="DM38" s="122"/>
      <c r="DN38" s="122"/>
      <c r="DO38" s="122"/>
    </row>
    <row r="39" spans="1:120">
      <c r="A39" s="518" t="s">
        <v>261</v>
      </c>
      <c r="B39" s="488"/>
      <c r="C39" s="488"/>
      <c r="D39" s="488"/>
      <c r="E39" s="488"/>
      <c r="F39" s="488"/>
      <c r="G39" s="488"/>
      <c r="H39" s="488"/>
      <c r="I39" s="488"/>
      <c r="J39" s="488"/>
      <c r="K39" s="488"/>
      <c r="L39" s="488"/>
      <c r="M39" s="488"/>
      <c r="N39" s="488"/>
      <c r="O39" s="488"/>
      <c r="P39" s="488"/>
      <c r="Q39" s="488"/>
      <c r="R39" s="488"/>
      <c r="S39" s="488"/>
      <c r="T39" s="488"/>
      <c r="U39" s="488"/>
      <c r="V39" s="488"/>
      <c r="W39" s="488"/>
      <c r="X39" s="488"/>
      <c r="Y39" s="488"/>
      <c r="Z39" s="488"/>
      <c r="AA39" s="488"/>
      <c r="AB39" s="488"/>
      <c r="AC39" s="488"/>
      <c r="AD39" s="488"/>
      <c r="AE39" s="488"/>
      <c r="AF39" s="488"/>
      <c r="AG39" s="488"/>
      <c r="AH39" s="488"/>
      <c r="AI39" s="488"/>
      <c r="AJ39" s="488"/>
      <c r="AK39" s="488"/>
      <c r="AL39" s="488"/>
      <c r="AM39" s="488"/>
      <c r="AN39" s="488"/>
      <c r="AO39" s="488"/>
      <c r="AP39" s="488"/>
      <c r="AQ39" s="488"/>
      <c r="AR39" s="488"/>
      <c r="AS39" s="488"/>
      <c r="AT39" s="488"/>
      <c r="AU39" s="488"/>
      <c r="AV39" s="488"/>
      <c r="AW39" s="488"/>
      <c r="AX39" s="488"/>
      <c r="AY39" s="488"/>
      <c r="AZ39" s="488"/>
      <c r="BA39" s="488"/>
      <c r="BB39" s="488"/>
      <c r="BC39" s="488"/>
      <c r="BD39" s="488"/>
      <c r="BE39" s="488"/>
      <c r="BF39" s="488"/>
      <c r="BG39" s="488"/>
      <c r="BH39" s="488"/>
      <c r="BI39" s="488"/>
      <c r="BJ39" s="488"/>
      <c r="BK39" s="488"/>
      <c r="BL39" s="488"/>
      <c r="BM39" s="488"/>
      <c r="BN39" s="488"/>
      <c r="BO39" s="488"/>
      <c r="BP39" s="488"/>
      <c r="BQ39" s="488"/>
      <c r="BR39" s="488"/>
      <c r="BS39" s="488"/>
      <c r="BT39" s="488"/>
      <c r="BU39" s="488"/>
      <c r="BV39" s="488"/>
      <c r="BW39" s="488"/>
      <c r="BX39" s="535"/>
      <c r="BY39" s="488"/>
      <c r="BZ39" s="488"/>
      <c r="CA39" s="488"/>
      <c r="CB39" s="488"/>
      <c r="CC39" s="535"/>
      <c r="CD39" s="488"/>
      <c r="CE39" s="488"/>
      <c r="CF39" s="488"/>
      <c r="CG39" s="488"/>
      <c r="CH39" s="535"/>
      <c r="CI39" s="535"/>
      <c r="CJ39" s="488"/>
      <c r="CK39" s="488"/>
      <c r="CL39" s="488"/>
      <c r="CM39" s="535"/>
      <c r="CN39" s="535"/>
      <c r="CO39" s="488"/>
      <c r="CP39" s="488"/>
      <c r="CQ39" s="488"/>
      <c r="CR39" s="535"/>
      <c r="CS39" s="488"/>
      <c r="CT39" s="535"/>
      <c r="CU39" s="535"/>
      <c r="CV39" s="535"/>
      <c r="CW39" s="535"/>
      <c r="CX39" s="535"/>
      <c r="CY39" s="535"/>
      <c r="CZ39" s="536"/>
      <c r="DA39" s="536"/>
      <c r="DB39" s="535"/>
      <c r="DC39" s="536"/>
      <c r="DD39" s="536"/>
      <c r="DE39" s="535"/>
      <c r="DF39" s="535"/>
      <c r="DG39" s="535"/>
      <c r="DH39" s="535"/>
      <c r="DI39" s="535"/>
      <c r="DJ39" s="122"/>
      <c r="DK39" s="122"/>
      <c r="DL39" s="122"/>
      <c r="DM39" s="122"/>
      <c r="DN39" s="122"/>
      <c r="DO39" s="122"/>
    </row>
    <row r="40" spans="1:120">
      <c r="A40" s="560" t="s">
        <v>438</v>
      </c>
      <c r="B40" s="584"/>
      <c r="C40" s="584">
        <f>C14/C8</f>
        <v>0.59846773525829933</v>
      </c>
      <c r="D40" s="584">
        <f>D14/D8</f>
        <v>0.57709986537225078</v>
      </c>
      <c r="E40" s="584">
        <f>E14/E8</f>
        <v>0.58948924730520391</v>
      </c>
      <c r="F40" s="584">
        <f>F14/F8</f>
        <v>0.56319167420873384</v>
      </c>
      <c r="G40" s="584"/>
      <c r="H40" s="584">
        <f>H14/H8</f>
        <v>0.60377450853995795</v>
      </c>
      <c r="I40" s="584">
        <f>I14/I8</f>
        <v>0.59987952918855503</v>
      </c>
      <c r="J40" s="584">
        <f>J14/J8</f>
        <v>0.59101293615948325</v>
      </c>
      <c r="K40" s="584">
        <f>K14/K8</f>
        <v>0.57830005837230236</v>
      </c>
      <c r="L40" s="584"/>
      <c r="M40" s="584">
        <f>M14/M8</f>
        <v>0.62446743054109166</v>
      </c>
      <c r="N40" s="584">
        <f>N14/N8</f>
        <v>0.60349954240538173</v>
      </c>
      <c r="O40" s="584">
        <f>O14/O8</f>
        <v>0.60013928359223301</v>
      </c>
      <c r="P40" s="584">
        <f>P14/P8</f>
        <v>0.59294773285991442</v>
      </c>
      <c r="Q40" s="584"/>
      <c r="R40" s="584">
        <f>R14/R8</f>
        <v>0.61718870152408034</v>
      </c>
      <c r="S40" s="584">
        <f>S14/S8</f>
        <v>0.6204156846452531</v>
      </c>
      <c r="T40" s="584">
        <f>T14/T8</f>
        <v>0.61436868674876166</v>
      </c>
      <c r="U40" s="584">
        <f>U14/U8</f>
        <v>0.60209550413207802</v>
      </c>
      <c r="V40" s="584"/>
      <c r="W40" s="584">
        <f>W14/W8</f>
        <v>0.62243614456892971</v>
      </c>
      <c r="X40" s="584">
        <f>X14/X8</f>
        <v>0.61501293338619212</v>
      </c>
      <c r="Y40" s="584">
        <f>Y14/Y8</f>
        <v>0.62350568811556395</v>
      </c>
      <c r="Z40" s="584">
        <f>Z14/Z8</f>
        <v>0.59620523128968206</v>
      </c>
      <c r="AA40" s="584"/>
      <c r="AB40" s="584">
        <f>AB14/AB8</f>
        <v>0.61742983300484333</v>
      </c>
      <c r="AC40" s="584">
        <f>AC14/AC8</f>
        <v>0.60216082233724577</v>
      </c>
      <c r="AD40" s="584">
        <f>AD14/AD8</f>
        <v>0.62832169294466989</v>
      </c>
      <c r="AE40" s="584">
        <f>AE14/AE8</f>
        <v>0.5938652755968381</v>
      </c>
      <c r="AF40" s="584"/>
      <c r="AG40" s="584">
        <f>AG14/AG8</f>
        <v>0.61717132157383736</v>
      </c>
      <c r="AH40" s="584">
        <f>AH14/AH8</f>
        <v>0.6044187856643547</v>
      </c>
      <c r="AI40" s="584">
        <f>AI14/AI8</f>
        <v>0.59864899470189126</v>
      </c>
      <c r="AJ40" s="584">
        <f>AJ14/AJ8</f>
        <v>0.54305705180250585</v>
      </c>
      <c r="AK40" s="584"/>
      <c r="AL40" s="584">
        <f>AL14/AL8</f>
        <v>0.61746283282717696</v>
      </c>
      <c r="AM40" s="584">
        <f>AM14/AM8</f>
        <v>0.57732169190581362</v>
      </c>
      <c r="AN40" s="584">
        <f>AN14/AN8</f>
        <v>0.58296807264980899</v>
      </c>
      <c r="AO40" s="584">
        <f>AO14/AO8</f>
        <v>0.47668074772109253</v>
      </c>
      <c r="AP40" s="584"/>
      <c r="AQ40" s="584">
        <f>AQ14/AQ8</f>
        <v>0.55864773271088286</v>
      </c>
      <c r="AR40" s="584">
        <f>AR14/AR8</f>
        <v>0.52653386572166094</v>
      </c>
      <c r="AS40" s="584">
        <f>AS14/AS8</f>
        <v>0.53614902484000981</v>
      </c>
      <c r="AT40" s="584">
        <f>AT14/AT8</f>
        <v>0.44447063171737033</v>
      </c>
      <c r="AU40" s="584"/>
      <c r="AV40" s="584">
        <f>AV14/AV8</f>
        <v>0.56834768886843312</v>
      </c>
      <c r="AW40" s="584">
        <f>AW14/AW8</f>
        <v>0.5502089708631509</v>
      </c>
      <c r="AX40" s="584">
        <f>AX14/AX8</f>
        <v>0.57574245350364661</v>
      </c>
      <c r="AY40" s="584">
        <f>AY14/AY8</f>
        <v>0.54628554380005967</v>
      </c>
      <c r="AZ40" s="584"/>
      <c r="BA40" s="584">
        <f>BA14/BA8</f>
        <v>0.58469064843808405</v>
      </c>
      <c r="BB40" s="584">
        <f>BB14/BB8</f>
        <v>0.55701761925225612</v>
      </c>
      <c r="BC40" s="584">
        <f>BC14/BC8</f>
        <v>0.5694709557742712</v>
      </c>
      <c r="BD40" s="584">
        <f>BD14/BD8</f>
        <v>0.53207754529721629</v>
      </c>
      <c r="BE40" s="584"/>
      <c r="BF40" s="584">
        <f>BF14/BF8</f>
        <v>0.59137721117436581</v>
      </c>
      <c r="BG40" s="584">
        <f>BG14/BG8</f>
        <v>0.56093491873228529</v>
      </c>
      <c r="BH40" s="584">
        <f>BH14/BH8</f>
        <v>0.55985561121984007</v>
      </c>
      <c r="BI40" s="584">
        <f>BI14/BI8</f>
        <v>0.52331225722803831</v>
      </c>
      <c r="BJ40" s="584"/>
      <c r="BK40" s="584">
        <f>BK14/BK8</f>
        <v>0.58172420204143405</v>
      </c>
      <c r="BL40" s="584">
        <f>BL14/BL8</f>
        <v>0.56438769435986302</v>
      </c>
      <c r="BM40" s="584">
        <f>BM14/BM8</f>
        <v>0.57219416804756029</v>
      </c>
      <c r="BN40" s="584">
        <f>BN14/BN8</f>
        <v>0.531911335837988</v>
      </c>
      <c r="BO40" s="584"/>
      <c r="BP40" s="584">
        <f>BP14/BP8</f>
        <v>0.57675758361884655</v>
      </c>
      <c r="BQ40" s="584">
        <f>BQ14/BQ8</f>
        <v>0.54833003080817189</v>
      </c>
      <c r="BR40" s="584">
        <f>BR14/BR8</f>
        <v>0.55524963429273966</v>
      </c>
      <c r="BS40" s="584">
        <f>BS14/BS8</f>
        <v>0.50740454875432817</v>
      </c>
      <c r="BT40" s="584"/>
      <c r="BU40" s="584">
        <f>BU14/BU8</f>
        <v>0.41740419912087445</v>
      </c>
      <c r="BV40" s="584">
        <f>BV14/BV8</f>
        <v>0.37450598977761068</v>
      </c>
      <c r="BW40" s="584">
        <f>BW14/BW8</f>
        <v>0.39681890500556932</v>
      </c>
      <c r="BX40" s="585">
        <f>BX14/BX8</f>
        <v>0.35055974311200205</v>
      </c>
      <c r="BY40" s="584"/>
      <c r="BZ40" s="584">
        <f>BZ14/BZ8</f>
        <v>0.42677867199628827</v>
      </c>
      <c r="CA40" s="584">
        <f>CA14/CA8</f>
        <v>0.38706610686814558</v>
      </c>
      <c r="CB40" s="584">
        <f>CB14/CB8</f>
        <v>0.3896240037655469</v>
      </c>
      <c r="CC40" s="585">
        <f>CC14/CC8</f>
        <v>0.34684806297368509</v>
      </c>
      <c r="CD40" s="584"/>
      <c r="CE40" s="584">
        <f>CE14/CE8</f>
        <v>0.40800059722198462</v>
      </c>
      <c r="CF40" s="584">
        <f>CF14/CF8</f>
        <v>0.37879169209666957</v>
      </c>
      <c r="CG40" s="584">
        <f>CG14/CG8</f>
        <v>0.38580896346530147</v>
      </c>
      <c r="CH40" s="585">
        <f>CH14/CH8</f>
        <v>0.3551945857863576</v>
      </c>
      <c r="CI40" s="585"/>
      <c r="CJ40" s="585">
        <f>CJ14/CJ8</f>
        <v>0.40671854014198389</v>
      </c>
      <c r="CK40" s="585">
        <f>CK14/CK8</f>
        <v>0.36140315703419224</v>
      </c>
      <c r="CL40" s="585">
        <f>CL14/CL8</f>
        <v>0.36954124372753805</v>
      </c>
      <c r="CM40" s="585">
        <f>CM14/CM8</f>
        <v>0.37694353188166385</v>
      </c>
      <c r="CN40" s="585"/>
      <c r="CO40" s="585">
        <f>CO14/CO8</f>
        <v>0.42399999999999993</v>
      </c>
      <c r="CP40" s="585">
        <f>CP14/CP8</f>
        <v>0.37799999999999989</v>
      </c>
      <c r="CQ40" s="585">
        <f>CQ14/CQ8</f>
        <v>0.38500000000000001</v>
      </c>
      <c r="CR40" s="585">
        <f>CR14/CR8</f>
        <v>0.38100000000000001</v>
      </c>
      <c r="CS40" s="584"/>
      <c r="CT40" s="586">
        <f t="shared" ref="CT40:DC40" si="19">CT14/CT8</f>
        <v>0.58114358841120384</v>
      </c>
      <c r="CU40" s="586">
        <f t="shared" si="19"/>
        <v>0.59284964870629464</v>
      </c>
      <c r="CV40" s="586">
        <f t="shared" si="19"/>
        <v>0.60503316890385861</v>
      </c>
      <c r="CW40" s="586">
        <f t="shared" si="19"/>
        <v>0.61291172696053464</v>
      </c>
      <c r="CX40" s="586">
        <f t="shared" si="19"/>
        <v>0.61391325376189687</v>
      </c>
      <c r="CY40" s="586">
        <f t="shared" si="19"/>
        <v>0.61017959169143687</v>
      </c>
      <c r="CZ40" s="587">
        <f t="shared" si="19"/>
        <v>0.62710041336390965</v>
      </c>
      <c r="DA40" s="587">
        <f t="shared" si="19"/>
        <v>0.56527255301934809</v>
      </c>
      <c r="DB40" s="586">
        <f t="shared" si="19"/>
        <v>0.5178778617849803</v>
      </c>
      <c r="DC40" s="587">
        <f t="shared" si="19"/>
        <v>0.56021915172684722</v>
      </c>
      <c r="DD40" s="587">
        <f t="shared" ref="DD40:DI40" si="20">DD14/DD8</f>
        <v>0.5609527429101766</v>
      </c>
      <c r="DE40" s="586">
        <f t="shared" si="20"/>
        <v>0.55836520424702696</v>
      </c>
      <c r="DF40" s="586">
        <f t="shared" si="20"/>
        <v>0.56248273478656219</v>
      </c>
      <c r="DG40" s="586">
        <f t="shared" si="20"/>
        <v>0.54779997347292397</v>
      </c>
      <c r="DH40" s="586">
        <f t="shared" si="20"/>
        <v>0.38510400589267646</v>
      </c>
      <c r="DI40" s="586">
        <f t="shared" si="20"/>
        <v>0.38845719552406649</v>
      </c>
      <c r="DJ40" s="586">
        <f t="shared" ref="DJ40:DO40" si="21">DJ14/DJ8</f>
        <v>0.38234218081820048</v>
      </c>
      <c r="DK40" s="586">
        <f t="shared" si="21"/>
        <v>0.37889281315679818</v>
      </c>
      <c r="DL40" s="586">
        <f t="shared" si="21"/>
        <v>0.3920568139304863</v>
      </c>
      <c r="DM40" s="586">
        <f t="shared" si="21"/>
        <v>0.38390000000000002</v>
      </c>
      <c r="DN40" s="586">
        <f t="shared" si="21"/>
        <v>0.38549999999999995</v>
      </c>
      <c r="DO40" s="586">
        <f t="shared" si="21"/>
        <v>0.38600000000000001</v>
      </c>
    </row>
    <row r="41" spans="1:120">
      <c r="A41" s="560" t="s">
        <v>263</v>
      </c>
      <c r="B41" s="575"/>
      <c r="C41" s="588">
        <f>(C15)/C8</f>
        <v>0.36729503319415402</v>
      </c>
      <c r="D41" s="588">
        <f>(D15)/D8</f>
        <v>0.36196343249373875</v>
      </c>
      <c r="E41" s="588">
        <f>(E15)/E8</f>
        <v>0.38554188489184593</v>
      </c>
      <c r="F41" s="588">
        <f>(F15)/F8</f>
        <v>0.41112932196144453</v>
      </c>
      <c r="G41" s="584"/>
      <c r="H41" s="588">
        <f>(H15)/H8</f>
        <v>0.36910360677825144</v>
      </c>
      <c r="I41" s="588">
        <f>(I15)/I8</f>
        <v>0.37531695074667781</v>
      </c>
      <c r="J41" s="588">
        <f>(J15)/J8</f>
        <v>0.4112786396970427</v>
      </c>
      <c r="K41" s="588">
        <f>(K15)/K8</f>
        <v>0.39306718263472196</v>
      </c>
      <c r="L41" s="584"/>
      <c r="M41" s="588">
        <f>(M15)/M8</f>
        <v>0.35575249294881695</v>
      </c>
      <c r="N41" s="588">
        <f>(N15)/N8</f>
        <v>0.36572956323970734</v>
      </c>
      <c r="O41" s="588">
        <f>(O15)/O8</f>
        <v>0.39097726569206714</v>
      </c>
      <c r="P41" s="588">
        <f>(P15)/P8</f>
        <v>0.38820622251797565</v>
      </c>
      <c r="Q41" s="588"/>
      <c r="R41" s="588">
        <f>(R15)/R8</f>
        <v>0.36858011384315703</v>
      </c>
      <c r="S41" s="588">
        <f>(S15)/S8</f>
        <v>0.36560946383620019</v>
      </c>
      <c r="T41" s="588">
        <f>(T15)/T8</f>
        <v>0.38379343588087517</v>
      </c>
      <c r="U41" s="588">
        <f>(U15)/U8</f>
        <v>0.38326009586606596</v>
      </c>
      <c r="V41" s="588"/>
      <c r="W41" s="588">
        <f>(W15)/W8</f>
        <v>0.37308550533313084</v>
      </c>
      <c r="X41" s="588">
        <f>(X15)/X8</f>
        <v>0.36501587725254842</v>
      </c>
      <c r="Y41" s="588">
        <f>(Y15)/Y8</f>
        <v>0.37800669451724223</v>
      </c>
      <c r="Z41" s="588">
        <f>(Z15)/Z8</f>
        <v>0.37591183361290981</v>
      </c>
      <c r="AA41" s="588"/>
      <c r="AB41" s="588">
        <f>(AB15)/AB8</f>
        <v>0.36446807535408171</v>
      </c>
      <c r="AC41" s="588">
        <f>(AC15)/AC8</f>
        <v>0.35009404388714732</v>
      </c>
      <c r="AD41" s="588">
        <f>(AD15)/AD8</f>
        <v>0.36722568413421997</v>
      </c>
      <c r="AE41" s="588">
        <f>(AE15)/AE8</f>
        <v>0.38189125169669708</v>
      </c>
      <c r="AF41" s="584"/>
      <c r="AG41" s="588">
        <f>(AG15)/AG8</f>
        <v>0.41250387162336843</v>
      </c>
      <c r="AH41" s="588">
        <f>(AH15)/AH8</f>
        <v>0.39735854481996169</v>
      </c>
      <c r="AI41" s="588">
        <f>(AI15)/AI8</f>
        <v>0.43616040018000146</v>
      </c>
      <c r="AJ41" s="588">
        <f>(AJ15)/AJ8</f>
        <v>0.46466170824796299</v>
      </c>
      <c r="AK41" s="584"/>
      <c r="AL41" s="588">
        <f>(AL15)/AL8</f>
        <v>0.45267806695388091</v>
      </c>
      <c r="AM41" s="588">
        <f>(AM15)/AM8</f>
        <v>0.4448649057746159</v>
      </c>
      <c r="AN41" s="588">
        <f>(AN15)/AN8</f>
        <v>0.52698761519837078</v>
      </c>
      <c r="AO41" s="588">
        <f>(AO15)/AO8</f>
        <v>0.56034126807672657</v>
      </c>
      <c r="AP41" s="588"/>
      <c r="AQ41" s="588">
        <f>(AQ15)/AQ8</f>
        <v>0.51788975593558029</v>
      </c>
      <c r="AR41" s="588">
        <f>(AR15)/AR8</f>
        <v>0.50708507519409296</v>
      </c>
      <c r="AS41" s="588">
        <f>(AS15)/AS8</f>
        <v>0.54045854967621498</v>
      </c>
      <c r="AT41" s="588">
        <f>(AT15)/AT8</f>
        <v>0.54839720498474731</v>
      </c>
      <c r="AU41" s="588"/>
      <c r="AV41" s="588">
        <f>(AV15)/AV8</f>
        <v>0.49571769152280692</v>
      </c>
      <c r="AW41" s="588">
        <f>(AW15)/AW8</f>
        <v>0.48116642653870423</v>
      </c>
      <c r="AX41" s="588">
        <f>(AX15)/AX8</f>
        <v>0.49448488686689207</v>
      </c>
      <c r="AY41" s="588">
        <f>(AY15)/AY8</f>
        <v>0.4819085213320175</v>
      </c>
      <c r="AZ41" s="584"/>
      <c r="BA41" s="588">
        <f>(BA15)/BA8</f>
        <v>0.47037716886633391</v>
      </c>
      <c r="BB41" s="588">
        <f>(BB15)/BB8</f>
        <v>0.45519123334765799</v>
      </c>
      <c r="BC41" s="588">
        <f>(BC15)/BC8</f>
        <v>0.47804447830533603</v>
      </c>
      <c r="BD41" s="588">
        <f>(BD15)/BD8</f>
        <v>0.46564232989595217</v>
      </c>
      <c r="BE41" s="584"/>
      <c r="BF41" s="588">
        <f>(BF15)/BF8</f>
        <v>0.4558156073259636</v>
      </c>
      <c r="BG41" s="588">
        <f>(BG15)/BG8</f>
        <v>0.43586260923494285</v>
      </c>
      <c r="BH41" s="588">
        <f>(BH15)/BH8</f>
        <v>0.47260958209697956</v>
      </c>
      <c r="BI41" s="588">
        <f>(BI15)/BI8</f>
        <v>0.45526144267375485</v>
      </c>
      <c r="BJ41" s="584"/>
      <c r="BK41" s="588">
        <f>(BK15)/BK8</f>
        <v>0.44902637761459824</v>
      </c>
      <c r="BL41" s="588">
        <f>(BL15)/BL8</f>
        <v>0.43072233771009877</v>
      </c>
      <c r="BM41" s="588">
        <f>(BM15)/BM8</f>
        <v>0.46754572655949367</v>
      </c>
      <c r="BN41" s="588">
        <f>(BN15)/BN8</f>
        <v>0.45427113168152944</v>
      </c>
      <c r="BO41" s="584"/>
      <c r="BP41" s="588">
        <f>(BP15)/BP8</f>
        <v>0.45594598060001013</v>
      </c>
      <c r="BQ41" s="588">
        <f>(BQ15)/BQ8</f>
        <v>0.4407400735639404</v>
      </c>
      <c r="BR41" s="588">
        <f>(BR15)/BR8</f>
        <v>0.47061910158806192</v>
      </c>
      <c r="BS41" s="588">
        <f>(BS15)/BS8</f>
        <v>0.49551236986528097</v>
      </c>
      <c r="BT41" s="588"/>
      <c r="BU41" s="588">
        <f>(BU15)/BU8</f>
        <v>0.31768910372559395</v>
      </c>
      <c r="BV41" s="588">
        <f>(BV15)/BV8</f>
        <v>0.29970467282805052</v>
      </c>
      <c r="BW41" s="588">
        <f>(BW15)/BW8</f>
        <v>0.3253039112255442</v>
      </c>
      <c r="BX41" s="586">
        <f>(BX15)/BX8</f>
        <v>0.32562030470888015</v>
      </c>
      <c r="BY41" s="588"/>
      <c r="BZ41" s="588">
        <f>(BZ15)/BZ8</f>
        <v>0.31979960384732065</v>
      </c>
      <c r="CA41" s="588">
        <f>(CA15)/CA8</f>
        <v>0.2949222392547341</v>
      </c>
      <c r="CB41" s="588">
        <f>(CB15)/CB8</f>
        <v>0.3440752471140115</v>
      </c>
      <c r="CC41" s="586">
        <f>(CC15)/CC8</f>
        <v>0.33433464528510554</v>
      </c>
      <c r="CD41" s="588"/>
      <c r="CE41" s="588">
        <f>(CE15)/CE8</f>
        <v>0.32371453411241768</v>
      </c>
      <c r="CF41" s="588">
        <f>(CF15)/CF8</f>
        <v>0.29356080864263562</v>
      </c>
      <c r="CG41" s="588">
        <f>(CG15)/CG8</f>
        <v>0.32226525853057059</v>
      </c>
      <c r="CH41" s="586">
        <f>(CH15)/CH8</f>
        <v>0.3195631078465152</v>
      </c>
      <c r="CI41" s="586"/>
      <c r="CJ41" s="586">
        <f>(CJ15)/CJ8</f>
        <v>0.3127124277060549</v>
      </c>
      <c r="CK41" s="586">
        <f>(CK15)/CK8</f>
        <v>0.3001170104099512</v>
      </c>
      <c r="CL41" s="586">
        <f>(CL15)/CL8</f>
        <v>0.32205182542500566</v>
      </c>
      <c r="CM41" s="586">
        <f>(CM15)/CM8</f>
        <v>0.32665456469479381</v>
      </c>
      <c r="CN41" s="586"/>
      <c r="CO41" s="586">
        <f>(CO15)/CO8</f>
        <v>0.34799999999999998</v>
      </c>
      <c r="CP41" s="586">
        <f>(CP15)/CP8</f>
        <v>0.30000000000000004</v>
      </c>
      <c r="CQ41" s="586">
        <f>(CQ15)/CQ8</f>
        <v>0.33399999999999996</v>
      </c>
      <c r="CR41" s="586">
        <f>(CR15)/CR8</f>
        <v>0.32400000000000001</v>
      </c>
      <c r="CS41" s="584"/>
      <c r="CT41" s="586">
        <f>(CT15)/CT8</f>
        <v>0.38325562875737307</v>
      </c>
      <c r="CU41" s="586">
        <f>(CU15)/CU8</f>
        <v>0.38748319096424105</v>
      </c>
      <c r="CV41" s="586">
        <f>(CV15)/CV8</f>
        <v>0.3756579971109274</v>
      </c>
      <c r="CW41" s="586">
        <f>(CW15)/CW8</f>
        <v>0.37619483114197588</v>
      </c>
      <c r="CX41" s="586">
        <f>(CX15)/CX8</f>
        <v>0.37315935595501654</v>
      </c>
      <c r="CY41" s="586">
        <f t="shared" ref="CY41:DD41" si="22">(CY15)/CY8</f>
        <v>0.36632362102415322</v>
      </c>
      <c r="CZ41" s="587">
        <f t="shared" si="22"/>
        <v>0.42871194148185748</v>
      </c>
      <c r="DA41" s="587">
        <f t="shared" si="22"/>
        <v>0.49442375929446369</v>
      </c>
      <c r="DB41" s="586">
        <f t="shared" si="22"/>
        <v>0.52794419124319714</v>
      </c>
      <c r="DC41" s="587">
        <f t="shared" si="22"/>
        <v>0.48831714192152348</v>
      </c>
      <c r="DD41" s="587">
        <f t="shared" si="22"/>
        <v>0.46743069758066208</v>
      </c>
      <c r="DE41" s="586">
        <f t="shared" ref="DE41:DK41" si="23">(DE15)/DE8</f>
        <v>0.45478018175526774</v>
      </c>
      <c r="DF41" s="586">
        <f t="shared" si="23"/>
        <v>0.45036820186458493</v>
      </c>
      <c r="DG41" s="586">
        <f t="shared" si="23"/>
        <v>0.46518321276919089</v>
      </c>
      <c r="DH41" s="586">
        <f t="shared" si="23"/>
        <v>0.31703131719693284</v>
      </c>
      <c r="DI41" s="586">
        <f t="shared" si="23"/>
        <v>0.32280871904028069</v>
      </c>
      <c r="DJ41" s="586">
        <f t="shared" si="23"/>
        <v>0.314617127212376</v>
      </c>
      <c r="DK41" s="586">
        <f t="shared" si="23"/>
        <v>0.31528812699380776</v>
      </c>
      <c r="DL41" s="586">
        <f>(DL15)/DL8</f>
        <v>0.32639308849277143</v>
      </c>
      <c r="DM41" s="586">
        <f>(DM15)/DM8</f>
        <v>0.307</v>
      </c>
      <c r="DN41" s="586">
        <f>(DN15)/DN8</f>
        <v>0.3044</v>
      </c>
      <c r="DO41" s="586">
        <f>(DO15)/DO8</f>
        <v>0.30099999999999999</v>
      </c>
    </row>
    <row r="42" spans="1:120" hidden="1" outlineLevel="1">
      <c r="A42" s="544" t="s">
        <v>698</v>
      </c>
      <c r="B42" s="575"/>
      <c r="C42" s="588"/>
      <c r="D42" s="588"/>
      <c r="E42" s="588"/>
      <c r="F42" s="588"/>
      <c r="G42" s="584"/>
      <c r="H42" s="588"/>
      <c r="I42" s="588"/>
      <c r="J42" s="588"/>
      <c r="K42" s="588"/>
      <c r="L42" s="584"/>
      <c r="M42" s="588"/>
      <c r="N42" s="588"/>
      <c r="O42" s="588"/>
      <c r="P42" s="588"/>
      <c r="Q42" s="588"/>
      <c r="R42" s="588"/>
      <c r="S42" s="588"/>
      <c r="T42" s="588"/>
      <c r="U42" s="588"/>
      <c r="V42" s="588"/>
      <c r="W42" s="588"/>
      <c r="X42" s="588"/>
      <c r="Y42" s="588"/>
      <c r="Z42" s="588"/>
      <c r="AA42" s="588"/>
      <c r="AB42" s="588"/>
      <c r="AC42" s="588"/>
      <c r="AD42" s="588"/>
      <c r="AE42" s="588"/>
      <c r="AF42" s="584"/>
      <c r="AG42" s="588">
        <f t="shared" ref="AG42:AJ44" si="24">AG16/AG$8</f>
        <v>0.28589346828340534</v>
      </c>
      <c r="AH42" s="588">
        <f t="shared" si="24"/>
        <v>0.30900266227746187</v>
      </c>
      <c r="AI42" s="589">
        <f t="shared" si="24"/>
        <v>0.33032999435630839</v>
      </c>
      <c r="AJ42" s="589">
        <f t="shared" si="24"/>
        <v>0.35157467652952673</v>
      </c>
      <c r="AK42" s="584"/>
      <c r="AL42" s="588">
        <f t="shared" ref="AL42:AO44" si="25">AL16/AL$8</f>
        <v>0.34141932692986793</v>
      </c>
      <c r="AM42" s="588">
        <f t="shared" si="25"/>
        <v>0.34690123822039359</v>
      </c>
      <c r="AN42" s="589">
        <f t="shared" si="25"/>
        <v>0.38880246590032047</v>
      </c>
      <c r="AO42" s="589">
        <f t="shared" si="25"/>
        <v>0.40466458341986378</v>
      </c>
      <c r="AP42" s="589"/>
      <c r="AQ42" s="589"/>
      <c r="AR42" s="589"/>
      <c r="AS42" s="589"/>
      <c r="AT42" s="589"/>
      <c r="AU42" s="589"/>
      <c r="AV42" s="589"/>
      <c r="AW42" s="589"/>
      <c r="AX42" s="589"/>
      <c r="AY42" s="589"/>
      <c r="AZ42" s="584"/>
      <c r="BA42" s="589"/>
      <c r="BB42" s="589"/>
      <c r="BC42" s="589"/>
      <c r="BD42" s="589"/>
      <c r="BE42" s="584"/>
      <c r="BF42" s="589"/>
      <c r="BG42" s="589"/>
      <c r="BH42" s="589"/>
      <c r="BI42" s="589"/>
      <c r="BJ42" s="584"/>
      <c r="BK42" s="589"/>
      <c r="BL42" s="589"/>
      <c r="BM42" s="589"/>
      <c r="BN42" s="589"/>
      <c r="BO42" s="584"/>
      <c r="BP42" s="589"/>
      <c r="BQ42" s="589"/>
      <c r="BR42" s="589"/>
      <c r="BS42" s="589"/>
      <c r="BT42" s="589"/>
      <c r="BU42" s="589"/>
      <c r="BV42" s="589"/>
      <c r="BW42" s="589"/>
      <c r="BX42" s="590"/>
      <c r="BY42" s="589"/>
      <c r="BZ42" s="589"/>
      <c r="CA42" s="589"/>
      <c r="CB42" s="589"/>
      <c r="CC42" s="590"/>
      <c r="CD42" s="589"/>
      <c r="CE42" s="589"/>
      <c r="CF42" s="589"/>
      <c r="CG42" s="589"/>
      <c r="CH42" s="590"/>
      <c r="CI42" s="590"/>
      <c r="CJ42" s="590"/>
      <c r="CK42" s="590"/>
      <c r="CL42" s="590"/>
      <c r="CM42" s="590"/>
      <c r="CN42" s="590"/>
      <c r="CO42" s="590"/>
      <c r="CP42" s="590"/>
      <c r="CQ42" s="590"/>
      <c r="CR42" s="590"/>
      <c r="CS42" s="584"/>
      <c r="CT42" s="586"/>
      <c r="CU42" s="586"/>
      <c r="CV42" s="586"/>
      <c r="CW42" s="586"/>
      <c r="CX42" s="586"/>
      <c r="CY42" s="586"/>
      <c r="CZ42" s="587"/>
      <c r="DA42" s="587"/>
      <c r="DB42" s="586"/>
      <c r="DC42" s="587"/>
      <c r="DD42" s="587"/>
      <c r="DE42" s="586"/>
      <c r="DF42" s="586"/>
      <c r="DG42" s="586"/>
      <c r="DH42" s="586"/>
      <c r="DI42" s="586"/>
      <c r="DJ42" s="586"/>
      <c r="DK42" s="586"/>
      <c r="DL42" s="586"/>
      <c r="DM42" s="586"/>
      <c r="DN42" s="586"/>
      <c r="DO42" s="586"/>
    </row>
    <row r="43" spans="1:120" hidden="1" outlineLevel="1">
      <c r="A43" s="544" t="s">
        <v>699</v>
      </c>
      <c r="B43" s="575"/>
      <c r="C43" s="588"/>
      <c r="D43" s="588"/>
      <c r="E43" s="588"/>
      <c r="F43" s="588"/>
      <c r="G43" s="584"/>
      <c r="H43" s="588"/>
      <c r="I43" s="588"/>
      <c r="J43" s="588"/>
      <c r="K43" s="588"/>
      <c r="L43" s="584"/>
      <c r="M43" s="588"/>
      <c r="N43" s="588"/>
      <c r="O43" s="588"/>
      <c r="P43" s="588"/>
      <c r="Q43" s="588"/>
      <c r="R43" s="588"/>
      <c r="S43" s="588"/>
      <c r="T43" s="588"/>
      <c r="U43" s="588"/>
      <c r="V43" s="588"/>
      <c r="W43" s="588"/>
      <c r="X43" s="588"/>
      <c r="Y43" s="588"/>
      <c r="Z43" s="588"/>
      <c r="AA43" s="588"/>
      <c r="AB43" s="588"/>
      <c r="AC43" s="588"/>
      <c r="AD43" s="588"/>
      <c r="AE43" s="588"/>
      <c r="AF43" s="584"/>
      <c r="AG43" s="588">
        <f t="shared" si="24"/>
        <v>4.9439030571106039E-2</v>
      </c>
      <c r="AH43" s="588">
        <f t="shared" si="24"/>
        <v>2.7939040291115335E-2</v>
      </c>
      <c r="AI43" s="589">
        <f t="shared" si="24"/>
        <v>3.70345508292746E-2</v>
      </c>
      <c r="AJ43" s="589">
        <f t="shared" si="24"/>
        <v>4.7191941182688574E-2</v>
      </c>
      <c r="AK43" s="584"/>
      <c r="AL43" s="588">
        <f t="shared" si="25"/>
        <v>4.6213980507097956E-2</v>
      </c>
      <c r="AM43" s="588">
        <f t="shared" si="25"/>
        <v>3.3922055643087957E-2</v>
      </c>
      <c r="AN43" s="589">
        <f t="shared" si="25"/>
        <v>6.9531368339051672E-2</v>
      </c>
      <c r="AO43" s="589">
        <f t="shared" si="25"/>
        <v>7.5908203578330641E-2</v>
      </c>
      <c r="AP43" s="589"/>
      <c r="AQ43" s="589"/>
      <c r="AR43" s="589"/>
      <c r="AS43" s="589"/>
      <c r="AT43" s="589"/>
      <c r="AU43" s="589"/>
      <c r="AV43" s="589"/>
      <c r="AW43" s="589"/>
      <c r="AX43" s="589"/>
      <c r="AY43" s="589"/>
      <c r="AZ43" s="584"/>
      <c r="BA43" s="589"/>
      <c r="BB43" s="589"/>
      <c r="BC43" s="589"/>
      <c r="BD43" s="589"/>
      <c r="BE43" s="584"/>
      <c r="BF43" s="589"/>
      <c r="BG43" s="589"/>
      <c r="BH43" s="589"/>
      <c r="BI43" s="589"/>
      <c r="BJ43" s="584"/>
      <c r="BK43" s="589"/>
      <c r="BL43" s="589"/>
      <c r="BM43" s="589"/>
      <c r="BN43" s="589"/>
      <c r="BO43" s="584"/>
      <c r="BP43" s="589"/>
      <c r="BQ43" s="589"/>
      <c r="BR43" s="589"/>
      <c r="BS43" s="589"/>
      <c r="BT43" s="589"/>
      <c r="BU43" s="589"/>
      <c r="BV43" s="589"/>
      <c r="BW43" s="589"/>
      <c r="BX43" s="590"/>
      <c r="BY43" s="589"/>
      <c r="BZ43" s="589"/>
      <c r="CA43" s="589"/>
      <c r="CB43" s="589"/>
      <c r="CC43" s="590"/>
      <c r="CD43" s="589"/>
      <c r="CE43" s="589"/>
      <c r="CF43" s="589"/>
      <c r="CG43" s="589"/>
      <c r="CH43" s="590"/>
      <c r="CI43" s="590"/>
      <c r="CJ43" s="590"/>
      <c r="CK43" s="590"/>
      <c r="CL43" s="590"/>
      <c r="CM43" s="590"/>
      <c r="CN43" s="590"/>
      <c r="CO43" s="590"/>
      <c r="CP43" s="590"/>
      <c r="CQ43" s="590"/>
      <c r="CR43" s="590"/>
      <c r="CS43" s="584"/>
      <c r="CT43" s="586"/>
      <c r="CU43" s="586"/>
      <c r="CV43" s="586"/>
      <c r="CW43" s="586"/>
      <c r="CX43" s="586"/>
      <c r="CY43" s="586"/>
      <c r="CZ43" s="587"/>
      <c r="DA43" s="587"/>
      <c r="DB43" s="586"/>
      <c r="DC43" s="587"/>
      <c r="DD43" s="587"/>
      <c r="DE43" s="586"/>
      <c r="DF43" s="586"/>
      <c r="DG43" s="586"/>
      <c r="DH43" s="586"/>
      <c r="DI43" s="586"/>
      <c r="DJ43" s="586"/>
      <c r="DK43" s="586"/>
      <c r="DL43" s="586"/>
      <c r="DM43" s="586"/>
      <c r="DN43" s="586"/>
      <c r="DO43" s="586"/>
    </row>
    <row r="44" spans="1:120" hidden="1" outlineLevel="1">
      <c r="A44" s="544" t="s">
        <v>2</v>
      </c>
      <c r="B44" s="575"/>
      <c r="C44" s="588"/>
      <c r="D44" s="588"/>
      <c r="E44" s="588"/>
      <c r="F44" s="588"/>
      <c r="G44" s="584"/>
      <c r="H44" s="588"/>
      <c r="I44" s="588"/>
      <c r="J44" s="588"/>
      <c r="K44" s="588"/>
      <c r="L44" s="584"/>
      <c r="M44" s="588"/>
      <c r="N44" s="588"/>
      <c r="O44" s="588"/>
      <c r="P44" s="588"/>
      <c r="Q44" s="588"/>
      <c r="R44" s="588"/>
      <c r="S44" s="588"/>
      <c r="T44" s="588"/>
      <c r="U44" s="588"/>
      <c r="V44" s="588"/>
      <c r="W44" s="588"/>
      <c r="X44" s="588"/>
      <c r="Y44" s="588"/>
      <c r="Z44" s="588"/>
      <c r="AA44" s="588"/>
      <c r="AB44" s="588"/>
      <c r="AC44" s="588"/>
      <c r="AD44" s="588"/>
      <c r="AE44" s="588"/>
      <c r="AF44" s="584"/>
      <c r="AG44" s="588">
        <f t="shared" si="24"/>
        <v>7.7171372768857049E-2</v>
      </c>
      <c r="AH44" s="588">
        <f t="shared" si="24"/>
        <v>6.0416842251384439E-2</v>
      </c>
      <c r="AI44" s="589">
        <f t="shared" si="24"/>
        <v>6.8795854994418468E-2</v>
      </c>
      <c r="AJ44" s="589">
        <f t="shared" si="24"/>
        <v>6.5895090535747616E-2</v>
      </c>
      <c r="AK44" s="584"/>
      <c r="AL44" s="588">
        <f t="shared" si="25"/>
        <v>6.5044759516915032E-2</v>
      </c>
      <c r="AM44" s="588">
        <f t="shared" si="25"/>
        <v>6.4041611911134347E-2</v>
      </c>
      <c r="AN44" s="589">
        <f t="shared" si="25"/>
        <v>6.8653780958998628E-2</v>
      </c>
      <c r="AO44" s="589">
        <f t="shared" si="25"/>
        <v>7.9768481078532211E-2</v>
      </c>
      <c r="AP44" s="589"/>
      <c r="AQ44" s="589"/>
      <c r="AR44" s="589"/>
      <c r="AS44" s="589"/>
      <c r="AT44" s="589"/>
      <c r="AU44" s="589"/>
      <c r="AV44" s="589"/>
      <c r="AW44" s="589"/>
      <c r="AX44" s="589"/>
      <c r="AY44" s="589"/>
      <c r="AZ44" s="584"/>
      <c r="BA44" s="589"/>
      <c r="BB44" s="589"/>
      <c r="BC44" s="589"/>
      <c r="BD44" s="589"/>
      <c r="BE44" s="584"/>
      <c r="BF44" s="589"/>
      <c r="BG44" s="589"/>
      <c r="BH44" s="589"/>
      <c r="BI44" s="589"/>
      <c r="BJ44" s="584"/>
      <c r="BK44" s="589"/>
      <c r="BL44" s="589"/>
      <c r="BM44" s="589"/>
      <c r="BN44" s="589"/>
      <c r="BO44" s="584"/>
      <c r="BP44" s="589"/>
      <c r="BQ44" s="589"/>
      <c r="BR44" s="589"/>
      <c r="BS44" s="589"/>
      <c r="BT44" s="589"/>
      <c r="BU44" s="589"/>
      <c r="BV44" s="589"/>
      <c r="BW44" s="589"/>
      <c r="BX44" s="590"/>
      <c r="BY44" s="589"/>
      <c r="BZ44" s="589"/>
      <c r="CA44" s="589"/>
      <c r="CB44" s="589"/>
      <c r="CC44" s="590"/>
      <c r="CD44" s="589"/>
      <c r="CE44" s="589"/>
      <c r="CF44" s="589"/>
      <c r="CG44" s="589"/>
      <c r="CH44" s="590"/>
      <c r="CI44" s="590"/>
      <c r="CJ44" s="590"/>
      <c r="CK44" s="590"/>
      <c r="CL44" s="590"/>
      <c r="CM44" s="590"/>
      <c r="CN44" s="590"/>
      <c r="CO44" s="590"/>
      <c r="CP44" s="590"/>
      <c r="CQ44" s="590"/>
      <c r="CR44" s="590"/>
      <c r="CS44" s="584"/>
      <c r="CT44" s="586"/>
      <c r="CU44" s="586"/>
      <c r="CV44" s="586"/>
      <c r="CW44" s="586"/>
      <c r="CX44" s="586"/>
      <c r="CY44" s="586"/>
      <c r="CZ44" s="587"/>
      <c r="DA44" s="587"/>
      <c r="DB44" s="586"/>
      <c r="DC44" s="587"/>
      <c r="DD44" s="587"/>
      <c r="DE44" s="586"/>
      <c r="DF44" s="586"/>
      <c r="DG44" s="586"/>
      <c r="DH44" s="586"/>
      <c r="DI44" s="586"/>
      <c r="DJ44" s="586"/>
      <c r="DK44" s="586"/>
      <c r="DL44" s="586"/>
      <c r="DM44" s="586"/>
      <c r="DN44" s="586"/>
      <c r="DO44" s="586"/>
    </row>
    <row r="45" spans="1:120" hidden="1" outlineLevel="1">
      <c r="A45" s="560" t="s">
        <v>561</v>
      </c>
      <c r="B45" s="575"/>
      <c r="C45" s="588"/>
      <c r="D45" s="588"/>
      <c r="E45" s="588"/>
      <c r="F45" s="588"/>
      <c r="G45" s="584"/>
      <c r="H45" s="588"/>
      <c r="I45" s="588"/>
      <c r="J45" s="588"/>
      <c r="K45" s="588"/>
      <c r="L45" s="584"/>
      <c r="M45" s="588">
        <f>+M11/M8</f>
        <v>2.5359782790577691E-2</v>
      </c>
      <c r="N45" s="588">
        <f>+N11/N8</f>
        <v>2.83343262455454E-2</v>
      </c>
      <c r="O45" s="588">
        <f>+O11/O8</f>
        <v>2.8179869319436439E-2</v>
      </c>
      <c r="P45" s="588">
        <f>+P11/P8</f>
        <v>3.1156775539257719E-2</v>
      </c>
      <c r="Q45" s="588"/>
      <c r="R45" s="588">
        <f>+R11/R8</f>
        <v>2.7368589102828113E-2</v>
      </c>
      <c r="S45" s="588">
        <f>+S11/S8</f>
        <v>2.8697896283363136E-2</v>
      </c>
      <c r="T45" s="588">
        <f>+T11/T8</f>
        <v>2.6342908975205276E-2</v>
      </c>
      <c r="U45" s="588">
        <f>+U11/U8</f>
        <v>2.780858340022923E-2</v>
      </c>
      <c r="V45" s="588"/>
      <c r="W45" s="588">
        <f>+W11/W8</f>
        <v>2.6391111838031708E-2</v>
      </c>
      <c r="X45" s="588">
        <f>+X11/X8</f>
        <v>2.7177774201525316E-2</v>
      </c>
      <c r="Y45" s="588">
        <f>+Y11/Y8</f>
        <v>2.6121961797511237E-2</v>
      </c>
      <c r="Z45" s="588">
        <f>+Z11/Z8</f>
        <v>4.1088982353414981E-2</v>
      </c>
      <c r="AA45" s="588"/>
      <c r="AB45" s="588">
        <f>+AB11/AB8</f>
        <v>2.8632106461322207E-2</v>
      </c>
      <c r="AC45" s="588">
        <f>+AC11/AC8</f>
        <v>3.0566450390026971E-2</v>
      </c>
      <c r="AD45" s="588">
        <f>+AD11/AD8</f>
        <v>3.1614459174996168E-2</v>
      </c>
      <c r="AE45" s="588">
        <f>+AE11/AE8</f>
        <v>3.4623266707476112E-2</v>
      </c>
      <c r="AF45" s="584"/>
      <c r="AG45" s="588">
        <f>+AG11/AG8</f>
        <v>3.4643669863795648E-2</v>
      </c>
      <c r="AH45" s="588">
        <f>+AH11/AH8</f>
        <v>3.7799878040920741E-2</v>
      </c>
      <c r="AI45" s="588">
        <f>+AI11/AI8</f>
        <v>3.7850026975354223E-2</v>
      </c>
      <c r="AJ45" s="588">
        <f>+AJ11/AJ8</f>
        <v>4.0109663968549203E-2</v>
      </c>
      <c r="AK45" s="584"/>
      <c r="AL45" s="588">
        <f>+AL11/AL8</f>
        <v>4.3638321915389501E-2</v>
      </c>
      <c r="AM45" s="588">
        <f>+AM11/AM8</f>
        <v>4.4854814702691793E-2</v>
      </c>
      <c r="AN45" s="588">
        <f>+AN11/AN8</f>
        <v>4.8558232130277254E-2</v>
      </c>
      <c r="AO45" s="588">
        <f>+AO11/AO8</f>
        <v>5.3914394681612618E-2</v>
      </c>
      <c r="AP45" s="588"/>
      <c r="AQ45" s="588">
        <f>+AQ11/AQ8</f>
        <v>5.7419597425554976E-2</v>
      </c>
      <c r="AR45" s="588">
        <f>+AR11/AR8</f>
        <v>5.4866763075677782E-2</v>
      </c>
      <c r="AS45" s="588">
        <f>+AS11/AS8</f>
        <v>5.6919209725981169E-2</v>
      </c>
      <c r="AT45" s="588">
        <f>+AT11/AT8</f>
        <v>7.8692159976859979E-2</v>
      </c>
      <c r="AU45" s="588"/>
      <c r="AV45" s="588">
        <f>+AV11/AV8</f>
        <v>5.5975628465601515E-2</v>
      </c>
      <c r="AW45" s="588">
        <f>+AW11/AW8</f>
        <v>5.3279830441875141E-2</v>
      </c>
      <c r="AX45" s="588">
        <f>+AX11/AX8</f>
        <v>6.0528618390871453E-2</v>
      </c>
      <c r="AY45" s="588">
        <f>+AY11/AY8</f>
        <v>5.4999655750120502E-2</v>
      </c>
      <c r="AZ45" s="584"/>
      <c r="BA45" s="588">
        <f>+BA11/BA8</f>
        <v>4.8510344942149716E-2</v>
      </c>
      <c r="BB45" s="588">
        <f>+BB11/BB8</f>
        <v>5.000859475719812E-2</v>
      </c>
      <c r="BC45" s="588">
        <f>+BC11/BC8</f>
        <v>4.8821792796187348E-2</v>
      </c>
      <c r="BD45" s="588">
        <f>+BD11/BD8</f>
        <v>5.0308016859870207E-2</v>
      </c>
      <c r="BE45" s="584"/>
      <c r="BF45" s="588">
        <f>+BF11/BF8</f>
        <v>4.5029581612858784E-2</v>
      </c>
      <c r="BG45" s="588">
        <f>+BG11/BG8</f>
        <v>4.3820915442769864E-2</v>
      </c>
      <c r="BH45" s="588">
        <f>+BH11/BH8</f>
        <v>4.5676692427387804E-2</v>
      </c>
      <c r="BI45" s="588">
        <f>+BI11/BI8</f>
        <v>4.6517347818983271E-2</v>
      </c>
      <c r="BJ45" s="584"/>
      <c r="BK45" s="588">
        <f>+BK11/BK8</f>
        <v>4.0091146973726864E-2</v>
      </c>
      <c r="BL45" s="588">
        <f>+BL11/BL8</f>
        <v>4.1393313615553158E-2</v>
      </c>
      <c r="BM45" s="588">
        <f>+BM11/BM8</f>
        <v>4.3083882418540352E-2</v>
      </c>
      <c r="BN45" s="588">
        <f>+BN11/BN8</f>
        <v>4.3546627844007792E-2</v>
      </c>
      <c r="BO45" s="584"/>
      <c r="BP45" s="588">
        <f t="shared" ref="BP45:BX45" si="26">+BP11/BP8</f>
        <v>4.3421864796443235E-2</v>
      </c>
      <c r="BQ45" s="588">
        <f t="shared" si="26"/>
        <v>4.5425502268657728E-2</v>
      </c>
      <c r="BR45" s="588">
        <f t="shared" si="26"/>
        <v>4.4990763889630393E-2</v>
      </c>
      <c r="BS45" s="588">
        <f t="shared" si="26"/>
        <v>4.9456519067307067E-2</v>
      </c>
      <c r="BT45" s="588"/>
      <c r="BU45" s="588">
        <f t="shared" si="26"/>
        <v>4.5613545629466318E-2</v>
      </c>
      <c r="BV45" s="588">
        <f t="shared" si="26"/>
        <v>4.6688204793055181E-2</v>
      </c>
      <c r="BW45" s="588">
        <f t="shared" si="26"/>
        <v>4.6693963293627738E-2</v>
      </c>
      <c r="BX45" s="586">
        <f t="shared" si="26"/>
        <v>4.9886731747473087E-2</v>
      </c>
      <c r="BY45" s="588"/>
      <c r="BZ45" s="588">
        <f>+BZ11/BZ8</f>
        <v>4.5716673507140863E-2</v>
      </c>
      <c r="CA45" s="588">
        <f>+CA11/CA8</f>
        <v>4.6896014240595092E-2</v>
      </c>
      <c r="CB45" s="588">
        <f>+CB11/CB8</f>
        <v>4.5623748474235531E-2</v>
      </c>
      <c r="CC45" s="586">
        <f>+CC11/CC8</f>
        <v>4.6407312233679193E-2</v>
      </c>
      <c r="CD45" s="588"/>
      <c r="CE45" s="588">
        <f>+CE11/CE8</f>
        <v>4.3480559957821199E-2</v>
      </c>
      <c r="CF45" s="588">
        <f>+CF11/CF8</f>
        <v>4.3238345718006957E-2</v>
      </c>
      <c r="CG45" s="588">
        <f>+CG11/CG8</f>
        <v>4.5467338569169312E-2</v>
      </c>
      <c r="CH45" s="586">
        <f>+CH11/CH8</f>
        <v>4.4384967101594765E-2</v>
      </c>
      <c r="CI45" s="586"/>
      <c r="CJ45" s="586">
        <f>+CJ11/CJ8</f>
        <v>4.3076569909272812E-2</v>
      </c>
      <c r="CK45" s="586">
        <f>+CK11/CK8</f>
        <v>4.2979288984601981E-2</v>
      </c>
      <c r="CL45" s="586">
        <f>+CL11/CL8</f>
        <v>4.5005795745528251E-2</v>
      </c>
      <c r="CM45" s="586">
        <f>+CM11/CM8</f>
        <v>3.8010626370616363E-2</v>
      </c>
      <c r="CN45" s="586"/>
      <c r="CO45" s="586">
        <f>+CO11/CO8</f>
        <v>4.2631495146220666E-2</v>
      </c>
      <c r="CP45" s="586">
        <f>+CP11/CP8</f>
        <v>4.2396089350242888E-2</v>
      </c>
      <c r="CQ45" s="586">
        <f>+CQ11/CQ8</f>
        <v>4.431586138621417E-2</v>
      </c>
      <c r="CR45" s="586">
        <f>+CR11/CR8</f>
        <v>4.2774982997514401E-2</v>
      </c>
      <c r="CS45" s="584"/>
      <c r="CT45" s="586"/>
      <c r="CU45" s="586">
        <f t="shared" ref="CU45:DL45" si="27">+CU11/CU8</f>
        <v>2.6740420562193713E-2</v>
      </c>
      <c r="CV45" s="586">
        <f t="shared" si="27"/>
        <v>2.8298882518549961E-2</v>
      </c>
      <c r="CW45" s="586">
        <f t="shared" si="27"/>
        <v>2.7510940146573213E-2</v>
      </c>
      <c r="CX45" s="586">
        <f t="shared" si="27"/>
        <v>3.0444791457724472E-2</v>
      </c>
      <c r="CY45" s="586">
        <f t="shared" si="27"/>
        <v>3.146859370272146E-2</v>
      </c>
      <c r="CZ45" s="587">
        <f t="shared" si="27"/>
        <v>3.7686624694456244E-2</v>
      </c>
      <c r="DA45" s="587">
        <f t="shared" si="27"/>
        <v>4.7594770425945579E-2</v>
      </c>
      <c r="DB45" s="586">
        <f t="shared" si="27"/>
        <v>6.1660612586924707E-2</v>
      </c>
      <c r="DC45" s="587">
        <f t="shared" si="27"/>
        <v>5.6254235616124908E-2</v>
      </c>
      <c r="DD45" s="587">
        <f t="shared" si="27"/>
        <v>4.9403564544374126E-2</v>
      </c>
      <c r="DE45" s="586">
        <f t="shared" si="27"/>
        <v>4.527035640787485E-2</v>
      </c>
      <c r="DF45" s="586">
        <f t="shared" si="27"/>
        <v>4.2025805706731784E-2</v>
      </c>
      <c r="DG45" s="586">
        <f t="shared" si="27"/>
        <v>4.5746831928545492E-2</v>
      </c>
      <c r="DH45" s="586">
        <f t="shared" si="27"/>
        <v>4.7202021052111423E-2</v>
      </c>
      <c r="DI45" s="586">
        <f t="shared" si="27"/>
        <v>4.616127069388782E-2</v>
      </c>
      <c r="DJ45" s="586">
        <f t="shared" si="27"/>
        <v>4.4116685040037802E-2</v>
      </c>
      <c r="DK45" s="586">
        <f t="shared" si="27"/>
        <v>4.2197198624768284E-2</v>
      </c>
      <c r="DL45" s="586">
        <f t="shared" si="27"/>
        <v>4.3016602871256283E-2</v>
      </c>
      <c r="DM45" s="586">
        <f>+DM11/DM8</f>
        <v>4.4731648104591917E-2</v>
      </c>
      <c r="DN45" s="586">
        <f>+DN11/DN8</f>
        <v>4.5751253536627311E-2</v>
      </c>
      <c r="DO45" s="586">
        <f>+DO11/DO8</f>
        <v>4.6734957944779477E-2</v>
      </c>
    </row>
    <row r="46" spans="1:120" collapsed="1">
      <c r="A46" s="560" t="s">
        <v>241</v>
      </c>
      <c r="B46" s="575"/>
      <c r="C46" s="588">
        <f>(C21/C8)</f>
        <v>0.21097208192911368</v>
      </c>
      <c r="D46" s="588">
        <f>(D21/D8)</f>
        <v>0.19339656464074634</v>
      </c>
      <c r="E46" s="588">
        <f>(E21/E8)</f>
        <v>0.18155047291819545</v>
      </c>
      <c r="F46" s="588">
        <f>(F21/F8)</f>
        <v>0.12513459788253947</v>
      </c>
      <c r="G46" s="584"/>
      <c r="H46" s="588">
        <f>(H21/H8)</f>
        <v>0.21304173890681552</v>
      </c>
      <c r="I46" s="588">
        <f>(I21/I8)</f>
        <v>0.19825537454279399</v>
      </c>
      <c r="J46" s="588">
        <f>(J21/J8)</f>
        <v>0.15122300164238214</v>
      </c>
      <c r="K46" s="588">
        <f>(K21/K8)</f>
        <v>0.15505117294653134</v>
      </c>
      <c r="L46" s="584"/>
      <c r="M46" s="588">
        <f>(M21/M8)</f>
        <v>0.24335515480169706</v>
      </c>
      <c r="N46" s="588">
        <f>(N21/N8)</f>
        <v>0.20943565292012897</v>
      </c>
      <c r="O46" s="588">
        <f>(O21/O8)</f>
        <v>0.18098214858072939</v>
      </c>
      <c r="P46" s="588">
        <f>(P21/P8)</f>
        <v>0.17358473480268102</v>
      </c>
      <c r="Q46" s="584"/>
      <c r="R46" s="588">
        <f>(R21/R8)</f>
        <v>0.22123999857809518</v>
      </c>
      <c r="S46" s="588">
        <f>(S21/S8)</f>
        <v>0.22610832452568971</v>
      </c>
      <c r="T46" s="588">
        <f>(T21/T8)</f>
        <v>0.20423234189268125</v>
      </c>
      <c r="U46" s="588">
        <f>(U21/U8)</f>
        <v>0.19102682486578287</v>
      </c>
      <c r="V46" s="584"/>
      <c r="W46" s="588">
        <f>(W21/W8)</f>
        <v>0.22295952739776709</v>
      </c>
      <c r="X46" s="588">
        <f>(X21/X8)</f>
        <v>0.22281928193211839</v>
      </c>
      <c r="Y46" s="588">
        <f>(Y21/Y8)</f>
        <v>0.21937703180081045</v>
      </c>
      <c r="Z46" s="588">
        <f>(Z21/Z8)</f>
        <v>0.17920441532335724</v>
      </c>
      <c r="AA46" s="584"/>
      <c r="AB46" s="588">
        <f>(AB21/AB8)</f>
        <v>0.22432965118943946</v>
      </c>
      <c r="AC46" s="588">
        <f>(AC21/AC8)</f>
        <v>0.22150032806007147</v>
      </c>
      <c r="AD46" s="588">
        <f>(AD21/AD8)</f>
        <v>0.22948154963545372</v>
      </c>
      <c r="AE46" s="588">
        <f>(AE21/AE8)</f>
        <v>0.17735075719266497</v>
      </c>
      <c r="AF46" s="584"/>
      <c r="AG46" s="588">
        <f>(AG21/AG8)</f>
        <v>0.20466744995046893</v>
      </c>
      <c r="AH46" s="588">
        <f>(AH21/AH8)</f>
        <v>0.20706024084439306</v>
      </c>
      <c r="AI46" s="588">
        <f>(AI21/AI8)</f>
        <v>0.16248859452188974</v>
      </c>
      <c r="AJ46" s="588">
        <f>(AJ21/AJ8)</f>
        <v>7.8395343554542918E-2</v>
      </c>
      <c r="AK46" s="584"/>
      <c r="AL46" s="588">
        <f>(AL21/AL8)</f>
        <v>0.16478476587329607</v>
      </c>
      <c r="AM46" s="588">
        <f>(AM21/AM8)</f>
        <v>0.13245678613119768</v>
      </c>
      <c r="AN46" s="588">
        <f>(AN21/AN8)</f>
        <v>5.5980457451438127E-2</v>
      </c>
      <c r="AO46" s="588">
        <f>(AO21/AO8)</f>
        <v>-8.366052035563408E-2</v>
      </c>
      <c r="AP46" s="588"/>
      <c r="AQ46" s="588">
        <f>(AQ21/AQ8)</f>
        <v>4.0757976775302546E-2</v>
      </c>
      <c r="AR46" s="588">
        <f>(AR21/AR8)</f>
        <v>1.9448790527567948E-2</v>
      </c>
      <c r="AS46" s="588">
        <f>(AS21/AS8)</f>
        <v>-4.3095248362051124E-3</v>
      </c>
      <c r="AT46" s="588">
        <f>(AT21/AT8)</f>
        <v>-0.10392657326737705</v>
      </c>
      <c r="AU46" s="588"/>
      <c r="AV46" s="588">
        <f>(AV21/AV8)</f>
        <v>7.2629997345626224E-2</v>
      </c>
      <c r="AW46" s="588">
        <f>(AW21/AW8)</f>
        <v>6.9042544324446661E-2</v>
      </c>
      <c r="AX46" s="588">
        <f>(AX21/AX8)</f>
        <v>8.1257566636754527E-2</v>
      </c>
      <c r="AY46" s="588">
        <f>(AY21/AY8)</f>
        <v>6.4377022468042167E-2</v>
      </c>
      <c r="AZ46" s="584"/>
      <c r="BA46" s="588">
        <f>(BA21/BA8)</f>
        <v>0.11431347957175017</v>
      </c>
      <c r="BB46" s="588">
        <f>(BB21/BB8)</f>
        <v>0.10182638590459817</v>
      </c>
      <c r="BC46" s="588">
        <f>(BC21/BC8)</f>
        <v>9.1426477468935161E-2</v>
      </c>
      <c r="BD46" s="588">
        <f>(BD21/BD8)</f>
        <v>6.6435215401264083E-2</v>
      </c>
      <c r="BE46" s="584"/>
      <c r="BF46" s="588">
        <f>(BF21/BF8)</f>
        <v>0.13556160384840221</v>
      </c>
      <c r="BG46" s="588">
        <f>(BG21/BG8)</f>
        <v>0.12507230949734249</v>
      </c>
      <c r="BH46" s="588">
        <f>(BH21/BH8)</f>
        <v>8.7246029122860516E-2</v>
      </c>
      <c r="BI46" s="588">
        <f>(BI21/BI8)</f>
        <v>6.805081455428344E-2</v>
      </c>
      <c r="BJ46" s="584"/>
      <c r="BK46" s="588">
        <f>(BK21/BK8)</f>
        <v>0.13269782442683584</v>
      </c>
      <c r="BL46" s="588">
        <f>(BL21/BL8)</f>
        <v>0.13366535664976426</v>
      </c>
      <c r="BM46" s="588">
        <f>(BM21/BM8)</f>
        <v>0.1046484414880666</v>
      </c>
      <c r="BN46" s="588">
        <f>(BN21/BN8)</f>
        <v>7.7640204156458531E-2</v>
      </c>
      <c r="BO46" s="584"/>
      <c r="BP46" s="588">
        <f t="shared" ref="BP46:BX46" si="28">(BP21/BP8)</f>
        <v>0.12081160301883644</v>
      </c>
      <c r="BQ46" s="588">
        <f t="shared" si="28"/>
        <v>0.10758995724423143</v>
      </c>
      <c r="BR46" s="588">
        <f t="shared" si="28"/>
        <v>8.4630532704677727E-2</v>
      </c>
      <c r="BS46" s="588">
        <f t="shared" si="28"/>
        <v>1.1892178889047214E-2</v>
      </c>
      <c r="BT46" s="588"/>
      <c r="BU46" s="588">
        <f t="shared" si="28"/>
        <v>9.971509539528052E-2</v>
      </c>
      <c r="BV46" s="588">
        <f t="shared" si="28"/>
        <v>7.4801316949560173E-2</v>
      </c>
      <c r="BW46" s="588">
        <f t="shared" si="28"/>
        <v>7.1514993780025099E-2</v>
      </c>
      <c r="BX46" s="586">
        <f t="shared" si="28"/>
        <v>2.4939438403121912E-2</v>
      </c>
      <c r="BY46" s="588"/>
      <c r="BZ46" s="588">
        <f>(BZ21/BZ8)</f>
        <v>0.1069790681489676</v>
      </c>
      <c r="CA46" s="588">
        <f>(CA21/CA8)</f>
        <v>9.2143867613411493E-2</v>
      </c>
      <c r="CB46" s="588">
        <f>(CB21/CB8)</f>
        <v>4.5548756651535377E-2</v>
      </c>
      <c r="CC46" s="586">
        <f>(CC21/CC8)</f>
        <v>1.2513417688579588E-2</v>
      </c>
      <c r="CD46" s="588"/>
      <c r="CE46" s="588">
        <f>(CE21/CE8)</f>
        <v>8.4286063109566892E-2</v>
      </c>
      <c r="CF46" s="588">
        <f>(CF21/CF8)</f>
        <v>8.5230883454033998E-2</v>
      </c>
      <c r="CG46" s="588">
        <f>(CG21/CG8)</f>
        <v>6.3543704934730855E-2</v>
      </c>
      <c r="CH46" s="586">
        <f>(CH21/CH8)</f>
        <v>3.5631477939842414E-2</v>
      </c>
      <c r="CI46" s="586"/>
      <c r="CJ46" s="586">
        <f>(CJ21/CJ8)</f>
        <v>9.4006112435929018E-2</v>
      </c>
      <c r="CK46" s="586">
        <f>(CK21/CK8)</f>
        <v>6.1286146624241034E-2</v>
      </c>
      <c r="CL46" s="586">
        <f>(CL21/CL8)</f>
        <v>4.7489418302532366E-2</v>
      </c>
      <c r="CM46" s="586">
        <f>(CM21/CM8)</f>
        <v>5.028896718687003E-2</v>
      </c>
      <c r="CN46" s="586"/>
      <c r="CO46" s="586">
        <f>(CO21/CO8)</f>
        <v>7.5999999999999929E-2</v>
      </c>
      <c r="CP46" s="586">
        <f>(CP21/CP8)</f>
        <v>7.7999999999999861E-2</v>
      </c>
      <c r="CQ46" s="586">
        <f>(CQ21/CQ8)</f>
        <v>5.0999999999999997E-2</v>
      </c>
      <c r="CR46" s="586">
        <f>(CR21/CR8)</f>
        <v>5.6999999999999974E-2</v>
      </c>
      <c r="CS46" s="584"/>
      <c r="CT46" s="586">
        <f t="shared" ref="CT46:DL46" si="29">(CT21/CT8)</f>
        <v>0.1748475335296881</v>
      </c>
      <c r="CU46" s="586">
        <f t="shared" si="29"/>
        <v>0.17862603717985992</v>
      </c>
      <c r="CV46" s="586">
        <f t="shared" si="29"/>
        <v>0.20107628927438123</v>
      </c>
      <c r="CW46" s="586">
        <f t="shared" si="29"/>
        <v>0.20920595567198558</v>
      </c>
      <c r="CX46" s="586">
        <f t="shared" si="29"/>
        <v>0.21030910634915587</v>
      </c>
      <c r="CY46" s="586">
        <f t="shared" si="29"/>
        <v>0.21238737696456225</v>
      </c>
      <c r="CZ46" s="587">
        <f t="shared" si="29"/>
        <v>0.16070184718759595</v>
      </c>
      <c r="DA46" s="587">
        <f t="shared" si="29"/>
        <v>7.0848793724884382E-2</v>
      </c>
      <c r="DB46" s="586">
        <f t="shared" si="29"/>
        <v>-1.0066329458216793E-2</v>
      </c>
      <c r="DC46" s="587">
        <f t="shared" si="29"/>
        <v>7.1902009805323686E-2</v>
      </c>
      <c r="DD46" s="587">
        <f t="shared" si="29"/>
        <v>9.3522045329514469E-2</v>
      </c>
      <c r="DE46" s="586">
        <f t="shared" si="29"/>
        <v>0.10358502249175919</v>
      </c>
      <c r="DF46" s="586">
        <f t="shared" si="29"/>
        <v>0.11211453292197725</v>
      </c>
      <c r="DG46" s="586">
        <f t="shared" si="29"/>
        <v>8.2616760703733111E-2</v>
      </c>
      <c r="DH46" s="586">
        <f t="shared" si="29"/>
        <v>6.8072688695743566E-2</v>
      </c>
      <c r="DI46" s="586">
        <f t="shared" si="29"/>
        <v>6.5648476483785786E-2</v>
      </c>
      <c r="DJ46" s="586">
        <f t="shared" si="29"/>
        <v>6.7725053605824481E-2</v>
      </c>
      <c r="DK46" s="586">
        <f t="shared" si="29"/>
        <v>6.3604686162990393E-2</v>
      </c>
      <c r="DL46" s="586">
        <f t="shared" si="29"/>
        <v>6.5663725437714912E-2</v>
      </c>
      <c r="DM46" s="586">
        <f>(DM21/DM8)</f>
        <v>7.6900000000000052E-2</v>
      </c>
      <c r="DN46" s="586">
        <f>(DN21/DN8)</f>
        <v>8.1099999999999922E-2</v>
      </c>
      <c r="DO46" s="586">
        <f>(DO21/DO8)</f>
        <v>8.500000000000002E-2</v>
      </c>
    </row>
    <row r="47" spans="1:120">
      <c r="A47" s="560" t="s">
        <v>264</v>
      </c>
      <c r="B47" s="575"/>
      <c r="C47" s="588">
        <f>(C24/C8)</f>
        <v>0.21268871924402982</v>
      </c>
      <c r="D47" s="588">
        <f>(D24/D8)</f>
        <v>0.19621959818277282</v>
      </c>
      <c r="E47" s="588">
        <f>(E24/E8)</f>
        <v>0.18282373567724336</v>
      </c>
      <c r="F47" s="588">
        <f>(F24/F8)</f>
        <v>0.12584295344913621</v>
      </c>
      <c r="G47" s="584"/>
      <c r="H47" s="588">
        <f>(H24/H8)</f>
        <v>0.21414226111240511</v>
      </c>
      <c r="I47" s="588">
        <f>(I24/I8)</f>
        <v>0.19989015357614837</v>
      </c>
      <c r="J47" s="588">
        <f>(J24/J8)</f>
        <v>0.15274469620185219</v>
      </c>
      <c r="K47" s="588">
        <f>(K24/K8)</f>
        <v>0.15618780484150496</v>
      </c>
      <c r="L47" s="584"/>
      <c r="M47" s="588">
        <f>(M24/M8)</f>
        <v>0.24453348143805365</v>
      </c>
      <c r="N47" s="588">
        <f>(N24/N8)</f>
        <v>0.2113511210206617</v>
      </c>
      <c r="O47" s="588">
        <f>(O24/O8)</f>
        <v>0.18264245312048408</v>
      </c>
      <c r="P47" s="588">
        <f>(P24/P8)</f>
        <v>0.17547528394239156</v>
      </c>
      <c r="Q47" s="584"/>
      <c r="R47" s="588">
        <f>(R24/R8)</f>
        <v>0.22303489589645847</v>
      </c>
      <c r="S47" s="588">
        <f>(S24/S8)</f>
        <v>0.22752709758701503</v>
      </c>
      <c r="T47" s="588">
        <f>(T24/T8)</f>
        <v>0.20496844264825306</v>
      </c>
      <c r="U47" s="588">
        <f>(U24/U8)</f>
        <v>0.19187597733737338</v>
      </c>
      <c r="V47" s="584"/>
      <c r="W47" s="588">
        <f>(W24/W8)</f>
        <v>0.22400707189893729</v>
      </c>
      <c r="X47" s="588">
        <f>(X24/X8)</f>
        <v>0.22471905702072878</v>
      </c>
      <c r="Y47" s="588">
        <f>(Y24/Y8)</f>
        <v>0.22167526031144716</v>
      </c>
      <c r="Z47" s="588">
        <f>(Z24/Z8)</f>
        <v>0.18254882665443295</v>
      </c>
      <c r="AA47" s="584"/>
      <c r="AB47" s="588">
        <f>(AB24/AB8)</f>
        <v>0.22894073428977407</v>
      </c>
      <c r="AC47" s="588">
        <f>(AC24/AC8)</f>
        <v>0.22731501057082457</v>
      </c>
      <c r="AD47" s="588">
        <f>(AD24/AD8)</f>
        <v>0.23548715375071447</v>
      </c>
      <c r="AE47" s="588">
        <f>(AE24/AE8)</f>
        <v>0.18421206717589761</v>
      </c>
      <c r="AF47" s="584"/>
      <c r="AG47" s="588">
        <f>(AG24/AG8)</f>
        <v>0.21267947054110586</v>
      </c>
      <c r="AH47" s="588">
        <f>(AH24/AH8)</f>
        <v>0.2140877609602046</v>
      </c>
      <c r="AI47" s="588">
        <f>(AI24/AI8)</f>
        <v>0.16830383447823191</v>
      </c>
      <c r="AJ47" s="588">
        <f>(AJ24/AJ8)</f>
        <v>8.361765149078669E-2</v>
      </c>
      <c r="AK47" s="584"/>
      <c r="AL47" s="588">
        <f>(AL24/AL8)</f>
        <v>0.1697396532240977</v>
      </c>
      <c r="AM47" s="588">
        <f>(AM24/AM8)</f>
        <v>0.13858940575053494</v>
      </c>
      <c r="AN47" s="588">
        <f>(AN24/AN8)</f>
        <v>6.3811422100294987E-2</v>
      </c>
      <c r="AO47" s="588">
        <f>(AO24/AO8)</f>
        <v>-7.7083389323645085E-2</v>
      </c>
      <c r="AP47" s="588"/>
      <c r="AQ47" s="588">
        <f>(AQ24/AQ8)</f>
        <v>4.6224765848560938E-2</v>
      </c>
      <c r="AR47" s="588">
        <f>(AR24/AR8)</f>
        <v>2.388837613334064E-2</v>
      </c>
      <c r="AS47" s="588">
        <f>(AS24/AS8)</f>
        <v>1.7628721372351262E-3</v>
      </c>
      <c r="AT47" s="588">
        <f>(AT24/AT8)</f>
        <v>-0.10038057844710059</v>
      </c>
      <c r="AU47" s="588"/>
      <c r="AV47" s="588">
        <f>(AV24/AV8)</f>
        <v>7.5118777137318765E-2</v>
      </c>
      <c r="AW47" s="588">
        <f>(AW24/AW8)</f>
        <v>6.8997297072026523E-2</v>
      </c>
      <c r="AX47" s="588">
        <f>(AX24/AX8)</f>
        <v>8.2004999295086048E-2</v>
      </c>
      <c r="AY47" s="588">
        <f>(AY24/AY8)</f>
        <v>6.5196337181282024E-2</v>
      </c>
      <c r="AZ47" s="584"/>
      <c r="BA47" s="588">
        <f>(BA24/BA8)</f>
        <v>0.11524788823641789</v>
      </c>
      <c r="BB47" s="588">
        <f>(BB24/BB8)</f>
        <v>0.10267296948861192</v>
      </c>
      <c r="BC47" s="588">
        <f>(BC24/BC8)</f>
        <v>9.2426431922355501E-2</v>
      </c>
      <c r="BD47" s="588">
        <f>(BD24/BD8)</f>
        <v>6.7245786085133097E-2</v>
      </c>
      <c r="BE47" s="584"/>
      <c r="BF47" s="588">
        <f>(BF24/BF8)</f>
        <v>0.13630626370639559</v>
      </c>
      <c r="BG47" s="588">
        <f>(BG24/BG8)</f>
        <v>0.125833939312611</v>
      </c>
      <c r="BH47" s="588">
        <f>(BH24/BH8)</f>
        <v>8.8297007126596508E-2</v>
      </c>
      <c r="BI47" s="588">
        <f>(BI24/BI8)</f>
        <v>6.8421505708819483E-2</v>
      </c>
      <c r="BJ47" s="584"/>
      <c r="BK47" s="588">
        <f>(BK24/BK8)</f>
        <v>0.13297900946041671</v>
      </c>
      <c r="BL47" s="588">
        <f>(BL24/BL8)</f>
        <v>0.13400662592212828</v>
      </c>
      <c r="BM47" s="588">
        <f>(BM24/BM8)</f>
        <v>0.10501126966300946</v>
      </c>
      <c r="BN47" s="588">
        <f>(BN24/BN8)</f>
        <v>7.8020658031795448E-2</v>
      </c>
      <c r="BO47" s="584"/>
      <c r="BP47" s="588">
        <f t="shared" ref="BP47:BX47" si="30">(BP24/BP8)</f>
        <v>0.12109637077656617</v>
      </c>
      <c r="BQ47" s="588">
        <f t="shared" si="30"/>
        <v>0.10775623823138623</v>
      </c>
      <c r="BR47" s="588">
        <f t="shared" si="30"/>
        <v>8.479069646831261E-2</v>
      </c>
      <c r="BS47" s="588">
        <f t="shared" si="30"/>
        <v>1.2047857129981415E-2</v>
      </c>
      <c r="BT47" s="588"/>
      <c r="BU47" s="588">
        <f t="shared" si="30"/>
        <v>9.9775745657062209E-2</v>
      </c>
      <c r="BV47" s="588">
        <f t="shared" si="30"/>
        <v>7.4787444587621002E-2</v>
      </c>
      <c r="BW47" s="588">
        <f t="shared" si="30"/>
        <v>7.1583157888213927E-2</v>
      </c>
      <c r="BX47" s="586">
        <f t="shared" si="30"/>
        <v>2.4975571132776826E-2</v>
      </c>
      <c r="BY47" s="588"/>
      <c r="BZ47" s="588">
        <f>(BZ24/BZ8)</f>
        <v>0.10630543014686192</v>
      </c>
      <c r="CA47" s="588">
        <f>(CA24/CA8)</f>
        <v>9.138271144448333E-2</v>
      </c>
      <c r="CB47" s="588">
        <f>(CB24/CB8)</f>
        <v>4.4805220707316525E-2</v>
      </c>
      <c r="CC47" s="586">
        <f>(CC24/CC8)</f>
        <v>1.1783170152555127E-2</v>
      </c>
      <c r="CD47" s="588"/>
      <c r="CE47" s="588">
        <f>(CE24/CE8)</f>
        <v>8.3572196206085109E-2</v>
      </c>
      <c r="CF47" s="588">
        <f>(CF24/CF8)</f>
        <v>8.4461691404554035E-2</v>
      </c>
      <c r="CG47" s="588">
        <f>(CG24/CG8)</f>
        <v>6.2662503015519969E-2</v>
      </c>
      <c r="CH47" s="586">
        <f>(CH24/CH8)</f>
        <v>3.4800903478592292E-2</v>
      </c>
      <c r="CI47" s="586"/>
      <c r="CJ47" s="586">
        <f>(CJ24/CJ8)</f>
        <v>9.3226639804840569E-2</v>
      </c>
      <c r="CK47" s="586">
        <f>(CK24/CK8)</f>
        <v>6.0520480278474412E-2</v>
      </c>
      <c r="CL47" s="586">
        <f>(CL24/CL8)</f>
        <v>4.6760488232851914E-2</v>
      </c>
      <c r="CM47" s="586">
        <f>(CM24/CM8)</f>
        <v>4.9805795676295547E-2</v>
      </c>
      <c r="CN47" s="586"/>
      <c r="CO47" s="586">
        <f>(CO24/CO8)</f>
        <v>7.548479384589242E-2</v>
      </c>
      <c r="CP47" s="586">
        <f>(CP24/CP8)</f>
        <v>7.7487638749979909E-2</v>
      </c>
      <c r="CQ47" s="586">
        <f>(CQ24/CQ8)</f>
        <v>5.0464438100694259E-2</v>
      </c>
      <c r="CR47" s="586">
        <f>(CR24/CR8)</f>
        <v>5.6483059779944909E-2</v>
      </c>
      <c r="CS47" s="584"/>
      <c r="CT47" s="586">
        <f t="shared" ref="CT47:DL47" si="31">(CT24/CT8)</f>
        <v>0.17642067847548445</v>
      </c>
      <c r="CU47" s="586">
        <f t="shared" si="31"/>
        <v>0.17996738778604845</v>
      </c>
      <c r="CV47" s="586">
        <f t="shared" si="31"/>
        <v>0.20273826152675556</v>
      </c>
      <c r="CW47" s="586">
        <f t="shared" si="31"/>
        <v>0.21036064411752387</v>
      </c>
      <c r="CX47" s="586">
        <f t="shared" si="31"/>
        <v>0.21249116584589495</v>
      </c>
      <c r="CY47" s="586">
        <f t="shared" si="31"/>
        <v>0.21825036042931137</v>
      </c>
      <c r="CZ47" s="587">
        <f t="shared" si="31"/>
        <v>0.16717745518234525</v>
      </c>
      <c r="DA47" s="587">
        <f t="shared" si="31"/>
        <v>7.7188307714922452E-2</v>
      </c>
      <c r="DB47" s="586">
        <f t="shared" si="31"/>
        <v>-5.1649262767283748E-3</v>
      </c>
      <c r="DC47" s="587">
        <f t="shared" si="31"/>
        <v>7.2890830989212327E-2</v>
      </c>
      <c r="DD47" s="587">
        <f t="shared" si="31"/>
        <v>9.4420740541652726E-2</v>
      </c>
      <c r="DE47" s="586">
        <f t="shared" si="31"/>
        <v>0.10431213462273954</v>
      </c>
      <c r="DF47" s="586">
        <f t="shared" si="31"/>
        <v>0.11245586594949271</v>
      </c>
      <c r="DG47" s="586">
        <f t="shared" si="31"/>
        <v>8.2809720046542204E-2</v>
      </c>
      <c r="DH47" s="586">
        <f t="shared" si="31"/>
        <v>6.8110521654736508E-2</v>
      </c>
      <c r="DI47" s="586">
        <f t="shared" si="31"/>
        <v>6.492186388953014E-2</v>
      </c>
      <c r="DJ47" s="586">
        <f t="shared" si="31"/>
        <v>6.6928335776385892E-2</v>
      </c>
      <c r="DK47" s="586">
        <f t="shared" si="31"/>
        <v>6.2916807418925538E-2</v>
      </c>
      <c r="DL47" s="586">
        <f t="shared" si="31"/>
        <v>6.514386521578143E-2</v>
      </c>
      <c r="DM47" s="586">
        <f>(DM24/DM8)</f>
        <v>7.6370675497429041E-2</v>
      </c>
      <c r="DN47" s="586">
        <f>(DN24/DN8)</f>
        <v>8.0569658938595759E-2</v>
      </c>
      <c r="DO47" s="586">
        <f>(DO24/DO8)</f>
        <v>8.446909087774733E-2</v>
      </c>
    </row>
    <row r="48" spans="1:120">
      <c r="A48" s="560" t="s">
        <v>265</v>
      </c>
      <c r="B48" s="575"/>
      <c r="C48" s="588">
        <f>(C26/C24)</f>
        <v>0.37999914081381508</v>
      </c>
      <c r="D48" s="588">
        <f>(D26/D24)</f>
        <v>0.37996622410392755</v>
      </c>
      <c r="E48" s="588">
        <f>(E26/E24)</f>
        <v>0.38000186472853315</v>
      </c>
      <c r="F48" s="588">
        <f>(F26/F24)</f>
        <v>0.38001877164501419</v>
      </c>
      <c r="G48" s="584"/>
      <c r="H48" s="588">
        <f>(H26/H24)</f>
        <v>0.37996250261956749</v>
      </c>
      <c r="I48" s="588">
        <f>(I26/I24)</f>
        <v>0.38001828313911212</v>
      </c>
      <c r="J48" s="588">
        <f>(J26/J24)</f>
        <v>0.38001596694035267</v>
      </c>
      <c r="K48" s="588">
        <f>(K26/K24)</f>
        <v>0.37998993345597615</v>
      </c>
      <c r="L48" s="584"/>
      <c r="M48" s="588">
        <f>(M26/M24)</f>
        <v>0.38002797655431436</v>
      </c>
      <c r="N48" s="588">
        <f>(N26/N24)</f>
        <v>0.38001326206561964</v>
      </c>
      <c r="O48" s="588">
        <f>(O26/O24)</f>
        <v>0.37998093234460639</v>
      </c>
      <c r="P48" s="588">
        <f>(P26/P24)</f>
        <v>0.37997433494397737</v>
      </c>
      <c r="Q48" s="584"/>
      <c r="R48" s="588">
        <f>(R26/R24)</f>
        <v>0.38000011780481252</v>
      </c>
      <c r="S48" s="588">
        <f>(S26/S24)</f>
        <v>0.37999064303134167</v>
      </c>
      <c r="T48" s="588">
        <f>(T26/T24)</f>
        <v>0.3800046339202966</v>
      </c>
      <c r="U48" s="588">
        <f>(U26/U24)</f>
        <v>0.38001499359144886</v>
      </c>
      <c r="V48" s="584"/>
      <c r="W48" s="588">
        <f>(W26/W24)</f>
        <v>0.37998713558055036</v>
      </c>
      <c r="X48" s="588">
        <f>(X26/X24)</f>
        <v>0.37999336256135258</v>
      </c>
      <c r="Y48" s="588">
        <f>(Y26/Y24)</f>
        <v>0.38000401324370398</v>
      </c>
      <c r="Z48" s="588">
        <f>(Z26/Z24)</f>
        <v>0.36754465056496644</v>
      </c>
      <c r="AA48" s="584"/>
      <c r="AB48" s="588">
        <f>(AB26/AB24)</f>
        <v>0.37001147860441524</v>
      </c>
      <c r="AC48" s="588">
        <f>(AC26/AC24)</f>
        <v>0.36998409277504102</v>
      </c>
      <c r="AD48" s="588">
        <f>(AD26/AD24)</f>
        <v>0.37000509110713814</v>
      </c>
      <c r="AE48" s="588">
        <f>(AE26/AE24)</f>
        <v>0.35764440720085527</v>
      </c>
      <c r="AF48" s="584"/>
      <c r="AG48" s="588">
        <f>(AG26/AG24)</f>
        <v>0.36799220085212891</v>
      </c>
      <c r="AH48" s="588">
        <f>(AH26/AH24)</f>
        <v>0.36410161406108899</v>
      </c>
      <c r="AI48" s="588">
        <f>(AI26/AI24)</f>
        <v>0.3660093064480392</v>
      </c>
      <c r="AJ48" s="588">
        <f>(AJ26/AJ24)</f>
        <v>0.34530245568735063</v>
      </c>
      <c r="AK48" s="584"/>
      <c r="AL48" s="588">
        <f>(AL26/AL24)</f>
        <v>0.36100745055716654</v>
      </c>
      <c r="AM48" s="588">
        <f>(AM26/AM24)</f>
        <v>0.35850336758840962</v>
      </c>
      <c r="AN48" s="588">
        <f>(AN26/AN24)</f>
        <v>0.36311228334589318</v>
      </c>
      <c r="AO48" s="588">
        <f>(AO26/AO24)</f>
        <v>0.35033280507131581</v>
      </c>
      <c r="AP48" s="588"/>
      <c r="AQ48" s="588">
        <f>(AQ26/AQ24)</f>
        <v>0.32748785125713059</v>
      </c>
      <c r="AR48" s="588">
        <f>(AR26/AR24)</f>
        <v>0.30991735537189991</v>
      </c>
      <c r="AS48" s="588">
        <f>(AS26/AS24)</f>
        <v>-1.8705035971223349</v>
      </c>
      <c r="AT48" s="588">
        <f>(AT26/AT24)</f>
        <v>0.33713980789754561</v>
      </c>
      <c r="AU48" s="588"/>
      <c r="AV48" s="588">
        <f>(AV26/AV24)</f>
        <v>0.36632411579732244</v>
      </c>
      <c r="AW48" s="588">
        <f>(AW26/AW24)</f>
        <v>0.37966382494046153</v>
      </c>
      <c r="AX48" s="588">
        <f>(AX26/AX24)</f>
        <v>0.37931504980215541</v>
      </c>
      <c r="AY48" s="588">
        <f>(AY26/AY24)</f>
        <v>0.33701774148127267</v>
      </c>
      <c r="AZ48" s="584"/>
      <c r="BA48" s="588">
        <f>(BA26/BA24)</f>
        <v>0.36214911174372083</v>
      </c>
      <c r="BB48" s="588">
        <f>(BB26/BB24)</f>
        <v>0.36204587309559699</v>
      </c>
      <c r="BC48" s="588">
        <f>(BC26/BC24)</f>
        <v>0.3539109398799391</v>
      </c>
      <c r="BD48" s="588">
        <f>(BD26/BD24)</f>
        <v>0.31934877896055092</v>
      </c>
      <c r="BE48" s="584"/>
      <c r="BF48" s="588">
        <f>(BF26/BF24)</f>
        <v>0.37285913300008172</v>
      </c>
      <c r="BG48" s="588">
        <f>(BG26/BG24)</f>
        <v>0.37468836016198048</v>
      </c>
      <c r="BH48" s="588">
        <f>(BH26/BH24)</f>
        <v>0.3691117092866753</v>
      </c>
      <c r="BI48" s="588">
        <f>(BI26/BI24)</f>
        <v>0.35451651003954177</v>
      </c>
      <c r="BJ48" s="584"/>
      <c r="BK48" s="588">
        <f>(BK26/BK24)</f>
        <v>0.38014905540470262</v>
      </c>
      <c r="BL48" s="588">
        <f>(BL26/BL24)</f>
        <v>0.37909180766323625</v>
      </c>
      <c r="BM48" s="588">
        <f>(BM26/BM24)</f>
        <v>0.37692388231598833</v>
      </c>
      <c r="BN48" s="588">
        <f>(BN26/BN24)</f>
        <v>0.35636949939046003</v>
      </c>
      <c r="BO48" s="584"/>
      <c r="BP48" s="588">
        <f>(BP26/BP24)</f>
        <v>0.37058924921819208</v>
      </c>
      <c r="BQ48" s="588">
        <f>(BQ26/BQ24)</f>
        <v>0.37720752128936358</v>
      </c>
      <c r="BR48" s="588">
        <f>(BR26/BR24)</f>
        <v>0.35619839171029255</v>
      </c>
      <c r="BS48" s="588">
        <f>(BS26/BS24)</f>
        <v>0.20402611534276532</v>
      </c>
      <c r="BT48" s="588"/>
      <c r="BU48" s="588">
        <f>(BU26/BU24)</f>
        <v>0.36471946994103693</v>
      </c>
      <c r="BV48" s="588">
        <f>(BV26/BV24)</f>
        <v>0.34212695795548193</v>
      </c>
      <c r="BW48" s="588">
        <f>(BW26/BW24)</f>
        <v>0.341939532971195</v>
      </c>
      <c r="BX48" s="586">
        <f>(BX26/BX24)</f>
        <v>0.24468486602088269</v>
      </c>
      <c r="BY48" s="588"/>
      <c r="BZ48" s="588">
        <f>(BZ26/BZ24)</f>
        <v>0.38</v>
      </c>
      <c r="CA48" s="588">
        <f>(CA26/CA24)</f>
        <v>0.38</v>
      </c>
      <c r="CB48" s="588">
        <f>(CB26/CB24)</f>
        <v>0.37000000000000005</v>
      </c>
      <c r="CC48" s="586">
        <f>(CC26/CC24)</f>
        <v>0.14768806073153806</v>
      </c>
      <c r="CD48" s="588"/>
      <c r="CE48" s="588">
        <f>(CE26/CE24)</f>
        <v>0.36733972271331544</v>
      </c>
      <c r="CF48" s="588">
        <f>(CF26/CF24)</f>
        <v>0.3796629108855577</v>
      </c>
      <c r="CG48" s="588">
        <f>(CG26/CG24)</f>
        <v>0.29352475671051176</v>
      </c>
      <c r="CH48" s="586">
        <f>(CH26/CH24)</f>
        <v>0.35393150947005958</v>
      </c>
      <c r="CI48" s="586"/>
      <c r="CJ48" s="586">
        <f>(CJ26/CJ24)</f>
        <v>0.38221944541428571</v>
      </c>
      <c r="CK48" s="586">
        <f>(CK26/CK24)</f>
        <v>0.35126799177518847</v>
      </c>
      <c r="CL48" s="586">
        <f>(CL26/CL24)</f>
        <v>0.32944957814383224</v>
      </c>
      <c r="CM48" s="586">
        <f>(CM26/CM24)</f>
        <v>4.440649017933386E-2</v>
      </c>
      <c r="CN48" s="586"/>
      <c r="CO48" s="586">
        <f>(CO26/CO24)</f>
        <v>0.27</v>
      </c>
      <c r="CP48" s="586">
        <f>(CP26/CP24)</f>
        <v>0.26999999999999996</v>
      </c>
      <c r="CQ48" s="586">
        <f>(CQ26/CQ24)</f>
        <v>0.27</v>
      </c>
      <c r="CR48" s="586">
        <f>(CR26/CR24)</f>
        <v>0.26999999999999996</v>
      </c>
      <c r="CS48" s="584"/>
      <c r="CT48" s="586">
        <f>(CT26/CT24)</f>
        <v>0.37999528135566824</v>
      </c>
      <c r="CU48" s="586">
        <f>(CU26/CU24)</f>
        <v>0.37999483003630469</v>
      </c>
      <c r="CV48" s="586">
        <f>(CV26/CV24)</f>
        <v>0.38000131914332352</v>
      </c>
      <c r="CW48" s="586">
        <f>(CW26/CW24)</f>
        <v>0.38000281575207923</v>
      </c>
      <c r="CX48" s="586">
        <f>(CX26/CX24)</f>
        <v>0.37713219498639161</v>
      </c>
      <c r="CY48" s="586">
        <f t="shared" ref="CY48:DD48" si="32">(CY26/CY24)</f>
        <v>0.36721046227519905</v>
      </c>
      <c r="CZ48" s="587">
        <f t="shared" si="32"/>
        <v>0.36320290457339044</v>
      </c>
      <c r="DA48" s="587">
        <f t="shared" si="32"/>
        <v>0.36283118963771332</v>
      </c>
      <c r="DB48" s="586">
        <f t="shared" si="32"/>
        <v>0.5794689832374833</v>
      </c>
      <c r="DC48" s="587">
        <f t="shared" si="32"/>
        <v>0.36656442946033146</v>
      </c>
      <c r="DD48" s="587">
        <f t="shared" si="32"/>
        <v>0.35247678879190575</v>
      </c>
      <c r="DE48" s="586">
        <f t="shared" ref="DE48:DK48" si="33">(DE26/DE24)</f>
        <v>0.3695172997769598</v>
      </c>
      <c r="DF48" s="586">
        <f t="shared" si="33"/>
        <v>0.37492632340528187</v>
      </c>
      <c r="DG48" s="586">
        <f t="shared" si="33"/>
        <v>0.36329845107845493</v>
      </c>
      <c r="DH48" s="586">
        <f t="shared" si="33"/>
        <v>0.34172386625781431</v>
      </c>
      <c r="DI48" s="586">
        <f t="shared" si="33"/>
        <v>0.36824583138817979</v>
      </c>
      <c r="DJ48" s="586">
        <f t="shared" si="33"/>
        <v>0.35298234605591866</v>
      </c>
      <c r="DK48" s="586">
        <f t="shared" si="33"/>
        <v>0.29665738161559913</v>
      </c>
      <c r="DL48" s="586">
        <f>(DL26/DL24)</f>
        <v>0.27000000000000041</v>
      </c>
      <c r="DM48" s="586">
        <f>(DM26/DM24)</f>
        <v>0.27000000000000041</v>
      </c>
      <c r="DN48" s="586">
        <f>(DN26/DN24)</f>
        <v>0.27000000000000041</v>
      </c>
      <c r="DO48" s="586">
        <f>(DO26/DO24)</f>
        <v>0.27000000000000041</v>
      </c>
    </row>
    <row r="49" spans="1:119">
      <c r="A49" s="560" t="s">
        <v>242</v>
      </c>
      <c r="B49" s="575"/>
      <c r="C49" s="588">
        <f>(C29/C8)</f>
        <v>0.13186718867050776</v>
      </c>
      <c r="D49" s="588">
        <f>(D29/D8)</f>
        <v>0.12166277836607474</v>
      </c>
      <c r="E49" s="588">
        <f>(E29/E8)</f>
        <v>0.11335037520325443</v>
      </c>
      <c r="F49" s="588">
        <f>(F29/F8)</f>
        <v>7.8020268859214759E-2</v>
      </c>
      <c r="G49" s="584"/>
      <c r="H49" s="588">
        <f>(H29/H8)</f>
        <v>0.13277623166352279</v>
      </c>
      <c r="I49" s="588">
        <f>(I29/I8)</f>
        <v>0.12392824059772702</v>
      </c>
      <c r="J49" s="588">
        <f>(J29/J8)</f>
        <v>9.4699272779694907E-2</v>
      </c>
      <c r="K49" s="588">
        <f>(K29/K8)</f>
        <v>9.6838011273146493E-2</v>
      </c>
      <c r="L49" s="584"/>
      <c r="M49" s="588">
        <f>(M29/M8)</f>
        <v>0.15160391728736813</v>
      </c>
      <c r="N49" s="588">
        <f>(N29/N8)</f>
        <v>0.1310348920803745</v>
      </c>
      <c r="O49" s="588">
        <f>(O29/O8)</f>
        <v>0.11324180349805647</v>
      </c>
      <c r="P49" s="588">
        <f>(P29/P8)</f>
        <v>0.10879917962727574</v>
      </c>
      <c r="Q49" s="584"/>
      <c r="R49" s="588">
        <f>(R29/R8)</f>
        <v>0.13828160918122015</v>
      </c>
      <c r="S49" s="588">
        <f>(S29/S8)</f>
        <v>0.14106892946787039</v>
      </c>
      <c r="T49" s="588">
        <f>(T29/T8)</f>
        <v>0.12707948463449034</v>
      </c>
      <c r="U49" s="588">
        <f>(U29/U8)</f>
        <v>0.11896022903915847</v>
      </c>
      <c r="V49" s="584"/>
      <c r="W49" s="588">
        <f>(W29/W8)</f>
        <v>0.13888726629827372</v>
      </c>
      <c r="X49" s="588">
        <f>(X29/X8)</f>
        <v>0.13932730691180573</v>
      </c>
      <c r="Y49" s="588">
        <f>(Y29/Y8)</f>
        <v>0.13743777175625446</v>
      </c>
      <c r="Z49" s="588">
        <f>(Z29/Z8)</f>
        <v>0.11545398195068476</v>
      </c>
      <c r="AA49" s="584"/>
      <c r="AB49" s="588">
        <f>(AB29/AB8)</f>
        <v>0.14423003468243423</v>
      </c>
      <c r="AC49" s="588">
        <f>(AC29/AC8)</f>
        <v>0.14321207261062918</v>
      </c>
      <c r="AD49" s="588">
        <f>(AD29/AD8)</f>
        <v>0.14835570797262071</v>
      </c>
      <c r="AE49" s="588">
        <f>(AE29/AE8)</f>
        <v>0.11832965161152957</v>
      </c>
      <c r="AF49" s="584"/>
      <c r="AG49" s="588">
        <f>(AG29/AG8)</f>
        <v>0.13441508410061878</v>
      </c>
      <c r="AH49" s="588">
        <f>(AH29/AH8)</f>
        <v>0.13613806164386952</v>
      </c>
      <c r="AI49" s="588">
        <f>(AI29/AI8)</f>
        <v>0.10670306474830867</v>
      </c>
      <c r="AJ49" s="588">
        <f>(AJ29/AJ8)</f>
        <v>5.4744271092208988E-2</v>
      </c>
      <c r="AK49" s="584"/>
      <c r="AL49" s="588">
        <f>(AL29/AL8)</f>
        <v>0.10846237375520866</v>
      </c>
      <c r="AM49" s="588">
        <f>(AM29/AM8)</f>
        <v>8.8904637076891654E-2</v>
      </c>
      <c r="AN49" s="588">
        <f>(AN29/AN8)</f>
        <v>4.0640710917908281E-2</v>
      </c>
      <c r="AO49" s="588">
        <f>(AO29/AO8)</f>
        <v>-5.0078549317488182E-2</v>
      </c>
      <c r="AP49" s="588"/>
      <c r="AQ49" s="588">
        <f>(AQ29/AQ8)</f>
        <v>3.1086716605951727E-2</v>
      </c>
      <c r="AR49" s="588">
        <f>(AR29/AR8)</f>
        <v>1.6484953777966497E-2</v>
      </c>
      <c r="AS49" s="588">
        <f>(AS29/AS8)</f>
        <v>5.0603308112001678E-3</v>
      </c>
      <c r="AT49" s="588">
        <f>(AT29/AT8)</f>
        <v>-6.6538289512800594E-2</v>
      </c>
      <c r="AU49" s="588"/>
      <c r="AV49" s="588">
        <f>(AV29/AV8)</f>
        <v>4.760095752271435E-2</v>
      </c>
      <c r="AW49" s="588">
        <f>(AW29/AW8)</f>
        <v>4.2801519355107627E-2</v>
      </c>
      <c r="AX49" s="588">
        <f>(AX29/AX8)</f>
        <v>5.0899268903444768E-2</v>
      </c>
      <c r="AY49" s="588">
        <f>(AY29/AY8)</f>
        <v>4.3224014871594836E-2</v>
      </c>
      <c r="AZ49" s="584"/>
      <c r="BA49" s="588">
        <f>(BA29/BA8)</f>
        <v>7.3047916476324207E-2</v>
      </c>
      <c r="BB49" s="588">
        <f>(BB29/BB8)</f>
        <v>6.503652771809193E-2</v>
      </c>
      <c r="BC49" s="588">
        <f>(BC29/BC8)</f>
        <v>5.9119460397248982E-2</v>
      </c>
      <c r="BD49" s="588">
        <f>(BD29/BD8)</f>
        <v>4.5316164674276925E-2</v>
      </c>
      <c r="BE49" s="584"/>
      <c r="BF49" s="588">
        <f>(BF29/BF8)</f>
        <v>8.4483522538992342E-2</v>
      </c>
      <c r="BG49" s="588">
        <f>(BG29/BG8)</f>
        <v>7.7646346262301727E-2</v>
      </c>
      <c r="BH49" s="588">
        <f>(BH29/BH8)</f>
        <v>5.50333676231929E-2</v>
      </c>
      <c r="BI49" s="588">
        <f>(BI29/BI8)</f>
        <v>4.3528979791183198E-2</v>
      </c>
      <c r="BJ49" s="584"/>
      <c r="BK49" s="588">
        <f>(BK29/BK8)</f>
        <v>8.2427164625386296E-2</v>
      </c>
      <c r="BL49" s="588">
        <f>(BL29/BL8)</f>
        <v>8.3205811862457582E-2</v>
      </c>
      <c r="BM49" s="588">
        <f>(BM29/BM8)</f>
        <v>6.5430014214696755E-2</v>
      </c>
      <c r="BN49" s="588">
        <f>(BN29/BN8)</f>
        <v>5.0216475186890229E-2</v>
      </c>
      <c r="BO49" s="584"/>
      <c r="BP49" s="588">
        <f t="shared" ref="BP49:BX49" si="34">(BP29/BP8)</f>
        <v>7.6219357647430694E-2</v>
      </c>
      <c r="BQ49" s="588">
        <f t="shared" si="34"/>
        <v>6.7109774704658884E-2</v>
      </c>
      <c r="BR49" s="588">
        <f t="shared" si="34"/>
        <v>5.4588386754304073E-2</v>
      </c>
      <c r="BS49" s="588">
        <f t="shared" si="34"/>
        <v>9.5897796415466696E-3</v>
      </c>
      <c r="BT49" s="588"/>
      <c r="BU49" s="588">
        <f t="shared" si="34"/>
        <v>6.3385588588046771E-2</v>
      </c>
      <c r="BV49" s="588">
        <f t="shared" si="34"/>
        <v>4.9200643677594053E-2</v>
      </c>
      <c r="BW49" s="588">
        <f t="shared" si="34"/>
        <v>4.7106046311314743E-2</v>
      </c>
      <c r="BX49" s="586">
        <f t="shared" si="34"/>
        <v>1.8864426856358304E-2</v>
      </c>
      <c r="BY49" s="588"/>
      <c r="BZ49" s="588">
        <f>(BZ29/BZ8)</f>
        <v>6.4273601123027366E-2</v>
      </c>
      <c r="CA49" s="588">
        <f>(CA29/CA8)</f>
        <v>5.6232731838010183E-2</v>
      </c>
      <c r="CB49" s="588">
        <f>(CB29/CB8)</f>
        <v>2.8227289045609408E-2</v>
      </c>
      <c r="CC49" s="586">
        <f>(CC29/CC8)</f>
        <v>1.0042936603454518E-2</v>
      </c>
      <c r="CD49" s="588"/>
      <c r="CE49" s="588">
        <f>(CE29/CE8)</f>
        <v>5.1868107257335767E-2</v>
      </c>
      <c r="CF49" s="588">
        <f>(CF29/CF8)</f>
        <v>5.1598786910207355E-2</v>
      </c>
      <c r="CG49" s="588">
        <f>(CG29/CG8)</f>
        <v>4.3428512075481915E-2</v>
      </c>
      <c r="CH49" s="586">
        <f>(CH29/CH8)</f>
        <v>2.2054331886902027E-2</v>
      </c>
      <c r="CI49" s="586"/>
      <c r="CJ49" s="586">
        <f>(CJ29/CJ8)</f>
        <v>5.6324178384452986E-2</v>
      </c>
      <c r="CK49" s="586">
        <f>(CK29/CK8)</f>
        <v>3.8333439915932264E-2</v>
      </c>
      <c r="CL49" s="586">
        <f>(CL29/CL8)</f>
        <v>3.0615062926579173E-2</v>
      </c>
      <c r="CM49" s="586">
        <f>(CM29/CM8)</f>
        <v>4.6544387979917799E-2</v>
      </c>
      <c r="CN49" s="586"/>
      <c r="CO49" s="586">
        <f>(CO29/CO8)</f>
        <v>5.5103899507501462E-2</v>
      </c>
      <c r="CP49" s="586">
        <f>(CP29/CP8)</f>
        <v>5.6565976287485331E-2</v>
      </c>
      <c r="CQ49" s="586">
        <f>(CQ29/CQ8)</f>
        <v>3.6839039813506808E-2</v>
      </c>
      <c r="CR49" s="586">
        <f>(CR29/CR8)</f>
        <v>4.1232633639359785E-2</v>
      </c>
      <c r="CS49" s="584"/>
      <c r="CT49" s="586">
        <f t="shared" ref="CT49:DL49" si="35">(CT29/CT8)</f>
        <v>0.10938165312123485</v>
      </c>
      <c r="CU49" s="586">
        <f t="shared" si="35"/>
        <v>0.11158071085221125</v>
      </c>
      <c r="CV49" s="586">
        <f t="shared" si="35"/>
        <v>0.12569745470576432</v>
      </c>
      <c r="CW49" s="586">
        <f t="shared" si="35"/>
        <v>0.13042300702944373</v>
      </c>
      <c r="CX49" s="586">
        <f t="shared" si="35"/>
        <v>0.13235390605521521</v>
      </c>
      <c r="CY49" s="586">
        <f t="shared" si="35"/>
        <v>0.13810654468433514</v>
      </c>
      <c r="CZ49" s="587">
        <f t="shared" si="35"/>
        <v>0.10645811788092964</v>
      </c>
      <c r="DA49" s="587">
        <f t="shared" si="35"/>
        <v>4.9181982200595248E-2</v>
      </c>
      <c r="DB49" s="586">
        <f t="shared" si="35"/>
        <v>-2.172011698656023E-3</v>
      </c>
      <c r="DC49" s="587">
        <f t="shared" si="35"/>
        <v>4.6171645114762266E-2</v>
      </c>
      <c r="DD49" s="587">
        <f t="shared" si="35"/>
        <v>6.1139621120177269E-2</v>
      </c>
      <c r="DE49" s="586">
        <f t="shared" si="35"/>
        <v>6.5766996302974098E-2</v>
      </c>
      <c r="DF49" s="586">
        <f t="shared" si="35"/>
        <v>7.0293201583692178E-2</v>
      </c>
      <c r="DG49" s="586">
        <f t="shared" si="35"/>
        <v>5.2725077019392948E-2</v>
      </c>
      <c r="DH49" s="586">
        <f t="shared" si="35"/>
        <v>4.4835530862043366E-2</v>
      </c>
      <c r="DI49" s="586">
        <f t="shared" si="35"/>
        <v>4.0478441365472281E-2</v>
      </c>
      <c r="DJ49" s="586">
        <f t="shared" si="35"/>
        <v>4.253172939860516E-2</v>
      </c>
      <c r="DK49" s="586">
        <f t="shared" si="35"/>
        <v>4.3249171149927275E-2</v>
      </c>
      <c r="DL49" s="586">
        <f t="shared" si="35"/>
        <v>4.7555021607520419E-2</v>
      </c>
      <c r="DM49" s="586">
        <f>(DM29/DM8)</f>
        <v>5.5750593113123179E-2</v>
      </c>
      <c r="DN49" s="586">
        <f>(DN29/DN8)</f>
        <v>5.8815851025174865E-2</v>
      </c>
      <c r="DO49" s="586">
        <f>(DO29/DO8)</f>
        <v>6.1662436340755515E-2</v>
      </c>
    </row>
    <row r="50" spans="1:119">
      <c r="A50" s="560" t="s">
        <v>422</v>
      </c>
      <c r="B50" s="575"/>
      <c r="C50" s="588">
        <f>(C36/C8)</f>
        <v>0.23117270206414525</v>
      </c>
      <c r="D50" s="588">
        <f>(D36/D8)</f>
        <v>0.21513643287851206</v>
      </c>
      <c r="E50" s="588">
        <f>(E36/E8)</f>
        <v>0.20394736241335806</v>
      </c>
      <c r="F50" s="588">
        <f>(F36/F8)</f>
        <v>0.15206235224728937</v>
      </c>
      <c r="G50" s="584"/>
      <c r="H50" s="588">
        <f>(H36/H8)</f>
        <v>0.23467090176170646</v>
      </c>
      <c r="I50" s="588">
        <f>(I36/I8)</f>
        <v>0.22456257844187719</v>
      </c>
      <c r="J50" s="588">
        <f>(J36/J8)</f>
        <v>0.17973429646244049</v>
      </c>
      <c r="K50" s="588">
        <f>(K36/K8)</f>
        <v>0.18523287573758043</v>
      </c>
      <c r="L50" s="584"/>
      <c r="M50" s="588">
        <f>(M36/M8)</f>
        <v>0.26871493759227472</v>
      </c>
      <c r="N50" s="588">
        <f>(N36/N8)</f>
        <v>0.23776997916567438</v>
      </c>
      <c r="O50" s="588">
        <f>(O36/O8)</f>
        <v>0.20916201790016584</v>
      </c>
      <c r="P50" s="588">
        <f>(P36/P8)</f>
        <v>0.20474151034193877</v>
      </c>
      <c r="Q50" s="584"/>
      <c r="R50" s="588">
        <f>(R36/R8)</f>
        <v>0.24860858768092331</v>
      </c>
      <c r="S50" s="588">
        <f>(S36/S8)</f>
        <v>0.25480622080905285</v>
      </c>
      <c r="T50" s="588">
        <f>(T36/T8)</f>
        <v>0.23057525086788652</v>
      </c>
      <c r="U50" s="588">
        <f>(U36/U8)</f>
        <v>0.21883540826601211</v>
      </c>
      <c r="V50" s="584"/>
      <c r="W50" s="588">
        <f>(W36/W8)</f>
        <v>0.24935063923579878</v>
      </c>
      <c r="X50" s="588">
        <f>(X36/X8)</f>
        <v>0.2499970561336437</v>
      </c>
      <c r="Y50" s="588">
        <f>(Y36/Y8)</f>
        <v>0.2454989935983217</v>
      </c>
      <c r="Z50" s="588">
        <f>(Z36/Z8)</f>
        <v>0.22029339767677225</v>
      </c>
      <c r="AA50" s="584"/>
      <c r="AB50" s="588">
        <f>(AB36/AB8)</f>
        <v>0.25296175765076168</v>
      </c>
      <c r="AC50" s="588">
        <f>(AC36/AC8)</f>
        <v>0.25206677845009845</v>
      </c>
      <c r="AD50" s="588">
        <f>(AD36/AD8)</f>
        <v>0.26109600881044986</v>
      </c>
      <c r="AE50" s="588">
        <f>(AE36/AE8)</f>
        <v>0.21197402390014108</v>
      </c>
      <c r="AF50" s="584"/>
      <c r="AG50" s="588">
        <f>(AG36/AG8)</f>
        <v>0.23931111981426459</v>
      </c>
      <c r="AH50" s="588">
        <f>(AH36/AH8)</f>
        <v>0.24486011888531378</v>
      </c>
      <c r="AI50" s="588">
        <f>(AI36/AI8)</f>
        <v>0.20033862149724396</v>
      </c>
      <c r="AJ50" s="588">
        <f>(AJ36/AJ8)</f>
        <v>0.11850500752309213</v>
      </c>
      <c r="AK50" s="584"/>
      <c r="AL50" s="588">
        <f>(AL36/AL8)</f>
        <v>0.20842308778868557</v>
      </c>
      <c r="AM50" s="588">
        <f>(AM36/AM8)</f>
        <v>0.17731160083388947</v>
      </c>
      <c r="AN50" s="588">
        <f>(AN36/AN8)</f>
        <v>0.10453868958171539</v>
      </c>
      <c r="AO50" s="588">
        <f>(AO36/AO8)</f>
        <v>-2.9746125674021458E-2</v>
      </c>
      <c r="AP50" s="588"/>
      <c r="AQ50" s="588">
        <f>(AQ36/AQ8)</f>
        <v>9.8177574200857515E-2</v>
      </c>
      <c r="AR50" s="588">
        <f>(AR36/AR8)</f>
        <v>7.4315553603245724E-2</v>
      </c>
      <c r="AS50" s="588">
        <f>(AS36/AS8)</f>
        <v>5.2609684889776055E-2</v>
      </c>
      <c r="AT50" s="588">
        <f>(AT36/AT8)</f>
        <v>-2.5234413290517066E-2</v>
      </c>
      <c r="AU50" s="588"/>
      <c r="AV50" s="588">
        <f>(AV36/AV8)</f>
        <v>0.12860562581122775</v>
      </c>
      <c r="AW50" s="588">
        <f>(AW36/AW8)</f>
        <v>0.12232237476632181</v>
      </c>
      <c r="AX50" s="588">
        <f>(AX36/AX8)</f>
        <v>0.14178618502762597</v>
      </c>
      <c r="AY50" s="588">
        <f>(AY36/AY8)</f>
        <v>0.11937667821816267</v>
      </c>
      <c r="AZ50" s="584"/>
      <c r="BA50" s="588">
        <f>(BA36/BA8)</f>
        <v>0.16282382451389987</v>
      </c>
      <c r="BB50" s="588">
        <f>(BB36/BB8)</f>
        <v>0.15183498066179629</v>
      </c>
      <c r="BC50" s="588">
        <f>(BC36/BC8)</f>
        <v>0.14024827026512252</v>
      </c>
      <c r="BD50" s="588">
        <f>(BD36/BD8)</f>
        <v>0.1167432322611343</v>
      </c>
      <c r="BE50" s="584"/>
      <c r="BF50" s="588">
        <f>(BF36/BF8)</f>
        <v>0.18059118546126102</v>
      </c>
      <c r="BG50" s="588">
        <f>(BG36/BG8)</f>
        <v>0.16889322494011236</v>
      </c>
      <c r="BH50" s="588">
        <f>(BH36/BH8)</f>
        <v>0.13292272155024831</v>
      </c>
      <c r="BI50" s="588">
        <f>(BI36/BI8)</f>
        <v>0.11456816237326671</v>
      </c>
      <c r="BJ50" s="584"/>
      <c r="BK50" s="588">
        <f>(BK36/BK8)</f>
        <v>0.17278897140056271</v>
      </c>
      <c r="BL50" s="588">
        <f>(BL36/BL8)</f>
        <v>0.17505867026531741</v>
      </c>
      <c r="BM50" s="588">
        <f>(BM36/BM8)</f>
        <v>0.14773232390660695</v>
      </c>
      <c r="BN50" s="588">
        <f>(BN36/BN8)</f>
        <v>0.12118683200046632</v>
      </c>
      <c r="BO50" s="584"/>
      <c r="BP50" s="588">
        <f t="shared" ref="BP50:BX50" si="36">(BP36/BP8)</f>
        <v>0.16423346781527967</v>
      </c>
      <c r="BQ50" s="588">
        <f t="shared" si="36"/>
        <v>0.15301545951288917</v>
      </c>
      <c r="BR50" s="588">
        <f t="shared" si="36"/>
        <v>0.12962129659430813</v>
      </c>
      <c r="BS50" s="588">
        <f t="shared" si="36"/>
        <v>6.1348697956354281E-2</v>
      </c>
      <c r="BT50" s="588"/>
      <c r="BU50" s="588">
        <f t="shared" si="36"/>
        <v>0.14532864102474682</v>
      </c>
      <c r="BV50" s="588">
        <f t="shared" si="36"/>
        <v>0.12148952174261533</v>
      </c>
      <c r="BW50" s="588">
        <f t="shared" si="36"/>
        <v>0.11820895707365284</v>
      </c>
      <c r="BX50" s="586">
        <f t="shared" si="36"/>
        <v>7.4826170150595006E-2</v>
      </c>
      <c r="BY50" s="588"/>
      <c r="BZ50" s="588">
        <f>(BZ36/BZ8)</f>
        <v>0.15269574165610847</v>
      </c>
      <c r="CA50" s="588">
        <f>(CA36/CA8)</f>
        <v>0.13903988185400659</v>
      </c>
      <c r="CB50" s="588">
        <f>(CB36/CB8)</f>
        <v>9.1172505125770908E-2</v>
      </c>
      <c r="CC50" s="586">
        <f>(CC36/CC8)</f>
        <v>5.8920729922258781E-2</v>
      </c>
      <c r="CD50" s="588"/>
      <c r="CE50" s="588">
        <f>(CE36/CE8)</f>
        <v>0.12776662306738809</v>
      </c>
      <c r="CF50" s="588">
        <f>(CF36/CF8)</f>
        <v>0.12846922917204096</v>
      </c>
      <c r="CG50" s="588">
        <f>(CG36/CG8)</f>
        <v>0.10901104350390015</v>
      </c>
      <c r="CH50" s="586">
        <f>(CH36/CH8)</f>
        <v>8.0016445041437179E-2</v>
      </c>
      <c r="CI50" s="586"/>
      <c r="CJ50" s="586">
        <f>(CJ36/CJ8)</f>
        <v>0.13708268234520182</v>
      </c>
      <c r="CK50" s="586">
        <f>(CK36/CK8)</f>
        <v>0.10426543560884302</v>
      </c>
      <c r="CL50" s="586">
        <f>(CL36/CL8)</f>
        <v>9.2495214048060631E-2</v>
      </c>
      <c r="CM50" s="586">
        <f>(CM36/CM8)</f>
        <v>8.8299593557486386E-2</v>
      </c>
      <c r="CN50" s="586"/>
      <c r="CO50" s="586">
        <f>(CO36/CO8)</f>
        <v>0.11863149514622059</v>
      </c>
      <c r="CP50" s="586">
        <f>(CP36/CP8)</f>
        <v>0.12039608935024275</v>
      </c>
      <c r="CQ50" s="586">
        <f>(CQ36/CQ8)</f>
        <v>9.5315861386214173E-2</v>
      </c>
      <c r="CR50" s="586">
        <f>(CR36/CR8)</f>
        <v>9.9774982997514375E-2</v>
      </c>
      <c r="CS50" s="584"/>
      <c r="CT50" s="586">
        <f t="shared" ref="CT50:DL50" si="37">(CT36/CT8)</f>
        <v>0.19788795965383077</v>
      </c>
      <c r="CU50" s="586">
        <f t="shared" si="37"/>
        <v>0.20536645774205364</v>
      </c>
      <c r="CV50" s="586">
        <f t="shared" si="37"/>
        <v>0.22937517179293118</v>
      </c>
      <c r="CW50" s="586">
        <f t="shared" si="37"/>
        <v>0.23671689581855881</v>
      </c>
      <c r="CX50" s="586">
        <f t="shared" si="37"/>
        <v>0.24075389780688033</v>
      </c>
      <c r="CY50" s="586">
        <f t="shared" si="37"/>
        <v>0.24385597066728371</v>
      </c>
      <c r="CZ50" s="587">
        <f t="shared" si="37"/>
        <v>0.19838847188205219</v>
      </c>
      <c r="DA50" s="587">
        <f t="shared" si="37"/>
        <v>0.11844356415082996</v>
      </c>
      <c r="DB50" s="586">
        <f t="shared" si="37"/>
        <v>5.159428312870791E-2</v>
      </c>
      <c r="DC50" s="587">
        <f t="shared" si="37"/>
        <v>0.1281562454214486</v>
      </c>
      <c r="DD50" s="587">
        <f t="shared" si="37"/>
        <v>0.14292560987388861</v>
      </c>
      <c r="DE50" s="586">
        <f t="shared" si="37"/>
        <v>0.14885537889963404</v>
      </c>
      <c r="DF50" s="586">
        <f t="shared" si="37"/>
        <v>0.15414033862870902</v>
      </c>
      <c r="DG50" s="586">
        <f t="shared" si="37"/>
        <v>0.12836359263227862</v>
      </c>
      <c r="DH50" s="586">
        <f t="shared" si="37"/>
        <v>0.11527470974785499</v>
      </c>
      <c r="DI50" s="586">
        <f t="shared" si="37"/>
        <v>0.11180974717767361</v>
      </c>
      <c r="DJ50" s="586">
        <f t="shared" si="37"/>
        <v>0.11184173864586228</v>
      </c>
      <c r="DK50" s="586">
        <f t="shared" si="37"/>
        <v>0.10580188478775868</v>
      </c>
      <c r="DL50" s="586">
        <f t="shared" si="37"/>
        <v>0.1086803283089712</v>
      </c>
      <c r="DM50" s="586">
        <f>(DM36/DM8)</f>
        <v>0.12163164810459197</v>
      </c>
      <c r="DN50" s="586">
        <f>(DN36/DN8)</f>
        <v>0.12685125353662724</v>
      </c>
      <c r="DO50" s="586">
        <f>(DO36/DO8)</f>
        <v>0.13173495794477949</v>
      </c>
    </row>
    <row r="51" spans="1:119" ht="6" customHeight="1">
      <c r="A51" s="560"/>
      <c r="B51" s="488"/>
      <c r="C51" s="591"/>
      <c r="D51" s="591"/>
      <c r="E51" s="591"/>
      <c r="F51" s="591"/>
      <c r="G51" s="591"/>
      <c r="H51" s="591"/>
      <c r="I51" s="591"/>
      <c r="J51" s="591"/>
      <c r="K51" s="591"/>
      <c r="L51" s="591"/>
      <c r="M51" s="591"/>
      <c r="N51" s="591"/>
      <c r="O51" s="591"/>
      <c r="P51" s="591"/>
      <c r="Q51" s="591"/>
      <c r="R51" s="591"/>
      <c r="S51" s="591"/>
      <c r="T51" s="591"/>
      <c r="U51" s="591"/>
      <c r="V51" s="591"/>
      <c r="W51" s="591"/>
      <c r="X51" s="591"/>
      <c r="Y51" s="591"/>
      <c r="Z51" s="591"/>
      <c r="AA51" s="591"/>
      <c r="AB51" s="591"/>
      <c r="AC51" s="591"/>
      <c r="AD51" s="591"/>
      <c r="AE51" s="591"/>
      <c r="AF51" s="591"/>
      <c r="AG51" s="591"/>
      <c r="AH51" s="591"/>
      <c r="AI51" s="591"/>
      <c r="AJ51" s="591"/>
      <c r="AK51" s="591"/>
      <c r="AL51" s="591"/>
      <c r="AM51" s="591"/>
      <c r="AN51" s="591"/>
      <c r="AO51" s="591"/>
      <c r="AP51" s="591"/>
      <c r="AQ51" s="591"/>
      <c r="AR51" s="591"/>
      <c r="AS51" s="591"/>
      <c r="AT51" s="591"/>
      <c r="AU51" s="591"/>
      <c r="AV51" s="591"/>
      <c r="AW51" s="591"/>
      <c r="AX51" s="591"/>
      <c r="AY51" s="591"/>
      <c r="AZ51" s="591"/>
      <c r="BA51" s="591"/>
      <c r="BB51" s="591"/>
      <c r="BC51" s="591"/>
      <c r="BD51" s="591"/>
      <c r="BE51" s="591"/>
      <c r="BF51" s="591"/>
      <c r="BG51" s="591"/>
      <c r="BH51" s="591"/>
      <c r="BI51" s="591"/>
      <c r="BJ51" s="591"/>
      <c r="BK51" s="591"/>
      <c r="BL51" s="591"/>
      <c r="BM51" s="591"/>
      <c r="BN51" s="591"/>
      <c r="BO51" s="591"/>
      <c r="BP51" s="591"/>
      <c r="BQ51" s="591"/>
      <c r="BR51" s="591"/>
      <c r="BS51" s="591"/>
      <c r="BT51" s="591"/>
      <c r="BU51" s="591"/>
      <c r="BV51" s="591"/>
      <c r="BW51" s="591"/>
      <c r="BX51" s="591"/>
      <c r="BY51" s="591"/>
      <c r="BZ51" s="591"/>
      <c r="CA51" s="591"/>
      <c r="CB51" s="591"/>
      <c r="CC51" s="591"/>
      <c r="CD51" s="591"/>
      <c r="CE51" s="591"/>
      <c r="CF51" s="591"/>
      <c r="CG51" s="591"/>
      <c r="CH51" s="591"/>
      <c r="CI51" s="591"/>
      <c r="CJ51" s="591"/>
      <c r="CK51" s="591"/>
      <c r="CL51" s="591"/>
      <c r="CM51" s="591"/>
      <c r="CN51" s="591"/>
      <c r="CO51" s="591"/>
      <c r="CP51" s="591"/>
      <c r="CQ51" s="591"/>
      <c r="CR51" s="591"/>
      <c r="CS51" s="591"/>
      <c r="CT51" s="592"/>
      <c r="CU51" s="592"/>
      <c r="CV51" s="592"/>
      <c r="CW51" s="592"/>
      <c r="CX51" s="592"/>
      <c r="CY51" s="592"/>
      <c r="CZ51" s="593"/>
      <c r="DA51" s="593"/>
      <c r="DB51" s="592"/>
      <c r="DC51" s="593"/>
      <c r="DD51" s="593"/>
      <c r="DE51" s="592"/>
      <c r="DF51" s="592"/>
      <c r="DG51" s="592"/>
      <c r="DH51" s="592"/>
      <c r="DI51" s="592"/>
      <c r="DJ51" s="122"/>
      <c r="DK51" s="122"/>
      <c r="DL51" s="122"/>
      <c r="DM51" s="122"/>
      <c r="DN51" s="122"/>
      <c r="DO51" s="122"/>
    </row>
    <row r="52" spans="1:119">
      <c r="A52" s="518" t="s">
        <v>266</v>
      </c>
      <c r="B52" s="502"/>
      <c r="C52" s="591"/>
      <c r="D52" s="591"/>
      <c r="E52" s="591"/>
      <c r="F52" s="591"/>
      <c r="G52" s="591"/>
      <c r="H52" s="591"/>
      <c r="I52" s="591"/>
      <c r="J52" s="591"/>
      <c r="K52" s="591"/>
      <c r="L52" s="591"/>
      <c r="M52" s="591"/>
      <c r="N52" s="591"/>
      <c r="O52" s="591"/>
      <c r="P52" s="591"/>
      <c r="Q52" s="591"/>
      <c r="R52" s="591"/>
      <c r="S52" s="591"/>
      <c r="T52" s="591"/>
      <c r="U52" s="591"/>
      <c r="V52" s="591"/>
      <c r="W52" s="591"/>
      <c r="X52" s="591"/>
      <c r="Y52" s="591"/>
      <c r="Z52" s="591"/>
      <c r="AA52" s="591"/>
      <c r="AB52" s="591"/>
      <c r="AC52" s="591"/>
      <c r="AD52" s="591"/>
      <c r="AE52" s="591"/>
      <c r="AF52" s="591"/>
      <c r="AG52" s="591"/>
      <c r="AH52" s="591"/>
      <c r="AI52" s="591"/>
      <c r="AJ52" s="591"/>
      <c r="AK52" s="591"/>
      <c r="AL52" s="591"/>
      <c r="AM52" s="591"/>
      <c r="AN52" s="591"/>
      <c r="AO52" s="591"/>
      <c r="AP52" s="591"/>
      <c r="AQ52" s="591"/>
      <c r="AR52" s="591"/>
      <c r="AS52" s="591"/>
      <c r="AT52" s="591"/>
      <c r="AU52" s="591"/>
      <c r="AV52" s="591"/>
      <c r="AW52" s="591"/>
      <c r="AX52" s="591"/>
      <c r="AY52" s="591"/>
      <c r="AZ52" s="591"/>
      <c r="BA52" s="591"/>
      <c r="BB52" s="591"/>
      <c r="BC52" s="591"/>
      <c r="BD52" s="591"/>
      <c r="BE52" s="591"/>
      <c r="BF52" s="591"/>
      <c r="BG52" s="591"/>
      <c r="BH52" s="591"/>
      <c r="BI52" s="591"/>
      <c r="BJ52" s="591"/>
      <c r="BK52" s="591"/>
      <c r="BL52" s="591"/>
      <c r="BM52" s="591"/>
      <c r="BN52" s="591"/>
      <c r="BO52" s="591"/>
      <c r="BP52" s="591"/>
      <c r="BQ52" s="591"/>
      <c r="BR52" s="591"/>
      <c r="BS52" s="591"/>
      <c r="BT52" s="591"/>
      <c r="BU52" s="591"/>
      <c r="BV52" s="591"/>
      <c r="BW52" s="591"/>
      <c r="BX52" s="591"/>
      <c r="BY52" s="591"/>
      <c r="BZ52" s="591"/>
      <c r="CA52" s="591"/>
      <c r="CB52" s="591"/>
      <c r="CC52" s="591"/>
      <c r="CD52" s="591"/>
      <c r="CE52" s="591"/>
      <c r="CF52" s="591"/>
      <c r="CG52" s="591"/>
      <c r="CH52" s="591"/>
      <c r="CI52" s="591"/>
      <c r="CJ52" s="591"/>
      <c r="CK52" s="591"/>
      <c r="CL52" s="591"/>
      <c r="CM52" s="591"/>
      <c r="CN52" s="591"/>
      <c r="CO52" s="591"/>
      <c r="CP52" s="591"/>
      <c r="CQ52" s="591"/>
      <c r="CR52" s="591"/>
      <c r="CS52" s="591"/>
      <c r="CT52" s="592"/>
      <c r="CU52" s="592"/>
      <c r="CV52" s="592"/>
      <c r="CW52" s="592"/>
      <c r="CX52" s="592"/>
      <c r="CY52" s="592"/>
      <c r="CZ52" s="593"/>
      <c r="DA52" s="593"/>
      <c r="DB52" s="592"/>
      <c r="DC52" s="593"/>
      <c r="DD52" s="593"/>
      <c r="DE52" s="592"/>
      <c r="DF52" s="592"/>
      <c r="DG52" s="592"/>
      <c r="DH52" s="592"/>
      <c r="DI52" s="592"/>
      <c r="DJ52" s="122"/>
      <c r="DK52" s="122"/>
      <c r="DL52" s="122"/>
      <c r="DM52" s="122"/>
      <c r="DN52" s="122"/>
      <c r="DO52" s="122"/>
    </row>
    <row r="53" spans="1:119">
      <c r="A53" s="560" t="s">
        <v>64</v>
      </c>
      <c r="B53" s="594"/>
      <c r="C53" s="595">
        <f>'qtrP&amp;L'!$Y10/100</f>
        <v>0.40659215347845712</v>
      </c>
      <c r="D53" s="595">
        <f>'qtrP&amp;L'!$Y11/100</f>
        <v>0.34405163111396808</v>
      </c>
      <c r="E53" s="595">
        <f>'qtrP&amp;L'!$Y12/100</f>
        <v>0.49543141888011455</v>
      </c>
      <c r="F53" s="595">
        <f>'qtrP&amp;L'!$Y13/100</f>
        <v>0.56349909778156526</v>
      </c>
      <c r="G53" s="595"/>
      <c r="H53" s="595">
        <f>((H8/C8)-1)</f>
        <v>0.64452962239623535</v>
      </c>
      <c r="I53" s="595">
        <f>((I8/D8)-1)</f>
        <v>0.47583611985530716</v>
      </c>
      <c r="J53" s="595">
        <f>((J8/E8)-1)</f>
        <v>0.36218987801402669</v>
      </c>
      <c r="K53" s="595">
        <f>((K8/F8)-1)</f>
        <v>0.38643373960552352</v>
      </c>
      <c r="L53" s="584"/>
      <c r="M53" s="595">
        <f>((M8/H8)-1)</f>
        <v>0.39922156542577425</v>
      </c>
      <c r="N53" s="595">
        <f>((N8/I8)-1)</f>
        <v>0.39753072605185324</v>
      </c>
      <c r="O53" s="595">
        <f>((O8/J8)-1)</f>
        <v>0.46056291781266046</v>
      </c>
      <c r="P53" s="595">
        <f>((P8/K8)-1)</f>
        <v>0.36439837187251034</v>
      </c>
      <c r="Q53" s="584"/>
      <c r="R53" s="595">
        <f>((R8/M8)-1)</f>
        <v>0.29536129236898789</v>
      </c>
      <c r="S53" s="595">
        <f>((S8/N8)-1)</f>
        <v>0.3867360590356026</v>
      </c>
      <c r="T53" s="595">
        <f>((T8/O8)-1)</f>
        <v>0.53407782808576076</v>
      </c>
      <c r="U53" s="595">
        <f>((U8/P8)-1)</f>
        <v>0.55798553234807469</v>
      </c>
      <c r="V53" s="584"/>
      <c r="W53" s="595">
        <f>((W8/R8)-1)</f>
        <v>0.51961187326440195</v>
      </c>
      <c r="X53" s="595">
        <f>((X8/S8)-1)</f>
        <v>0.46893551965389335</v>
      </c>
      <c r="Y53" s="595">
        <f>((Y8/T8)-1)</f>
        <v>0.2811619944056345</v>
      </c>
      <c r="Z53" s="595">
        <f>((Z8/U8)-1)</f>
        <v>0.32500730827946867</v>
      </c>
      <c r="AA53" s="584"/>
      <c r="AB53" s="595">
        <f>((AB8/W8)-1)</f>
        <v>0.274402140261925</v>
      </c>
      <c r="AC53" s="595">
        <f>((AC8/X8)-1)</f>
        <v>0.34603382698701179</v>
      </c>
      <c r="AD53" s="595">
        <f>((AD8/Y8)-1)</f>
        <v>0.32950665930245049</v>
      </c>
      <c r="AE53" s="595">
        <f>((AE8/Z8)-1)</f>
        <v>0.31580698369117965</v>
      </c>
      <c r="AF53" s="584"/>
      <c r="AG53" s="595">
        <f>((AG8/AB8)-1)</f>
        <v>0.19375716184626679</v>
      </c>
      <c r="AH53" s="595">
        <f>((AH8/AC8)-1)</f>
        <v>0.17639133921411387</v>
      </c>
      <c r="AI53" s="595">
        <f>((AI8/AD8)-1)</f>
        <v>0.12143364978461779</v>
      </c>
      <c r="AJ53" s="595">
        <f>((AJ8/AE8)-1)</f>
        <v>0.18337902217017521</v>
      </c>
      <c r="AK53" s="584"/>
      <c r="AL53" s="595">
        <f>((AL8/AG8)-1)</f>
        <v>0.15979245538993969</v>
      </c>
      <c r="AM53" s="595">
        <f>((AM8/AH8)-1)</f>
        <v>8.0847466870262341E-2</v>
      </c>
      <c r="AN53" s="595">
        <f>((AN8/AI8)-1)</f>
        <v>3.4046129098824318E-2</v>
      </c>
      <c r="AO53" s="595">
        <f>((AO8/AJ8)-1)</f>
        <v>-7.9468143246872014E-2</v>
      </c>
      <c r="AP53" s="595"/>
      <c r="AQ53" s="595">
        <f>((AQ8/AL8)-1)</f>
        <v>-9.6060809379193479E-2</v>
      </c>
      <c r="AR53" s="595">
        <f>((AR8/AM8)-1)</f>
        <v>-7.0662731148616209E-2</v>
      </c>
      <c r="AS53" s="595">
        <f>((AS8/AN8)-1)</f>
        <v>-5.2102242536299692E-2</v>
      </c>
      <c r="AT53" s="595">
        <f>((AT8/AO8)-1)</f>
        <v>-8.7755346362177078E-2</v>
      </c>
      <c r="AU53" s="595"/>
      <c r="AV53" s="595">
        <f>((AV8/AQ8)-1)</f>
        <v>2.6345088923829252E-3</v>
      </c>
      <c r="AW53" s="595">
        <f>((AW8/AR8)-1)</f>
        <v>3.6269366118977908E-2</v>
      </c>
      <c r="AX53" s="595">
        <f>((AX8/AS8)-1)</f>
        <v>0.13347098109541577</v>
      </c>
      <c r="AY53" s="595">
        <f>((AY8/AT8)-1)</f>
        <v>0.16699118054309436</v>
      </c>
      <c r="AZ53" s="584"/>
      <c r="BA53" s="595">
        <f>((BA8/AV8)-1)</f>
        <v>0.17276563827947888</v>
      </c>
      <c r="BB53" s="595">
        <f>((BB8/AW8)-1)</f>
        <v>0.1083195408594595</v>
      </c>
      <c r="BC53" s="595">
        <f>((BC8/AX8)-1)</f>
        <v>8.0917417642543565E-2</v>
      </c>
      <c r="BD53" s="595">
        <f>((BD8/AY8)-1)</f>
        <v>9.0064948477267981E-2</v>
      </c>
      <c r="BE53" s="584"/>
      <c r="BF53" s="595">
        <f>((BF8/BA8)-1)</f>
        <v>0.11538908776796752</v>
      </c>
      <c r="BG53" s="595">
        <f>((BG8/BB8)-1)</f>
        <v>0.18489256553502376</v>
      </c>
      <c r="BH53" s="595">
        <f>((BH8/BC8)-1)</f>
        <v>0.11495128586275594</v>
      </c>
      <c r="BI53" s="595">
        <f>((BI8/BD8)-1)</f>
        <v>0.19839612273513918</v>
      </c>
      <c r="BJ53" s="584"/>
      <c r="BK53" s="595">
        <f>((BK8/BF8)-1)</f>
        <v>0.21159323699916976</v>
      </c>
      <c r="BL53" s="595">
        <f>((BL8/BG8)-1)</f>
        <v>0.16370144836603195</v>
      </c>
      <c r="BM53" s="595">
        <f>((BM8/BH8)-1)</f>
        <v>0.18219242181726325</v>
      </c>
      <c r="BN53" s="595">
        <f>((BN8/BI8)-1)</f>
        <v>0.14519498179045587</v>
      </c>
      <c r="BO53" s="584"/>
      <c r="BP53" s="595">
        <f>((BP8/BK8)-1)</f>
        <v>3.0584634390312448E-2</v>
      </c>
      <c r="BQ53" s="595">
        <f>((BQ8/BL8)-1)</f>
        <v>1.212518816559216E-2</v>
      </c>
      <c r="BR53" s="595">
        <f>((BR8/BM8)-1)</f>
        <v>2.9707931172594737E-2</v>
      </c>
      <c r="BS53" s="595">
        <f>((BS8/BN8)-1)</f>
        <v>-6.3848751175495155E-2</v>
      </c>
      <c r="BT53" s="595"/>
      <c r="BU53" s="595">
        <f>((BU8/BP8)-1)</f>
        <v>-1.6702896281917012E-2</v>
      </c>
      <c r="BV53" s="595">
        <f>((BV8/BQ8)-1)</f>
        <v>-1.1254759408347859E-3</v>
      </c>
      <c r="BW53" s="595">
        <f>((BW8/BR8)-1)</f>
        <v>-1.5372670570594771E-2</v>
      </c>
      <c r="BX53" s="595">
        <f>((BX8/BS8)-1)</f>
        <v>4.3113040428820026E-2</v>
      </c>
      <c r="BY53" s="595"/>
      <c r="BZ53" s="595">
        <f>((BZ8/BU8)-1)</f>
        <v>1.9634005995278203E-2</v>
      </c>
      <c r="CA53" s="595">
        <f>((CA8/BV8)-1)</f>
        <v>1.6571307023114379E-2</v>
      </c>
      <c r="CB53" s="595">
        <f>((CB8/BW8)-1)</f>
        <v>-2.9071992142537306E-2</v>
      </c>
      <c r="CC53" s="595">
        <f>((CC8/BX8)-1)</f>
        <v>-3.4062167146865385E-2</v>
      </c>
      <c r="CD53" s="595"/>
      <c r="CE53" s="595">
        <f>((CE8/BZ8)-1)</f>
        <v>-4.3854874878804573E-2</v>
      </c>
      <c r="CF53" s="595">
        <f>((CF8/CA8)-1)</f>
        <v>-3.607304066727024E-2</v>
      </c>
      <c r="CG53" s="595">
        <f>((CG8/CB8)-1)</f>
        <v>-4.7584704859310545E-2</v>
      </c>
      <c r="CH53" s="595">
        <f>((CH8/CC8)-1)</f>
        <v>-2.2884884363920333E-2</v>
      </c>
      <c r="CI53" s="595"/>
      <c r="CJ53" s="595">
        <f>((CJ8/CE8)-1)</f>
        <v>-9.2147930641376052E-2</v>
      </c>
      <c r="CK53" s="595">
        <f>((CK8/CF8)-1)</f>
        <v>-8.9897944416829634E-2</v>
      </c>
      <c r="CL53" s="595">
        <f>((CL8/CG8)-1)</f>
        <v>-0.10826553997909238</v>
      </c>
      <c r="CM53" s="595">
        <f>((CM8/CH8)-1)</f>
        <v>-2.1648199284607372E-2</v>
      </c>
      <c r="CN53" s="595"/>
      <c r="CO53" s="595">
        <f>((CO8/CJ8)-1)</f>
        <v>-5.5663508571755504E-2</v>
      </c>
      <c r="CP53" s="595">
        <f>((CP8/CK8)-1)</f>
        <v>-4.1972676160343947E-2</v>
      </c>
      <c r="CQ53" s="595">
        <f>((CQ8/CL8)-1)</f>
        <v>-3.7626785516343686E-3</v>
      </c>
      <c r="CR53" s="595">
        <f>((CR8/CM8)-1)</f>
        <v>-6.5324206108376859E-2</v>
      </c>
      <c r="CS53" s="584"/>
      <c r="CT53" s="586">
        <f>((CT8/BX8)-1)</f>
        <v>-0.59241354694584181</v>
      </c>
      <c r="CU53" s="586">
        <f t="shared" ref="CU53:DI53" si="38">((CU8/CT8)-1)</f>
        <v>0.4572800951147058</v>
      </c>
      <c r="CV53" s="586">
        <f t="shared" si="38"/>
        <v>0.40473086049832041</v>
      </c>
      <c r="CW53" s="586">
        <f t="shared" si="38"/>
        <v>0.44697286274907322</v>
      </c>
      <c r="CX53" s="586">
        <f t="shared" si="38"/>
        <v>0.38826712677114728</v>
      </c>
      <c r="CY53" s="586">
        <f t="shared" si="38"/>
        <v>0.31652328936096019</v>
      </c>
      <c r="CZ53" s="587">
        <f t="shared" si="38"/>
        <v>0.16827296513180157</v>
      </c>
      <c r="DA53" s="587">
        <f t="shared" si="38"/>
        <v>4.4730813741257203E-2</v>
      </c>
      <c r="DB53" s="586">
        <f t="shared" si="38"/>
        <v>-7.6953230043043108E-2</v>
      </c>
      <c r="DC53" s="587">
        <f t="shared" si="38"/>
        <v>8.2625549480410898E-2</v>
      </c>
      <c r="DD53" s="587">
        <f t="shared" si="38"/>
        <v>0.11197670257904879</v>
      </c>
      <c r="DE53" s="586">
        <f t="shared" si="38"/>
        <v>0.15295456549766318</v>
      </c>
      <c r="DF53" s="586">
        <f t="shared" si="38"/>
        <v>0.17515206978819475</v>
      </c>
      <c r="DG53" s="586">
        <f t="shared" si="38"/>
        <v>1.9294420851612148E-3</v>
      </c>
      <c r="DH53" s="586">
        <f t="shared" si="38"/>
        <v>1.6616158237490186E-3</v>
      </c>
      <c r="DI53" s="586">
        <f t="shared" si="38"/>
        <v>-6.4655754817718458E-3</v>
      </c>
      <c r="DJ53" s="586">
        <f t="shared" ref="DJ53:DO53" si="39">((DJ8/DI8)-1)</f>
        <v>-3.7758986876677336E-2</v>
      </c>
      <c r="DK53" s="586">
        <f t="shared" si="39"/>
        <v>-7.8351726894981044E-2</v>
      </c>
      <c r="DL53" s="586">
        <f t="shared" si="39"/>
        <v>-4.2576725510669156E-2</v>
      </c>
      <c r="DM53" s="586">
        <f t="shared" si="39"/>
        <v>-1.7879921657801168E-2</v>
      </c>
      <c r="DN53" s="586">
        <f t="shared" si="39"/>
        <v>-1.9168020489942483E-3</v>
      </c>
      <c r="DO53" s="586">
        <f t="shared" si="39"/>
        <v>-1.0699775624778418E-3</v>
      </c>
    </row>
    <row r="54" spans="1:119">
      <c r="A54" s="560" t="s">
        <v>452</v>
      </c>
      <c r="B54" s="596"/>
      <c r="C54" s="597">
        <f>'qtrP&amp;L'!$AD10/100</f>
        <v>0.309</v>
      </c>
      <c r="D54" s="597">
        <f>'qtrP&amp;L'!$AD11/100</f>
        <v>0.34299999999999997</v>
      </c>
      <c r="E54" s="597">
        <f>'qtrP&amp;L'!$AD12/100</f>
        <v>0.39100000000000001</v>
      </c>
      <c r="F54" s="597">
        <f>'qtrP&amp;L'!$AD13/100</f>
        <v>0.32200000000000001</v>
      </c>
      <c r="G54" s="598"/>
      <c r="H54" s="597">
        <f>'qtrP&amp;L'!$AH10/100</f>
        <v>0.27699999999999997</v>
      </c>
      <c r="I54" s="597">
        <f>'qtrP&amp;L'!$AH11/100</f>
        <v>0.17399999999999999</v>
      </c>
      <c r="J54" s="597">
        <f>'qtrP&amp;L'!$AH12/100</f>
        <v>7.0000000000000007E-2</v>
      </c>
      <c r="K54" s="597">
        <f>'qtrP&amp;L'!$AH13/100</f>
        <v>0.17899999999999999</v>
      </c>
      <c r="L54" s="598"/>
      <c r="M54" s="597">
        <f>'qtrP&amp;L'!$AL10/100</f>
        <v>0.13200000000000001</v>
      </c>
      <c r="N54" s="597">
        <f>'qtrP&amp;L'!$AL11/100</f>
        <v>0.11599999999999999</v>
      </c>
      <c r="O54" s="597">
        <f>'qtrP&amp;L'!$AL12/100</f>
        <v>0.182</v>
      </c>
      <c r="P54" s="597">
        <f>'qtrP&amp;L'!$AL13/100</f>
        <v>0.11</v>
      </c>
      <c r="Q54" s="598"/>
      <c r="R54" s="597">
        <f>'qtrP&amp;L'!$AP10/100</f>
        <v>7.8E-2</v>
      </c>
      <c r="S54" s="597">
        <f>'qtrP&amp;L'!$AP11/100</f>
        <v>0.14599999999999999</v>
      </c>
      <c r="T54" s="597">
        <f>'qtrP&amp;L'!$AP12/100</f>
        <v>0.20899999999999999</v>
      </c>
      <c r="U54" s="597">
        <f>'qtrP&amp;L'!$AP13/100</f>
        <v>0.20499999999999999</v>
      </c>
      <c r="V54" s="598"/>
      <c r="W54" s="597">
        <f>+'qtrP&amp;L'!$AT$10/100</f>
        <v>0.20100000000000001</v>
      </c>
      <c r="X54" s="597">
        <f>+'qtrP&amp;L'!$AT$11/100</f>
        <v>0.14099999999999999</v>
      </c>
      <c r="Y54" s="597">
        <f>+'qtrP&amp;L'!$AT$12/100</f>
        <v>6.0999999999999999E-2</v>
      </c>
      <c r="Z54" s="597">
        <f>+'qtrP&amp;L'!$AT$13/100</f>
        <v>0.129</v>
      </c>
      <c r="AA54" s="598"/>
      <c r="AB54" s="597">
        <f>+'qtrP&amp;L'!$AX$10/100</f>
        <v>0.10800000000000001</v>
      </c>
      <c r="AC54" s="597">
        <f>+'qtrP&amp;L'!$AX$11/100</f>
        <v>0.157</v>
      </c>
      <c r="AD54" s="597">
        <f>+'qtrP&amp;L'!$AX$12/100</f>
        <v>0.16</v>
      </c>
      <c r="AE54" s="597">
        <f>+'qtrP&amp;L'!$AX$13/100</f>
        <v>0.14599999999999999</v>
      </c>
      <c r="AF54" s="598"/>
      <c r="AG54" s="597">
        <f>+'qtrP&amp;L'!$BB$10/100</f>
        <v>6.6000000000000003E-2</v>
      </c>
      <c r="AH54" s="597">
        <f>+'qtrP&amp;L'!$BB$11/100</f>
        <v>5.7000000000000002E-2</v>
      </c>
      <c r="AI54" s="597">
        <f>+'qtrP&amp;L'!$BB$12/100</f>
        <v>-1.2E-2</v>
      </c>
      <c r="AJ54" s="597">
        <f>+'qtrP&amp;L'!$BB$13/100</f>
        <v>-0.02</v>
      </c>
      <c r="AK54" s="598"/>
      <c r="AL54" s="597">
        <f>+'qtrP&amp;L'!$BF$10/100</f>
        <v>-1.6E-2</v>
      </c>
      <c r="AM54" s="597">
        <f>+'qtrP&amp;L'!$BF$11/100</f>
        <v>-5.5999999999999994E-2</v>
      </c>
      <c r="AN54" s="597">
        <f>+'qtrP&amp;L'!$BF$12/100</f>
        <v>-9.3000000000000013E-2</v>
      </c>
      <c r="AO54" s="597">
        <f>+'qtrP&amp;L'!$BF$13/100</f>
        <v>-0.157</v>
      </c>
      <c r="AP54" s="597"/>
      <c r="AQ54" s="597">
        <f>'qtrP&amp;L'!BJ10/100</f>
        <v>-0.17499999999999999</v>
      </c>
      <c r="AR54" s="597">
        <f>'qtrP&amp;L'!BJ11/100</f>
        <v>-0.159</v>
      </c>
      <c r="AS54" s="597">
        <f>'qtrP&amp;L'!BJ12/100</f>
        <v>-0.13400000000000001</v>
      </c>
      <c r="AT54" s="597">
        <f>'qtrP&amp;L'!BJ13/100</f>
        <v>-0.13</v>
      </c>
      <c r="AU54" s="597"/>
      <c r="AV54" s="597">
        <v>-3.2000000000000001E-2</v>
      </c>
      <c r="AW54" s="597">
        <v>1.2999999999999999E-2</v>
      </c>
      <c r="AX54" s="597">
        <v>0.128</v>
      </c>
      <c r="AY54" s="597">
        <v>0.14599999999999999</v>
      </c>
      <c r="AZ54" s="598"/>
      <c r="BA54" s="597">
        <v>0.14899999999999999</v>
      </c>
      <c r="BB54" s="597">
        <v>6.4000000000000001E-2</v>
      </c>
      <c r="BC54" s="597">
        <v>3.1E-2</v>
      </c>
      <c r="BD54" s="597">
        <v>1.0999999999999999E-2</v>
      </c>
      <c r="BE54" s="598"/>
      <c r="BF54" s="597">
        <f>'qtrP&amp;L'!$BV$10/100</f>
        <v>7.6999999999999999E-2</v>
      </c>
      <c r="BG54" s="597">
        <f>0.01*'qtrP&amp;L'!$BV$11</f>
        <v>0.128</v>
      </c>
      <c r="BH54" s="597">
        <f>0.01*'qtrP&amp;L'!$BV$12</f>
        <v>3.7000000000000005E-2</v>
      </c>
      <c r="BI54" s="597">
        <f>0.01*'qtrP&amp;L'!$BV$13</f>
        <v>8.6999999999999994E-2</v>
      </c>
      <c r="BJ54" s="598"/>
      <c r="BK54" s="597">
        <f>'qtrP&amp;L'!$BZ$10/100</f>
        <v>9.6000000000000002E-2</v>
      </c>
      <c r="BL54" s="597">
        <f>0.01*'qtrP&amp;L'!$BZ$11</f>
        <v>5.5999999999999994E-2</v>
      </c>
      <c r="BM54" s="597">
        <f>0.01*'qtrP&amp;L'!$BZ$12</f>
        <v>9.9000000000000005E-2</v>
      </c>
      <c r="BN54" s="597">
        <f>0.01*'qtrP&amp;L'!$BZ$13</f>
        <v>3.7000000000000005E-2</v>
      </c>
      <c r="BO54" s="598"/>
      <c r="BP54" s="597">
        <f>'qtrP&amp;L'!CD10/100</f>
        <v>0</v>
      </c>
      <c r="BQ54" s="597">
        <f>'qtrP&amp;L'!CD11/100</f>
        <v>-2.6000000000000002E-2</v>
      </c>
      <c r="BR54" s="597">
        <f>'qtrP&amp;L'!CD12/100</f>
        <v>-1.3999999999999999E-2</v>
      </c>
      <c r="BS54" s="597">
        <f>'qtrP&amp;L'!CD13/100</f>
        <v>-3.4000000000000002E-2</v>
      </c>
      <c r="BT54" s="597"/>
      <c r="BU54" s="597">
        <f>'qtrP&amp;L'!CH10/100</f>
        <v>-2.6000000000000002E-2</v>
      </c>
      <c r="BV54" s="597">
        <f>'qtrP&amp;L'!CH11/100</f>
        <v>3.0000000000000001E-3</v>
      </c>
      <c r="BW54" s="597">
        <f>'qtrP&amp;L'!CH12/100</f>
        <v>-1.6E-2</v>
      </c>
      <c r="BX54" s="597">
        <f>'qtrP&amp;L'!CH13/100</f>
        <v>4.2999999999999997E-2</v>
      </c>
      <c r="BY54" s="597"/>
      <c r="BZ54" s="597">
        <f>'qtrP&amp;L'!CL10/100</f>
        <v>-1E-3</v>
      </c>
      <c r="CA54" s="597">
        <f>'qtrP&amp;L'!CL11/100</f>
        <v>5.0000000000000001E-3</v>
      </c>
      <c r="CB54" s="597">
        <f>'qtrP&amp;L'!CL12/100</f>
        <v>-3.3000000000000002E-2</v>
      </c>
      <c r="CC54" s="597">
        <f>'qtrP&amp;L'!CL13/100</f>
        <v>-3.2000000000000001E-2</v>
      </c>
      <c r="CD54" s="597"/>
      <c r="CE54" s="597">
        <f>'qtrP&amp;L'!CP10/100</f>
        <v>-4.2000000000000003E-2</v>
      </c>
      <c r="CF54" s="597">
        <f>'qtrP&amp;L'!CP11/100</f>
        <v>-3.1E-2</v>
      </c>
      <c r="CG54" s="597">
        <f>'qtrP&amp;L'!CP12/100</f>
        <v>-4.9000000000000002E-2</v>
      </c>
      <c r="CH54" s="597">
        <f>'qtrP&amp;L'!CP13/100</f>
        <v>-2.5000000000000001E-2</v>
      </c>
      <c r="CI54" s="597"/>
      <c r="CJ54" s="597">
        <f>'qtrP&amp;L'!CT10/100</f>
        <v>-8.6999999999999994E-2</v>
      </c>
      <c r="CK54" s="597">
        <f>'qtrP&amp;L'!CT11/100</f>
        <v>-8.4000000000000005E-2</v>
      </c>
      <c r="CL54" s="597">
        <f>'qtrP&amp;L'!CT12/100</f>
        <v>-8.199999999999999E-2</v>
      </c>
      <c r="CM54" s="597">
        <f>'qtrP&amp;L'!CT13/100</f>
        <v>-5.2000000000000005E-2</v>
      </c>
      <c r="CN54" s="597"/>
      <c r="CO54" s="597">
        <f>'qtrP&amp;L'!CX10/100</f>
        <v>-4.5840588424745782E-2</v>
      </c>
      <c r="CP54" s="597">
        <f>'qtrP&amp;L'!CX11/100</f>
        <v>-3.173394045086167E-2</v>
      </c>
      <c r="CQ54" s="597">
        <f>'qtrP&amp;L'!CX12/100</f>
        <v>-5.2850060211878172E-3</v>
      </c>
      <c r="CR54" s="597">
        <f>'qtrP&amp;L'!CX13/100</f>
        <v>6.8901183918651525E-6</v>
      </c>
      <c r="CS54" s="598"/>
      <c r="CT54" s="599">
        <f>yrSales!H74</f>
        <v>0.34299999999999997</v>
      </c>
      <c r="CU54" s="599">
        <f>yrSales!I74</f>
        <v>0.17100000000000001</v>
      </c>
      <c r="CV54" s="599">
        <f>yrSales!J74</f>
        <v>0.13548378119937243</v>
      </c>
      <c r="CW54" s="599">
        <f>yrSales!K74</f>
        <v>0.161</v>
      </c>
      <c r="CX54" s="599">
        <f>yrSales!L74</f>
        <v>0.129</v>
      </c>
      <c r="CY54" s="599">
        <f>yrSales!M74</f>
        <v>0.14300000000000002</v>
      </c>
      <c r="CZ54" s="600">
        <f>yrSales!N74</f>
        <v>2.1000000000000001E-2</v>
      </c>
      <c r="DA54" s="600">
        <f>yrSales!O74</f>
        <v>-8.1000000000000003E-2</v>
      </c>
      <c r="DB54" s="599">
        <f>yrSales!P74</f>
        <v>-0.151</v>
      </c>
      <c r="DC54" s="600">
        <f>+'qtrP&amp;L'!BN14*0.01</f>
        <v>7.5999999999999998E-2</v>
      </c>
      <c r="DD54" s="600">
        <f>+'qtrP&amp;L'!BR14*0.01</f>
        <v>8.3000000000000004E-2</v>
      </c>
      <c r="DE54" s="599">
        <f>+'qtrP&amp;L'!BV14*0.01</f>
        <v>8.199999999999999E-2</v>
      </c>
      <c r="DF54" s="599">
        <f>yrSales!T74</f>
        <v>7.1889904612919081E-2</v>
      </c>
      <c r="DG54" s="599">
        <f>yrSales!U74</f>
        <v>-1.8102416156077713E-2</v>
      </c>
      <c r="DH54" s="599">
        <f>yrSales!V74</f>
        <v>0</v>
      </c>
      <c r="DI54" s="599">
        <f>yrSales!W74</f>
        <v>-1.4999999999999999E-2</v>
      </c>
      <c r="DJ54" s="599">
        <f>yrSales!X74</f>
        <v>-3.7000000000000005E-2</v>
      </c>
      <c r="DK54" s="599">
        <f>yrSales!Y74</f>
        <v>-7.6999999999999999E-2</v>
      </c>
      <c r="DL54" s="599">
        <f>yrSales!Z74</f>
        <v>-2.0894054329082014E-2</v>
      </c>
      <c r="DM54" s="599">
        <f>yrSales!AA74</f>
        <v>-0.01</v>
      </c>
      <c r="DN54" s="599">
        <f>yrSales!AB74</f>
        <v>-0.01</v>
      </c>
      <c r="DO54" s="599">
        <f>yrSales!AC74</f>
        <v>-0.01</v>
      </c>
    </row>
    <row r="55" spans="1:119" hidden="1" outlineLevel="1">
      <c r="A55" s="560" t="s">
        <v>66</v>
      </c>
      <c r="B55" s="596"/>
      <c r="C55" s="597">
        <f>'qtrP&amp;L'!$AD11/100</f>
        <v>0.34299999999999997</v>
      </c>
      <c r="D55" s="597">
        <f>'qtrP&amp;L'!$AD12/100</f>
        <v>0.39100000000000001</v>
      </c>
      <c r="E55" s="597">
        <f>'qtrP&amp;L'!$AD13/100</f>
        <v>0.32200000000000001</v>
      </c>
      <c r="F55" s="597">
        <f>'qtrP&amp;L'!$AD14/100</f>
        <v>0.34299999999999997</v>
      </c>
      <c r="G55" s="598"/>
      <c r="H55" s="597">
        <f>'qtrP&amp;L'!$AH11/100</f>
        <v>0.17399999999999999</v>
      </c>
      <c r="I55" s="597">
        <f>'qtrP&amp;L'!$AH12/100</f>
        <v>7.0000000000000007E-2</v>
      </c>
      <c r="J55" s="597">
        <f>'qtrP&amp;L'!$AH13/100</f>
        <v>0.17899999999999999</v>
      </c>
      <c r="K55" s="597">
        <f>'qtrP&amp;L'!$AH14/100</f>
        <v>0.17100000000000001</v>
      </c>
      <c r="L55" s="598"/>
      <c r="M55" s="597">
        <f>'qtrP&amp;L'!$AL11/100</f>
        <v>0.11599999999999999</v>
      </c>
      <c r="N55" s="597">
        <f>'qtrP&amp;L'!$AL12/100</f>
        <v>0.182</v>
      </c>
      <c r="O55" s="597">
        <f>'qtrP&amp;L'!$AL13/100</f>
        <v>0.11</v>
      </c>
      <c r="P55" s="597">
        <f>'qtrP&amp;L'!$AL14/100</f>
        <v>0.13500000000000001</v>
      </c>
      <c r="Q55" s="598"/>
      <c r="R55" s="597">
        <f>'qtrP&amp;L'!$AP11/100</f>
        <v>0.14599999999999999</v>
      </c>
      <c r="S55" s="597">
        <f>'qtrP&amp;L'!$AP12/100</f>
        <v>0.20899999999999999</v>
      </c>
      <c r="T55" s="597">
        <f>'qtrP&amp;L'!$AP13/100</f>
        <v>0.20499999999999999</v>
      </c>
      <c r="U55" s="597">
        <f>'qtrP&amp;L'!$AP14/100</f>
        <v>0.161</v>
      </c>
      <c r="V55" s="598"/>
      <c r="W55" s="597">
        <f>+'qtrP&amp;L'!$AT$10/100</f>
        <v>0.20100000000000001</v>
      </c>
      <c r="X55" s="597">
        <f>+'qtrP&amp;L'!$AT$11/100</f>
        <v>0.14099999999999999</v>
      </c>
      <c r="Y55" s="597">
        <f>+'qtrP&amp;L'!$AT$12/100</f>
        <v>6.0999999999999999E-2</v>
      </c>
      <c r="Z55" s="597">
        <f>+'qtrP&amp;L'!$AT$13/100</f>
        <v>0.129</v>
      </c>
      <c r="AA55" s="598"/>
      <c r="AB55" s="597">
        <f>+'qtrP&amp;L'!$AX$10/100</f>
        <v>0.10800000000000001</v>
      </c>
      <c r="AC55" s="597">
        <f>+'qtrP&amp;L'!$AX$11/100</f>
        <v>0.157</v>
      </c>
      <c r="AD55" s="597">
        <f>+'qtrP&amp;L'!$AX$12/100</f>
        <v>0.16</v>
      </c>
      <c r="AE55" s="597">
        <f>+'qtrP&amp;L'!$AX$13/100</f>
        <v>0.14599999999999999</v>
      </c>
      <c r="AF55" s="598"/>
      <c r="AG55" s="597">
        <f>+'qtrP&amp;L'!$BB$10/100</f>
        <v>6.6000000000000003E-2</v>
      </c>
      <c r="AH55" s="597">
        <f>+'qtrP&amp;L'!$BB$11/100</f>
        <v>5.7000000000000002E-2</v>
      </c>
      <c r="AI55" s="597">
        <f>+'qtrP&amp;L'!$BB$12/100</f>
        <v>-1.2E-2</v>
      </c>
      <c r="AJ55" s="597">
        <f>+'qtrP&amp;L'!$BB$13/100</f>
        <v>-0.02</v>
      </c>
      <c r="AK55" s="598"/>
      <c r="AL55" s="597">
        <f>+'qtrP&amp;L'!$BF$10/100</f>
        <v>-1.6E-2</v>
      </c>
      <c r="AM55" s="597">
        <f>+'qtrP&amp;L'!$BF$11/100</f>
        <v>-5.5999999999999994E-2</v>
      </c>
      <c r="AN55" s="597">
        <f>+'qtrP&amp;L'!$BF$12/100</f>
        <v>-9.3000000000000013E-2</v>
      </c>
      <c r="AO55" s="597">
        <f>+'qtrP&amp;L'!$BF$13/100</f>
        <v>-0.157</v>
      </c>
      <c r="AP55" s="597"/>
      <c r="AQ55" s="597">
        <f>'qtrP&amp;L'!BJ11/100</f>
        <v>-0.159</v>
      </c>
      <c r="AR55" s="597">
        <f>'qtrP&amp;L'!BJ12/100</f>
        <v>-0.13400000000000001</v>
      </c>
      <c r="AS55" s="597">
        <f>'qtrP&amp;L'!BJ13/100</f>
        <v>-0.13</v>
      </c>
      <c r="AT55" s="597">
        <f>'qtrP&amp;L'!BJ14/100</f>
        <v>-0.151</v>
      </c>
      <c r="AU55" s="597"/>
      <c r="AV55" s="597">
        <f>0.01*'qtrP&amp;L'!$BN$10</f>
        <v>-1.6E-2</v>
      </c>
      <c r="AW55" s="597">
        <f>0.01*'qtrP&amp;L'!$BN$11</f>
        <v>2.8999999999999998E-2</v>
      </c>
      <c r="AX55" s="597">
        <f>0.01*'qtrP&amp;L'!$BN$12</f>
        <v>0.13800000000000001</v>
      </c>
      <c r="AY55" s="597">
        <f>0.01*'qtrP&amp;L'!$BN$13</f>
        <v>0.16300000000000001</v>
      </c>
      <c r="AZ55" s="598"/>
      <c r="BA55" s="597">
        <f>0.01*'qtrP&amp;L'!$BR$10</f>
        <v>0.16</v>
      </c>
      <c r="BB55" s="597">
        <f>0.01*'qtrP&amp;L'!$BR$11</f>
        <v>7.5999999999999998E-2</v>
      </c>
      <c r="BC55" s="597">
        <f>0.01*'qtrP&amp;L'!$BR$12</f>
        <v>5.5E-2</v>
      </c>
      <c r="BD55" s="597">
        <f>0.01*'qtrP&amp;L'!$BR$13</f>
        <v>4.4999999999999998E-2</v>
      </c>
      <c r="BE55" s="598"/>
      <c r="CT55" s="599">
        <f>yrSales!H75</f>
        <v>0.32399999999999995</v>
      </c>
      <c r="CU55" s="599">
        <f>yrSales!I75</f>
        <v>0.153</v>
      </c>
      <c r="CV55" s="599">
        <f>yrSales!J75</f>
        <v>0.11799999999999999</v>
      </c>
      <c r="CW55" s="599">
        <f>yrSales!K75</f>
        <v>0</v>
      </c>
      <c r="CX55" s="599"/>
      <c r="CY55" s="599"/>
      <c r="CZ55" s="600"/>
      <c r="DA55" s="600"/>
      <c r="DB55" s="599"/>
      <c r="DC55" s="600">
        <v>6.0999999999999999E-2</v>
      </c>
      <c r="DD55" s="600">
        <v>6.6000000000000003E-2</v>
      </c>
      <c r="DE55" s="599"/>
      <c r="DF55" s="599"/>
      <c r="DG55" s="599"/>
      <c r="DH55" s="599"/>
      <c r="DI55" s="599"/>
      <c r="DJ55" s="599"/>
      <c r="DK55" s="599">
        <f>yrSales!Y74</f>
        <v>-7.6999999999999999E-2</v>
      </c>
      <c r="DL55" s="599">
        <f>yrSales!Z74</f>
        <v>-2.0894054329082014E-2</v>
      </c>
      <c r="DM55" s="599">
        <f>yrSales!AA74</f>
        <v>-0.01</v>
      </c>
      <c r="DN55" s="599">
        <f>yrSales!AB74</f>
        <v>-0.01</v>
      </c>
      <c r="DO55" s="599">
        <f>yrSales!AC74</f>
        <v>-0.01</v>
      </c>
    </row>
    <row r="56" spans="1:119" collapsed="1">
      <c r="A56" s="560" t="s">
        <v>268</v>
      </c>
      <c r="B56" s="575"/>
      <c r="C56" s="588">
        <f>'qtrP&amp;L'!$Z30/100</f>
        <v>0.32201936825232846</v>
      </c>
      <c r="D56" s="588">
        <f>'qtrP&amp;L'!$Z31/100</f>
        <v>0.26422529824522889</v>
      </c>
      <c r="E56" s="588">
        <f>'qtrP&amp;L'!$Z32/100</f>
        <v>0.44136424358044901</v>
      </c>
      <c r="F56" s="588">
        <f>'qtrP&amp;L'!$Z33/100</f>
        <v>0.46843792471783963</v>
      </c>
      <c r="G56" s="584"/>
      <c r="H56" s="588">
        <f>((H15/C15)-1)</f>
        <v>0.65262734374973741</v>
      </c>
      <c r="I56" s="588">
        <f>((I15/D15)-1)</f>
        <v>0.53028251635746071</v>
      </c>
      <c r="J56" s="588">
        <f>((J15/E15)-1)</f>
        <v>0.45312253218830079</v>
      </c>
      <c r="K56" s="588">
        <f>((K15/F15)-1)</f>
        <v>0.32552356357489631</v>
      </c>
      <c r="L56" s="584"/>
      <c r="M56" s="588">
        <f>((M15/H15)-1)</f>
        <v>0.34860930900363041</v>
      </c>
      <c r="N56" s="588">
        <f>((N15/I15)-1)</f>
        <v>0.36183111643683108</v>
      </c>
      <c r="O56" s="588">
        <f>((O15/J15)-1)</f>
        <v>0.38846718710766903</v>
      </c>
      <c r="P56" s="588">
        <f>((P15/K15)-1)</f>
        <v>0.34752521033160089</v>
      </c>
      <c r="Q56" s="584"/>
      <c r="R56" s="588">
        <f>((R15/M15)-1)</f>
        <v>0.34206905664065634</v>
      </c>
      <c r="S56" s="588">
        <f>((S15/N15)-1)</f>
        <v>0.38628067836569779</v>
      </c>
      <c r="T56" s="588">
        <f>((T15/O15)-1)</f>
        <v>0.50589062897948112</v>
      </c>
      <c r="U56" s="588">
        <f>((U15/P15)-1)</f>
        <v>0.53813527411456663</v>
      </c>
      <c r="V56" s="584"/>
      <c r="W56" s="588">
        <f>((W15/R15)-1)</f>
        <v>0.53818706531825766</v>
      </c>
      <c r="X56" s="588">
        <f>((X15/S15)-1)</f>
        <v>0.46655062401260672</v>
      </c>
      <c r="Y56" s="588">
        <f>((Y15/T15)-1)</f>
        <v>0.26184495452576884</v>
      </c>
      <c r="Z56" s="588">
        <f>((Z15/U15)-1)</f>
        <v>0.29960288633832133</v>
      </c>
      <c r="AA56" s="584"/>
      <c r="AB56" s="588">
        <f>((AB15/W15)-1)</f>
        <v>0.24496633787380606</v>
      </c>
      <c r="AC56" s="588">
        <f>((AC15/X15)-1)</f>
        <v>0.29100802202292608</v>
      </c>
      <c r="AD56" s="588">
        <f>((AD15/Y15)-1)</f>
        <v>0.29158821683533387</v>
      </c>
      <c r="AE56" s="588">
        <f>((AE15/Z15)-1)</f>
        <v>0.33673678522852191</v>
      </c>
      <c r="AF56" s="584"/>
      <c r="AG56" s="588">
        <f>((AG15/AB15)-1)</f>
        <v>0.35109076579975507</v>
      </c>
      <c r="AH56" s="588">
        <f>((AH15/AC15)-1)</f>
        <v>0.33521023522356241</v>
      </c>
      <c r="AI56" s="588">
        <f>((AI15/AD15)-1)</f>
        <v>0.33194645853421512</v>
      </c>
      <c r="AJ56" s="588">
        <f>((AJ15/AE15)-1)</f>
        <v>0.4398625669045495</v>
      </c>
      <c r="AK56" s="584"/>
      <c r="AL56" s="588">
        <f>((AL15/AG15)-1)</f>
        <v>0.2727458889233636</v>
      </c>
      <c r="AM56" s="588">
        <f>((AM15/AH15)-1)</f>
        <v>0.21006862133499671</v>
      </c>
      <c r="AN56" s="588">
        <f>((AN15/AI15)-1)</f>
        <v>0.24937867663824154</v>
      </c>
      <c r="AO56" s="588">
        <f>((AO15/AJ15)-1)</f>
        <v>0.11008068614686128</v>
      </c>
      <c r="AP56" s="588"/>
      <c r="AQ56" s="588">
        <f>((AQ15/AL15)-1)</f>
        <v>3.4158447219202026E-2</v>
      </c>
      <c r="AR56" s="588">
        <f>((AR15/AM15)-1)</f>
        <v>5.9317228082114148E-2</v>
      </c>
      <c r="AS56" s="588">
        <f>((AS15/AN15)-1)</f>
        <v>-2.7871941454779448E-2</v>
      </c>
      <c r="AT56" s="588">
        <f>((AT15/AO15)-1)</f>
        <v>-0.10720047439240266</v>
      </c>
      <c r="AU56" s="588"/>
      <c r="AV56" s="588">
        <f>((AV15/AQ15)-1)</f>
        <v>-4.0290605301991023E-2</v>
      </c>
      <c r="AW56" s="588">
        <f>((AW15/AR15)-1)</f>
        <v>-1.6697488806696414E-2</v>
      </c>
      <c r="AX56" s="588">
        <f>((AX15/AS15)-1)</f>
        <v>3.705320267327461E-2</v>
      </c>
      <c r="AY56" s="588">
        <f>((AY15/AT15)-1)</f>
        <v>2.5503027935143585E-2</v>
      </c>
      <c r="AZ56" s="584"/>
      <c r="BA56" s="588">
        <f>((BA15/AV15)-1)</f>
        <v>0.11281519726079914</v>
      </c>
      <c r="BB56" s="588">
        <f>((BB15/AW15)-1)</f>
        <v>4.8488238001672901E-2</v>
      </c>
      <c r="BC56" s="588">
        <f>((BC15/AX15)-1)</f>
        <v>4.4979567084677985E-2</v>
      </c>
      <c r="BD56" s="588">
        <f>((BD15/AY15)-1)</f>
        <v>5.3271232772332811E-2</v>
      </c>
      <c r="BE56" s="584"/>
      <c r="BF56" s="588">
        <f>((BF15/BA15)-1)</f>
        <v>8.0859761265715369E-2</v>
      </c>
      <c r="BG56" s="588">
        <f>((BG15/BB15)-1)</f>
        <v>0.13457889221415575</v>
      </c>
      <c r="BH56" s="588">
        <f>((BH15/BC15)-1)</f>
        <v>0.10227538478861531</v>
      </c>
      <c r="BI56" s="588">
        <f>((BI15/BD15)-1)</f>
        <v>0.17167944729798168</v>
      </c>
      <c r="BJ56" s="584"/>
      <c r="BK56" s="588">
        <f>((BK15/BF15)-1)</f>
        <v>0.19354693785864541</v>
      </c>
      <c r="BL56" s="588">
        <f>((BL15/BG15)-1)</f>
        <v>0.14997753332556685</v>
      </c>
      <c r="BM56" s="588">
        <f>((BM15/BH15)-1)</f>
        <v>0.16952562057503884</v>
      </c>
      <c r="BN56" s="588">
        <f>((BN15/BI15)-1)</f>
        <v>0.14270388750395546</v>
      </c>
      <c r="BO56" s="584"/>
      <c r="BP56" s="588">
        <f>((BP15/BK15)-1)</f>
        <v>4.646618805477809E-2</v>
      </c>
      <c r="BQ56" s="588">
        <f>((BQ15/BL15)-1)</f>
        <v>3.5665185742608685E-2</v>
      </c>
      <c r="BR56" s="588">
        <f>((BR15/BM15)-1)</f>
        <v>3.6476635200053842E-2</v>
      </c>
      <c r="BS56" s="588">
        <f>((BS15/BN15)-1)</f>
        <v>2.1140221128063796E-2</v>
      </c>
      <c r="BT56" s="588"/>
      <c r="BU56" s="588">
        <f>((BU15/BP15)-1)</f>
        <v>-0.31486889046574218</v>
      </c>
      <c r="BV56" s="588">
        <f>((BV15/BQ15)-1)</f>
        <v>-0.32076209905610942</v>
      </c>
      <c r="BW56" s="588">
        <f>((BW15/BR15)-1)</f>
        <v>-0.31940050821967536</v>
      </c>
      <c r="BX56" s="588">
        <f>((BX15/BS15)-1)</f>
        <v>-0.31453015761728698</v>
      </c>
      <c r="BY56" s="588"/>
      <c r="BZ56" s="588">
        <f>((BZ15/BU15)-1)</f>
        <v>2.640772806674252E-2</v>
      </c>
      <c r="CA56" s="588">
        <f>((CA15/BV15)-1)</f>
        <v>3.4972227936647116E-4</v>
      </c>
      <c r="CB56" s="588">
        <f>((CB15/BW15)-1)</f>
        <v>2.6954434623590373E-2</v>
      </c>
      <c r="CC56" s="588">
        <f>((CC15/BX15)-1)</f>
        <v>-8.2114719377047729E-3</v>
      </c>
      <c r="CD56" s="588"/>
      <c r="CE56" s="588">
        <f>((CE15/BZ15)-1)</f>
        <v>-3.2149915137988039E-2</v>
      </c>
      <c r="CF56" s="588">
        <f>((CF15/CA15)-1)</f>
        <v>-4.0522754848129616E-2</v>
      </c>
      <c r="CG56" s="588">
        <f>((CG15/CB15)-1)</f>
        <v>-0.10795570477268102</v>
      </c>
      <c r="CH56" s="588">
        <f>((CH15/CC15)-1)</f>
        <v>-6.6055679601496275E-2</v>
      </c>
      <c r="CI56" s="588"/>
      <c r="CJ56" s="588">
        <f>((CJ15/CE15)-1)</f>
        <v>-0.12300315651409388</v>
      </c>
      <c r="CK56" s="588">
        <f>((CK15/CF15)-1)</f>
        <v>-6.9572299679573124E-2</v>
      </c>
      <c r="CL56" s="588">
        <f>((CL15/CG15)-1)</f>
        <v>-0.10885612692603586</v>
      </c>
      <c r="CM56" s="588">
        <f>((CM15/CH15)-1)</f>
        <v>6.2503255377821532E-5</v>
      </c>
      <c r="CN56" s="588"/>
      <c r="CO56" s="588">
        <f>((CO15/CJ15)-1)</f>
        <v>5.0898748820867423E-2</v>
      </c>
      <c r="CP56" s="588">
        <f>((CP15/CK15)-1)</f>
        <v>-4.2346194374968893E-2</v>
      </c>
      <c r="CQ56" s="588">
        <f>((CQ15/CL15)-1)</f>
        <v>3.3197886472586147E-2</v>
      </c>
      <c r="CR56" s="588">
        <f>((CR15/CM15)-1)</f>
        <v>-7.2919867188029341E-2</v>
      </c>
      <c r="CS56" s="584"/>
      <c r="CT56" s="586">
        <f>((CT15/BX15)-1)</f>
        <v>-0.52027008119804496</v>
      </c>
      <c r="CU56" s="586">
        <f t="shared" ref="CU56:DI56" si="40">((CU15/CT15)-1)</f>
        <v>0.47335485512515318</v>
      </c>
      <c r="CV56" s="586">
        <f t="shared" si="40"/>
        <v>0.36186134996345531</v>
      </c>
      <c r="CW56" s="586">
        <f t="shared" si="40"/>
        <v>0.44904065920409719</v>
      </c>
      <c r="CX56" s="586">
        <f t="shared" si="40"/>
        <v>0.37706535027838406</v>
      </c>
      <c r="CY56" s="586">
        <f t="shared" si="40"/>
        <v>0.29240650361577125</v>
      </c>
      <c r="CZ56" s="587">
        <f t="shared" si="40"/>
        <v>0.36724071918200929</v>
      </c>
      <c r="DA56" s="587">
        <f t="shared" si="40"/>
        <v>0.20486435389525015</v>
      </c>
      <c r="DB56" s="586">
        <f t="shared" si="40"/>
        <v>-1.4373457416435031E-2</v>
      </c>
      <c r="DC56" s="587">
        <f t="shared" si="40"/>
        <v>1.364581450549851E-3</v>
      </c>
      <c r="DD56" s="587">
        <f t="shared" si="40"/>
        <v>6.4414908177646391E-2</v>
      </c>
      <c r="DE56" s="586">
        <f t="shared" si="40"/>
        <v>0.12175107361687587</v>
      </c>
      <c r="DF56" s="586">
        <f t="shared" si="40"/>
        <v>0.16375151297327672</v>
      </c>
      <c r="DG56" s="586">
        <f t="shared" si="40"/>
        <v>3.4888242348330101E-2</v>
      </c>
      <c r="DH56" s="586">
        <f t="shared" si="40"/>
        <v>-0.3173483205470411</v>
      </c>
      <c r="DI56" s="586">
        <f t="shared" si="40"/>
        <v>1.1640041548092617E-2</v>
      </c>
      <c r="DJ56" s="586">
        <f t="shared" ref="DJ56:DO56" si="41">((DJ15/DI15)-1)</f>
        <v>-6.2176808188970312E-2</v>
      </c>
      <c r="DK56" s="586">
        <f t="shared" si="41"/>
        <v>-7.6386081237702519E-2</v>
      </c>
      <c r="DL56" s="586">
        <f t="shared" si="41"/>
        <v>-8.8547179527235231E-3</v>
      </c>
      <c r="DM56" s="586">
        <f t="shared" si="41"/>
        <v>-7.6233919525129479E-2</v>
      </c>
      <c r="DN56" s="586">
        <f t="shared" si="41"/>
        <v>-1.0369623920891913E-2</v>
      </c>
      <c r="DO56" s="586">
        <f t="shared" si="41"/>
        <v>-1.2227540230965506E-2</v>
      </c>
    </row>
    <row r="57" spans="1:119">
      <c r="A57" s="560" t="s">
        <v>388</v>
      </c>
      <c r="B57" s="575"/>
      <c r="C57" s="588"/>
      <c r="D57" s="588"/>
      <c r="E57" s="588"/>
      <c r="F57" s="588"/>
      <c r="G57" s="584"/>
      <c r="H57" s="588"/>
      <c r="I57" s="588"/>
      <c r="J57" s="588"/>
      <c r="K57" s="588"/>
      <c r="L57" s="584"/>
      <c r="M57" s="588">
        <f>+M11/H11-1</f>
        <v>0.64056071948553783</v>
      </c>
      <c r="N57" s="588">
        <f>+N11/I11-1</f>
        <v>0.50521855846136199</v>
      </c>
      <c r="O57" s="588">
        <f>+O11/J11-1</f>
        <v>0.4435848114418024</v>
      </c>
      <c r="P57" s="588">
        <f>+P11/K11-1</f>
        <v>0.40847764994782487</v>
      </c>
      <c r="Q57" s="584"/>
      <c r="R57" s="588">
        <f>+R11/M11-1</f>
        <v>0.39796981872129145</v>
      </c>
      <c r="S57" s="588">
        <f>+S11/N11-1</f>
        <v>0.40452987128501361</v>
      </c>
      <c r="T57" s="588">
        <f>+T11/O11-1</f>
        <v>0.43407594009921402</v>
      </c>
      <c r="U57" s="588">
        <f>+U11/P11-1</f>
        <v>0.39056015466240224</v>
      </c>
      <c r="V57" s="584"/>
      <c r="W57" s="588">
        <f>+W11/R11-1</f>
        <v>0.4653384851898541</v>
      </c>
      <c r="X57" s="588">
        <f>+X11/S11-1</f>
        <v>0.39112628589774867</v>
      </c>
      <c r="Y57" s="588">
        <f>+Y11/T11-1</f>
        <v>0.27041644131963216</v>
      </c>
      <c r="Z57" s="588">
        <f>+Z11/U11-1</f>
        <v>0.95778408142833293</v>
      </c>
      <c r="AA57" s="584"/>
      <c r="AB57" s="588">
        <f>+AB11/W11-1</f>
        <v>0.38261767743839448</v>
      </c>
      <c r="AC57" s="588">
        <f>+AC11/X11-1</f>
        <v>0.51386481802426331</v>
      </c>
      <c r="AD57" s="588">
        <f>+AD11/Y11-1</f>
        <v>0.60905349794238695</v>
      </c>
      <c r="AE57" s="588">
        <f>+AE11/Z11-1</f>
        <v>0.10875308957640839</v>
      </c>
      <c r="AF57" s="584"/>
      <c r="AG57" s="588">
        <f>+AG11/AB11-1</f>
        <v>0.44439701173959456</v>
      </c>
      <c r="AH57" s="588">
        <f>+AH11/AC11-1</f>
        <v>0.45477962220950219</v>
      </c>
      <c r="AI57" s="588">
        <f>+AI11/AD11-1</f>
        <v>0.34262280624393693</v>
      </c>
      <c r="AJ57" s="588">
        <f>+AJ11/AE11-1</f>
        <v>0.37089707125835947</v>
      </c>
      <c r="AK57" s="584"/>
      <c r="AL57" s="588">
        <f>+AL11/AG11-1</f>
        <v>0.46091325550465467</v>
      </c>
      <c r="AM57" s="588">
        <f>+AM11/AH11-1</f>
        <v>0.28257590661682719</v>
      </c>
      <c r="AN57" s="588">
        <f>+AN11/AI11-1</f>
        <v>0.32658959537572296</v>
      </c>
      <c r="AO57" s="588">
        <f>+AO11/AJ11-1</f>
        <v>0.23735561287428508</v>
      </c>
      <c r="AP57" s="588"/>
      <c r="AQ57" s="588">
        <f>+AQ11/AL11-1</f>
        <v>0.18940926562816118</v>
      </c>
      <c r="AR57" s="588">
        <f>+AR11/AM11-1</f>
        <v>0.13677267614275501</v>
      </c>
      <c r="AS57" s="588">
        <f>+AS11/AN11-1</f>
        <v>0.11111111111111049</v>
      </c>
      <c r="AT57" s="588">
        <f>+AT11/AO11-1</f>
        <v>0.33149046086917111</v>
      </c>
      <c r="AU57" s="588"/>
      <c r="AV57" s="588">
        <f>+AV11/AQ11-1</f>
        <v>-2.2579410639112063E-2</v>
      </c>
      <c r="AW57" s="588">
        <f>+AW11/AR11-1</f>
        <v>6.2969459811992312E-3</v>
      </c>
      <c r="AX57" s="588">
        <f>+AX11/AS11-1</f>
        <v>0.20534759358288768</v>
      </c>
      <c r="AY57" s="588">
        <f>+AY11/AT11-1</f>
        <v>-0.18436457695187514</v>
      </c>
      <c r="AZ57" s="584"/>
      <c r="BA57" s="588">
        <f>+BA11/AV11-1</f>
        <v>1.6357782998346782E-2</v>
      </c>
      <c r="BB57" s="588">
        <f>+BB11/AW11-1</f>
        <v>4.0271756134626635E-2</v>
      </c>
      <c r="BC57" s="588">
        <f>+BC11/AX11-1</f>
        <v>-0.12814256137237456</v>
      </c>
      <c r="BD57" s="588">
        <f>+BD11/AY11-1</f>
        <v>-2.9209263509289984E-3</v>
      </c>
      <c r="BE57" s="584"/>
      <c r="BF57" s="588">
        <f>+BF11/BA11-1</f>
        <v>3.5356561938190145E-2</v>
      </c>
      <c r="BG57" s="588">
        <f>+BG11/BB11-1</f>
        <v>3.8283062645011467E-2</v>
      </c>
      <c r="BH57" s="588">
        <f>+BH11/BC11-1</f>
        <v>4.31261131371381E-2</v>
      </c>
      <c r="BI57" s="588">
        <f>+BI11/BD11-1</f>
        <v>0.10809792843691235</v>
      </c>
      <c r="BJ57" s="584"/>
      <c r="BK57" s="588">
        <f>+BK11/BF11-1</f>
        <v>7.8716719034231941E-2</v>
      </c>
      <c r="BL57" s="588">
        <f>+BL11/BG11-1</f>
        <v>9.9234429960686876E-2</v>
      </c>
      <c r="BM57" s="588">
        <f>+BM11/BH11-1</f>
        <v>0.11508597910484175</v>
      </c>
      <c r="BN57" s="588">
        <f>+BN11/BI11-1</f>
        <v>7.2059823249490007E-2</v>
      </c>
      <c r="BO57" s="584"/>
      <c r="BP57" s="588">
        <f>+BP11/BK11-1</f>
        <v>0.11620420052123248</v>
      </c>
      <c r="BQ57" s="588">
        <f>+BQ11/BL11-1</f>
        <v>0.11071791589805358</v>
      </c>
      <c r="BR57" s="588">
        <f>+BR11/BM11-1</f>
        <v>7.5282537367845848E-2</v>
      </c>
      <c r="BS57" s="588">
        <f>+BS11/BN11-1</f>
        <v>6.320016909744175E-2</v>
      </c>
      <c r="BT57" s="588"/>
      <c r="BU57" s="588">
        <f>+BU11/BP11-1</f>
        <v>3.2928169207526503E-2</v>
      </c>
      <c r="BV57" s="588">
        <f>+BV11/BQ11-1</f>
        <v>2.6640455531453222E-2</v>
      </c>
      <c r="BW57" s="588">
        <f>+BW11/BR11-1</f>
        <v>2.1902017291066223E-2</v>
      </c>
      <c r="BX57" s="588">
        <f>+BX11/BS11-1</f>
        <v>5.2186878727635166E-2</v>
      </c>
      <c r="BY57" s="588"/>
      <c r="BZ57" s="588">
        <f>+BZ11/BU11-1</f>
        <v>2.1939301266496125E-2</v>
      </c>
      <c r="CA57" s="588">
        <f>+CA11/BV11-1</f>
        <v>2.10960713106636E-2</v>
      </c>
      <c r="CB57" s="588">
        <f>+CB11/BW11-1</f>
        <v>-5.1325437112238914E-2</v>
      </c>
      <c r="CC57" s="588">
        <f>+CC11/BX11-1</f>
        <v>-0.10143284522122586</v>
      </c>
      <c r="CD57" s="588"/>
      <c r="CE57" s="588">
        <f>+CE11/BZ11-1</f>
        <v>-9.0622255472790458E-2</v>
      </c>
      <c r="CF57" s="588">
        <f>+CF11/CA11-1</f>
        <v>-0.11125480940217913</v>
      </c>
      <c r="CG57" s="588">
        <f>+CG11/CB11-1</f>
        <v>-5.0849828635378458E-2</v>
      </c>
      <c r="CH57" s="588">
        <f>+CH11/CC11-1</f>
        <v>-6.5465760145789975E-2</v>
      </c>
      <c r="CI57" s="588"/>
      <c r="CJ57" s="588">
        <f>+CJ11/CE11-1</f>
        <v>-0.10058303823729298</v>
      </c>
      <c r="CK57" s="588">
        <f>+CK11/CF11-1</f>
        <v>-9.5350698486612262E-2</v>
      </c>
      <c r="CL57" s="588">
        <f>+CL11/CG11-1</f>
        <v>-0.1173176123802504</v>
      </c>
      <c r="CM57" s="588">
        <f>+CM11/CH11-1</f>
        <v>-0.16215405385134685</v>
      </c>
      <c r="CN57" s="588"/>
      <c r="CO57" s="588">
        <f>+CO11/CJ11-1</f>
        <v>-6.5420560747663559E-2</v>
      </c>
      <c r="CP57" s="588">
        <f>+CP11/CK11-1</f>
        <v>-5.4972453452366676E-2</v>
      </c>
      <c r="CQ57" s="588">
        <f>+CQ11/CL11-1</f>
        <v>-1.903489731173813E-2</v>
      </c>
      <c r="CR57" s="588">
        <f>+CR11/CM11-1</f>
        <v>5.1830632888729911E-2</v>
      </c>
      <c r="CS57" s="584"/>
      <c r="CT57" s="586"/>
      <c r="CU57" s="586">
        <f t="shared" ref="CU57:DL57" si="42">+CU11/CT11-1</f>
        <v>0.69130043039648403</v>
      </c>
      <c r="CV57" s="586">
        <f t="shared" si="42"/>
        <v>0.48660016393408578</v>
      </c>
      <c r="CW57" s="586">
        <f t="shared" si="42"/>
        <v>0.40668394925882723</v>
      </c>
      <c r="CX57" s="586">
        <f t="shared" si="42"/>
        <v>0.53631620500713972</v>
      </c>
      <c r="CY57" s="586">
        <f t="shared" si="42"/>
        <v>0.36079554200917441</v>
      </c>
      <c r="CZ57" s="587">
        <f t="shared" si="42"/>
        <v>0.3991176470588238</v>
      </c>
      <c r="DA57" s="587">
        <f t="shared" si="42"/>
        <v>0.31939975097427253</v>
      </c>
      <c r="DB57" s="586">
        <f t="shared" si="42"/>
        <v>0.1958378782493595</v>
      </c>
      <c r="DC57" s="587">
        <f t="shared" si="42"/>
        <v>-1.2298610257040932E-2</v>
      </c>
      <c r="DD57" s="587">
        <f t="shared" si="42"/>
        <v>-2.3440418378782191E-2</v>
      </c>
      <c r="DE57" s="586">
        <f t="shared" si="42"/>
        <v>5.6495914485777732E-2</v>
      </c>
      <c r="DF57" s="586">
        <f t="shared" si="42"/>
        <v>9.0928291260182981E-2</v>
      </c>
      <c r="DG57" s="586">
        <f t="shared" si="42"/>
        <v>9.064173834481104E-2</v>
      </c>
      <c r="DH57" s="586">
        <f t="shared" si="42"/>
        <v>3.3524086455964941E-2</v>
      </c>
      <c r="DI57" s="586">
        <f t="shared" si="42"/>
        <v>-2.8371868584841642E-2</v>
      </c>
      <c r="DJ57" s="586">
        <f t="shared" si="42"/>
        <v>-8.0378787878787827E-2</v>
      </c>
      <c r="DK57" s="586">
        <f t="shared" si="42"/>
        <v>-0.11845200501597242</v>
      </c>
      <c r="DL57" s="586">
        <f t="shared" si="42"/>
        <v>-2.398504828159076E-2</v>
      </c>
      <c r="DM57" s="586">
        <f>+DM11/DL11-1</f>
        <v>2.1276595744680771E-2</v>
      </c>
      <c r="DN57" s="586">
        <f>+DN11/DM11-1</f>
        <v>2.0833333333333259E-2</v>
      </c>
      <c r="DO57" s="586">
        <f>+DO11/DN11-1</f>
        <v>2.0408163265306145E-2</v>
      </c>
    </row>
    <row r="58" spans="1:119">
      <c r="A58" s="560" t="s">
        <v>269</v>
      </c>
      <c r="B58" s="575"/>
      <c r="C58" s="588">
        <f>'qtrP&amp;L'!$Z84/100</f>
        <v>0.71709171922792647</v>
      </c>
      <c r="D58" s="588">
        <f>'qtrP&amp;L'!$Z85/100</f>
        <v>0.38899539338165545</v>
      </c>
      <c r="E58" s="588">
        <f>'qtrP&amp;L'!$Z86/100</f>
        <v>0.64025652559601587</v>
      </c>
      <c r="F58" s="588">
        <f>'qtrP&amp;L'!$Z87/100</f>
        <v>0.95111385857680919</v>
      </c>
      <c r="G58" s="584"/>
      <c r="H58" s="588">
        <f>((H21/C21)-1)</f>
        <v>0.66066262054891678</v>
      </c>
      <c r="I58" s="588">
        <f>((I21/D21)-1)</f>
        <v>0.51291437492293501</v>
      </c>
      <c r="J58" s="588">
        <f>((J21/E21)-1)</f>
        <v>0.13464007473541639</v>
      </c>
      <c r="K58" s="588">
        <f>((K21/F21)-1)</f>
        <v>0.71789561940549129</v>
      </c>
      <c r="L58" s="584"/>
      <c r="M58" s="588">
        <f>((M21/H21)-1)</f>
        <v>0.59831487671531036</v>
      </c>
      <c r="N58" s="588">
        <f>((N21/I21)-1)</f>
        <v>0.47634212066938542</v>
      </c>
      <c r="O58" s="588">
        <f>((O21/J21)-1)</f>
        <v>0.74798682827488028</v>
      </c>
      <c r="P58" s="588">
        <f>((P21/K21)-1)</f>
        <v>0.52748750651742693</v>
      </c>
      <c r="Q58" s="584"/>
      <c r="R58" s="588">
        <f>((R21/M21)-1)</f>
        <v>0.17764396942963723</v>
      </c>
      <c r="S58" s="588">
        <f>((S21/N21)-1)</f>
        <v>0.49713080125605646</v>
      </c>
      <c r="T58" s="588">
        <f>((T21/O21)-1)</f>
        <v>0.73115586223598084</v>
      </c>
      <c r="U58" s="588">
        <f>((U21/P21)-1)</f>
        <v>0.71453457453841995</v>
      </c>
      <c r="V58" s="584"/>
      <c r="W58" s="588">
        <f>((W21/R21)-1)</f>
        <v>0.53142265082536522</v>
      </c>
      <c r="X58" s="588">
        <f>((X21/S21)-1)</f>
        <v>0.44756792294339465</v>
      </c>
      <c r="Y58" s="588">
        <f>((Y21/T21)-1)</f>
        <v>0.37616556214393793</v>
      </c>
      <c r="Z58" s="588">
        <f>((Z21/U21)-1)</f>
        <v>0.24300427516517642</v>
      </c>
      <c r="AA58" s="584"/>
      <c r="AB58" s="588">
        <f>((AB21/W21)-1)</f>
        <v>0.28223355573409736</v>
      </c>
      <c r="AC58" s="588">
        <f>((AC21/X21)-1)</f>
        <v>0.33806612996987706</v>
      </c>
      <c r="AD58" s="588">
        <f>((AD21/Y21)-1)</f>
        <v>0.39074380723868662</v>
      </c>
      <c r="AE58" s="588">
        <f>((AE21/Z21)-1)</f>
        <v>0.30219651371844036</v>
      </c>
      <c r="AF58" s="584"/>
      <c r="AG58" s="588">
        <f>((AG21/AB21)-1)</f>
        <v>8.9125904131421407E-2</v>
      </c>
      <c r="AH58" s="588">
        <f>((AH21/AC21)-1)</f>
        <v>9.9699834118854636E-2</v>
      </c>
      <c r="AI58" s="588">
        <f>((AI21/AD21)-1)</f>
        <v>-0.20594846124874</v>
      </c>
      <c r="AJ58" s="588">
        <f>((AJ21/AE21)-1)</f>
        <v>-0.47690437601296642</v>
      </c>
      <c r="AK58" s="584"/>
      <c r="AL58" s="588">
        <f>((AL21/AG21)-1)</f>
        <v>-6.6211416278954216E-2</v>
      </c>
      <c r="AM58" s="588">
        <f>((AM21/AH21)-1)</f>
        <v>-0.30858004812584539</v>
      </c>
      <c r="AN58" s="588">
        <f>((AN21/AI21)-1)</f>
        <v>-0.64375114756105023</v>
      </c>
      <c r="AO58" s="588" t="s">
        <v>371</v>
      </c>
      <c r="AP58" s="588"/>
      <c r="AQ58" s="588">
        <f>((AQ21/AL21)-1)</f>
        <v>-0.77641906190565457</v>
      </c>
      <c r="AR58" s="588">
        <f>((AR21/AM21)-1)</f>
        <v>-0.86354428188035615</v>
      </c>
      <c r="AS58" s="588" t="s">
        <v>371</v>
      </c>
      <c r="AT58" s="588" t="s">
        <v>371</v>
      </c>
      <c r="AU58" s="588"/>
      <c r="AV58" s="588">
        <f>((AV21/AQ21)-1)</f>
        <v>0.78667705026058621</v>
      </c>
      <c r="AW58" s="588">
        <f>((AW21/AR21)-1)</f>
        <v>2.6787209744956115</v>
      </c>
      <c r="AX58" s="588" t="s">
        <v>371</v>
      </c>
      <c r="AY58" s="588" t="s">
        <v>371</v>
      </c>
      <c r="AZ58" s="584"/>
      <c r="BA58" s="588">
        <f>((BA21/AV21)-1)</f>
        <v>0.84583403185247419</v>
      </c>
      <c r="BB58" s="588">
        <f>((BB21/AW21)-1)</f>
        <v>0.63458885209712879</v>
      </c>
      <c r="BC58" s="588">
        <f>((BC21/AX21)-1)</f>
        <v>0.21618793203161468</v>
      </c>
      <c r="BD58" s="588">
        <f>((BD21/AY21)-1)</f>
        <v>0.12491533278670941</v>
      </c>
      <c r="BE58" s="584"/>
      <c r="BF58" s="588">
        <f>((BF21/BA21)-1)</f>
        <v>0.32271307127806459</v>
      </c>
      <c r="BG58" s="588">
        <f>((BG21/BB21)-1)</f>
        <v>0.45539143279172922</v>
      </c>
      <c r="BH58" s="588">
        <f>((BH21/BC21)-1)</f>
        <v>6.397047168316039E-2</v>
      </c>
      <c r="BI58" s="588">
        <f>((BI21/BD21)-1)</f>
        <v>0.22753921723974035</v>
      </c>
      <c r="BJ58" s="584"/>
      <c r="BK58" s="588">
        <f>((BK21/BF21)-1)</f>
        <v>0.18599796753549902</v>
      </c>
      <c r="BL58" s="588">
        <f>((BL21/BG21)-1)</f>
        <v>0.24365312957619834</v>
      </c>
      <c r="BM58" s="588">
        <f>((BM21/BH21)-1)</f>
        <v>0.4179968501255662</v>
      </c>
      <c r="BN58" s="588">
        <f>((BN21/BI21)-1)</f>
        <v>0.30657028527171648</v>
      </c>
      <c r="BO58" s="584"/>
      <c r="BP58" s="588">
        <f>((BP21/BK21)-1)</f>
        <v>-6.1728538014404699E-2</v>
      </c>
      <c r="BQ58" s="588">
        <f>((BQ21/BL21)-1)</f>
        <v>-0.18531990300317058</v>
      </c>
      <c r="BR58" s="588">
        <f>((BR21/BM21)-1)</f>
        <v>-0.1672620298382016</v>
      </c>
      <c r="BS58" s="588">
        <f>((BS21/BN21)-1)</f>
        <v>-0.8566093657379974</v>
      </c>
      <c r="BT58" s="588"/>
      <c r="BU58" s="588">
        <f>((BU21/BP21)-1)</f>
        <v>-0.18840937419012471</v>
      </c>
      <c r="BV58" s="588">
        <f>((BV21/BQ21)-1)</f>
        <v>-0.30553806525472216</v>
      </c>
      <c r="BW58" s="588">
        <f>((BW21/BR21)-1)</f>
        <v>-0.16796438484553455</v>
      </c>
      <c r="BX58" s="588">
        <f>((BX21/BS21)-1)</f>
        <v>1.1875430618713163</v>
      </c>
      <c r="BY58" s="588"/>
      <c r="BZ58" s="588">
        <f>((BZ21/BU21)-1)</f>
        <v>9.3911562557021044E-2</v>
      </c>
      <c r="CA58" s="588">
        <f>((CA21/BV21)-1)</f>
        <v>0.25226153434028964</v>
      </c>
      <c r="CB58" s="588">
        <f>((CB21/BW21)-1)</f>
        <v>-0.38160431514416226</v>
      </c>
      <c r="CC58" s="588">
        <f>((CC21/BX21)-1)</f>
        <v>-0.51533858267716337</v>
      </c>
      <c r="CD58" s="588"/>
      <c r="CE58" s="588">
        <f>((CE21/BZ21)-1)</f>
        <v>-0.24667778704475907</v>
      </c>
      <c r="CF58" s="588">
        <f>((CF21/CA21)-1)</f>
        <v>-0.10839051521284904</v>
      </c>
      <c r="CG58" s="588">
        <f>((CG21/CB21)-1)</f>
        <v>0.32868602655270363</v>
      </c>
      <c r="CH58" s="588">
        <f>((CH21/CC21)-1)</f>
        <v>1.7822978944631993</v>
      </c>
      <c r="CI58" s="588"/>
      <c r="CJ58" s="588">
        <f>((CJ21/CE21)-1)</f>
        <v>1.2547514484998024E-2</v>
      </c>
      <c r="CK58" s="588">
        <f>((CK21/CF21)-1)</f>
        <v>-0.34558172154141364</v>
      </c>
      <c r="CL58" s="588">
        <f>((CL21/CG21)-1)</f>
        <v>-0.33356182441339288</v>
      </c>
      <c r="CM58" s="588">
        <f>((CM21/CH21)-1)</f>
        <v>0.38081001541552073</v>
      </c>
      <c r="CN58" s="588"/>
      <c r="CO58" s="588">
        <f>((CO21/CJ21)-1)</f>
        <v>-0.23654354500126873</v>
      </c>
      <c r="CP58" s="588">
        <f>((CP21/CK21)-1)</f>
        <v>0.21929890155528176</v>
      </c>
      <c r="CQ58" s="588">
        <f>((CQ21/CL21)-1)</f>
        <v>6.9882622486393098E-2</v>
      </c>
      <c r="CR58" s="588">
        <f>((CR21/CM21)-1)</f>
        <v>5.9407723643457366E-2</v>
      </c>
      <c r="CS58" s="584"/>
      <c r="CT58" s="586">
        <f>((CT21/BX21)-1)</f>
        <v>1.8575417322834573</v>
      </c>
      <c r="CU58" s="586">
        <f t="shared" ref="CU58:DA58" si="43">((CU21/CT21)-1)</f>
        <v>0.48877232178531349</v>
      </c>
      <c r="CV58" s="586">
        <f t="shared" si="43"/>
        <v>0.58128161670967127</v>
      </c>
      <c r="CW58" s="586">
        <f t="shared" si="43"/>
        <v>0.50547506956314781</v>
      </c>
      <c r="CX58" s="586">
        <f t="shared" si="43"/>
        <v>0.3955875102471893</v>
      </c>
      <c r="CY58" s="586">
        <f t="shared" si="43"/>
        <v>0.32953314763231134</v>
      </c>
      <c r="CZ58" s="587">
        <f t="shared" si="43"/>
        <v>-0.11603210040427114</v>
      </c>
      <c r="DA58" s="587">
        <f t="shared" si="43"/>
        <v>-0.5394084186575665</v>
      </c>
      <c r="DB58" s="586" t="s">
        <v>371</v>
      </c>
      <c r="DC58" s="587" t="s">
        <v>371</v>
      </c>
      <c r="DD58" s="587">
        <f t="shared" ref="DD58:DI58" si="44">((DD21/DC21)-1)</f>
        <v>0.44633419657571216</v>
      </c>
      <c r="DE58" s="586">
        <f t="shared" si="44"/>
        <v>0.27701253943129411</v>
      </c>
      <c r="DF58" s="586">
        <f t="shared" si="44"/>
        <v>0.27191771790250763</v>
      </c>
      <c r="DG58" s="586">
        <f t="shared" si="44"/>
        <v>-0.26168211380428097</v>
      </c>
      <c r="DH58" s="586">
        <f t="shared" si="44"/>
        <v>-0.17467353147671261</v>
      </c>
      <c r="DI58" s="586">
        <f t="shared" si="44"/>
        <v>-4.18474346541442E-2</v>
      </c>
      <c r="DJ58" s="586">
        <f t="shared" ref="DJ58:DO58" si="45">((DJ21/DI21)-1)</f>
        <v>-7.3216061366573326E-3</v>
      </c>
      <c r="DK58" s="586">
        <f t="shared" si="45"/>
        <v>-0.13442447008317671</v>
      </c>
      <c r="DL58" s="586">
        <f t="shared" si="45"/>
        <v>-1.158259215928148E-2</v>
      </c>
      <c r="DM58" s="586">
        <f t="shared" si="45"/>
        <v>0.15017893853972897</v>
      </c>
      <c r="DN58" s="586">
        <f t="shared" si="45"/>
        <v>5.2594894067964137E-2</v>
      </c>
      <c r="DO58" s="586">
        <f t="shared" si="45"/>
        <v>4.6967347807515214E-2</v>
      </c>
    </row>
    <row r="59" spans="1:119">
      <c r="A59" s="560" t="s">
        <v>507</v>
      </c>
      <c r="B59" s="575"/>
      <c r="C59" s="588">
        <f>'qtrP&amp;L'!$Y151/100</f>
        <v>0.7012301772995535</v>
      </c>
      <c r="D59" s="588">
        <f>'qtrP&amp;L'!$Y152/100</f>
        <v>0.39900613283522079</v>
      </c>
      <c r="E59" s="588">
        <f>'qtrP&amp;L'!$Y153/100</f>
        <v>0.66596335542453855</v>
      </c>
      <c r="F59" s="588">
        <f>'qtrP&amp;L'!$Y154/100</f>
        <v>0.83812349280570397</v>
      </c>
      <c r="G59" s="584"/>
      <c r="H59" s="588">
        <f>((H31/C31)-1)</f>
        <v>0.60461969220795431</v>
      </c>
      <c r="I59" s="588">
        <f>((I31/D31)-1)</f>
        <v>0.46257602762343764</v>
      </c>
      <c r="J59" s="588">
        <f>((J31/E31)-1)</f>
        <v>0.11606119346682986</v>
      </c>
      <c r="K59" s="588">
        <f>((K31/F31)-1)</f>
        <v>0.6706131338199004</v>
      </c>
      <c r="L59" s="584"/>
      <c r="M59" s="588">
        <f>((M31/H31)-1)</f>
        <v>0.55179303748481257</v>
      </c>
      <c r="N59" s="588">
        <f>((N31/I31)-1)</f>
        <v>0.44195882103274875</v>
      </c>
      <c r="O59" s="588">
        <f>((O31/J31)-1)</f>
        <v>0.70218489553026542</v>
      </c>
      <c r="P59" s="588">
        <f>((P31/K31)-1)</f>
        <v>0.49159616438944664</v>
      </c>
      <c r="Q59" s="584"/>
      <c r="R59" s="588">
        <f>((R31/M31)-1)</f>
        <v>0.15630554925643247</v>
      </c>
      <c r="S59" s="588">
        <f>((S31/N31)-1)</f>
        <v>0.45994322650976005</v>
      </c>
      <c r="T59" s="588">
        <f>((T31/O31)-1)</f>
        <v>0.67581226591867116</v>
      </c>
      <c r="U59" s="588">
        <f>((U31/P31)-1)</f>
        <v>0.66536820180954104</v>
      </c>
      <c r="V59" s="584"/>
      <c r="W59" s="588">
        <f>((W31/R31)-1)</f>
        <v>0.48215329560038755</v>
      </c>
      <c r="X59" s="588">
        <f>((X31/S31)-1)</f>
        <v>0.40943798147714694</v>
      </c>
      <c r="Y59" s="588">
        <f>((Y31/T31)-1)</f>
        <v>0.36083596151251496</v>
      </c>
      <c r="Z59" s="588">
        <f>((Z31/U31)-1)</f>
        <v>0.2674892956897954</v>
      </c>
      <c r="AA59" s="584"/>
      <c r="AB59" s="588">
        <f>((AB31/W31)-1)</f>
        <v>0.31009597266655664</v>
      </c>
      <c r="AC59" s="588">
        <f>((AC31/X31)-1)</f>
        <v>0.36903742058135647</v>
      </c>
      <c r="AD59" s="588">
        <f>((AD31/Y31)-1)</f>
        <v>0.416899086414253</v>
      </c>
      <c r="AE59" s="588">
        <f>((AE31/Z31)-1)</f>
        <v>0.32895364313497932</v>
      </c>
      <c r="AF59" s="584"/>
      <c r="AG59" s="588">
        <f>((AG31/AB31)-1)</f>
        <v>0.10231139203536266</v>
      </c>
      <c r="AH59" s="588">
        <f>((AH31/AC31)-1)</f>
        <v>0.14207153113732685</v>
      </c>
      <c r="AI59" s="588">
        <f>((AI31/AD31)-1)</f>
        <v>-0.16425100689398253</v>
      </c>
      <c r="AJ59" s="588">
        <f>((AJ31/AE31)-1)</f>
        <v>-0.43144150940366821</v>
      </c>
      <c r="AK59" s="584"/>
      <c r="AL59" s="588">
        <f>((AL31/AG31)-1)</f>
        <v>-2.9861928125650694E-2</v>
      </c>
      <c r="AM59" s="588">
        <f>((AM31/AH31)-1)</f>
        <v>-0.28705746316545933</v>
      </c>
      <c r="AN59" s="588">
        <f>((AN31/AI31)-1)</f>
        <v>-0.55152677689623608</v>
      </c>
      <c r="AO59" s="588" t="s">
        <v>371</v>
      </c>
      <c r="AP59" s="588"/>
      <c r="AQ59" s="588">
        <f>((AQ31/AL31)-1)</f>
        <v>-0.74085478977393426</v>
      </c>
      <c r="AR59" s="588">
        <f>((AR31/AM31)-1)</f>
        <v>-0.82758008871088706</v>
      </c>
      <c r="AS59" s="588">
        <f>((AS31/AN31)-1)</f>
        <v>-0.8962593055806537</v>
      </c>
      <c r="AT59" s="588" t="s">
        <v>371</v>
      </c>
      <c r="AU59" s="588"/>
      <c r="AV59" s="588">
        <f>((AV31/AQ31)-1)</f>
        <v>0.52540719049037943</v>
      </c>
      <c r="AW59" s="588">
        <f>((AW31/AR31)-1)</f>
        <v>1.6611869570894759</v>
      </c>
      <c r="AX59" s="588">
        <f>((AX31/AS31)-1)</f>
        <v>10.196071822056526</v>
      </c>
      <c r="AY59" s="588" t="s">
        <v>371</v>
      </c>
      <c r="AZ59" s="584"/>
      <c r="BA59" s="588">
        <f>((BA31/AV31)-1)</f>
        <v>0.78823088133064445</v>
      </c>
      <c r="BB59" s="588">
        <f>((BB31/AW31)-1)</f>
        <v>0.68212228247241136</v>
      </c>
      <c r="BC59" s="588">
        <f>((BC31/AX31)-1)</f>
        <v>0.26957211296457606</v>
      </c>
      <c r="BD59" s="588">
        <f>((BD31/AY31)-1)</f>
        <v>0.15773797810526258</v>
      </c>
      <c r="BE59" s="584"/>
      <c r="BF59" s="588">
        <f>((BF31/BA31)-1)</f>
        <v>0.30993360768383837</v>
      </c>
      <c r="BG59" s="588">
        <f>((BG31/BB31)-1)</f>
        <v>0.46612331100179416</v>
      </c>
      <c r="BH59" s="588">
        <f>((BH31/BC31)-1)</f>
        <v>9.788774501560904E-2</v>
      </c>
      <c r="BI59" s="588">
        <f>((BI31/BD31)-1)</f>
        <v>0.23771957548512646</v>
      </c>
      <c r="BJ59" s="584"/>
      <c r="BK59" s="588">
        <f>((BK31/BF31)-1)</f>
        <v>0.24092652273990978</v>
      </c>
      <c r="BL59" s="588">
        <f>((BL31/BG31)-1)</f>
        <v>0.30578823937587796</v>
      </c>
      <c r="BM59" s="588">
        <f>((BM31/BH31)-1)</f>
        <v>0.43257528304463211</v>
      </c>
      <c r="BN59" s="588">
        <f>((BN31/BI31)-1)</f>
        <v>0.33283060284005628</v>
      </c>
      <c r="BO59" s="584"/>
      <c r="BP59" s="588">
        <f>((BP31/BK31)-1)</f>
        <v>2.1159109046873237E-3</v>
      </c>
      <c r="BQ59" s="588">
        <f>((BQ31/BL31)-1)</f>
        <v>-0.15187217251745244</v>
      </c>
      <c r="BR59" s="588">
        <f>((BR31/BM31)-1)</f>
        <v>-0.12004922240934324</v>
      </c>
      <c r="BS59" s="588">
        <f>((BS31/BN31)-1)</f>
        <v>-0.80568473349057512</v>
      </c>
      <c r="BT59" s="588"/>
      <c r="BU59" s="588">
        <f>((BU31/BP31)-1)</f>
        <v>-0.13342680586672151</v>
      </c>
      <c r="BV59" s="588">
        <f>((BV31/BQ31)-1)</f>
        <v>-0.2218600093383597</v>
      </c>
      <c r="BW59" s="588">
        <f>((BW31/BR31)-1)</f>
        <v>-0.23751128122574305</v>
      </c>
      <c r="BX59" s="588">
        <f>((BX31/BS31)-1)</f>
        <v>1.0731525957001673</v>
      </c>
      <c r="BY59" s="588"/>
      <c r="BZ59" s="588">
        <f>((BZ31/BU31)-1)</f>
        <v>8.2626304127272121E-2</v>
      </c>
      <c r="CA59" s="588">
        <f>((CA31/BV31)-1)</f>
        <v>0.23430277135766375</v>
      </c>
      <c r="CB59" s="588">
        <f>((CB31/BW31)-1)</f>
        <v>-0.23578355056148659</v>
      </c>
      <c r="CC59" s="588">
        <f>((CC31/BX31)-1)</f>
        <v>-0.43451981313264543</v>
      </c>
      <c r="CD59" s="588"/>
      <c r="CE59" s="588">
        <f>((CE31/BZ31)-1)</f>
        <v>-0.15760966422010048</v>
      </c>
      <c r="CF59" s="588">
        <f>((CF31/CA31)-1)</f>
        <v>-3.9619196601375473E-2</v>
      </c>
      <c r="CG59" s="588">
        <f>((CG31/CB31)-1)</f>
        <v>0.54683401409824928</v>
      </c>
      <c r="CH59" s="588">
        <f>((CH31/CC31)-1)</f>
        <v>1.2872715364404974</v>
      </c>
      <c r="CI59" s="588"/>
      <c r="CJ59" s="588">
        <f>((CJ31/CE31)-1)</f>
        <v>2.9517264872159332E-2</v>
      </c>
      <c r="CK59" s="588">
        <f>((CK31/CF31)-1)</f>
        <v>-0.3040479585720145</v>
      </c>
      <c r="CL59" s="588">
        <f>((CL31/CG31)-1)</f>
        <v>-0.35121588744017285</v>
      </c>
      <c r="CM59" s="588">
        <f>((CM31/CH31)-1)</f>
        <v>1.0994463284283951</v>
      </c>
      <c r="CN59" s="588"/>
      <c r="CO59" s="588">
        <f>((CO31/CJ31)-1)</f>
        <v>-5.3902690912960405E-2</v>
      </c>
      <c r="CP59" s="588">
        <f>((CP31/CK31)-1)</f>
        <v>0.4625996964348269</v>
      </c>
      <c r="CQ59" s="588">
        <f>((CQ31/CL31)-1)</f>
        <v>0.25061008942997232</v>
      </c>
      <c r="CR59" s="588">
        <f>((CR31/CM31)-1)</f>
        <v>-0.12526741963105814</v>
      </c>
      <c r="CS59" s="584"/>
      <c r="CT59" s="586">
        <f>((CT31/BX31)-1)</f>
        <v>1.1523912216197489</v>
      </c>
      <c r="CU59" s="586">
        <f t="shared" ref="CU59:DI59" si="46">((CU31/CT31)-1)</f>
        <v>0.44908545604193284</v>
      </c>
      <c r="CV59" s="586">
        <f t="shared" si="46"/>
        <v>0.5409974916688971</v>
      </c>
      <c r="CW59" s="586">
        <f t="shared" si="46"/>
        <v>0.46665928620566244</v>
      </c>
      <c r="CX59" s="586">
        <f t="shared" si="46"/>
        <v>0.37744063497956848</v>
      </c>
      <c r="CY59" s="586">
        <f t="shared" si="46"/>
        <v>0.35673184003437841</v>
      </c>
      <c r="CZ59" s="587">
        <f t="shared" si="46"/>
        <v>-7.9484060910747445E-2</v>
      </c>
      <c r="DA59" s="587">
        <f t="shared" si="46"/>
        <v>-0.51161165528215924</v>
      </c>
      <c r="DB59" s="586" t="s">
        <v>371</v>
      </c>
      <c r="DC59" s="587" t="s">
        <v>371</v>
      </c>
      <c r="DD59" s="587">
        <f t="shared" si="46"/>
        <v>0.47927358787814045</v>
      </c>
      <c r="DE59" s="586">
        <f t="shared" si="46"/>
        <v>0.29692029531972963</v>
      </c>
      <c r="DF59" s="586">
        <f t="shared" si="46"/>
        <v>0.28625311347947524</v>
      </c>
      <c r="DG59" s="586">
        <f t="shared" si="46"/>
        <v>-0.21884348502133744</v>
      </c>
      <c r="DH59" s="586">
        <f t="shared" si="46"/>
        <v>-9.2527948789184244E-2</v>
      </c>
      <c r="DI59" s="586">
        <f t="shared" si="46"/>
        <v>-2.9410748621546245E-2</v>
      </c>
      <c r="DJ59" s="586">
        <f t="shared" ref="DJ59:DO59" si="47">((DJ31/DI31)-1)</f>
        <v>8.5403147334484952E-2</v>
      </c>
      <c r="DK59" s="586">
        <f t="shared" si="47"/>
        <v>-3.4151738669734866E-2</v>
      </c>
      <c r="DL59" s="586">
        <f t="shared" si="47"/>
        <v>9.4294894668537355E-2</v>
      </c>
      <c r="DM59" s="586">
        <f t="shared" si="47"/>
        <v>0.22354145123756508</v>
      </c>
      <c r="DN59" s="586">
        <f t="shared" si="47"/>
        <v>9.4269146719648145E-2</v>
      </c>
      <c r="DO59" s="586">
        <f t="shared" si="47"/>
        <v>8.7081680981448972E-2</v>
      </c>
    </row>
    <row r="60" spans="1:119">
      <c r="A60" s="538" t="s">
        <v>418</v>
      </c>
      <c r="B60" s="575"/>
      <c r="C60" s="601"/>
      <c r="D60" s="601"/>
      <c r="E60" s="601"/>
      <c r="F60" s="601"/>
      <c r="G60" s="602"/>
      <c r="H60" s="603">
        <f>((H36/C36)-1)</f>
        <v>0.6694153159765297</v>
      </c>
      <c r="I60" s="603">
        <f>((I36/D36)-1)</f>
        <v>0.54049948675831772</v>
      </c>
      <c r="J60" s="603">
        <f>((J36/E36)-1)</f>
        <v>0.20046778970784485</v>
      </c>
      <c r="K60" s="603">
        <f>((K36/F36)-1)</f>
        <v>0.68886713122193433</v>
      </c>
      <c r="L60" s="602"/>
      <c r="M60" s="603">
        <f>((M36/H36)-1)</f>
        <v>0.6022085942847224</v>
      </c>
      <c r="N60" s="603">
        <f>((N36/I36)-1)</f>
        <v>0.47972495650135549</v>
      </c>
      <c r="O60" s="603">
        <f>((O36/J36)-1)</f>
        <v>0.69969946288848672</v>
      </c>
      <c r="P60" s="603">
        <f>((P36/K36)-1)</f>
        <v>0.50809613170943768</v>
      </c>
      <c r="Q60" s="602"/>
      <c r="R60" s="603">
        <f>((R36/M36)-1)</f>
        <v>0.19843706612627043</v>
      </c>
      <c r="S60" s="603">
        <f>((S36/N36)-1)</f>
        <v>0.48609582968543497</v>
      </c>
      <c r="T60" s="603">
        <f>((T36/O36)-1)</f>
        <v>0.69113103618348837</v>
      </c>
      <c r="U60" s="603">
        <f>((U36/P36)-1)</f>
        <v>0.66523339343606147</v>
      </c>
      <c r="V60" s="602"/>
      <c r="W60" s="603">
        <f>((W36/R36)-1)</f>
        <v>0.52414763916002882</v>
      </c>
      <c r="X60" s="603">
        <f>((X36/S36)-1)</f>
        <v>0.44121110700359489</v>
      </c>
      <c r="Y60" s="603">
        <f>((Y36/T36)-1)</f>
        <v>0.36408386884165544</v>
      </c>
      <c r="Z60" s="603">
        <f>((Z36/U36)-1)</f>
        <v>0.3338351604079639</v>
      </c>
      <c r="AA60" s="602"/>
      <c r="AB60" s="603">
        <f>((AB36/W36)-1)</f>
        <v>0.29285814683512679</v>
      </c>
      <c r="AC60" s="603">
        <f>((AC36/X36)-1)</f>
        <v>0.35717762321207092</v>
      </c>
      <c r="AD60" s="603">
        <f>((AD36/Y36)-1)</f>
        <v>0.41397273097887566</v>
      </c>
      <c r="AE60" s="603">
        <f>((AE36/Z36)-1)</f>
        <v>0.26611557109927708</v>
      </c>
      <c r="AF60" s="602"/>
      <c r="AG60" s="603">
        <f>((AG36/AB36)-1)</f>
        <v>0.12933814913690056</v>
      </c>
      <c r="AH60" s="603">
        <f>((AH36/AC36)-1)</f>
        <v>0.14275798241554782</v>
      </c>
      <c r="AI60" s="603">
        <f>((AI36/AD36)-1)</f>
        <v>-0.13952544689575685</v>
      </c>
      <c r="AJ60" s="603">
        <f>((AJ36/AE36)-1)</f>
        <v>-0.33842676878649047</v>
      </c>
      <c r="AK60" s="602"/>
      <c r="AL60" s="603">
        <f>((AL36/AG36)-1)</f>
        <v>1.009733661354062E-2</v>
      </c>
      <c r="AM60" s="603">
        <f>((AM36/AH36)-1)</f>
        <v>-0.21732132010528438</v>
      </c>
      <c r="AN60" s="603">
        <f>((AN36/AI36)-1)</f>
        <v>-0.46042442293373032</v>
      </c>
      <c r="AO60" s="603" t="s">
        <v>371</v>
      </c>
      <c r="AP60" s="603"/>
      <c r="AQ60" s="603">
        <f>((AQ36/AL36)-1)</f>
        <v>-0.57419997034966197</v>
      </c>
      <c r="AR60" s="603">
        <f>((AR36/AM36)-1)</f>
        <v>-0.61049241395366849</v>
      </c>
      <c r="AS60" s="603">
        <f>((AS36/AN36)-1)</f>
        <v>-0.52296510959313725</v>
      </c>
      <c r="AT60" s="603" t="s">
        <v>371</v>
      </c>
      <c r="AU60" s="603"/>
      <c r="AV60" s="603">
        <f>((AV36/AQ36)-1)</f>
        <v>0.31337975627953196</v>
      </c>
      <c r="AW60" s="603">
        <f>((AW36/AR36)-1)</f>
        <v>0.70568506342564841</v>
      </c>
      <c r="AX60" s="603">
        <f>((AX32/AS32)-1)</f>
        <v>1.8303802214407972E-2</v>
      </c>
      <c r="AY60" s="603">
        <f>((AY32/AT32)-1)</f>
        <v>2.0296922779615478E-2</v>
      </c>
      <c r="AZ60" s="602"/>
      <c r="BA60" s="603">
        <f>((BA36/AV36)-1)</f>
        <v>0.48480430213402559</v>
      </c>
      <c r="BB60" s="603">
        <f>((BB36/AW36)-1)</f>
        <v>0.37572276842207653</v>
      </c>
      <c r="BC60" s="603">
        <f>((BC36/AX36)-1)</f>
        <v>6.919301125333388E-2</v>
      </c>
      <c r="BD60" s="603">
        <f>((BD36/AY36)-1)</f>
        <v>6.6018148262072973E-2</v>
      </c>
      <c r="BE60" s="602"/>
      <c r="BF60" s="603">
        <f>((BF36/BA36)-1)</f>
        <v>0.23710051776468521</v>
      </c>
      <c r="BG60" s="603">
        <f>((BG36/BB36)-1)</f>
        <v>0.31801200045284816</v>
      </c>
      <c r="BH60" s="603">
        <f>((BH36/BC36)-1)</f>
        <v>5.6714346869787713E-2</v>
      </c>
      <c r="BI60" s="603">
        <f>((BI36/BD36)-1)</f>
        <v>0.17606853020739432</v>
      </c>
      <c r="BJ60" s="602"/>
      <c r="BK60" s="603">
        <f>((BK36/BF36)-1)</f>
        <v>0.15924788157433523</v>
      </c>
      <c r="BL60" s="603">
        <f>((BL36/BG36)-1)</f>
        <v>0.20618235698333587</v>
      </c>
      <c r="BM60" s="603">
        <f>((BM36/BH36)-1)</f>
        <v>0.31390654466717693</v>
      </c>
      <c r="BN60" s="603">
        <f>((BN36/BI36)-1)</f>
        <v>0.21135356447334019</v>
      </c>
      <c r="BO60" s="585"/>
      <c r="BP60" s="603">
        <f>((BP36/BK36)-1)</f>
        <v>-2.0443914845181377E-2</v>
      </c>
      <c r="BQ60" s="603">
        <f>((BQ36/BL36)-1)</f>
        <v>-0.1153205921363013</v>
      </c>
      <c r="BR60" s="603">
        <f>((BR36/BM36)-1)</f>
        <v>-9.6527600578378836E-2</v>
      </c>
      <c r="BS60" s="603">
        <f>((BS36/BN36)-1)</f>
        <v>-0.52608992860398052</v>
      </c>
      <c r="BT60" s="586"/>
      <c r="BU60" s="603">
        <f>((BU36/BP36)-1)</f>
        <v>-0.12988970087603824</v>
      </c>
      <c r="BV60" s="603">
        <f>((BV36/BQ36)-1)</f>
        <v>-0.20692465588022213</v>
      </c>
      <c r="BW60" s="603">
        <f>((BW36/BR36)-1)</f>
        <v>-0.10206291114066102</v>
      </c>
      <c r="BX60" s="603">
        <f>((BX36/BS36)-1)</f>
        <v>0.27227074819029617</v>
      </c>
      <c r="BY60" s="586"/>
      <c r="BZ60" s="603">
        <f>((BZ36/BU36)-1)</f>
        <v>7.1322002775255688E-2</v>
      </c>
      <c r="CA60" s="603">
        <f>((CA36/BV36)-1)</f>
        <v>0.16342506248493294</v>
      </c>
      <c r="CB60" s="603">
        <f>((CB36/BW36)-1)</f>
        <v>-0.25114017613755435</v>
      </c>
      <c r="CC60" s="603">
        <f>((CC36/BX36)-1)</f>
        <v>-0.23938694100356916</v>
      </c>
      <c r="CD60" s="586"/>
      <c r="CE60" s="603">
        <f>((CE36/BZ36)-1)</f>
        <v>-0.19995520193215977</v>
      </c>
      <c r="CF60" s="603">
        <f>((CF36/CA36)-1)</f>
        <v>-0.10935659760087291</v>
      </c>
      <c r="CG60" s="603">
        <f>((CG36/CB36)-1)</f>
        <v>0.1387620097653175</v>
      </c>
      <c r="CH60" s="603">
        <f>((CH36/CC36)-1)</f>
        <v>0.32695704979573681</v>
      </c>
      <c r="CI60" s="586"/>
      <c r="CJ60" s="603">
        <f>((CJ36/CE36)-1)</f>
        <v>-2.5952209954839489E-2</v>
      </c>
      <c r="CK60" s="603">
        <f>((CK36/CF36)-1)</f>
        <v>-0.26136252326378617</v>
      </c>
      <c r="CL60" s="603">
        <f>((CL36/CG36)-1)</f>
        <v>-0.24336867988320254</v>
      </c>
      <c r="CM60" s="603">
        <f>((CM36/CH36)-1)</f>
        <v>7.962889771805437E-2</v>
      </c>
      <c r="CN60" s="586"/>
      <c r="CO60" s="603">
        <f>((CO36/CJ36)-1)</f>
        <v>-0.18277022317699065</v>
      </c>
      <c r="CP60" s="603">
        <f>((CP36/CK36)-1)</f>
        <v>0.10624141746922944</v>
      </c>
      <c r="CQ60" s="603">
        <f>((CQ36/CL36)-1)</f>
        <v>2.6617640882541371E-2</v>
      </c>
      <c r="CR60" s="603">
        <f>((CR36/CM36)-1)</f>
        <v>5.614598761443812E-2</v>
      </c>
      <c r="CS60" s="604"/>
      <c r="CT60" s="603">
        <f>((CT36/BX36)-1)</f>
        <v>7.7917677934073337E-2</v>
      </c>
      <c r="CU60" s="603">
        <f t="shared" ref="CU60:DI60" si="48">((CU36/CT36)-1)</f>
        <v>0.51235300821353769</v>
      </c>
      <c r="CV60" s="603">
        <f t="shared" si="48"/>
        <v>0.56895330421650492</v>
      </c>
      <c r="CW60" s="603">
        <f t="shared" si="48"/>
        <v>0.49328683538978368</v>
      </c>
      <c r="CX60" s="603">
        <f t="shared" si="48"/>
        <v>0.41194282229645629</v>
      </c>
      <c r="CY60" s="603">
        <f t="shared" si="48"/>
        <v>0.33348646712554841</v>
      </c>
      <c r="CZ60" s="605">
        <f t="shared" si="48"/>
        <v>-4.9554178807288851E-2</v>
      </c>
      <c r="DA60" s="605">
        <f t="shared" si="48"/>
        <v>-0.37626596957065406</v>
      </c>
      <c r="DB60" s="603">
        <f t="shared" si="48"/>
        <v>-0.59791874947673262</v>
      </c>
      <c r="DC60" s="605">
        <f t="shared" si="48"/>
        <v>1.6891588991095419</v>
      </c>
      <c r="DD60" s="605">
        <f t="shared" si="48"/>
        <v>0.24012643987046145</v>
      </c>
      <c r="DE60" s="603">
        <f t="shared" si="48"/>
        <v>0.20078891986293246</v>
      </c>
      <c r="DF60" s="603">
        <f t="shared" si="48"/>
        <v>0.21687465590016375</v>
      </c>
      <c r="DG60" s="603">
        <f t="shared" si="48"/>
        <v>-0.16562229008784823</v>
      </c>
      <c r="DH60" s="603">
        <f t="shared" si="48"/>
        <v>-0.10047506725349564</v>
      </c>
      <c r="DI60" s="603">
        <f t="shared" si="48"/>
        <v>-3.63295378432682E-2</v>
      </c>
      <c r="DJ60" s="603">
        <f t="shared" ref="DJ60:DO60" si="49">((DJ36/DI36)-1)</f>
        <v>-3.7483666490591094E-2</v>
      </c>
      <c r="DK60" s="603">
        <f t="shared" si="49"/>
        <v>-0.12812402966429082</v>
      </c>
      <c r="DL60" s="603">
        <f t="shared" si="49"/>
        <v>-1.6529091037613464E-2</v>
      </c>
      <c r="DM60" s="603">
        <f t="shared" si="49"/>
        <v>9.9158289490664409E-2</v>
      </c>
      <c r="DN60" s="603">
        <f t="shared" si="49"/>
        <v>4.09141598168552E-2</v>
      </c>
      <c r="DO60" s="603">
        <f t="shared" si="49"/>
        <v>3.7388286096738943E-2</v>
      </c>
    </row>
    <row r="61" spans="1:119" ht="4.5" customHeight="1">
      <c r="A61" s="606"/>
      <c r="B61" s="607"/>
      <c r="C61" s="539"/>
      <c r="D61" s="606"/>
      <c r="E61" s="606"/>
      <c r="F61" s="606"/>
      <c r="G61" s="606"/>
      <c r="H61" s="606"/>
      <c r="I61" s="606"/>
      <c r="J61" s="606"/>
      <c r="K61" s="606"/>
      <c r="L61" s="606"/>
      <c r="M61" s="606"/>
      <c r="N61" s="606"/>
      <c r="O61" s="606"/>
      <c r="P61" s="606"/>
      <c r="Q61" s="606"/>
      <c r="R61" s="606"/>
      <c r="S61" s="606"/>
      <c r="T61" s="606"/>
      <c r="U61" s="606"/>
      <c r="V61" s="606"/>
      <c r="W61" s="606"/>
      <c r="X61" s="606"/>
      <c r="Y61" s="606"/>
      <c r="Z61" s="606"/>
      <c r="AA61" s="606"/>
      <c r="AB61" s="606"/>
      <c r="AC61" s="606"/>
      <c r="AD61" s="606"/>
      <c r="AE61" s="606"/>
      <c r="AF61" s="606"/>
      <c r="AG61" s="606"/>
      <c r="AH61" s="606"/>
      <c r="AI61" s="606"/>
      <c r="AJ61" s="606"/>
      <c r="AK61" s="606"/>
      <c r="AL61" s="606"/>
      <c r="AM61" s="606"/>
      <c r="AN61" s="606"/>
      <c r="AO61" s="606"/>
      <c r="AP61" s="606"/>
      <c r="AQ61" s="606"/>
      <c r="AR61" s="606"/>
      <c r="AS61" s="606"/>
      <c r="AT61" s="606"/>
      <c r="AU61" s="606"/>
      <c r="AV61" s="606"/>
      <c r="AW61" s="606"/>
      <c r="AX61" s="606"/>
      <c r="AY61" s="606"/>
      <c r="AZ61" s="606"/>
      <c r="BA61" s="606"/>
      <c r="BB61" s="606"/>
      <c r="BC61" s="606"/>
      <c r="BD61" s="606"/>
      <c r="BE61" s="606"/>
      <c r="BF61" s="606"/>
      <c r="BG61" s="606"/>
      <c r="BH61" s="606"/>
      <c r="BI61" s="606"/>
      <c r="BJ61" s="606"/>
      <c r="BK61" s="606"/>
      <c r="BL61" s="606"/>
      <c r="BM61" s="606"/>
      <c r="BN61" s="606"/>
      <c r="BO61" s="606"/>
      <c r="BP61" s="606"/>
      <c r="BQ61" s="606"/>
      <c r="BR61" s="606"/>
      <c r="BS61" s="606"/>
      <c r="BT61" s="606"/>
      <c r="BU61" s="606"/>
      <c r="BV61" s="606"/>
      <c r="BW61" s="606"/>
      <c r="BX61" s="606"/>
      <c r="BY61" s="606"/>
      <c r="BZ61" s="606"/>
      <c r="CA61" s="606"/>
      <c r="CB61" s="606"/>
      <c r="CC61" s="606"/>
      <c r="CD61" s="606"/>
      <c r="CE61" s="606"/>
      <c r="CF61" s="606"/>
      <c r="CG61" s="606"/>
      <c r="CH61" s="606"/>
      <c r="CI61" s="606"/>
      <c r="CJ61" s="606"/>
      <c r="CK61" s="606"/>
      <c r="CL61" s="606"/>
      <c r="CM61" s="606"/>
      <c r="CN61" s="606"/>
      <c r="CO61" s="606"/>
      <c r="CP61" s="606"/>
      <c r="CQ61" s="606"/>
      <c r="CR61" s="606"/>
      <c r="CS61" s="606"/>
      <c r="CT61" s="607"/>
      <c r="CU61" s="607"/>
      <c r="CV61" s="607"/>
      <c r="CW61" s="607"/>
      <c r="CX61" s="607"/>
      <c r="CY61" s="607"/>
      <c r="CZ61" s="607"/>
      <c r="DA61" s="607"/>
      <c r="DB61" s="607"/>
      <c r="DC61" s="607"/>
      <c r="DD61" s="607"/>
      <c r="DE61" s="607"/>
      <c r="DG61" s="122"/>
      <c r="DH61" s="122"/>
      <c r="DJ61" s="122"/>
      <c r="DK61" s="495"/>
      <c r="DL61" s="122"/>
      <c r="DM61" s="122"/>
      <c r="DN61" s="122"/>
      <c r="DO61" s="122"/>
    </row>
    <row r="62" spans="1:119" ht="6.75" customHeight="1">
      <c r="A62" s="535"/>
      <c r="B62" s="535"/>
      <c r="C62" s="502"/>
      <c r="D62" s="510"/>
      <c r="E62" s="510"/>
      <c r="F62" s="502"/>
      <c r="G62" s="510"/>
      <c r="H62" s="502"/>
      <c r="I62" s="502"/>
      <c r="J62" s="502"/>
      <c r="K62" s="502"/>
      <c r="L62" s="502"/>
      <c r="M62" s="502"/>
      <c r="N62" s="502"/>
      <c r="O62" s="502"/>
      <c r="P62" s="502"/>
      <c r="Q62" s="502"/>
      <c r="R62" s="502"/>
      <c r="S62" s="502"/>
      <c r="T62" s="502"/>
      <c r="U62" s="502"/>
      <c r="V62" s="502"/>
      <c r="W62" s="502"/>
      <c r="X62" s="502"/>
      <c r="Y62" s="502"/>
      <c r="Z62" s="502"/>
      <c r="AA62" s="502"/>
      <c r="AB62" s="502"/>
      <c r="AC62" s="502"/>
      <c r="AD62" s="502"/>
      <c r="AE62" s="502"/>
      <c r="AF62" s="502"/>
      <c r="AG62" s="502"/>
      <c r="AH62" s="502"/>
      <c r="AI62" s="502"/>
      <c r="AJ62" s="502"/>
      <c r="AK62" s="502"/>
      <c r="AL62" s="502"/>
      <c r="AM62" s="502"/>
      <c r="AN62" s="502"/>
      <c r="AO62" s="502"/>
      <c r="AP62" s="502"/>
      <c r="AQ62" s="502"/>
      <c r="AR62" s="502"/>
      <c r="AS62" s="502"/>
      <c r="AT62" s="502"/>
      <c r="AU62" s="502"/>
      <c r="AV62" s="502"/>
      <c r="AW62" s="502"/>
      <c r="AX62" s="502"/>
      <c r="AY62" s="502"/>
      <c r="AZ62" s="502"/>
      <c r="BA62" s="502"/>
      <c r="BB62" s="502"/>
      <c r="BC62" s="502"/>
      <c r="BD62" s="502"/>
      <c r="BE62" s="502"/>
      <c r="BF62" s="502"/>
      <c r="BG62" s="502"/>
      <c r="BH62" s="502"/>
      <c r="BI62" s="502"/>
      <c r="BJ62" s="502"/>
      <c r="BK62" s="502"/>
      <c r="BL62" s="502"/>
      <c r="BM62" s="502"/>
      <c r="BN62" s="502"/>
      <c r="BO62" s="502"/>
      <c r="BP62" s="502"/>
      <c r="BQ62" s="502"/>
      <c r="BR62" s="502"/>
      <c r="BS62" s="502"/>
      <c r="BT62" s="502"/>
      <c r="BU62" s="502"/>
      <c r="BV62" s="502"/>
      <c r="BW62" s="502"/>
      <c r="BX62" s="502"/>
      <c r="BY62" s="502"/>
      <c r="BZ62" s="502"/>
      <c r="CA62" s="502"/>
      <c r="CB62" s="502"/>
      <c r="CC62" s="502"/>
      <c r="CD62" s="502"/>
      <c r="CE62" s="502"/>
      <c r="CF62" s="502"/>
      <c r="CG62" s="502"/>
      <c r="CH62" s="502"/>
      <c r="CI62" s="502"/>
      <c r="CJ62" s="502"/>
      <c r="CK62" s="502"/>
      <c r="CL62" s="502"/>
      <c r="CM62" s="502"/>
      <c r="CN62" s="502"/>
      <c r="CO62" s="502"/>
      <c r="CP62" s="502"/>
      <c r="CQ62" s="502"/>
      <c r="CR62" s="502"/>
      <c r="CS62" s="502"/>
      <c r="CT62" s="510"/>
      <c r="CU62" s="510"/>
      <c r="CV62" s="510"/>
      <c r="CW62" s="510"/>
      <c r="CX62" s="510"/>
      <c r="CY62" s="510"/>
      <c r="CZ62" s="510"/>
      <c r="DA62" s="510"/>
      <c r="DB62" s="510"/>
      <c r="DC62" s="510"/>
      <c r="DD62" s="510"/>
      <c r="DE62" s="510"/>
      <c r="DG62" s="122"/>
      <c r="DH62" s="122"/>
      <c r="DJ62" s="122"/>
      <c r="DK62" s="122"/>
      <c r="DL62" s="122"/>
      <c r="DM62" s="122"/>
      <c r="DN62" s="122"/>
      <c r="DO62" s="122"/>
    </row>
    <row r="63" spans="1:119">
      <c r="A63" s="608" t="s">
        <v>508</v>
      </c>
      <c r="B63" s="609"/>
      <c r="C63" s="609"/>
      <c r="D63" s="609"/>
      <c r="E63" s="495"/>
      <c r="F63" s="495"/>
      <c r="G63" s="495"/>
      <c r="H63" s="495"/>
      <c r="I63" s="495"/>
      <c r="J63" s="495"/>
      <c r="K63" s="495"/>
      <c r="L63" s="609"/>
      <c r="M63" s="495"/>
      <c r="N63" s="495"/>
      <c r="O63" s="495"/>
      <c r="P63" s="495"/>
      <c r="Q63" s="495"/>
      <c r="R63" s="495"/>
      <c r="S63" s="495"/>
      <c r="T63" s="610">
        <f>BX5</f>
        <v>0</v>
      </c>
      <c r="U63" s="610" t="str">
        <f>CT5</f>
        <v>2000A</v>
      </c>
      <c r="V63" s="610" t="str">
        <f>CU5</f>
        <v>2001A</v>
      </c>
      <c r="W63" s="495"/>
      <c r="X63" s="495"/>
      <c r="Y63" s="495"/>
      <c r="Z63" s="495"/>
      <c r="AA63" s="495"/>
      <c r="AB63" s="610" t="str">
        <f>CV5</f>
        <v>2002A</v>
      </c>
      <c r="AC63" s="610">
        <f>CW5</f>
        <v>2003</v>
      </c>
      <c r="AD63" s="611">
        <f>CX5</f>
        <v>2004</v>
      </c>
      <c r="AE63" s="611">
        <f>CY5</f>
        <v>2005</v>
      </c>
      <c r="AF63" s="609"/>
      <c r="AG63" s="611">
        <f>CZ5</f>
        <v>2006</v>
      </c>
      <c r="AH63" s="612">
        <f>DA5</f>
        <v>2007</v>
      </c>
      <c r="AI63" s="612">
        <f>DB5</f>
        <v>2008</v>
      </c>
      <c r="AJ63" s="495"/>
      <c r="AK63" s="609"/>
      <c r="AL63" s="495"/>
      <c r="AM63" s="495"/>
      <c r="AN63" s="495"/>
      <c r="AO63" s="495"/>
      <c r="AP63" s="609"/>
      <c r="AQ63" s="495"/>
      <c r="AR63" s="495"/>
      <c r="AS63" s="495"/>
      <c r="AT63" s="495"/>
      <c r="AU63" s="609"/>
      <c r="AV63" s="495"/>
      <c r="AW63" s="495"/>
      <c r="AX63" s="495"/>
      <c r="AY63" s="495"/>
      <c r="AZ63" s="495"/>
      <c r="BA63" s="495"/>
      <c r="BB63" s="495"/>
      <c r="BC63" s="495"/>
      <c r="BD63" s="495"/>
      <c r="BE63" s="495"/>
      <c r="BG63" s="495"/>
      <c r="BH63" s="495"/>
      <c r="BI63" s="495"/>
      <c r="BJ63" s="495"/>
      <c r="BT63" s="613"/>
      <c r="BV63" s="612">
        <f>DD5</f>
        <v>2010</v>
      </c>
      <c r="BW63" s="612">
        <f>DE5</f>
        <v>2011</v>
      </c>
      <c r="BX63" s="612">
        <f>DF5</f>
        <v>2012</v>
      </c>
      <c r="BY63" s="1191"/>
      <c r="BZ63" s="612">
        <v>2013</v>
      </c>
      <c r="CD63" s="1191"/>
      <c r="CE63" s="612">
        <v>2014</v>
      </c>
      <c r="CF63" s="612">
        <v>2015</v>
      </c>
      <c r="CG63" s="612">
        <v>2016</v>
      </c>
      <c r="CH63" s="1621">
        <v>2017</v>
      </c>
      <c r="CI63" s="122"/>
      <c r="CJ63" s="1567"/>
      <c r="CK63" s="1191"/>
      <c r="CL63" s="1191"/>
      <c r="CM63" s="1191"/>
      <c r="CO63" s="615" t="s">
        <v>436</v>
      </c>
      <c r="CP63" s="609"/>
      <c r="CQ63" s="609"/>
      <c r="CR63" s="609"/>
      <c r="CS63" s="609"/>
      <c r="CT63" s="616" t="str">
        <f>U63</f>
        <v>2000A</v>
      </c>
      <c r="CU63" s="610" t="str">
        <f>V63</f>
        <v>2001A</v>
      </c>
      <c r="CV63" s="610" t="str">
        <f>AB63</f>
        <v>2002A</v>
      </c>
      <c r="CW63" s="612">
        <f>AC63</f>
        <v>2003</v>
      </c>
      <c r="CX63" s="612">
        <f>AD63</f>
        <v>2004</v>
      </c>
      <c r="CY63" s="612">
        <f>+CY5</f>
        <v>2005</v>
      </c>
      <c r="CZ63" s="612">
        <f>+CZ5</f>
        <v>2006</v>
      </c>
      <c r="DA63" s="612">
        <f>+DA5</f>
        <v>2007</v>
      </c>
      <c r="DB63" s="612">
        <f t="shared" ref="DB63:DG63" si="50">DB5</f>
        <v>2008</v>
      </c>
      <c r="DC63" s="612">
        <f t="shared" si="50"/>
        <v>2009</v>
      </c>
      <c r="DD63" s="612">
        <f t="shared" si="50"/>
        <v>2010</v>
      </c>
      <c r="DE63" s="612">
        <f t="shared" si="50"/>
        <v>2011</v>
      </c>
      <c r="DF63" s="612">
        <f t="shared" si="50"/>
        <v>2012</v>
      </c>
      <c r="DG63" s="611" t="str">
        <f t="shared" si="50"/>
        <v>2013A</v>
      </c>
      <c r="DH63" s="611" t="str">
        <f t="shared" ref="DH63:DL63" si="51">DH5</f>
        <v>2014A</v>
      </c>
      <c r="DI63" s="611" t="str">
        <f t="shared" si="51"/>
        <v>2015A</v>
      </c>
      <c r="DJ63" s="611" t="str">
        <f t="shared" si="51"/>
        <v>2016A</v>
      </c>
      <c r="DK63" s="611" t="str">
        <f t="shared" si="51"/>
        <v>2017A</v>
      </c>
      <c r="DL63" s="611">
        <f t="shared" si="51"/>
        <v>2018</v>
      </c>
      <c r="DM63" s="611">
        <f>DM5</f>
        <v>2019</v>
      </c>
      <c r="DN63" s="611">
        <f>DN5</f>
        <v>2020</v>
      </c>
      <c r="DO63" s="614">
        <f>DO5</f>
        <v>2021</v>
      </c>
    </row>
    <row r="64" spans="1:119">
      <c r="A64" s="617" t="s">
        <v>510</v>
      </c>
      <c r="B64" s="618"/>
      <c r="C64" s="618"/>
      <c r="D64" s="619"/>
      <c r="E64" s="122"/>
      <c r="F64" s="122"/>
      <c r="G64" s="122"/>
      <c r="H64" s="122"/>
      <c r="I64" s="122"/>
      <c r="J64" s="122"/>
      <c r="K64" s="122"/>
      <c r="L64" s="619"/>
      <c r="M64" s="122"/>
      <c r="N64" s="122"/>
      <c r="O64" s="122"/>
      <c r="P64" s="122"/>
      <c r="Q64" s="122"/>
      <c r="R64" s="122"/>
      <c r="S64" s="122"/>
      <c r="T64" s="620">
        <f>+turn!R50</f>
        <v>5.1923836683208862</v>
      </c>
      <c r="U64" s="620">
        <f>+turn!R57</f>
        <v>5.302306312906917</v>
      </c>
      <c r="V64" s="621">
        <f>+turn!R64</f>
        <v>5.3639354601511631</v>
      </c>
      <c r="W64" s="122"/>
      <c r="X64" s="122"/>
      <c r="Y64" s="122"/>
      <c r="Z64" s="122"/>
      <c r="AA64" s="122"/>
      <c r="AB64" s="621">
        <f>+turn!R71</f>
        <v>5.4886366443898869</v>
      </c>
      <c r="AC64" s="621">
        <f>+turn!R78</f>
        <v>5.8295309895982141</v>
      </c>
      <c r="AD64" s="621">
        <f>+turn!R85</f>
        <v>6.1897804734650324</v>
      </c>
      <c r="AE64" s="621">
        <f>+turn!R92</f>
        <v>6.1285635934229523</v>
      </c>
      <c r="AF64" s="619"/>
      <c r="AG64" s="621">
        <f>+turn!$R99</f>
        <v>5.7928956116413861</v>
      </c>
      <c r="AH64" s="621">
        <f>+turn!$R106</f>
        <v>5.3219291738857608</v>
      </c>
      <c r="AI64" s="622">
        <f>turn!$R$113</f>
        <v>4.8459163840085377</v>
      </c>
      <c r="AJ64" s="122"/>
      <c r="AK64" s="619"/>
      <c r="AL64" s="122"/>
      <c r="AM64" s="122"/>
      <c r="AN64" s="122"/>
      <c r="AO64" s="122"/>
      <c r="AP64" s="618"/>
      <c r="AQ64" s="122"/>
      <c r="AR64" s="122"/>
      <c r="AS64" s="122"/>
      <c r="AT64" s="122"/>
      <c r="AU64" s="618"/>
      <c r="AV64" s="122"/>
      <c r="AW64" s="122"/>
      <c r="AX64" s="122"/>
      <c r="AY64" s="122"/>
      <c r="AZ64" s="122"/>
      <c r="BA64" s="122"/>
      <c r="BB64" s="122"/>
      <c r="BC64" s="122"/>
      <c r="BD64" s="122"/>
      <c r="BE64" s="122"/>
      <c r="BG64" s="122"/>
      <c r="BH64" s="122"/>
      <c r="BI64" s="122"/>
      <c r="BJ64" s="122"/>
      <c r="BT64" s="510"/>
      <c r="BV64" s="622">
        <f>turn!$R$127</f>
        <v>5.263367221398882</v>
      </c>
      <c r="BW64" s="622">
        <f>turn!$R$134</f>
        <v>4.7667620234642838</v>
      </c>
      <c r="BX64" s="622">
        <f>turn!$R$141</f>
        <v>5.3759550979019988</v>
      </c>
      <c r="BY64" s="618"/>
      <c r="BZ64" s="622">
        <f>turn!$R$148</f>
        <v>4.9522405978739013</v>
      </c>
      <c r="CD64" s="618"/>
      <c r="CE64" s="623">
        <f>turn!R155</f>
        <v>6.1386429001565705</v>
      </c>
      <c r="CF64" s="623">
        <f>turn!R162</f>
        <v>6.2157430660220641</v>
      </c>
      <c r="CG64" s="1620">
        <f>turn!R169</f>
        <v>6.1301670685282055</v>
      </c>
      <c r="CH64" s="1311">
        <f>turn!R176</f>
        <v>5.6304347286439924</v>
      </c>
      <c r="CI64" s="122"/>
      <c r="CJ64" s="1568"/>
      <c r="CK64" s="122"/>
      <c r="CL64" s="122"/>
      <c r="CM64" s="618"/>
      <c r="CO64" s="624" t="s">
        <v>509</v>
      </c>
      <c r="CP64" s="122"/>
      <c r="CQ64" s="122"/>
      <c r="CR64" s="618"/>
      <c r="CS64" s="618"/>
      <c r="CT64" s="567">
        <f>yrSales!H40</f>
        <v>250</v>
      </c>
      <c r="CU64" s="567">
        <f>yrSales!I40</f>
        <v>311</v>
      </c>
      <c r="CV64" s="567">
        <f>yrSales!J40</f>
        <v>378</v>
      </c>
      <c r="CW64" s="567">
        <f>yrSales!K40</f>
        <v>548</v>
      </c>
      <c r="CX64" s="567">
        <f>yrSales!L40</f>
        <v>657</v>
      </c>
      <c r="CY64" s="567">
        <f>yrSales!M40</f>
        <v>763</v>
      </c>
      <c r="CZ64" s="567">
        <f>yrSales!N40</f>
        <v>920</v>
      </c>
      <c r="DA64" s="567">
        <f>yrSales!O40</f>
        <v>1038</v>
      </c>
      <c r="DB64" s="567">
        <f>yrSales!P40</f>
        <v>1076</v>
      </c>
      <c r="DC64" s="567">
        <f>yrSales!Q40</f>
        <v>1080</v>
      </c>
      <c r="DD64" s="567">
        <f>yrSales!R40</f>
        <v>1151</v>
      </c>
      <c r="DE64" s="567">
        <f>yrSales!S40</f>
        <v>1256</v>
      </c>
      <c r="DF64" s="567">
        <f>yrSales!T40</f>
        <v>1357</v>
      </c>
      <c r="DG64" s="567">
        <f>yrSales!U40</f>
        <v>1472</v>
      </c>
      <c r="DH64" s="567">
        <f>yrSales!V40</f>
        <v>1547</v>
      </c>
      <c r="DI64" s="567">
        <f>yrSales!W40</f>
        <v>1518</v>
      </c>
      <c r="DJ64" s="567">
        <f>yrSales!X40</f>
        <v>1501</v>
      </c>
      <c r="DK64" s="567">
        <f>yrSales!Y40</f>
        <v>1460</v>
      </c>
      <c r="DL64" s="567">
        <f>yrSales!Z40</f>
        <v>1420</v>
      </c>
      <c r="DM64" s="567">
        <f>yrSales!AA40</f>
        <v>1415</v>
      </c>
      <c r="DN64" s="567">
        <f>yrSales!AB40</f>
        <v>1410</v>
      </c>
      <c r="DO64" s="625">
        <f>yrSales!AC40</f>
        <v>1405</v>
      </c>
    </row>
    <row r="65" spans="1:121">
      <c r="A65" s="626" t="s">
        <v>528</v>
      </c>
      <c r="B65" s="627"/>
      <c r="C65" s="627"/>
      <c r="D65" s="576"/>
      <c r="E65" s="122"/>
      <c r="F65" s="122"/>
      <c r="G65" s="122"/>
      <c r="H65" s="122"/>
      <c r="I65" s="122"/>
      <c r="J65" s="122"/>
      <c r="K65" s="122"/>
      <c r="L65" s="122"/>
      <c r="M65" s="122"/>
      <c r="N65" s="122"/>
      <c r="O65" s="122"/>
      <c r="P65" s="122"/>
      <c r="Q65" s="122"/>
      <c r="R65" s="122"/>
      <c r="S65" s="122"/>
      <c r="T65" s="628">
        <f>bal!O37/bal!O12</f>
        <v>0.40328713565400276</v>
      </c>
      <c r="U65" s="628">
        <f>bal!Q37/bal!Q12</f>
        <v>0.563731683014977</v>
      </c>
      <c r="V65" s="629">
        <f>bal!S37/bal!S12</f>
        <v>0.6246011339327161</v>
      </c>
      <c r="W65" s="122"/>
      <c r="X65" s="122"/>
      <c r="Y65" s="122"/>
      <c r="Z65" s="122"/>
      <c r="AA65" s="122"/>
      <c r="AB65" s="629">
        <f>bal!U37/bal!U12</f>
        <v>0.6343810825023809</v>
      </c>
      <c r="AC65" s="629">
        <f>bal!W37/bal!W12</f>
        <v>0.5063392596910522</v>
      </c>
      <c r="AD65" s="629">
        <f>bal!Y37/bal!Y12</f>
        <v>0.50155005940756325</v>
      </c>
      <c r="AE65" s="629">
        <f>bal!AA37/bal!AA12</f>
        <v>0.49710231500403468</v>
      </c>
      <c r="AF65" s="576"/>
      <c r="AG65" s="629">
        <f>bal!AC37/bal!AC12</f>
        <v>0.50249007578491511</v>
      </c>
      <c r="AH65" s="629">
        <f>bal!AE37/bal!AE12</f>
        <v>0.54782650889706852</v>
      </c>
      <c r="AI65" s="629">
        <f>bal!AG37/bal!AG12</f>
        <v>0.42701245346000766</v>
      </c>
      <c r="AJ65" s="122"/>
      <c r="AK65" s="576"/>
      <c r="AL65" s="122"/>
      <c r="AM65" s="122"/>
      <c r="AN65" s="122"/>
      <c r="AO65" s="122"/>
      <c r="AP65" s="122"/>
      <c r="AQ65" s="122"/>
      <c r="AR65" s="122"/>
      <c r="AS65" s="122"/>
      <c r="AT65" s="122"/>
      <c r="AU65" s="122"/>
      <c r="AV65" s="122"/>
      <c r="AW65" s="122"/>
      <c r="AX65" s="122"/>
      <c r="AY65" s="122"/>
      <c r="AZ65" s="122"/>
      <c r="BA65" s="122"/>
      <c r="BB65" s="122"/>
      <c r="BC65" s="122"/>
      <c r="BD65" s="122"/>
      <c r="BE65" s="122"/>
      <c r="BG65" s="122"/>
      <c r="BH65" s="122"/>
      <c r="BI65" s="122"/>
      <c r="BJ65" s="122"/>
      <c r="BT65" s="510"/>
      <c r="BV65" s="629">
        <f>bal!AK37/bal!AK12</f>
        <v>0.66743213986259031</v>
      </c>
      <c r="BW65" s="629">
        <f>bal!AM37/bal!AM12</f>
        <v>0.51625194761118742</v>
      </c>
      <c r="BX65" s="629">
        <f>bal!AO37/bal!AO12</f>
        <v>0.6255142640283492</v>
      </c>
      <c r="BY65" s="122"/>
      <c r="BZ65" s="629">
        <f>bal!AQ83</f>
        <v>0.55115160931365337</v>
      </c>
      <c r="CD65" s="122"/>
      <c r="CE65" s="629">
        <f>bal!AS83</f>
        <v>0.61462244694015533</v>
      </c>
      <c r="CF65" s="629">
        <f>bal!AU83</f>
        <v>0.5531402618951905</v>
      </c>
      <c r="CG65" s="629">
        <f>bal!AW83</f>
        <v>0.50084565959296445</v>
      </c>
      <c r="CH65" s="630">
        <f>bal!AY83</f>
        <v>0.50084565959296445</v>
      </c>
      <c r="CI65" s="122"/>
      <c r="CJ65" s="220"/>
      <c r="CK65" s="122"/>
      <c r="CL65" s="122"/>
      <c r="CM65" s="122"/>
      <c r="CO65" s="631" t="s">
        <v>280</v>
      </c>
      <c r="CP65" s="122"/>
      <c r="CQ65" s="122"/>
      <c r="CR65" s="122"/>
      <c r="CS65" s="122"/>
      <c r="CT65" s="567">
        <f>+yrSales!H41</f>
        <v>250</v>
      </c>
      <c r="CU65" s="567">
        <f>+yrSales!I41</f>
        <v>311</v>
      </c>
      <c r="CV65" s="567">
        <f>+yrSales!J41</f>
        <v>378</v>
      </c>
      <c r="CW65" s="567">
        <f>+yrSales!K41</f>
        <v>411</v>
      </c>
      <c r="CX65" s="567">
        <f>+yrSales!L41</f>
        <v>462</v>
      </c>
      <c r="CY65" s="567">
        <f>+yrSales!M41</f>
        <v>513</v>
      </c>
      <c r="CZ65" s="567">
        <f>+yrSales!N41</f>
        <v>554</v>
      </c>
      <c r="DA65" s="567">
        <f>+yrSales!O41</f>
        <v>604</v>
      </c>
      <c r="DB65" s="567">
        <f>+yrSales!P41</f>
        <v>619</v>
      </c>
      <c r="DC65" s="567">
        <f>+yrSales!Q41</f>
        <v>599</v>
      </c>
      <c r="DD65" s="567">
        <f>+yrSales!R41</f>
        <v>597</v>
      </c>
      <c r="DE65" s="567">
        <f>+yrSales!S41</f>
        <v>601</v>
      </c>
      <c r="DF65" s="567">
        <f>+yrSales!T41</f>
        <v>606</v>
      </c>
      <c r="DG65" s="567">
        <f>+yrSales!U41</f>
        <v>611</v>
      </c>
      <c r="DH65" s="567">
        <f>+yrSales!V41</f>
        <v>613</v>
      </c>
      <c r="DI65" s="567">
        <f>+yrSales!W41</f>
        <v>604</v>
      </c>
      <c r="DJ65" s="567">
        <f>+yrSales!X41</f>
        <v>587</v>
      </c>
      <c r="DK65" s="567">
        <f>+yrSales!Y41</f>
        <v>568</v>
      </c>
      <c r="DL65" s="567">
        <f>+yrSales!Z41</f>
        <v>552</v>
      </c>
      <c r="DM65" s="567">
        <f>+yrSales!AA41</f>
        <v>544</v>
      </c>
      <c r="DN65" s="567">
        <f>+yrSales!AB41</f>
        <v>536</v>
      </c>
      <c r="DO65" s="625">
        <f>+yrSales!AC41</f>
        <v>528</v>
      </c>
    </row>
    <row r="66" spans="1:121">
      <c r="A66" s="632" t="s">
        <v>529</v>
      </c>
      <c r="B66" s="633"/>
      <c r="C66" s="633"/>
      <c r="D66" s="535"/>
      <c r="E66" s="122"/>
      <c r="F66" s="122"/>
      <c r="G66" s="122"/>
      <c r="H66" s="122"/>
      <c r="I66" s="122"/>
      <c r="J66" s="122"/>
      <c r="K66" s="122"/>
      <c r="L66" s="122"/>
      <c r="M66" s="122"/>
      <c r="N66" s="122"/>
      <c r="O66" s="122"/>
      <c r="P66" s="122"/>
      <c r="Q66" s="122"/>
      <c r="R66" s="122"/>
      <c r="S66" s="122"/>
      <c r="T66" s="634">
        <f>(bal!M39+bal!M42)/(bal!M39+bal!M42+bal!M52)</f>
        <v>0.16993256818691407</v>
      </c>
      <c r="U66" s="634">
        <f>+dtc!N53</f>
        <v>8.0149012829998881E-2</v>
      </c>
      <c r="V66" s="634">
        <f>+dtc!P53</f>
        <v>3.5809842781998259E-2</v>
      </c>
      <c r="W66" s="122"/>
      <c r="X66" s="122"/>
      <c r="Y66" s="122"/>
      <c r="Z66" s="122"/>
      <c r="AA66" s="122"/>
      <c r="AB66" s="634">
        <f>+dtc!R53</f>
        <v>7.1250065942421448E-4</v>
      </c>
      <c r="AC66" s="634">
        <f>+bal!W39/(bal!W39+bal!W52)</f>
        <v>1.5954863770301312E-3</v>
      </c>
      <c r="AD66" s="634">
        <f>+bal!Y39/(bal!Y39+bal!Y52)</f>
        <v>5.9158945117605138E-4</v>
      </c>
      <c r="AE66" s="634">
        <f>+bal!AA39/(bal!AA39+bal!AA52)</f>
        <v>8.0289935879565089E-4</v>
      </c>
      <c r="AF66" s="535"/>
      <c r="AG66" s="634">
        <f>+bal!AC39/(bal!AC39+bal!AC52)</f>
        <v>1.4519935411750093E-3</v>
      </c>
      <c r="AH66" s="634">
        <f>+bal!AE39/(bal!AE39+bal!AE52)</f>
        <v>1.5722909164913293E-3</v>
      </c>
      <c r="AI66" s="634">
        <f>+bal!AG39/(bal!AG39+bal!AG52)</f>
        <v>1.9337481082898941E-3</v>
      </c>
      <c r="AJ66" s="122"/>
      <c r="AK66" s="535"/>
      <c r="AL66" s="122"/>
      <c r="AM66" s="122"/>
      <c r="AN66" s="122"/>
      <c r="AO66" s="122"/>
      <c r="AP66" s="122"/>
      <c r="AQ66" s="122"/>
      <c r="AR66" s="122"/>
      <c r="AS66" s="122"/>
      <c r="AT66" s="122"/>
      <c r="AU66" s="122"/>
      <c r="AV66" s="122"/>
      <c r="AW66" s="122"/>
      <c r="AX66" s="122"/>
      <c r="AY66" s="122"/>
      <c r="AZ66" s="122"/>
      <c r="BA66" s="122"/>
      <c r="BB66" s="122"/>
      <c r="BC66" s="122"/>
      <c r="BD66" s="122"/>
      <c r="BE66" s="122"/>
      <c r="BG66" s="122"/>
      <c r="BH66" s="122"/>
      <c r="BI66" s="122"/>
      <c r="BJ66" s="122"/>
      <c r="BT66" s="510"/>
      <c r="BV66" s="634">
        <f>+bal!AK39/(bal!AK39+bal!AK52)</f>
        <v>1.8217572766572602E-2</v>
      </c>
      <c r="BW66" s="634">
        <f>+bal!AM39/(bal!AM39+bal!AM52)</f>
        <v>0</v>
      </c>
      <c r="BX66" s="634">
        <f>+bal!AO39/(bal!AO39+bal!AO52)</f>
        <v>0</v>
      </c>
      <c r="BY66" s="122"/>
      <c r="BZ66" s="634">
        <f>+bal!AQ39/(bal!AQ39+bal!AQ52)</f>
        <v>0</v>
      </c>
      <c r="CD66" s="122"/>
      <c r="CE66" s="634">
        <f>+bal!AS39/(bal!AS39+bal!AS52)</f>
        <v>0</v>
      </c>
      <c r="CF66" s="634">
        <f>+bal!AU39/(bal!AU39+bal!AU52)</f>
        <v>1.5389634773187562E-2</v>
      </c>
      <c r="CG66" s="634">
        <f>+bal!AW39/(bal!AW39+bal!AW52)</f>
        <v>2.5982415101459332E-2</v>
      </c>
      <c r="CH66" s="635">
        <f>+bal!AY39/(bal!AY39+bal!AY52)</f>
        <v>2.2341975209344309E-2</v>
      </c>
      <c r="CI66" s="122"/>
      <c r="CJ66" s="220"/>
      <c r="CK66" s="122"/>
      <c r="CL66" s="122"/>
      <c r="CM66" s="122"/>
      <c r="CO66" s="631" t="s">
        <v>439</v>
      </c>
      <c r="CP66" s="122"/>
      <c r="CQ66" s="122"/>
      <c r="CR66" s="122"/>
      <c r="CS66" s="122"/>
      <c r="CT66" s="567">
        <f>yrSales!H42</f>
        <v>0</v>
      </c>
      <c r="CU66" s="567">
        <f>yrSales!I42</f>
        <v>0</v>
      </c>
      <c r="CV66" s="567">
        <f>yrSales!J42</f>
        <v>0</v>
      </c>
      <c r="CW66" s="567">
        <f>yrSales!K42</f>
        <v>23</v>
      </c>
      <c r="CX66" s="567">
        <f>yrSales!L42</f>
        <v>25</v>
      </c>
      <c r="CY66" s="567">
        <f>yrSales!M42</f>
        <v>31</v>
      </c>
      <c r="CZ66" s="567">
        <f>yrSales!N42</f>
        <v>34</v>
      </c>
      <c r="DA66" s="567">
        <f>yrSales!O42</f>
        <v>37</v>
      </c>
      <c r="DB66" s="567">
        <f>yrSales!P42</f>
        <v>41</v>
      </c>
      <c r="DC66" s="567">
        <f>yrSales!Q42</f>
        <v>44</v>
      </c>
      <c r="DD66" s="567">
        <f>yrSales!R42</f>
        <v>63</v>
      </c>
      <c r="DE66" s="567">
        <f>yrSales!S42</f>
        <v>83</v>
      </c>
      <c r="DF66" s="567">
        <f>yrSales!T42</f>
        <v>99</v>
      </c>
      <c r="DG66" s="567">
        <f>yrSales!U42</f>
        <v>110</v>
      </c>
      <c r="DH66" s="567">
        <f>yrSales!V42</f>
        <v>118</v>
      </c>
      <c r="DI66" s="567">
        <f>yrSales!W42</f>
        <v>117</v>
      </c>
      <c r="DJ66" s="567">
        <f>yrSales!X42</f>
        <v>116</v>
      </c>
      <c r="DK66" s="567">
        <f>yrSales!Y42</f>
        <v>120</v>
      </c>
      <c r="DL66" s="567">
        <f>yrSales!Z42</f>
        <v>120</v>
      </c>
      <c r="DM66" s="567">
        <f>yrSales!AA42</f>
        <v>120</v>
      </c>
      <c r="DN66" s="567">
        <f>yrSales!AB42</f>
        <v>120</v>
      </c>
      <c r="DO66" s="625">
        <f>yrSales!AC42</f>
        <v>120</v>
      </c>
    </row>
    <row r="67" spans="1:121">
      <c r="A67" s="636" t="s">
        <v>536</v>
      </c>
      <c r="B67" s="637"/>
      <c r="C67" s="637"/>
      <c r="D67" s="585"/>
      <c r="E67" s="122"/>
      <c r="F67" s="122"/>
      <c r="G67" s="122"/>
      <c r="H67" s="122"/>
      <c r="I67" s="122"/>
      <c r="J67" s="122"/>
      <c r="K67" s="122"/>
      <c r="L67" s="576"/>
      <c r="M67" s="122"/>
      <c r="N67" s="122"/>
      <c r="O67" s="122"/>
      <c r="P67" s="122"/>
      <c r="Q67" s="122"/>
      <c r="R67" s="122"/>
      <c r="S67" s="122"/>
      <c r="T67" s="638">
        <v>0.19500000000000001</v>
      </c>
      <c r="U67" s="639">
        <f>flow!N10/((bal!O52+bal!Q52)/2)</f>
        <v>0.41139769642191931</v>
      </c>
      <c r="V67" s="639">
        <f>flow!P10/((bal!Q52+bal!S52)/2)</f>
        <v>0.36874169016340314</v>
      </c>
      <c r="W67" s="122"/>
      <c r="X67" s="122"/>
      <c r="Y67" s="122"/>
      <c r="Z67" s="122"/>
      <c r="AA67" s="122"/>
      <c r="AB67" s="639">
        <f>'qtrP&amp;L'!AF136/((dtc!N41+dtc!P41)/2)</f>
        <v>0.36874169016340314</v>
      </c>
      <c r="AC67" s="639">
        <f>'qtrP&amp;L'!AN136/((bal!U52+bal!W52)/2)</f>
        <v>0.32596793004722169</v>
      </c>
      <c r="AD67" s="639">
        <f>flow!V10/((bal!W52+bal!Y52)/2)</f>
        <v>0.30181795752403778</v>
      </c>
      <c r="AE67" s="639">
        <f>flow!X10/((bal!Y52+bal!AA52)/2)</f>
        <v>0.28374418102896598</v>
      </c>
      <c r="AF67" s="585"/>
      <c r="AG67" s="639">
        <f>flow!Z10/((bal!AA52+bal!AC52)/2)</f>
        <v>0.20695522362108315</v>
      </c>
      <c r="AH67" s="639">
        <f>flow!AB10/((bal!AC52+bal!AE52)/2)</f>
        <v>0.10355694058715458</v>
      </c>
      <c r="AI67" s="639">
        <f>flow!AD10/((bal!AE52+bal!AG52)/2)</f>
        <v>-2.1090949968920782E-2</v>
      </c>
      <c r="AJ67" s="122"/>
      <c r="AK67" s="585"/>
      <c r="AL67" s="122"/>
      <c r="AM67" s="122"/>
      <c r="AN67" s="122"/>
      <c r="AO67" s="122"/>
      <c r="AP67" s="122"/>
      <c r="AQ67" s="122"/>
      <c r="AR67" s="122"/>
      <c r="AS67" s="122"/>
      <c r="AT67" s="122"/>
      <c r="AU67" s="122"/>
      <c r="AV67" s="122"/>
      <c r="AW67" s="122"/>
      <c r="AX67" s="122"/>
      <c r="AY67" s="122"/>
      <c r="AZ67" s="122"/>
      <c r="BA67" s="122"/>
      <c r="BB67" s="122"/>
      <c r="BC67" s="122"/>
      <c r="BD67" s="639">
        <f>flow!AF10/((bal!AG52+bal!AI52)/2)</f>
        <v>7.3929709136496075E-2</v>
      </c>
      <c r="BE67" s="122"/>
      <c r="BG67" s="122"/>
      <c r="BH67" s="122"/>
      <c r="BI67" s="122"/>
      <c r="BJ67" s="122"/>
      <c r="BT67" s="510"/>
      <c r="BV67" s="639">
        <f>flow!AH10/((bal!AI52+bal!AK52)/2)</f>
        <v>0.11275414361266843</v>
      </c>
      <c r="BW67" s="639">
        <f>flow!AJ10/((bal!AK52+bal!AM52)/2)</f>
        <v>0.13928679736696589</v>
      </c>
      <c r="BX67" s="639">
        <f>flow!AL10/((bal!AM52+bal!AO52)/2)</f>
        <v>0.17259667861187053</v>
      </c>
      <c r="BY67" s="122"/>
      <c r="BZ67" s="639">
        <f>flow!AN10/((bal!AO52+bal!AQ52)/2)</f>
        <v>0.13633074803945239</v>
      </c>
      <c r="CD67" s="122"/>
      <c r="CE67" s="639">
        <f>flow!AP10/((bal!AQ52+bal!AS52)/2)</f>
        <v>7.2016140710338253E-2</v>
      </c>
      <c r="CF67" s="639">
        <f>flow!AR10/((bal!AS52+bal!AU52)/2)</f>
        <v>2.4579877972147435E-3</v>
      </c>
      <c r="CG67" s="639">
        <f>flow!AT10/((bal!AW52+bal!AU52)/2)</f>
        <v>0.14608782820280217</v>
      </c>
      <c r="CH67" s="640">
        <f>flow!AV10/((bal!AY52+bal!AW52)/2)</f>
        <v>0.15961376629225915</v>
      </c>
      <c r="CI67" s="122"/>
      <c r="CJ67" s="220"/>
      <c r="CK67" s="122"/>
      <c r="CL67" s="122"/>
      <c r="CM67" s="122"/>
      <c r="CO67" s="631" t="s">
        <v>563</v>
      </c>
      <c r="CP67" s="122"/>
      <c r="CQ67" s="122"/>
      <c r="CR67" s="122"/>
      <c r="CS67" s="122"/>
      <c r="CT67" s="567">
        <f>+yrSales!H44</f>
        <v>0</v>
      </c>
      <c r="CU67" s="567">
        <f>+yrSales!I44</f>
        <v>0</v>
      </c>
      <c r="CV67" s="567">
        <f>+yrSales!J44</f>
        <v>0</v>
      </c>
      <c r="CW67" s="567">
        <f>+yrSales!K44</f>
        <v>112</v>
      </c>
      <c r="CX67" s="567">
        <f>+yrSales!L44</f>
        <v>156</v>
      </c>
      <c r="CY67" s="567">
        <f>+yrSales!M44</f>
        <v>196</v>
      </c>
      <c r="CZ67" s="567">
        <f>+yrSales!N44</f>
        <v>254</v>
      </c>
      <c r="DA67" s="567">
        <f>+yrSales!O44</f>
        <v>309</v>
      </c>
      <c r="DB67" s="567">
        <f>+yrSales!P44</f>
        <v>328</v>
      </c>
      <c r="DC67" s="567">
        <f>+yrSales!Q44</f>
        <v>333</v>
      </c>
      <c r="DD67" s="567">
        <f>+yrSales!R44</f>
        <v>342</v>
      </c>
      <c r="DE67" s="567">
        <f>+yrSales!S44</f>
        <v>364</v>
      </c>
      <c r="DF67" s="567">
        <f>+yrSales!T44</f>
        <v>398</v>
      </c>
      <c r="DG67" s="567">
        <f>+yrSales!U44</f>
        <v>436</v>
      </c>
      <c r="DH67" s="567">
        <f>+yrSales!V44</f>
        <v>441</v>
      </c>
      <c r="DI67" s="567">
        <f>+yrSales!W44</f>
        <v>429</v>
      </c>
      <c r="DJ67" s="567">
        <f>+yrSales!X44</f>
        <v>423</v>
      </c>
      <c r="DK67" s="567">
        <f>+yrSales!Y44</f>
        <v>404</v>
      </c>
      <c r="DL67" s="567">
        <f>+yrSales!Z44</f>
        <v>388</v>
      </c>
      <c r="DM67" s="567">
        <f>+yrSales!AA44</f>
        <v>386</v>
      </c>
      <c r="DN67" s="567">
        <f>+yrSales!AB44</f>
        <v>384</v>
      </c>
      <c r="DO67" s="625">
        <f>+yrSales!AC44</f>
        <v>382</v>
      </c>
    </row>
    <row r="68" spans="1:121">
      <c r="A68" s="641" t="s">
        <v>434</v>
      </c>
      <c r="B68" s="120"/>
      <c r="C68" s="120"/>
      <c r="D68" s="120"/>
      <c r="E68" s="120"/>
      <c r="F68" s="120"/>
      <c r="G68" s="120"/>
      <c r="H68" s="120"/>
      <c r="I68" s="120"/>
      <c r="J68" s="120"/>
      <c r="K68" s="120"/>
      <c r="L68" s="120"/>
      <c r="M68" s="120"/>
      <c r="N68" s="120"/>
      <c r="O68" s="120"/>
      <c r="P68" s="120"/>
      <c r="Q68" s="120"/>
      <c r="R68" s="120"/>
      <c r="S68" s="120"/>
      <c r="T68" s="120"/>
      <c r="U68" s="120"/>
      <c r="V68" s="492"/>
      <c r="W68" s="492"/>
      <c r="X68" s="120"/>
      <c r="Y68" s="120"/>
      <c r="Z68" s="120"/>
      <c r="AA68" s="492"/>
      <c r="AB68" s="492"/>
      <c r="AC68" s="120"/>
      <c r="AD68" s="120"/>
      <c r="AE68" s="120"/>
      <c r="AF68" s="120"/>
      <c r="AG68" s="492"/>
      <c r="AH68" s="120"/>
      <c r="AI68" s="120"/>
      <c r="AJ68" s="120"/>
      <c r="AK68" s="120"/>
      <c r="AL68" s="492"/>
      <c r="AM68" s="120"/>
      <c r="AN68" s="120"/>
      <c r="AO68" s="120"/>
      <c r="AP68" s="120"/>
      <c r="AQ68" s="642"/>
      <c r="AR68" s="120"/>
      <c r="AS68" s="120"/>
      <c r="AT68" s="120"/>
      <c r="AU68" s="120"/>
      <c r="AV68" s="120"/>
      <c r="AW68" s="120"/>
      <c r="AX68" s="120"/>
      <c r="AY68" s="120"/>
      <c r="AZ68" s="120"/>
      <c r="BA68" s="120"/>
      <c r="BB68" s="120"/>
      <c r="BC68" s="120"/>
      <c r="BD68" s="120"/>
      <c r="BE68" s="120"/>
      <c r="BF68" s="120"/>
      <c r="BG68" s="120"/>
      <c r="BH68" s="642"/>
      <c r="BI68" s="120"/>
      <c r="BJ68" s="120"/>
      <c r="BT68" s="644"/>
      <c r="BW68" s="643">
        <f>flow!AJ18</f>
        <v>131.75700000000001</v>
      </c>
      <c r="BX68" s="643">
        <f>flow!AL18</f>
        <v>164.69</v>
      </c>
      <c r="BY68" s="122"/>
      <c r="BZ68" s="643">
        <f>flow!AN18</f>
        <v>138.51</v>
      </c>
      <c r="CD68" s="122"/>
      <c r="CE68" s="643">
        <f>flow!AP18</f>
        <v>119.81699999999999</v>
      </c>
      <c r="CF68" s="643">
        <f>flow!AR18</f>
        <v>84.840999999999994</v>
      </c>
      <c r="CG68" s="643">
        <f>flow!AT18</f>
        <v>47.835999999999999</v>
      </c>
      <c r="CH68" s="645">
        <f>flow!AV18</f>
        <v>48.53</v>
      </c>
      <c r="CI68" s="122"/>
      <c r="CJ68" s="220"/>
      <c r="CK68" s="122"/>
      <c r="CL68" s="122"/>
      <c r="CM68" s="122"/>
      <c r="CO68" s="631" t="s">
        <v>440</v>
      </c>
      <c r="CP68" s="122"/>
      <c r="CQ68" s="122"/>
      <c r="CR68" s="122"/>
      <c r="CS68" s="122"/>
      <c r="CT68" s="567">
        <f>yrSales!H45</f>
        <v>0</v>
      </c>
      <c r="CU68" s="567">
        <f>yrSales!I45</f>
        <v>0</v>
      </c>
      <c r="CV68" s="567">
        <f>yrSales!J45</f>
        <v>0</v>
      </c>
      <c r="CW68" s="567">
        <f>yrSales!K45</f>
        <v>2</v>
      </c>
      <c r="CX68" s="567">
        <f>yrSales!L45</f>
        <v>4</v>
      </c>
      <c r="CY68" s="567">
        <f>yrSales!M45</f>
        <v>8</v>
      </c>
      <c r="CZ68" s="567">
        <f>yrSales!N45</f>
        <v>16</v>
      </c>
      <c r="DA68" s="567">
        <f>yrSales!O45</f>
        <v>19</v>
      </c>
      <c r="DB68" s="567">
        <f>yrSales!P45</f>
        <v>17</v>
      </c>
      <c r="DC68" s="567">
        <f>yrSales!Q45</f>
        <v>17</v>
      </c>
      <c r="DD68" s="567">
        <f>yrSales!R45</f>
        <v>21</v>
      </c>
      <c r="DE68" s="567">
        <f>yrSales!S45</f>
        <v>27</v>
      </c>
      <c r="DF68" s="567">
        <f>yrSales!T45</f>
        <v>45</v>
      </c>
      <c r="DG68" s="567">
        <f>yrSales!U45</f>
        <v>59</v>
      </c>
      <c r="DH68" s="567">
        <f>yrSales!V45</f>
        <v>68</v>
      </c>
      <c r="DI68" s="567">
        <f>yrSales!W45</f>
        <v>71</v>
      </c>
      <c r="DJ68" s="567">
        <f>yrSales!X45</f>
        <v>71</v>
      </c>
      <c r="DK68" s="567">
        <f>yrSales!Y45</f>
        <v>71</v>
      </c>
      <c r="DL68" s="567">
        <f>yrSales!Z45</f>
        <v>72</v>
      </c>
      <c r="DM68" s="567">
        <f>yrSales!AA45</f>
        <v>73</v>
      </c>
      <c r="DN68" s="567">
        <f>yrSales!AB45</f>
        <v>74</v>
      </c>
      <c r="DO68" s="625">
        <f>yrSales!AC45</f>
        <v>75</v>
      </c>
    </row>
    <row r="69" spans="1:121">
      <c r="A69" s="122"/>
      <c r="B69" s="122"/>
      <c r="C69" s="567"/>
      <c r="D69" s="567"/>
      <c r="E69" s="122"/>
      <c r="F69" s="122"/>
      <c r="G69" s="633"/>
      <c r="H69" s="122"/>
      <c r="L69" s="535"/>
      <c r="V69" s="488"/>
      <c r="W69" s="502"/>
      <c r="X69" s="535"/>
      <c r="Y69" s="122"/>
      <c r="Z69" s="633"/>
      <c r="AA69" s="488"/>
      <c r="AB69" s="510"/>
      <c r="AC69" s="122"/>
      <c r="AG69" s="502"/>
      <c r="AH69" s="561"/>
      <c r="AI69" s="122"/>
      <c r="AJ69" s="627"/>
      <c r="AL69" s="502"/>
      <c r="AN69" s="122"/>
      <c r="AO69" s="627"/>
      <c r="AP69" s="627"/>
      <c r="AQ69" s="646"/>
      <c r="AR69" s="627"/>
      <c r="AS69" s="627"/>
      <c r="AT69" s="627"/>
      <c r="AU69" s="627"/>
      <c r="AY69" s="627"/>
      <c r="AZ69" s="122"/>
      <c r="BA69" s="122"/>
      <c r="BC69" s="122"/>
      <c r="BD69" s="122"/>
      <c r="BE69" s="122"/>
      <c r="BF69" s="122"/>
      <c r="BH69" s="646"/>
      <c r="BI69" s="627"/>
      <c r="BJ69" s="122"/>
      <c r="BO69" s="502"/>
      <c r="BP69" s="122"/>
      <c r="BR69" s="502"/>
      <c r="BS69" s="502"/>
      <c r="BT69" s="122"/>
      <c r="BY69" s="122"/>
      <c r="BZ69" s="220"/>
      <c r="CA69" s="122"/>
      <c r="CB69" s="122"/>
      <c r="CC69" s="122"/>
      <c r="CD69" s="122"/>
      <c r="CE69" s="122"/>
      <c r="CH69" s="122"/>
      <c r="CI69" s="122"/>
      <c r="CJ69" s="220"/>
      <c r="CK69" s="122"/>
      <c r="CL69" s="122"/>
      <c r="CM69" s="122"/>
      <c r="CO69" s="631" t="s">
        <v>461</v>
      </c>
      <c r="CP69" s="122"/>
      <c r="CQ69" s="122"/>
      <c r="CR69" s="122"/>
      <c r="CS69" s="122"/>
      <c r="CT69" s="567">
        <f>+yrSales!H46</f>
        <v>0</v>
      </c>
      <c r="CU69" s="567">
        <f>+yrSales!I46</f>
        <v>0</v>
      </c>
      <c r="CV69" s="567">
        <f>+yrSales!J46</f>
        <v>0</v>
      </c>
      <c r="CW69" s="567">
        <f>+yrSales!K46</f>
        <v>0</v>
      </c>
      <c r="CX69" s="567">
        <f>+yrSales!L46</f>
        <v>10</v>
      </c>
      <c r="CY69" s="567">
        <f>+yrSales!M46</f>
        <v>15</v>
      </c>
      <c r="CZ69" s="567">
        <f>+yrSales!N46</f>
        <v>52</v>
      </c>
      <c r="DA69" s="567">
        <f>+yrSales!O46</f>
        <v>68</v>
      </c>
      <c r="DB69" s="567">
        <f>+yrSales!P46</f>
        <v>70</v>
      </c>
      <c r="DC69" s="567">
        <f>+yrSales!Q46</f>
        <v>83</v>
      </c>
      <c r="DD69" s="567">
        <f>+yrSales!R46</f>
        <v>120</v>
      </c>
      <c r="DE69" s="567">
        <f>+yrSales!S46</f>
        <v>164</v>
      </c>
      <c r="DF69" s="567">
        <f>+yrSales!T46</f>
        <v>193</v>
      </c>
      <c r="DG69" s="567">
        <f>+yrSales!U46</f>
        <v>232</v>
      </c>
      <c r="DH69" s="567">
        <f>+yrSales!V46</f>
        <v>263</v>
      </c>
      <c r="DI69" s="567">
        <f>+yrSales!W46</f>
        <v>269</v>
      </c>
      <c r="DJ69" s="567">
        <f>+yrSales!X46</f>
        <v>275</v>
      </c>
      <c r="DK69" s="567">
        <f>+yrSales!Y46</f>
        <v>270</v>
      </c>
      <c r="DL69" s="567">
        <f>+yrSales!Z46</f>
        <v>261</v>
      </c>
      <c r="DM69" s="567">
        <f>+yrSales!AA46</f>
        <v>265</v>
      </c>
      <c r="DN69" s="567">
        <f>+yrSales!AB46</f>
        <v>269</v>
      </c>
      <c r="DO69" s="625">
        <f>+yrSales!AC46</f>
        <v>273</v>
      </c>
    </row>
    <row r="70" spans="1:121">
      <c r="A70" s="647" t="s">
        <v>798</v>
      </c>
      <c r="B70" s="495"/>
      <c r="C70" s="648"/>
      <c r="D70" s="648"/>
      <c r="E70" s="495"/>
      <c r="F70" s="495"/>
      <c r="G70" s="649"/>
      <c r="H70" s="495"/>
      <c r="I70" s="495"/>
      <c r="J70" s="495"/>
      <c r="K70" s="495"/>
      <c r="L70" s="650"/>
      <c r="M70" s="495"/>
      <c r="N70" s="495"/>
      <c r="O70" s="495"/>
      <c r="P70" s="495"/>
      <c r="Q70" s="495"/>
      <c r="R70" s="495"/>
      <c r="S70" s="495"/>
      <c r="T70" s="495"/>
      <c r="U70" s="495"/>
      <c r="V70" s="495"/>
      <c r="W70" s="495"/>
      <c r="X70" s="651"/>
      <c r="Y70" s="495"/>
      <c r="Z70" s="651"/>
      <c r="AA70" s="495"/>
      <c r="AB70" s="495"/>
      <c r="AC70" s="495"/>
      <c r="AD70" s="495"/>
      <c r="AE70" s="495"/>
      <c r="AF70" s="495"/>
      <c r="AG70" s="495"/>
      <c r="AH70" s="495"/>
      <c r="AI70" s="495"/>
      <c r="AJ70" s="495"/>
      <c r="AK70" s="495"/>
      <c r="AL70" s="495"/>
      <c r="AM70" s="495"/>
      <c r="AN70" s="495"/>
      <c r="AO70" s="495"/>
      <c r="AP70" s="495"/>
      <c r="AQ70" s="223"/>
      <c r="AR70" s="495"/>
      <c r="AS70" s="495"/>
      <c r="AT70" s="495"/>
      <c r="AU70" s="495"/>
      <c r="AV70" s="495"/>
      <c r="AW70" s="495"/>
      <c r="AX70" s="495"/>
      <c r="AY70" s="495"/>
      <c r="AZ70" s="495"/>
      <c r="BA70" s="495"/>
      <c r="BB70" s="495"/>
      <c r="BC70" s="495"/>
      <c r="BD70" s="495"/>
      <c r="BE70" s="495"/>
      <c r="BF70" s="495"/>
      <c r="BG70" s="495"/>
      <c r="BH70" s="223"/>
      <c r="BI70" s="495"/>
      <c r="BJ70" s="495"/>
      <c r="BT70" s="613"/>
      <c r="BY70" s="122"/>
      <c r="BZ70" s="652" t="s">
        <v>724</v>
      </c>
      <c r="CA70" s="652" t="s">
        <v>767</v>
      </c>
      <c r="CB70" s="652" t="s">
        <v>768</v>
      </c>
      <c r="CC70" s="653" t="s">
        <v>769</v>
      </c>
      <c r="CD70" s="122"/>
      <c r="CE70" s="652" t="s">
        <v>792</v>
      </c>
      <c r="CF70" s="652" t="s">
        <v>793</v>
      </c>
      <c r="CG70" s="652" t="s">
        <v>794</v>
      </c>
      <c r="CH70" s="653" t="s">
        <v>795</v>
      </c>
      <c r="CI70" s="122"/>
      <c r="CJ70" s="220"/>
      <c r="CK70" s="122"/>
      <c r="CL70" s="122"/>
      <c r="CM70" s="122"/>
      <c r="CO70" s="631" t="s">
        <v>320</v>
      </c>
      <c r="CP70" s="122"/>
      <c r="CQ70" s="122"/>
      <c r="CR70" s="122"/>
      <c r="CS70" s="122"/>
      <c r="CT70" s="567">
        <f>yrSales!H48</f>
        <v>0</v>
      </c>
      <c r="CU70" s="567">
        <f>yrSales!I48</f>
        <v>0</v>
      </c>
      <c r="CV70" s="567">
        <f>yrSales!J48</f>
        <v>0</v>
      </c>
      <c r="CW70" s="567">
        <f>yrSales!K48</f>
        <v>0</v>
      </c>
      <c r="CX70" s="567">
        <f>yrSales!L48</f>
        <v>0</v>
      </c>
      <c r="CY70" s="567">
        <f>yrSales!M48</f>
        <v>0</v>
      </c>
      <c r="CZ70" s="567">
        <f>yrSales!N48</f>
        <v>0</v>
      </c>
      <c r="DA70" s="567">
        <f>yrSales!O48</f>
        <v>1</v>
      </c>
      <c r="DB70" s="567">
        <f>yrSales!P48</f>
        <v>1</v>
      </c>
      <c r="DC70" s="567">
        <f>yrSales!Q48</f>
        <v>4</v>
      </c>
      <c r="DD70" s="567">
        <f>yrSales!R48</f>
        <v>8</v>
      </c>
      <c r="DE70" s="567">
        <f>yrSales!S48</f>
        <v>17</v>
      </c>
      <c r="DF70" s="567">
        <f>yrSales!T48</f>
        <v>16</v>
      </c>
      <c r="DG70" s="567">
        <f>yrSales!U48</f>
        <v>17</v>
      </c>
      <c r="DH70" s="567">
        <f>yrSales!V48</f>
        <v>17</v>
      </c>
      <c r="DI70" s="567">
        <f>yrSales!W48</f>
        <v>18</v>
      </c>
      <c r="DJ70" s="567">
        <f>yrSales!X48</f>
        <v>19</v>
      </c>
      <c r="DK70" s="567">
        <f>yrSales!Y48</f>
        <v>19</v>
      </c>
      <c r="DL70" s="567">
        <f>yrSales!Z48</f>
        <v>19</v>
      </c>
      <c r="DM70" s="567">
        <f>yrSales!AA48</f>
        <v>19</v>
      </c>
      <c r="DN70" s="567">
        <f>yrSales!AB48</f>
        <v>19</v>
      </c>
      <c r="DO70" s="625">
        <f>yrSales!AC48</f>
        <v>19</v>
      </c>
    </row>
    <row r="71" spans="1:121">
      <c r="A71" s="536" t="s">
        <v>420</v>
      </c>
      <c r="B71" s="535"/>
      <c r="C71" s="535"/>
      <c r="D71" s="535"/>
      <c r="E71" s="535"/>
      <c r="F71" s="535"/>
      <c r="G71" s="535"/>
      <c r="H71" s="535"/>
      <c r="I71" s="535"/>
      <c r="J71" s="535"/>
      <c r="K71" s="535"/>
      <c r="L71" s="535"/>
      <c r="M71" s="535"/>
      <c r="N71" s="535"/>
      <c r="O71" s="535"/>
      <c r="P71" s="535"/>
      <c r="Q71" s="122"/>
      <c r="R71" s="122"/>
      <c r="S71" s="122"/>
      <c r="T71" s="122"/>
      <c r="U71" s="122"/>
      <c r="V71" s="122"/>
      <c r="W71" s="122"/>
      <c r="X71" s="122"/>
      <c r="Y71" s="122"/>
      <c r="Z71" s="122"/>
      <c r="AA71" s="122"/>
      <c r="AB71" s="122"/>
      <c r="AC71" s="122"/>
      <c r="AD71" s="122"/>
      <c r="AE71" s="122"/>
      <c r="AF71" s="122"/>
      <c r="AG71" s="122"/>
      <c r="AH71" s="535"/>
      <c r="AI71" s="122"/>
      <c r="AJ71" s="633"/>
      <c r="AK71" s="122"/>
      <c r="AL71" s="122"/>
      <c r="AM71" s="122"/>
      <c r="AN71" s="122"/>
      <c r="AO71" s="633"/>
      <c r="AP71" s="633"/>
      <c r="AQ71" s="654"/>
      <c r="AR71" s="633"/>
      <c r="AS71" s="633"/>
      <c r="AT71" s="633"/>
      <c r="AU71" s="633"/>
      <c r="AV71" s="122"/>
      <c r="AW71" s="122"/>
      <c r="AX71" s="122"/>
      <c r="AY71" s="633"/>
      <c r="AZ71" s="122"/>
      <c r="BA71" s="122"/>
      <c r="BB71" s="122"/>
      <c r="BC71" s="122"/>
      <c r="BD71" s="122"/>
      <c r="BE71" s="122"/>
      <c r="BF71" s="122"/>
      <c r="BG71" s="122"/>
      <c r="BH71" s="654"/>
      <c r="BI71" s="633"/>
      <c r="BJ71" s="122"/>
      <c r="BT71" s="510"/>
      <c r="BY71" s="122"/>
      <c r="BZ71" s="655">
        <f t="shared" ref="BZ71:CC72" si="52">(BZ40-BU40)*10000</f>
        <v>93.744728754138194</v>
      </c>
      <c r="CA71" s="655">
        <f t="shared" si="52"/>
        <v>125.60117090534895</v>
      </c>
      <c r="CB71" s="655">
        <f t="shared" si="52"/>
        <v>-71.94901240022422</v>
      </c>
      <c r="CC71" s="656">
        <f t="shared" si="52"/>
        <v>-37.116801383169637</v>
      </c>
      <c r="CD71" s="122"/>
      <c r="CE71" s="655">
        <f t="shared" ref="CE71:CE72" si="53">(CE40-BZ40)*10000</f>
        <v>-187.78074774303656</v>
      </c>
      <c r="CF71" s="655">
        <f t="shared" ref="CF71:CF72" si="54">(CF40-CA40)*10000</f>
        <v>-82.744147714760018</v>
      </c>
      <c r="CG71" s="655">
        <f t="shared" ref="CG71:CG72" si="55">(CG40-CB40)*10000</f>
        <v>-38.150403002454311</v>
      </c>
      <c r="CH71" s="656">
        <f>(CH40-CC40)*10000</f>
        <v>83.46522812672508</v>
      </c>
      <c r="CI71" s="122"/>
      <c r="CJ71" s="646"/>
      <c r="CK71" s="122"/>
      <c r="CL71" s="122"/>
      <c r="CM71" s="627"/>
      <c r="CO71" s="657" t="s">
        <v>527</v>
      </c>
      <c r="CP71" s="122"/>
      <c r="CQ71" s="122"/>
      <c r="CR71" s="627"/>
      <c r="CS71" s="627"/>
      <c r="CT71" s="620">
        <f>yrSales!H65</f>
        <v>0.48049999999999998</v>
      </c>
      <c r="CU71" s="620">
        <f>yrSales!I65</f>
        <v>0.66874999999999996</v>
      </c>
      <c r="CV71" s="620">
        <f>yrSales!J65</f>
        <v>0.86499999999999988</v>
      </c>
      <c r="CW71" s="620">
        <f>yrSales!K65</f>
        <v>1.25</v>
      </c>
      <c r="CX71" s="620">
        <f>yrSales!L65</f>
        <v>1.5337499999999999</v>
      </c>
      <c r="CY71" s="620">
        <f>yrSales!M65</f>
        <v>1.8624999999999998</v>
      </c>
      <c r="CZ71" s="620">
        <f>yrSales!N65</f>
        <v>2.4424999999999999</v>
      </c>
      <c r="DA71" s="620">
        <f>yrSales!O65</f>
        <v>3.0024999999999999</v>
      </c>
      <c r="DB71" s="620">
        <f>yrSales!P65</f>
        <v>3.2446162499999995</v>
      </c>
      <c r="DC71" s="620">
        <f>yrSales!Q65</f>
        <v>3.2737500000000002</v>
      </c>
      <c r="DD71" s="620">
        <f>yrSales!R65</f>
        <v>3.4811537499999998</v>
      </c>
      <c r="DE71" s="620">
        <f>yrSales!S65</f>
        <v>3.7829849999999996</v>
      </c>
      <c r="DF71" s="620">
        <f>yrSales!T65</f>
        <v>4.08930375</v>
      </c>
      <c r="DG71" s="620">
        <f>yrSales!U65</f>
        <v>4.4334749999999996</v>
      </c>
      <c r="DH71" s="620">
        <f>yrSales!V65</f>
        <v>4.6318799999999998</v>
      </c>
      <c r="DI71" s="620">
        <f>yrSales!W65</f>
        <v>4.5655512499999995</v>
      </c>
      <c r="DJ71" s="620">
        <f>yrSales!X65</f>
        <v>4.5144549999999999</v>
      </c>
      <c r="DK71" s="620">
        <f>yrSales!Y65</f>
        <v>4.39053</v>
      </c>
      <c r="DL71" s="620">
        <f>yrSales!Z65</f>
        <v>4.2664050000000007</v>
      </c>
      <c r="DM71" s="620">
        <f>yrSales!AA65</f>
        <v>4.2436800000000012</v>
      </c>
      <c r="DN71" s="620">
        <f>yrSales!AB65</f>
        <v>4.2209550000000018</v>
      </c>
      <c r="DO71" s="620">
        <f>yrSales!AC65</f>
        <v>4.1982300000000023</v>
      </c>
    </row>
    <row r="72" spans="1:121">
      <c r="A72" s="551" t="s">
        <v>263</v>
      </c>
      <c r="B72" s="510"/>
      <c r="C72" s="510"/>
      <c r="D72" s="510"/>
      <c r="E72" s="510"/>
      <c r="F72" s="510"/>
      <c r="G72" s="510"/>
      <c r="H72" s="510"/>
      <c r="I72" s="510"/>
      <c r="J72" s="510"/>
      <c r="K72" s="510"/>
      <c r="L72" s="535"/>
      <c r="M72" s="510"/>
      <c r="N72" s="510"/>
      <c r="O72" s="510"/>
      <c r="P72" s="510"/>
      <c r="Q72" s="122"/>
      <c r="R72" s="122"/>
      <c r="S72" s="122"/>
      <c r="T72" s="122"/>
      <c r="U72" s="122"/>
      <c r="V72" s="122"/>
      <c r="W72" s="122"/>
      <c r="X72" s="122"/>
      <c r="Y72" s="122"/>
      <c r="Z72" s="122"/>
      <c r="AA72" s="122"/>
      <c r="AB72" s="122"/>
      <c r="AC72" s="122"/>
      <c r="AD72" s="122"/>
      <c r="AE72" s="122"/>
      <c r="AF72" s="122"/>
      <c r="AG72" s="122"/>
      <c r="AH72" s="561"/>
      <c r="AI72" s="122"/>
      <c r="AJ72" s="561"/>
      <c r="AK72" s="122"/>
      <c r="AL72" s="122"/>
      <c r="AM72" s="122"/>
      <c r="AN72" s="122"/>
      <c r="AO72" s="561"/>
      <c r="AP72" s="561"/>
      <c r="AQ72" s="646"/>
      <c r="AR72" s="561"/>
      <c r="AS72" s="561"/>
      <c r="AT72" s="561"/>
      <c r="AU72" s="561"/>
      <c r="AV72" s="122"/>
      <c r="AW72" s="122"/>
      <c r="AX72" s="122"/>
      <c r="AY72" s="561"/>
      <c r="AZ72" s="122"/>
      <c r="BA72" s="122"/>
      <c r="BB72" s="122"/>
      <c r="BC72" s="122"/>
      <c r="BD72" s="122"/>
      <c r="BE72" s="122"/>
      <c r="BF72" s="122"/>
      <c r="BG72" s="122"/>
      <c r="BH72" s="646"/>
      <c r="BI72" s="561"/>
      <c r="BJ72" s="122"/>
      <c r="BT72" s="510"/>
      <c r="BY72" s="627"/>
      <c r="BZ72" s="655">
        <f t="shared" si="52"/>
        <v>21.105001217266995</v>
      </c>
      <c r="CA72" s="655">
        <f t="shared" si="52"/>
        <v>-47.824335733164247</v>
      </c>
      <c r="CB72" s="655">
        <f t="shared" si="52"/>
        <v>187.713358884673</v>
      </c>
      <c r="CC72" s="656">
        <f t="shared" si="52"/>
        <v>87.143405762253877</v>
      </c>
      <c r="CD72" s="627"/>
      <c r="CE72" s="655">
        <f t="shared" si="53"/>
        <v>39.149302650970384</v>
      </c>
      <c r="CF72" s="655">
        <f t="shared" si="54"/>
        <v>-13.614306120984798</v>
      </c>
      <c r="CG72" s="655">
        <f t="shared" si="55"/>
        <v>-218.09988583440909</v>
      </c>
      <c r="CH72" s="656">
        <f t="shared" ref="CH72" si="56">(CH41-CC41)*10000</f>
        <v>-147.71537438590332</v>
      </c>
      <c r="CI72" s="122"/>
      <c r="CJ72" s="220"/>
      <c r="CK72" s="122"/>
      <c r="CL72" s="122"/>
      <c r="CM72" s="122"/>
      <c r="CO72" s="631" t="s">
        <v>270</v>
      </c>
      <c r="CP72" s="122"/>
      <c r="CQ72" s="122"/>
      <c r="CR72" s="122"/>
      <c r="CS72" s="122"/>
      <c r="CT72" s="658">
        <f>yrSales!H66</f>
        <v>0.38074712643678166</v>
      </c>
      <c r="CU72" s="658">
        <f t="shared" ref="CU72:DI72" si="57">+CU71/CT71-1</f>
        <v>0.39177939646201865</v>
      </c>
      <c r="CV72" s="658">
        <f t="shared" si="57"/>
        <v>0.29345794392523361</v>
      </c>
      <c r="CW72" s="658">
        <f t="shared" si="57"/>
        <v>0.44508670520231242</v>
      </c>
      <c r="CX72" s="658">
        <f t="shared" si="57"/>
        <v>0.22699999999999987</v>
      </c>
      <c r="CY72" s="658">
        <f t="shared" si="57"/>
        <v>0.21434392828035853</v>
      </c>
      <c r="CZ72" s="658">
        <f t="shared" si="57"/>
        <v>0.31140939597315453</v>
      </c>
      <c r="DA72" s="658">
        <f t="shared" si="57"/>
        <v>0.22927328556806548</v>
      </c>
      <c r="DB72" s="658">
        <f t="shared" si="57"/>
        <v>8.0638218151540153E-2</v>
      </c>
      <c r="DC72" s="658">
        <f t="shared" si="57"/>
        <v>8.9791050020169294E-3</v>
      </c>
      <c r="DD72" s="658">
        <f t="shared" si="57"/>
        <v>6.3353570064910159E-2</v>
      </c>
      <c r="DE72" s="658">
        <f t="shared" si="57"/>
        <v>8.6704372077791581E-2</v>
      </c>
      <c r="DF72" s="658">
        <f t="shared" si="57"/>
        <v>8.0972763571624196E-2</v>
      </c>
      <c r="DG72" s="658">
        <f t="shared" si="57"/>
        <v>8.4163777268929874E-2</v>
      </c>
      <c r="DH72" s="658">
        <f t="shared" si="57"/>
        <v>4.4751577487185612E-2</v>
      </c>
      <c r="DI72" s="658">
        <f t="shared" si="57"/>
        <v>-1.4320049310431293E-2</v>
      </c>
      <c r="DJ72" s="658">
        <f>+DJ71/DI71-1</f>
        <v>-1.1191693445561368E-2</v>
      </c>
      <c r="DK72" s="658">
        <f>+DK71/DJ71-1</f>
        <v>-2.7450711104662684E-2</v>
      </c>
      <c r="DL72" s="658">
        <f>+DL71/DK71-1</f>
        <v>-2.8271074334988988E-2</v>
      </c>
      <c r="DM72" s="658">
        <f t="shared" ref="DM72:DO72" si="58">+DM71/DL71-1</f>
        <v>-5.3264985391681119E-3</v>
      </c>
      <c r="DN72" s="658">
        <f t="shared" si="58"/>
        <v>-5.355022056328318E-3</v>
      </c>
      <c r="DO72" s="658">
        <f t="shared" si="58"/>
        <v>-5.3838527063186925E-3</v>
      </c>
    </row>
    <row r="73" spans="1:121" ht="12" customHeight="1">
      <c r="A73" s="551" t="s">
        <v>241</v>
      </c>
      <c r="B73" s="510"/>
      <c r="C73" s="510"/>
      <c r="D73" s="510"/>
      <c r="E73" s="510"/>
      <c r="F73" s="510"/>
      <c r="G73" s="510"/>
      <c r="H73" s="510"/>
      <c r="I73" s="510"/>
      <c r="J73" s="510"/>
      <c r="K73" s="510"/>
      <c r="L73" s="535"/>
      <c r="M73" s="510"/>
      <c r="N73" s="510"/>
      <c r="O73" s="510"/>
      <c r="P73" s="510"/>
      <c r="Q73" s="122"/>
      <c r="R73" s="122"/>
      <c r="S73" s="122"/>
      <c r="T73" s="122"/>
      <c r="U73" s="122"/>
      <c r="V73" s="122"/>
      <c r="W73" s="122"/>
      <c r="X73" s="122"/>
      <c r="Y73" s="122"/>
      <c r="Z73" s="122"/>
      <c r="AA73" s="122"/>
      <c r="AB73" s="122"/>
      <c r="AC73" s="122"/>
      <c r="AD73" s="122"/>
      <c r="AE73" s="122"/>
      <c r="AF73" s="122"/>
      <c r="AG73" s="122"/>
      <c r="AH73" s="561"/>
      <c r="AI73" s="122"/>
      <c r="AJ73" s="561"/>
      <c r="AK73" s="122"/>
      <c r="AL73" s="122"/>
      <c r="AM73" s="122"/>
      <c r="AN73" s="122"/>
      <c r="AO73" s="561"/>
      <c r="AP73" s="561"/>
      <c r="AQ73" s="646"/>
      <c r="AR73" s="561"/>
      <c r="AS73" s="561"/>
      <c r="AT73" s="561"/>
      <c r="AU73" s="561"/>
      <c r="AV73" s="122"/>
      <c r="AW73" s="122"/>
      <c r="AX73" s="122"/>
      <c r="AY73" s="561"/>
      <c r="AZ73" s="122"/>
      <c r="BA73" s="122"/>
      <c r="BB73" s="122"/>
      <c r="BC73" s="646"/>
      <c r="BD73" s="561"/>
      <c r="BE73" s="122"/>
      <c r="BF73" s="122"/>
      <c r="BG73" s="122"/>
      <c r="BH73" s="646"/>
      <c r="BI73" s="561"/>
      <c r="BJ73" s="122"/>
      <c r="BT73" s="561"/>
      <c r="BY73" s="122"/>
      <c r="BZ73" s="655">
        <f>(BZ46-BU46)*10000</f>
        <v>72.63972753687078</v>
      </c>
      <c r="CA73" s="655">
        <f>(CA46-BV46)*10000</f>
        <v>173.42550663851318</v>
      </c>
      <c r="CB73" s="655">
        <f>(CB46-BW46)*10000</f>
        <v>-259.66237128489723</v>
      </c>
      <c r="CC73" s="656">
        <f>(CC46-BX46)*10000</f>
        <v>-124.26020714542324</v>
      </c>
      <c r="CD73" s="122"/>
      <c r="CE73" s="655">
        <f>(CE46-BZ46)*10000</f>
        <v>-226.93005039400708</v>
      </c>
      <c r="CF73" s="655">
        <f>(CF46-CA46)*10000</f>
        <v>-69.129841593774941</v>
      </c>
      <c r="CG73" s="655">
        <f>(CG46-CB46)*10000</f>
        <v>179.94948283195478</v>
      </c>
      <c r="CH73" s="656">
        <f>(CH46-CC46)*10000</f>
        <v>231.18060251262827</v>
      </c>
      <c r="CI73" s="122"/>
      <c r="CJ73" s="654"/>
      <c r="CK73" s="122"/>
      <c r="CL73" s="122"/>
      <c r="CM73" s="633"/>
      <c r="CO73" s="664" t="s">
        <v>435</v>
      </c>
      <c r="CP73" s="122"/>
      <c r="CQ73" s="122"/>
      <c r="CR73" s="633"/>
      <c r="CS73" s="633"/>
      <c r="CT73" s="567">
        <f>yrSales!H68</f>
        <v>1921.9999999999998</v>
      </c>
      <c r="CU73" s="567">
        <f>yrSales!I68</f>
        <v>2150.32154340836</v>
      </c>
      <c r="CV73" s="567">
        <f>yrSales!J68</f>
        <v>2288.3597883597877</v>
      </c>
      <c r="CW73" s="567">
        <f>yrSales!K68</f>
        <v>2281.0218978102189</v>
      </c>
      <c r="CX73" s="567">
        <f>yrSales!L68</f>
        <v>2334.4748858447488</v>
      </c>
      <c r="CY73" s="567">
        <f>yrSales!M68</f>
        <v>2441.0222804718219</v>
      </c>
      <c r="CZ73" s="567">
        <f>yrSales!N68</f>
        <v>2654.891304347826</v>
      </c>
      <c r="DA73" s="567">
        <f>yrSales!O68</f>
        <v>2892.5818882466283</v>
      </c>
      <c r="DB73" s="567">
        <f>yrSales!P68</f>
        <v>3015.4426115241631</v>
      </c>
      <c r="DC73" s="567">
        <f>yrSales!Q68</f>
        <v>3031.25</v>
      </c>
      <c r="DD73" s="567">
        <f>yrSales!R68</f>
        <v>3024.4602519548216</v>
      </c>
      <c r="DE73" s="567">
        <f>yrSales!S68</f>
        <v>3011.9307324840761</v>
      </c>
      <c r="DF73" s="567">
        <f>yrSales!T68</f>
        <v>3013.4883935151065</v>
      </c>
      <c r="DG73" s="567">
        <f>yrSales!U68</f>
        <v>3011.8716032608695</v>
      </c>
      <c r="DH73" s="567">
        <f>yrSales!V68</f>
        <v>2994.1047188106008</v>
      </c>
      <c r="DI73" s="567">
        <f>yrSales!W68</f>
        <v>3007.609519104084</v>
      </c>
      <c r="DJ73" s="567">
        <f>yrSales!X68</f>
        <v>3007.6315789473683</v>
      </c>
      <c r="DK73" s="567">
        <f>yrSales!Y68</f>
        <v>3007.2123287671234</v>
      </c>
      <c r="DL73" s="567">
        <f>yrSales!Z68</f>
        <v>3004.5105633802823</v>
      </c>
      <c r="DM73" s="567">
        <f>yrSales!AA68</f>
        <v>2999.0671378091884</v>
      </c>
      <c r="DN73" s="567">
        <f>yrSales!AB68</f>
        <v>2993.58510638298</v>
      </c>
      <c r="DO73" s="567">
        <f>yrSales!AC68</f>
        <v>2988.0640569395032</v>
      </c>
    </row>
    <row r="74" spans="1:121" ht="12" customHeight="1">
      <c r="A74" s="641" t="s">
        <v>422</v>
      </c>
      <c r="B74" s="659"/>
      <c r="C74" s="659"/>
      <c r="D74" s="659"/>
      <c r="E74" s="659"/>
      <c r="F74" s="659"/>
      <c r="G74" s="659"/>
      <c r="H74" s="659"/>
      <c r="I74" s="659"/>
      <c r="J74" s="659"/>
      <c r="K74" s="659"/>
      <c r="L74" s="492"/>
      <c r="M74" s="659"/>
      <c r="N74" s="659"/>
      <c r="O74" s="659"/>
      <c r="P74" s="659"/>
      <c r="Q74" s="120"/>
      <c r="R74" s="120"/>
      <c r="S74" s="120"/>
      <c r="T74" s="120"/>
      <c r="U74" s="120"/>
      <c r="V74" s="120"/>
      <c r="W74" s="120"/>
      <c r="X74" s="120"/>
      <c r="Y74" s="120"/>
      <c r="Z74" s="120"/>
      <c r="AA74" s="120"/>
      <c r="AB74" s="120"/>
      <c r="AC74" s="120"/>
      <c r="AD74" s="120"/>
      <c r="AE74" s="120"/>
      <c r="AF74" s="120"/>
      <c r="AG74" s="120"/>
      <c r="AH74" s="660"/>
      <c r="AI74" s="120"/>
      <c r="AJ74" s="660"/>
      <c r="AK74" s="120"/>
      <c r="AL74" s="120"/>
      <c r="AM74" s="120"/>
      <c r="AN74" s="120"/>
      <c r="AO74" s="660"/>
      <c r="AP74" s="660"/>
      <c r="AQ74" s="661"/>
      <c r="AR74" s="660"/>
      <c r="AS74" s="660"/>
      <c r="AT74" s="660"/>
      <c r="AU74" s="660"/>
      <c r="AV74" s="120"/>
      <c r="AW74" s="120"/>
      <c r="AX74" s="120"/>
      <c r="AY74" s="660"/>
      <c r="AZ74" s="120"/>
      <c r="BA74" s="120"/>
      <c r="BB74" s="120"/>
      <c r="BC74" s="661"/>
      <c r="BD74" s="660"/>
      <c r="BE74" s="120"/>
      <c r="BF74" s="120"/>
      <c r="BG74" s="120"/>
      <c r="BH74" s="661"/>
      <c r="BI74" s="660"/>
      <c r="BJ74" s="120"/>
      <c r="BT74" s="660"/>
      <c r="BY74" s="633"/>
      <c r="BZ74" s="662">
        <f>(BZ50-BU50)*10000</f>
        <v>73.671006313616445</v>
      </c>
      <c r="CA74" s="662">
        <f>(CA50-BV50)*10000</f>
        <v>175.50360111391259</v>
      </c>
      <c r="CB74" s="662">
        <f>(CB50-BW50)*10000</f>
        <v>-270.36451947881926</v>
      </c>
      <c r="CC74" s="663">
        <f>(CC50-BX50)*10000</f>
        <v>-159.05440228336224</v>
      </c>
      <c r="CD74" s="633"/>
      <c r="CE74" s="662">
        <f>(CE50-BZ50)*10000</f>
        <v>-249.29118588720377</v>
      </c>
      <c r="CF74" s="662">
        <f>(CF50-CA50)*10000</f>
        <v>-105.70652681965636</v>
      </c>
      <c r="CG74" s="662">
        <f>(CG50-CB50)*10000</f>
        <v>178.38538378129238</v>
      </c>
      <c r="CH74" s="663">
        <f>(CH50-CC50)*10000</f>
        <v>210.95715119178396</v>
      </c>
      <c r="CI74" s="122"/>
      <c r="CJ74" s="646"/>
      <c r="CK74" s="561"/>
      <c r="CL74" s="561"/>
      <c r="CM74" s="561"/>
      <c r="CO74" s="657" t="s">
        <v>764</v>
      </c>
      <c r="CP74" s="561"/>
      <c r="CQ74" s="561"/>
      <c r="CR74" s="561"/>
      <c r="CS74" s="561"/>
      <c r="CT74" s="667">
        <f>yrSales!H71</f>
        <v>647.20000000000005</v>
      </c>
      <c r="CU74" s="667">
        <f>yrSales!I71</f>
        <v>652</v>
      </c>
      <c r="CV74" s="667">
        <f>yrSales!J71</f>
        <v>679.2</v>
      </c>
      <c r="CW74" s="667">
        <f>yrSales!K71</f>
        <v>726.71307139479904</v>
      </c>
      <c r="CX74" s="667">
        <f>yrSales!L71</f>
        <v>766.82963628199366</v>
      </c>
      <c r="CY74" s="667">
        <f>yrSales!M71</f>
        <v>827.13286713286732</v>
      </c>
      <c r="CZ74" s="667">
        <f>yrSales!N71</f>
        <v>762.3354239256679</v>
      </c>
      <c r="DA74" s="667">
        <f>yrSales!O71</f>
        <v>629.68852157943059</v>
      </c>
      <c r="DB74" s="667">
        <f>yrSales!P71</f>
        <v>506.60302663649014</v>
      </c>
      <c r="DC74" s="667">
        <f>yrSales!Q71</f>
        <v>525.63815357874375</v>
      </c>
      <c r="DD74" s="667">
        <f>yrSales!R71</f>
        <v>564.02994639264841</v>
      </c>
      <c r="DE74" s="667">
        <f>yrSales!S71</f>
        <v>604.71311895026793</v>
      </c>
      <c r="DF74" s="667">
        <f>yrSales!T71</f>
        <v>655.73229894546239</v>
      </c>
      <c r="DG74" s="667">
        <f>yrSales!U71</f>
        <v>606.85301727444221</v>
      </c>
      <c r="DH74" s="667">
        <f>yrSales!V71</f>
        <v>571.47988137254424</v>
      </c>
      <c r="DI74" s="667">
        <f>yrSales!W71</f>
        <v>559.63147318986489</v>
      </c>
      <c r="DJ74" s="667">
        <f>yrSales!X71</f>
        <v>545.46438225193947</v>
      </c>
      <c r="DK74" s="667">
        <f>yrSales!Y71</f>
        <v>512.6070397648059</v>
      </c>
      <c r="DL74" s="667">
        <f>yrSales!Z71</f>
        <v>504.84444570871426</v>
      </c>
      <c r="DM74" s="667">
        <f>yrSales!AA71</f>
        <v>504.37369811649791</v>
      </c>
      <c r="DN74" s="667">
        <f>yrSales!AB71</f>
        <v>506.10990599601735</v>
      </c>
      <c r="DO74" s="667">
        <f>yrSales!AC71</f>
        <v>508.29763238911028</v>
      </c>
    </row>
    <row r="75" spans="1:121" ht="12" customHeight="1">
      <c r="B75" s="510"/>
      <c r="C75" s="502"/>
      <c r="D75" s="502"/>
      <c r="E75" s="502"/>
      <c r="F75" s="502"/>
      <c r="G75" s="502"/>
      <c r="H75" s="502"/>
      <c r="I75" s="502"/>
      <c r="J75" s="502"/>
      <c r="K75" s="502"/>
      <c r="L75" s="488"/>
      <c r="M75" s="502"/>
      <c r="N75" s="502"/>
      <c r="O75" s="502"/>
      <c r="P75" s="502"/>
      <c r="AH75" s="561"/>
      <c r="AI75" s="122"/>
      <c r="AJ75" s="561"/>
      <c r="AN75" s="122"/>
      <c r="AO75" s="561"/>
      <c r="AP75" s="561"/>
      <c r="AQ75" s="646"/>
      <c r="AR75" s="561"/>
      <c r="AS75" s="561"/>
      <c r="AT75" s="561"/>
      <c r="AU75" s="561"/>
      <c r="AY75" s="561"/>
      <c r="AZ75" s="122"/>
      <c r="BA75" s="122"/>
      <c r="BC75" s="646"/>
      <c r="BD75" s="561"/>
      <c r="BE75" s="122"/>
      <c r="BF75" s="122"/>
      <c r="BH75" s="646"/>
      <c r="BI75" s="561"/>
      <c r="BJ75" s="122"/>
      <c r="BK75" s="122"/>
      <c r="BM75" s="646"/>
      <c r="BN75" s="561"/>
      <c r="BO75" s="561"/>
      <c r="BP75" s="561"/>
      <c r="BR75" s="561"/>
      <c r="BS75" s="561"/>
      <c r="BT75" s="561"/>
      <c r="BU75" s="646"/>
      <c r="BV75" s="561"/>
      <c r="BW75" s="561"/>
      <c r="BX75" s="561"/>
      <c r="BY75" s="561"/>
      <c r="BZ75" s="646"/>
      <c r="CA75" s="561"/>
      <c r="CB75" s="561"/>
      <c r="CC75" s="561"/>
      <c r="CD75" s="561"/>
      <c r="CE75" s="122"/>
      <c r="CH75" s="122"/>
      <c r="CI75" s="122"/>
      <c r="CJ75" s="646"/>
      <c r="CK75" s="561"/>
      <c r="CL75" s="561"/>
      <c r="CM75" s="561"/>
      <c r="CO75" s="665" t="s">
        <v>765</v>
      </c>
      <c r="CP75" s="660"/>
      <c r="CQ75" s="660"/>
      <c r="CR75" s="660"/>
      <c r="CS75" s="660"/>
      <c r="CT75" s="666"/>
      <c r="CU75" s="666"/>
      <c r="CV75" s="666">
        <f>yrSales!J7/yrSales!J62</f>
        <v>671.60630350448253</v>
      </c>
      <c r="CW75" s="666">
        <f>yrSales!K7/yrSales!K62</f>
        <v>705.1721342789599</v>
      </c>
      <c r="CX75" s="666">
        <f>yrSales!L7/yrSales!L62</f>
        <v>747.78841490794787</v>
      </c>
      <c r="CY75" s="666">
        <f>yrSales!M7/yrSales!M62</f>
        <v>805.84527051895486</v>
      </c>
      <c r="CZ75" s="666">
        <f>yrSales!N7/yrSales!N62</f>
        <v>737.7328687572591</v>
      </c>
      <c r="DA75" s="666">
        <f>yrSales!O7/yrSales!O62</f>
        <v>603.20771349862252</v>
      </c>
      <c r="DB75" s="666">
        <f>yrSales!P7/yrSales!P62</f>
        <v>484.00347920530538</v>
      </c>
      <c r="DC75" s="666">
        <f>yrSales!Q7/yrSales!Q62</f>
        <v>495.46863065572603</v>
      </c>
      <c r="DD75" s="666">
        <f>yrSales!R7/yrSales!R62</f>
        <v>523.3459902667006</v>
      </c>
      <c r="DE75" s="666">
        <f>yrSales!S7/yrSales!S62</f>
        <v>540.87751408658062</v>
      </c>
      <c r="DF75" s="666">
        <f>yrSales!T7/yrSales!T62</f>
        <v>558.30007089844105</v>
      </c>
      <c r="DG75" s="666">
        <f>yrSales!U7/yrSales!U62</f>
        <v>501.83685054575648</v>
      </c>
      <c r="DH75" s="666">
        <f>yrSales!V7/yrSales!V62</f>
        <v>464.62182672382943</v>
      </c>
      <c r="DI75" s="666">
        <f>yrSales!W7/yrSales!W62</f>
        <v>446.88638036843173</v>
      </c>
      <c r="DJ75" s="666">
        <f>yrSales!X7/yrSales!X62</f>
        <v>441.82614962407098</v>
      </c>
      <c r="DK75" s="666">
        <f>yrSales!Y7/yrSales!Y62</f>
        <v>404.95956141419663</v>
      </c>
      <c r="DL75" s="666">
        <f>yrSales!Z7/yrSales!Z62</f>
        <v>388.57591198401838</v>
      </c>
      <c r="DM75" s="666">
        <f>yrSales!AA7/yrSales!AA62</f>
        <v>380.18509178060356</v>
      </c>
      <c r="DN75" s="666">
        <f>yrSales!AB7/yrSales!AB62</f>
        <v>375.01171029738418</v>
      </c>
      <c r="DO75" s="666">
        <f>yrSales!AC7/yrSales!AC62</f>
        <v>369.90142247866476</v>
      </c>
    </row>
    <row r="76" spans="1:121" ht="12" customHeight="1">
      <c r="B76" s="510"/>
      <c r="C76" s="502"/>
      <c r="D76" s="502"/>
      <c r="E76" s="502"/>
      <c r="F76" s="502"/>
      <c r="G76" s="502"/>
      <c r="H76" s="502"/>
      <c r="I76" s="502"/>
      <c r="J76" s="502"/>
      <c r="K76" s="502"/>
      <c r="L76" s="488"/>
      <c r="M76" s="502"/>
      <c r="N76" s="502"/>
      <c r="O76" s="502"/>
      <c r="P76" s="502"/>
      <c r="AH76" s="561"/>
      <c r="AI76" s="122"/>
      <c r="AJ76" s="561"/>
      <c r="AN76" s="122"/>
      <c r="AO76" s="561"/>
      <c r="AP76" s="561"/>
      <c r="AQ76" s="646"/>
      <c r="AR76" s="561"/>
      <c r="AS76" s="561"/>
      <c r="AT76" s="561"/>
      <c r="AU76" s="561"/>
      <c r="AY76" s="561"/>
      <c r="AZ76" s="122"/>
      <c r="BA76" s="122"/>
      <c r="BC76" s="646"/>
      <c r="BD76" s="561"/>
      <c r="BE76" s="122"/>
      <c r="BF76" s="122"/>
      <c r="BH76" s="646"/>
      <c r="BI76" s="561"/>
      <c r="BJ76" s="122"/>
      <c r="BK76" s="122"/>
      <c r="BM76" s="646"/>
      <c r="BN76" s="561"/>
      <c r="BO76" s="561"/>
      <c r="BP76" s="561"/>
      <c r="BQ76" s="646"/>
      <c r="BR76" s="561"/>
      <c r="BS76" s="561"/>
      <c r="BT76" s="561"/>
      <c r="BU76" s="561"/>
      <c r="BV76" s="561"/>
      <c r="BW76" s="561"/>
      <c r="BX76" s="561"/>
      <c r="BY76" s="561"/>
      <c r="BZ76" s="561"/>
      <c r="CA76" s="561"/>
      <c r="CB76" s="561"/>
      <c r="CC76" s="561"/>
      <c r="CD76" s="561"/>
      <c r="CE76" s="561"/>
      <c r="CF76" s="561"/>
      <c r="CG76" s="561"/>
      <c r="CH76" s="561"/>
      <c r="CI76" s="561"/>
      <c r="CJ76" s="561"/>
      <c r="CK76" s="561"/>
      <c r="CL76" s="561"/>
      <c r="CM76" s="561"/>
      <c r="CN76" s="561"/>
      <c r="CO76" s="561"/>
      <c r="CP76" s="561"/>
      <c r="CQ76" s="561"/>
      <c r="CR76" s="561"/>
      <c r="CS76" s="561"/>
      <c r="CT76" s="667"/>
      <c r="CU76" s="667"/>
      <c r="CV76" s="667"/>
      <c r="CW76" s="667"/>
      <c r="CX76" s="667"/>
      <c r="CY76" s="667"/>
      <c r="CZ76" s="667"/>
      <c r="DA76" s="667"/>
      <c r="DB76" s="667"/>
      <c r="DC76" s="667"/>
      <c r="DD76" s="667"/>
      <c r="DE76" s="667"/>
      <c r="DF76" s="667"/>
      <c r="DG76" s="667"/>
      <c r="DH76" s="667"/>
      <c r="DI76" s="667"/>
      <c r="DJ76" s="667"/>
      <c r="DK76" s="667"/>
      <c r="DL76" s="667"/>
      <c r="DM76" s="667"/>
      <c r="DN76" s="667"/>
      <c r="DO76" s="1611"/>
    </row>
    <row r="77" spans="1:121">
      <c r="A77" s="247" t="s">
        <v>491</v>
      </c>
      <c r="B77" s="668"/>
      <c r="C77" s="669">
        <f>+qtrSales!$Z54</f>
        <v>0.37749999999999995</v>
      </c>
      <c r="D77" s="669">
        <f>+qtrSales!$Z55</f>
        <v>0.39999999999999997</v>
      </c>
      <c r="E77" s="669">
        <f>+qtrSales!$Z56</f>
        <v>0.44374999999999998</v>
      </c>
      <c r="F77" s="669">
        <f>+qtrSales!$Z57</f>
        <v>0.48049999999999998</v>
      </c>
      <c r="G77" s="669"/>
      <c r="H77" s="669">
        <f>+qtrSales!$Z61</f>
        <v>0.49875000000000003</v>
      </c>
      <c r="I77" s="669">
        <f>+qtrSales!$Z62</f>
        <v>0.55374999999999996</v>
      </c>
      <c r="J77" s="669">
        <f>+qtrSales!$Z63</f>
        <v>0.61499999999999999</v>
      </c>
      <c r="K77" s="669">
        <f>+qtrSales!$Z64</f>
        <v>0.66874999999999996</v>
      </c>
      <c r="L77" s="237"/>
      <c r="M77" s="669">
        <f>+qtrSales!$Z68</f>
        <v>0.71124999999999994</v>
      </c>
      <c r="N77" s="669">
        <f>+qtrSales!$Z69</f>
        <v>0.74999999999999989</v>
      </c>
      <c r="O77" s="669">
        <f>+qtrSales!$Z70</f>
        <v>0.8125</v>
      </c>
      <c r="P77" s="669">
        <f>+qtrSales!$Z71</f>
        <v>0.86499999999999988</v>
      </c>
      <c r="Q77" s="237"/>
      <c r="R77" s="669">
        <f>+qtrSales!$Z75</f>
        <v>0.95124999999999993</v>
      </c>
      <c r="S77" s="669">
        <f>+qtrSales!$Z76</f>
        <v>0.98250000000000004</v>
      </c>
      <c r="T77" s="669">
        <f>+qtrSales!$Z77</f>
        <v>1.18875</v>
      </c>
      <c r="U77" s="669">
        <f>+qtrSales!$Z78</f>
        <v>1.25</v>
      </c>
      <c r="V77" s="237"/>
      <c r="W77" s="669">
        <f>+qtrSales!$Z82</f>
        <v>1.2849999999999999</v>
      </c>
      <c r="X77" s="669">
        <f>+qtrSales!$Z83</f>
        <v>1.3425</v>
      </c>
      <c r="Y77" s="669">
        <f>+qtrSales!$Z84</f>
        <v>1.4737499999999999</v>
      </c>
      <c r="Z77" s="669">
        <f>+qtrSales!$Z85</f>
        <v>1.5337499999999999</v>
      </c>
      <c r="AA77" s="237"/>
      <c r="AB77" s="669">
        <f>+qtrSales!$Z89</f>
        <v>1.5999999999999999</v>
      </c>
      <c r="AC77" s="669">
        <f>+qtrSales!$Z90</f>
        <v>1.6675</v>
      </c>
      <c r="AD77" s="669">
        <f>+qtrSales!$Z91</f>
        <v>1.7863374999999999</v>
      </c>
      <c r="AE77" s="669">
        <f>+qtrSales!$Z92</f>
        <v>1.8624999999999998</v>
      </c>
      <c r="AF77" s="237"/>
      <c r="AG77" s="669">
        <f>+qtrSales!$Z96</f>
        <v>1.9387499999999998</v>
      </c>
      <c r="AH77" s="669">
        <f>+qtrSales!$Z97</f>
        <v>2.0024999999999999</v>
      </c>
      <c r="AI77" s="669">
        <f>+qtrSales!$Z98</f>
        <v>2.2462499999999999</v>
      </c>
      <c r="AJ77" s="669">
        <f>+qtrSales!$Z99</f>
        <v>2.4424999999999999</v>
      </c>
      <c r="AK77" s="237"/>
      <c r="AL77" s="669">
        <f>+qtrSales!$Z103</f>
        <v>2.6124999999999998</v>
      </c>
      <c r="AM77" s="669">
        <f>+qtrSales!$Z104</f>
        <v>2.6637499999999994</v>
      </c>
      <c r="AN77" s="669">
        <f>+qtrSales!$Z105</f>
        <v>2.8612500000000001</v>
      </c>
      <c r="AO77" s="669">
        <f>+qtrSales!$Z106</f>
        <v>3.0024999999999999</v>
      </c>
      <c r="AP77" s="670"/>
      <c r="AQ77" s="669">
        <f>+qtrSales!$Z110</f>
        <v>3.1025</v>
      </c>
      <c r="AR77" s="669">
        <f>+qtrSales!$Z111</f>
        <v>3.1912499999999997</v>
      </c>
      <c r="AS77" s="669">
        <f>+qtrSales!$Z112</f>
        <v>3.2437499999999999</v>
      </c>
      <c r="AT77" s="669">
        <f>+qtrSales!$Z113</f>
        <v>3.2446162499999995</v>
      </c>
      <c r="AU77" s="670"/>
      <c r="AV77" s="669">
        <f>+qtrSales!$Z117</f>
        <v>3.2318750000000001</v>
      </c>
      <c r="AW77" s="669">
        <f>+qtrSales!$Z118</f>
        <v>3.2312499999999997</v>
      </c>
      <c r="AX77" s="669">
        <f>+qtrSales!$Z119</f>
        <v>3.2499137500000002</v>
      </c>
      <c r="AY77" s="669">
        <f>+qtrSales!$Z120</f>
        <v>3.2737500000000002</v>
      </c>
      <c r="AZ77" s="671"/>
      <c r="BA77" s="669">
        <f>+qtrSales!$Z124</f>
        <v>3.3221937499999998</v>
      </c>
      <c r="BB77" s="669">
        <f>+qtrSales!$Z125</f>
        <v>3.3717187499999999</v>
      </c>
      <c r="BC77" s="669">
        <f>+qtrSales!$Z126</f>
        <v>3.4571287499999994</v>
      </c>
      <c r="BD77" s="669">
        <f>+qtrSales!$Z127</f>
        <v>3.4811537499999998</v>
      </c>
      <c r="BE77" s="671"/>
      <c r="BF77" s="669">
        <f>+qtrSales!$Z131</f>
        <v>3.5741000000000001</v>
      </c>
      <c r="BG77" s="669">
        <f>+qtrSales!$Z132</f>
        <v>3.6760712499999997</v>
      </c>
      <c r="BH77" s="669">
        <f>+qtrSales!$Z133</f>
        <v>3.7595325000000002</v>
      </c>
      <c r="BI77" s="669">
        <f>+qtrSales!$Z134</f>
        <v>3.7829849999999996</v>
      </c>
      <c r="BJ77" s="671"/>
      <c r="BK77" s="669">
        <f>+qtrSales!$Z138</f>
        <v>3.8588175000000002</v>
      </c>
      <c r="BL77" s="669">
        <f>+qtrSales!$Z139</f>
        <v>3.9495424999999997</v>
      </c>
      <c r="BM77" s="669">
        <f>+qtrSales!$Z140</f>
        <v>4.0675112499999999</v>
      </c>
      <c r="BN77" s="669">
        <f>+qtrSales!$Z141</f>
        <v>4.08930375</v>
      </c>
      <c r="BO77" s="668"/>
      <c r="BP77" s="668"/>
      <c r="BQ77" s="561"/>
      <c r="BR77" s="561"/>
      <c r="BS77" s="561"/>
      <c r="BT77" s="561"/>
      <c r="BU77" s="561"/>
      <c r="BV77" s="561"/>
      <c r="BW77" s="561"/>
      <c r="BX77" s="561"/>
      <c r="BY77" s="561"/>
      <c r="BZ77" s="561"/>
      <c r="CA77" s="561"/>
      <c r="CB77" s="561"/>
      <c r="CC77" s="561"/>
      <c r="CD77" s="561"/>
      <c r="CE77" s="561"/>
      <c r="CF77" s="561"/>
      <c r="CG77" s="561"/>
      <c r="CH77" s="561"/>
      <c r="CI77" s="561"/>
      <c r="CJ77" s="561"/>
      <c r="CK77" s="561"/>
      <c r="CL77" s="561"/>
      <c r="CM77" s="561"/>
      <c r="CN77" s="561"/>
      <c r="CO77" s="561"/>
      <c r="CP77" s="561"/>
      <c r="CQ77" s="561"/>
      <c r="CR77" s="561"/>
      <c r="CS77" s="561"/>
      <c r="CT77" s="672">
        <f t="shared" ref="CT77:DO77" si="59">+CT71</f>
        <v>0.48049999999999998</v>
      </c>
      <c r="CU77" s="672">
        <f t="shared" si="59"/>
        <v>0.66874999999999996</v>
      </c>
      <c r="CV77" s="672">
        <f t="shared" si="59"/>
        <v>0.86499999999999988</v>
      </c>
      <c r="CW77" s="672">
        <f t="shared" si="59"/>
        <v>1.25</v>
      </c>
      <c r="CX77" s="672">
        <f t="shared" si="59"/>
        <v>1.5337499999999999</v>
      </c>
      <c r="CY77" s="672">
        <f t="shared" si="59"/>
        <v>1.8624999999999998</v>
      </c>
      <c r="CZ77" s="672">
        <f t="shared" si="59"/>
        <v>2.4424999999999999</v>
      </c>
      <c r="DA77" s="672">
        <f t="shared" si="59"/>
        <v>3.0024999999999999</v>
      </c>
      <c r="DB77" s="672">
        <f t="shared" si="59"/>
        <v>3.2446162499999995</v>
      </c>
      <c r="DC77" s="672">
        <f t="shared" si="59"/>
        <v>3.2737500000000002</v>
      </c>
      <c r="DD77" s="672">
        <f t="shared" si="59"/>
        <v>3.4811537499999998</v>
      </c>
      <c r="DE77" s="672">
        <f t="shared" si="59"/>
        <v>3.7829849999999996</v>
      </c>
      <c r="DF77" s="672">
        <f t="shared" si="59"/>
        <v>4.08930375</v>
      </c>
      <c r="DG77" s="672">
        <f t="shared" si="59"/>
        <v>4.4334749999999996</v>
      </c>
      <c r="DH77" s="672">
        <f t="shared" si="59"/>
        <v>4.6318799999999998</v>
      </c>
      <c r="DI77" s="672">
        <f t="shared" si="59"/>
        <v>4.5655512499999995</v>
      </c>
      <c r="DJ77" s="672">
        <f t="shared" si="59"/>
        <v>4.5144549999999999</v>
      </c>
      <c r="DK77" s="672">
        <f t="shared" si="59"/>
        <v>4.39053</v>
      </c>
      <c r="DL77" s="672">
        <f t="shared" si="59"/>
        <v>4.2664050000000007</v>
      </c>
      <c r="DM77" s="672">
        <f t="shared" si="59"/>
        <v>4.2436800000000012</v>
      </c>
      <c r="DN77" s="672">
        <f t="shared" si="59"/>
        <v>4.2209550000000018</v>
      </c>
      <c r="DO77" s="672">
        <f t="shared" si="59"/>
        <v>4.1982300000000023</v>
      </c>
      <c r="DP77" s="247"/>
      <c r="DQ77" s="247"/>
    </row>
    <row r="78" spans="1:121">
      <c r="A78" s="237" t="s">
        <v>79</v>
      </c>
      <c r="B78" s="670"/>
      <c r="C78" s="669">
        <f>+qtrSales!$J54</f>
        <v>207</v>
      </c>
      <c r="D78" s="669">
        <f>+qtrSales!$J55</f>
        <v>216</v>
      </c>
      <c r="E78" s="669">
        <f>+qtrSales!$J56</f>
        <v>233</v>
      </c>
      <c r="F78" s="669">
        <f>+qtrSales!$J57</f>
        <v>250</v>
      </c>
      <c r="G78" s="669"/>
      <c r="H78" s="669">
        <f>+qtrSales!$J61</f>
        <v>263</v>
      </c>
      <c r="I78" s="669">
        <f>+qtrSales!$J62</f>
        <v>273</v>
      </c>
      <c r="J78" s="669">
        <f>+qtrSales!$J63</f>
        <v>290</v>
      </c>
      <c r="K78" s="669">
        <f>+qtrSales!$J64</f>
        <v>311</v>
      </c>
      <c r="L78" s="237"/>
      <c r="M78" s="669">
        <f>+qtrSales!$J68</f>
        <v>324</v>
      </c>
      <c r="N78" s="669">
        <f>+qtrSales!$J69</f>
        <v>336</v>
      </c>
      <c r="O78" s="669">
        <f>+qtrSales!$J70</f>
        <v>359</v>
      </c>
      <c r="P78" s="669">
        <f>+qtrSales!$J71</f>
        <v>378</v>
      </c>
      <c r="Q78" s="237"/>
      <c r="R78" s="669">
        <f>+qtrSales!$J75</f>
        <v>406</v>
      </c>
      <c r="S78" s="669">
        <f>+qtrSales!$J76</f>
        <v>415</v>
      </c>
      <c r="T78" s="669">
        <f>+qtrSales!$J77</f>
        <v>541</v>
      </c>
      <c r="U78" s="669">
        <f>+qtrSales!$J78</f>
        <v>548</v>
      </c>
      <c r="V78" s="237"/>
      <c r="W78" s="669">
        <f>+qtrSales!$J82</f>
        <v>562</v>
      </c>
      <c r="X78" s="669">
        <f>+qtrSales!$J83</f>
        <v>581</v>
      </c>
      <c r="Y78" s="669">
        <f>+qtrSales!$J84</f>
        <v>636</v>
      </c>
      <c r="Z78" s="669">
        <f>+qtrSales!$J85</f>
        <v>657</v>
      </c>
      <c r="AA78" s="237"/>
      <c r="AB78" s="669">
        <f>+qtrSales!$J89</f>
        <v>683</v>
      </c>
      <c r="AC78" s="669">
        <f>+qtrSales!$J90</f>
        <v>708</v>
      </c>
      <c r="AD78" s="669">
        <f>+qtrSales!$J91</f>
        <v>743</v>
      </c>
      <c r="AE78" s="669">
        <f>+qtrSales!$J92</f>
        <v>763</v>
      </c>
      <c r="AF78" s="237"/>
      <c r="AG78" s="669">
        <f>+qtrSales!$J96</f>
        <v>791</v>
      </c>
      <c r="AH78" s="669">
        <f>+qtrSales!$J97</f>
        <v>806</v>
      </c>
      <c r="AI78" s="669">
        <f>+qtrSales!$J98</f>
        <v>871</v>
      </c>
      <c r="AJ78" s="669">
        <f>+qtrSales!$J99</f>
        <v>920</v>
      </c>
      <c r="AK78" s="237"/>
      <c r="AL78" s="669">
        <f>+qtrSales!$J103</f>
        <v>952</v>
      </c>
      <c r="AM78" s="669">
        <f>+qtrSales!$J104</f>
        <v>958</v>
      </c>
      <c r="AN78" s="669">
        <f>+qtrSales!$J105</f>
        <v>1004</v>
      </c>
      <c r="AO78" s="669">
        <f>+qtrSales!$J106</f>
        <v>1038</v>
      </c>
      <c r="AP78" s="670"/>
      <c r="AQ78" s="669">
        <f>+qtrSales!$J110</f>
        <v>1056</v>
      </c>
      <c r="AR78" s="669">
        <f>+qtrSales!$J111</f>
        <v>1075</v>
      </c>
      <c r="AS78" s="669">
        <f>+qtrSales!$J112</f>
        <v>1083</v>
      </c>
      <c r="AT78" s="669">
        <f>+qtrSales!$J113</f>
        <v>1076</v>
      </c>
      <c r="AU78" s="670"/>
      <c r="AV78" s="669">
        <f>+qtrSales!$J117</f>
        <v>1069</v>
      </c>
      <c r="AW78" s="669">
        <f>+qtrSales!$J118</f>
        <v>1069</v>
      </c>
      <c r="AX78" s="669">
        <f>+qtrSales!$J119</f>
        <v>1074</v>
      </c>
      <c r="AY78" s="669">
        <f>+qtrSales!$J120</f>
        <v>1080</v>
      </c>
      <c r="AZ78" s="671"/>
      <c r="BA78" s="669">
        <f>+qtrSales!$J124</f>
        <v>1099</v>
      </c>
      <c r="BB78" s="669">
        <f>+qtrSales!$J125</f>
        <v>1118</v>
      </c>
      <c r="BC78" s="669">
        <f>+qtrSales!$J126</f>
        <v>1144</v>
      </c>
      <c r="BD78" s="669">
        <f>+qtrSales!$J127</f>
        <v>1151</v>
      </c>
      <c r="BE78" s="671"/>
      <c r="BF78" s="669">
        <f>+qtrSales!$J131</f>
        <v>1184</v>
      </c>
      <c r="BG78" s="669">
        <f>+qtrSales!$J132</f>
        <v>1218</v>
      </c>
      <c r="BH78" s="669">
        <f>+qtrSales!$J133</f>
        <v>1249</v>
      </c>
      <c r="BI78" s="669">
        <f>+qtrSales!$J134</f>
        <v>1256</v>
      </c>
      <c r="BJ78" s="671"/>
      <c r="BK78" s="669">
        <f>+qtrSales!$J138</f>
        <v>1283</v>
      </c>
      <c r="BL78" s="669">
        <f>+qtrSales!$J139</f>
        <v>1315</v>
      </c>
      <c r="BM78" s="669">
        <f>+qtrSales!$J140</f>
        <v>1355</v>
      </c>
      <c r="BN78" s="669">
        <f>+qtrSales!$J141</f>
        <v>1357</v>
      </c>
      <c r="BO78" s="670"/>
      <c r="BP78" s="670"/>
      <c r="BQ78" s="561"/>
      <c r="BR78" s="561"/>
      <c r="BS78" s="561"/>
      <c r="BT78" s="561"/>
      <c r="BU78" s="561"/>
      <c r="BV78" s="561"/>
      <c r="BW78" s="561"/>
      <c r="BX78" s="561"/>
      <c r="BY78" s="561"/>
      <c r="BZ78" s="561"/>
      <c r="CA78" s="561"/>
      <c r="CB78" s="561"/>
      <c r="CC78" s="561"/>
      <c r="CD78" s="561"/>
      <c r="CE78" s="561"/>
      <c r="CF78" s="561"/>
      <c r="CG78" s="561"/>
      <c r="CH78" s="561"/>
      <c r="CI78" s="561"/>
      <c r="CJ78" s="561"/>
      <c r="CK78" s="561"/>
      <c r="CL78" s="561"/>
      <c r="CM78" s="561"/>
      <c r="CN78" s="561"/>
      <c r="CO78" s="561"/>
      <c r="CP78" s="561"/>
      <c r="CQ78" s="561"/>
      <c r="CR78" s="561"/>
      <c r="CS78" s="561"/>
      <c r="CT78" s="672">
        <f t="shared" ref="CT78:DD78" si="60">+CT64</f>
        <v>250</v>
      </c>
      <c r="CU78" s="672">
        <f t="shared" si="60"/>
        <v>311</v>
      </c>
      <c r="CV78" s="672">
        <f t="shared" si="60"/>
        <v>378</v>
      </c>
      <c r="CW78" s="672">
        <f t="shared" si="60"/>
        <v>548</v>
      </c>
      <c r="CX78" s="672">
        <f t="shared" si="60"/>
        <v>657</v>
      </c>
      <c r="CY78" s="672">
        <f t="shared" si="60"/>
        <v>763</v>
      </c>
      <c r="CZ78" s="672">
        <f t="shared" si="60"/>
        <v>920</v>
      </c>
      <c r="DA78" s="672">
        <f t="shared" si="60"/>
        <v>1038</v>
      </c>
      <c r="DB78" s="672">
        <f t="shared" si="60"/>
        <v>1076</v>
      </c>
      <c r="DC78" s="672">
        <f t="shared" si="60"/>
        <v>1080</v>
      </c>
      <c r="DD78" s="672">
        <f t="shared" si="60"/>
        <v>1151</v>
      </c>
      <c r="DE78" s="672">
        <f>+DE64</f>
        <v>1256</v>
      </c>
      <c r="DF78" s="672">
        <f t="shared" ref="DF78:DO78" si="61">+DF64</f>
        <v>1357</v>
      </c>
      <c r="DG78" s="672">
        <f t="shared" si="61"/>
        <v>1472</v>
      </c>
      <c r="DH78" s="672">
        <f t="shared" si="61"/>
        <v>1547</v>
      </c>
      <c r="DI78" s="672">
        <f t="shared" si="61"/>
        <v>1518</v>
      </c>
      <c r="DJ78" s="672">
        <f t="shared" si="61"/>
        <v>1501</v>
      </c>
      <c r="DK78" s="672">
        <f t="shared" si="61"/>
        <v>1460</v>
      </c>
      <c r="DL78" s="672">
        <f t="shared" si="61"/>
        <v>1420</v>
      </c>
      <c r="DM78" s="672">
        <f t="shared" si="61"/>
        <v>1415</v>
      </c>
      <c r="DN78" s="672">
        <f t="shared" si="61"/>
        <v>1410</v>
      </c>
      <c r="DO78" s="672">
        <f t="shared" si="61"/>
        <v>1405</v>
      </c>
      <c r="DP78" s="237"/>
      <c r="DQ78" s="237"/>
    </row>
    <row r="79" spans="1:121">
      <c r="A79" s="673" t="s">
        <v>492</v>
      </c>
      <c r="B79" s="510"/>
      <c r="C79" s="586">
        <f>+SUM(C80:C81)</f>
        <v>0.37990911474263739</v>
      </c>
      <c r="D79" s="586">
        <f>+SUM(D80:D81)</f>
        <v>0.37990911474263739</v>
      </c>
      <c r="E79" s="586">
        <f>+SUM(E80:E81)</f>
        <v>0.37990911474263739</v>
      </c>
      <c r="F79" s="586">
        <f>+SUM(F80:F81)</f>
        <v>0.37990911474263739</v>
      </c>
      <c r="G79" s="502"/>
      <c r="H79" s="586">
        <f>+SUM(H80:H81)</f>
        <v>0.37999573798921266</v>
      </c>
      <c r="I79" s="586">
        <f>+SUM(I80:I81)</f>
        <v>0.37999573798921266</v>
      </c>
      <c r="J79" s="586">
        <f>+SUM(J80:J81)</f>
        <v>0.37999573798921266</v>
      </c>
      <c r="K79" s="586">
        <f>+SUM(K80:K81)</f>
        <v>0.37999573798921266</v>
      </c>
      <c r="L79" s="488"/>
      <c r="M79" s="586">
        <f>+SUM(M80:M81)</f>
        <v>0.37999739960622608</v>
      </c>
      <c r="N79" s="586">
        <f>+SUM(N80:N81)</f>
        <v>0.37999739960622608</v>
      </c>
      <c r="O79" s="586">
        <f>+SUM(O80:O81)</f>
        <v>0.37999739960622608</v>
      </c>
      <c r="P79" s="586">
        <f>+SUM(P80:P81)</f>
        <v>0.37999739960622608</v>
      </c>
      <c r="R79" s="586">
        <f>+SUM(R80:R81)</f>
        <v>0.38000086600437949</v>
      </c>
      <c r="S79" s="586">
        <f>+SUM(S80:S81)</f>
        <v>0.38000086600437949</v>
      </c>
      <c r="T79" s="586">
        <f>+SUM(T80:T81)</f>
        <v>0.38000086600437949</v>
      </c>
      <c r="U79" s="586">
        <f>+SUM(U80:U81)</f>
        <v>0.38000086600437949</v>
      </c>
      <c r="W79" s="586">
        <f>+SUM(W80:W81)</f>
        <v>0.37720802572620343</v>
      </c>
      <c r="X79" s="586">
        <f>+SUM(X80:X81)</f>
        <v>0.37720802572620343</v>
      </c>
      <c r="Y79" s="586">
        <f>+SUM(Y80:Y81)</f>
        <v>0.37720802572620343</v>
      </c>
      <c r="Z79" s="586">
        <f>+SUM(Z80:Z81)</f>
        <v>0.37720802572620343</v>
      </c>
      <c r="AB79" s="586">
        <f>+SUM(AB80:AB81)</f>
        <v>0.377</v>
      </c>
      <c r="AC79" s="586">
        <f>+SUM(AC80:AC81)</f>
        <v>0.377</v>
      </c>
      <c r="AD79" s="586">
        <f>+SUM(AD80:AD81)</f>
        <v>0.377</v>
      </c>
      <c r="AE79" s="586">
        <f>+SUM(AE80:AE81)</f>
        <v>0.377</v>
      </c>
      <c r="AG79" s="586">
        <f>+SUM(AG80:AG81)</f>
        <v>0.378</v>
      </c>
      <c r="AH79" s="586">
        <f>+SUM(AH80:AH81)</f>
        <v>0.378</v>
      </c>
      <c r="AI79" s="586">
        <f>+SUM(AI80:AI81)</f>
        <v>0.378</v>
      </c>
      <c r="AJ79" s="586">
        <f>+SUM(AJ80:AJ81)</f>
        <v>0.378</v>
      </c>
      <c r="AL79" s="586">
        <f>+SUM(AL80:AL81)</f>
        <v>0.379</v>
      </c>
      <c r="AM79" s="586">
        <f>+SUM(AM80:AM81)</f>
        <v>0.379</v>
      </c>
      <c r="AN79" s="586">
        <f>+SUM(AN80:AN81)</f>
        <v>0.379</v>
      </c>
      <c r="AO79" s="586">
        <f>+SUM(AO80:AO81)</f>
        <v>0.379</v>
      </c>
      <c r="AP79" s="561"/>
      <c r="AQ79" s="586">
        <f>+SUM(AQ80:AQ81)</f>
        <v>0.40599999999999997</v>
      </c>
      <c r="AR79" s="586">
        <f>+SUM(AR80:AR81)</f>
        <v>0.40599999999999997</v>
      </c>
      <c r="AS79" s="586">
        <f>+SUM(AS80:AS81)</f>
        <v>0.40599999999999997</v>
      </c>
      <c r="AT79" s="586">
        <f>+SUM(AT80:AT81)</f>
        <v>0.40599999999999997</v>
      </c>
      <c r="AU79" s="561"/>
      <c r="AV79" s="586">
        <f>+SUM(AV80:AV81)</f>
        <v>0.375</v>
      </c>
      <c r="AW79" s="586">
        <f>+SUM(AW80:AW81)</f>
        <v>0.375</v>
      </c>
      <c r="AX79" s="586">
        <f>+SUM(AX80:AX81)</f>
        <v>0.375</v>
      </c>
      <c r="AY79" s="586">
        <f>+SUM(AY80:AY81)</f>
        <v>0.375</v>
      </c>
      <c r="AZ79" s="122"/>
      <c r="BA79" s="586">
        <f>+$DD$79</f>
        <v>0.35247678879190575</v>
      </c>
      <c r="BB79" s="586">
        <f>+$DD$79</f>
        <v>0.35247678879190575</v>
      </c>
      <c r="BC79" s="586">
        <f>+$DD$79</f>
        <v>0.35247678879190575</v>
      </c>
      <c r="BD79" s="586">
        <f>+$DD$79</f>
        <v>0.35247678879190575</v>
      </c>
      <c r="BE79" s="122"/>
      <c r="BF79" s="586">
        <f>+$DE$79</f>
        <v>0.3695172997769598</v>
      </c>
      <c r="BG79" s="586">
        <f>+$DE$79</f>
        <v>0.3695172997769598</v>
      </c>
      <c r="BH79" s="586">
        <f>+$DE$79</f>
        <v>0.3695172997769598</v>
      </c>
      <c r="BI79" s="586">
        <f>+$DE$79</f>
        <v>0.3695172997769598</v>
      </c>
      <c r="BJ79" s="122"/>
      <c r="BK79" s="586">
        <f>+$DF$79</f>
        <v>0.50817066621838103</v>
      </c>
      <c r="BL79" s="586">
        <f>+$DF$79</f>
        <v>0.50817066621838103</v>
      </c>
      <c r="BM79" s="586">
        <f>+$DF$79</f>
        <v>0.50817066621838103</v>
      </c>
      <c r="BN79" s="586">
        <f>+$DF$79</f>
        <v>0.50817066621838103</v>
      </c>
      <c r="BO79" s="561"/>
      <c r="BP79" s="561"/>
      <c r="BQ79" s="561"/>
      <c r="BR79" s="561"/>
      <c r="BS79" s="561"/>
      <c r="BT79" s="561"/>
      <c r="BU79" s="561"/>
      <c r="BV79" s="561"/>
      <c r="BW79" s="561"/>
      <c r="BX79" s="561"/>
      <c r="BY79" s="561"/>
      <c r="BZ79" s="561"/>
      <c r="CA79" s="561"/>
      <c r="CB79" s="561"/>
      <c r="CC79" s="561"/>
      <c r="CD79" s="561"/>
      <c r="CE79" s="561"/>
      <c r="CF79" s="561"/>
      <c r="CG79" s="561"/>
      <c r="CH79" s="561"/>
      <c r="CI79" s="561"/>
      <c r="CJ79" s="561"/>
      <c r="CK79" s="561"/>
      <c r="CL79" s="561"/>
      <c r="CM79" s="561"/>
      <c r="CN79" s="561"/>
      <c r="CO79" s="561"/>
      <c r="CP79" s="561"/>
      <c r="CQ79" s="561"/>
      <c r="CR79" s="561"/>
      <c r="CS79" s="561"/>
      <c r="CT79" s="586">
        <f t="shared" ref="CT79:DB79" si="62">+SUM(CT80:CT81)</f>
        <v>0.37990911474263739</v>
      </c>
      <c r="CU79" s="586">
        <f t="shared" si="62"/>
        <v>0.37999573798921266</v>
      </c>
      <c r="CV79" s="586">
        <f t="shared" si="62"/>
        <v>0.37999739960622608</v>
      </c>
      <c r="CW79" s="586">
        <f t="shared" si="62"/>
        <v>0.38000086600437949</v>
      </c>
      <c r="CX79" s="586">
        <f t="shared" si="62"/>
        <v>0.37720802572620343</v>
      </c>
      <c r="CY79" s="586">
        <f t="shared" si="62"/>
        <v>0.377</v>
      </c>
      <c r="CZ79" s="586">
        <f t="shared" si="62"/>
        <v>0.378</v>
      </c>
      <c r="DA79" s="586">
        <f t="shared" si="62"/>
        <v>0.379</v>
      </c>
      <c r="DB79" s="586">
        <f t="shared" si="62"/>
        <v>0.40599999999999997</v>
      </c>
      <c r="DC79" s="586">
        <f>+SUM(DC80:DC81)</f>
        <v>0.375</v>
      </c>
      <c r="DD79" s="586">
        <f>+'yrP&amp;L'!R47</f>
        <v>0.35247678879190575</v>
      </c>
      <c r="DE79" s="586">
        <f>+'yrP&amp;L'!S47</f>
        <v>0.3695172997769598</v>
      </c>
      <c r="DF79" s="586">
        <f>+'yrP&amp;L'!T47</f>
        <v>0.50817066621838103</v>
      </c>
      <c r="DG79" s="586">
        <f>+'yrP&amp;L'!U47</f>
        <v>0.36329845107845493</v>
      </c>
      <c r="DH79" s="586">
        <f>+'yrP&amp;L'!V47</f>
        <v>0.34172386625781431</v>
      </c>
      <c r="DI79" s="586">
        <f>+'yrP&amp;L'!W47</f>
        <v>0.36824583138817979</v>
      </c>
      <c r="DJ79" s="586">
        <f>+'yrP&amp;L'!X47</f>
        <v>0.35298234605591866</v>
      </c>
      <c r="DK79" s="586">
        <f>+'yrP&amp;L'!Y47</f>
        <v>0.29665738161559913</v>
      </c>
      <c r="DL79" s="586">
        <v>0.21</v>
      </c>
      <c r="DM79" s="586">
        <v>0.21</v>
      </c>
      <c r="DN79" s="586">
        <v>0.21</v>
      </c>
      <c r="DO79" s="586">
        <v>0.21</v>
      </c>
    </row>
    <row r="80" spans="1:121" hidden="1" outlineLevel="1">
      <c r="A80" s="673" t="s">
        <v>493</v>
      </c>
      <c r="B80" s="510"/>
      <c r="C80" s="586">
        <f>+$CT$80</f>
        <v>0.35</v>
      </c>
      <c r="D80" s="586">
        <f>+$CT$80</f>
        <v>0.35</v>
      </c>
      <c r="E80" s="586">
        <f>+$CT$80</f>
        <v>0.35</v>
      </c>
      <c r="F80" s="586">
        <f>+$CT$80</f>
        <v>0.35</v>
      </c>
      <c r="G80" s="502"/>
      <c r="H80" s="586">
        <f>+$CU$80</f>
        <v>0.35</v>
      </c>
      <c r="I80" s="586">
        <f>+$CU$80</f>
        <v>0.35</v>
      </c>
      <c r="J80" s="586">
        <f>+$CU$80</f>
        <v>0.35</v>
      </c>
      <c r="K80" s="586">
        <f>+$CU$80</f>
        <v>0.35</v>
      </c>
      <c r="L80" s="488"/>
      <c r="M80" s="586">
        <f>+$CV$80</f>
        <v>0.35</v>
      </c>
      <c r="N80" s="586">
        <f>+$CV$80</f>
        <v>0.35</v>
      </c>
      <c r="O80" s="586">
        <f>+$CV$80</f>
        <v>0.35</v>
      </c>
      <c r="P80" s="586">
        <f>+$CV$80</f>
        <v>0.35</v>
      </c>
      <c r="R80" s="586">
        <f>+$CW$80</f>
        <v>0.35</v>
      </c>
      <c r="S80" s="586">
        <f>+$CW$80</f>
        <v>0.35</v>
      </c>
      <c r="T80" s="586">
        <f>+$CW$80</f>
        <v>0.35</v>
      </c>
      <c r="U80" s="586">
        <f>+$CW$80</f>
        <v>0.35</v>
      </c>
      <c r="W80" s="586">
        <f>+$CX$80</f>
        <v>0.35</v>
      </c>
      <c r="X80" s="586">
        <f>+$CX$80</f>
        <v>0.35</v>
      </c>
      <c r="Y80" s="586">
        <f>+$CX$80</f>
        <v>0.35</v>
      </c>
      <c r="Z80" s="586">
        <f>+$CX$80</f>
        <v>0.35</v>
      </c>
      <c r="AB80" s="586">
        <f>+$CY$80</f>
        <v>0.35</v>
      </c>
      <c r="AC80" s="586">
        <f>+$CY$80</f>
        <v>0.35</v>
      </c>
      <c r="AD80" s="586">
        <f>+$CY$80</f>
        <v>0.35</v>
      </c>
      <c r="AE80" s="586">
        <f>+$CY$80</f>
        <v>0.35</v>
      </c>
      <c r="AG80" s="586">
        <f>+$CZ$80</f>
        <v>0.35</v>
      </c>
      <c r="AH80" s="586">
        <f>+$CZ$80</f>
        <v>0.35</v>
      </c>
      <c r="AI80" s="586">
        <f>+$CZ$80</f>
        <v>0.35</v>
      </c>
      <c r="AJ80" s="586">
        <f>+$CZ$80</f>
        <v>0.35</v>
      </c>
      <c r="AL80" s="586">
        <f>+$DA$80</f>
        <v>0.35</v>
      </c>
      <c r="AM80" s="586">
        <f>+$DA$80</f>
        <v>0.35</v>
      </c>
      <c r="AN80" s="586">
        <f>+$DA$80</f>
        <v>0.35</v>
      </c>
      <c r="AO80" s="586">
        <f>+$DA$80</f>
        <v>0.35</v>
      </c>
      <c r="AP80" s="561"/>
      <c r="AQ80" s="586">
        <f>+$DB$80</f>
        <v>0.35</v>
      </c>
      <c r="AR80" s="586">
        <f>+$DB$80</f>
        <v>0.35</v>
      </c>
      <c r="AS80" s="586">
        <f>+$DB$80</f>
        <v>0.35</v>
      </c>
      <c r="AT80" s="586">
        <f>+$DB$80</f>
        <v>0.35</v>
      </c>
      <c r="AU80" s="561"/>
      <c r="AV80" s="586">
        <f>+$DC$80</f>
        <v>0.35</v>
      </c>
      <c r="AW80" s="586">
        <f>+$DC$80</f>
        <v>0.35</v>
      </c>
      <c r="AX80" s="586">
        <f>+$DC$80</f>
        <v>0.35</v>
      </c>
      <c r="AY80" s="586">
        <f>+$DC$80</f>
        <v>0.35</v>
      </c>
      <c r="AZ80" s="122"/>
      <c r="BA80" s="122"/>
      <c r="BC80" s="646"/>
      <c r="BD80" s="561"/>
      <c r="BE80" s="122"/>
      <c r="BF80" s="122"/>
      <c r="BH80" s="646"/>
      <c r="BI80" s="561"/>
      <c r="BJ80" s="122"/>
      <c r="BK80" s="122"/>
      <c r="BM80" s="646"/>
      <c r="BN80" s="561"/>
      <c r="BO80" s="561"/>
      <c r="BP80" s="561"/>
      <c r="BQ80" s="668"/>
      <c r="BR80" s="668"/>
      <c r="BS80" s="668"/>
      <c r="BT80" s="668"/>
      <c r="BU80" s="668"/>
      <c r="BV80" s="668"/>
      <c r="BW80" s="668"/>
      <c r="BX80" s="668"/>
      <c r="BY80" s="668"/>
      <c r="BZ80" s="668"/>
      <c r="CA80" s="668"/>
      <c r="CB80" s="668"/>
      <c r="CC80" s="668"/>
      <c r="CD80" s="668"/>
      <c r="CE80" s="668"/>
      <c r="CF80" s="668"/>
      <c r="CG80" s="668"/>
      <c r="CH80" s="668"/>
      <c r="CI80" s="668"/>
      <c r="CJ80" s="668"/>
      <c r="CK80" s="668"/>
      <c r="CL80" s="668"/>
      <c r="CM80" s="668"/>
      <c r="CN80" s="668"/>
      <c r="CO80" s="668"/>
      <c r="CP80" s="668"/>
      <c r="CQ80" s="668"/>
      <c r="CR80" s="668"/>
      <c r="CS80" s="668"/>
      <c r="CT80" s="586">
        <v>0.35</v>
      </c>
      <c r="CU80" s="586">
        <v>0.35</v>
      </c>
      <c r="CV80" s="586">
        <v>0.35</v>
      </c>
      <c r="CW80" s="586">
        <v>0.35</v>
      </c>
      <c r="CX80" s="586">
        <v>0.35</v>
      </c>
      <c r="CY80" s="586">
        <v>0.35</v>
      </c>
      <c r="CZ80" s="586">
        <v>0.35</v>
      </c>
      <c r="DA80" s="586">
        <v>0.35</v>
      </c>
      <c r="DB80" s="586">
        <v>0.35</v>
      </c>
      <c r="DC80" s="586">
        <v>0.35</v>
      </c>
      <c r="DD80" s="674"/>
      <c r="DE80" s="674"/>
      <c r="DF80" s="674"/>
      <c r="DG80" s="674"/>
      <c r="DH80" s="674"/>
      <c r="DI80" s="674"/>
    </row>
    <row r="81" spans="1:113" hidden="1" outlineLevel="1">
      <c r="A81" s="673" t="s">
        <v>494</v>
      </c>
      <c r="B81" s="510"/>
      <c r="C81" s="586">
        <f>+$CT$81</f>
        <v>2.9909114742637421E-2</v>
      </c>
      <c r="D81" s="586">
        <f>+$CT$81</f>
        <v>2.9909114742637421E-2</v>
      </c>
      <c r="E81" s="586">
        <f>+$CT$81</f>
        <v>2.9909114742637421E-2</v>
      </c>
      <c r="F81" s="586">
        <f>+$CT$81</f>
        <v>2.9909114742637421E-2</v>
      </c>
      <c r="G81" s="502"/>
      <c r="H81" s="586">
        <f>+$CU$81</f>
        <v>2.9995737989212699E-2</v>
      </c>
      <c r="I81" s="586">
        <f>+$CU$81</f>
        <v>2.9995737989212699E-2</v>
      </c>
      <c r="J81" s="586">
        <f>+$CU$81</f>
        <v>2.9995737989212699E-2</v>
      </c>
      <c r="K81" s="586">
        <f>+$CU$81</f>
        <v>2.9995737989212699E-2</v>
      </c>
      <c r="L81" s="488"/>
      <c r="M81" s="586">
        <f>+$CV$81</f>
        <v>2.9997399606226084E-2</v>
      </c>
      <c r="N81" s="586">
        <f>+$CV$81</f>
        <v>2.9997399606226084E-2</v>
      </c>
      <c r="O81" s="586">
        <f>+$CV$81</f>
        <v>2.9997399606226084E-2</v>
      </c>
      <c r="P81" s="586">
        <f>+$CV$81</f>
        <v>2.9997399606226084E-2</v>
      </c>
      <c r="R81" s="586">
        <f>+$CW$81</f>
        <v>3.0000866004379505E-2</v>
      </c>
      <c r="S81" s="586">
        <f>+$CW$81</f>
        <v>3.0000866004379505E-2</v>
      </c>
      <c r="T81" s="586">
        <f>+$CW$81</f>
        <v>3.0000866004379505E-2</v>
      </c>
      <c r="U81" s="586">
        <f>+$CW$81</f>
        <v>3.0000866004379505E-2</v>
      </c>
      <c r="W81" s="586">
        <f>+$CX$81</f>
        <v>2.720802572620348E-2</v>
      </c>
      <c r="X81" s="586">
        <f>+$CX$81</f>
        <v>2.720802572620348E-2</v>
      </c>
      <c r="Y81" s="586">
        <f>+$CX$81</f>
        <v>2.720802572620348E-2</v>
      </c>
      <c r="Z81" s="586">
        <f>+$CX$81</f>
        <v>2.720802572620348E-2</v>
      </c>
      <c r="AB81" s="586">
        <f>+$CY$81</f>
        <v>2.7E-2</v>
      </c>
      <c r="AC81" s="586">
        <f>+$CY$81</f>
        <v>2.7E-2</v>
      </c>
      <c r="AD81" s="586">
        <f>+$CY$81</f>
        <v>2.7E-2</v>
      </c>
      <c r="AE81" s="586">
        <f>+$CY$81</f>
        <v>2.7E-2</v>
      </c>
      <c r="AG81" s="586">
        <f>+$CZ$81</f>
        <v>2.8000000000000001E-2</v>
      </c>
      <c r="AH81" s="586">
        <f>+$CZ$81</f>
        <v>2.8000000000000001E-2</v>
      </c>
      <c r="AI81" s="586">
        <f>+$CZ$81</f>
        <v>2.8000000000000001E-2</v>
      </c>
      <c r="AJ81" s="586">
        <f>+$CZ$81</f>
        <v>2.8000000000000001E-2</v>
      </c>
      <c r="AL81" s="586">
        <f>+$DA$81</f>
        <v>2.9000000000000001E-2</v>
      </c>
      <c r="AM81" s="586">
        <f>+$DA$81</f>
        <v>2.9000000000000001E-2</v>
      </c>
      <c r="AN81" s="586">
        <f>+$DA$81</f>
        <v>2.9000000000000001E-2</v>
      </c>
      <c r="AO81" s="586">
        <f>+$DA$81</f>
        <v>2.9000000000000001E-2</v>
      </c>
      <c r="AP81" s="561"/>
      <c r="AQ81" s="586">
        <f>+$DB$81</f>
        <v>5.6000000000000001E-2</v>
      </c>
      <c r="AR81" s="586">
        <f>+$DB$81</f>
        <v>5.6000000000000001E-2</v>
      </c>
      <c r="AS81" s="586">
        <f>+$DB$81</f>
        <v>5.6000000000000001E-2</v>
      </c>
      <c r="AT81" s="586">
        <f>+$DB$81</f>
        <v>5.6000000000000001E-2</v>
      </c>
      <c r="AU81" s="561"/>
      <c r="AV81" s="586">
        <f>+$DC$81</f>
        <v>2.5000000000000001E-2</v>
      </c>
      <c r="AW81" s="586">
        <f>+$DC$81</f>
        <v>2.5000000000000001E-2</v>
      </c>
      <c r="AX81" s="586">
        <f>+$DC$81</f>
        <v>2.5000000000000001E-2</v>
      </c>
      <c r="AY81" s="586">
        <f>+$DC$81</f>
        <v>2.5000000000000001E-2</v>
      </c>
      <c r="AZ81" s="122"/>
      <c r="BA81" s="122"/>
      <c r="BC81" s="646"/>
      <c r="BD81" s="561"/>
      <c r="BE81" s="122"/>
      <c r="BF81" s="122"/>
      <c r="BH81" s="646"/>
      <c r="BI81" s="561"/>
      <c r="BJ81" s="122"/>
      <c r="BK81" s="122"/>
      <c r="BM81" s="646"/>
      <c r="BN81" s="561"/>
      <c r="BO81" s="561"/>
      <c r="BP81" s="561"/>
      <c r="BQ81" s="670"/>
      <c r="BR81" s="670"/>
      <c r="BS81" s="670"/>
      <c r="BT81" s="670"/>
      <c r="BU81" s="670"/>
      <c r="BV81" s="670"/>
      <c r="BW81" s="670"/>
      <c r="BX81" s="670"/>
      <c r="BY81" s="670"/>
      <c r="BZ81" s="670"/>
      <c r="CA81" s="670"/>
      <c r="CB81" s="670"/>
      <c r="CC81" s="670"/>
      <c r="CD81" s="670"/>
      <c r="CE81" s="670"/>
      <c r="CF81" s="670"/>
      <c r="CG81" s="670"/>
      <c r="CH81" s="670"/>
      <c r="CI81" s="670"/>
      <c r="CJ81" s="670"/>
      <c r="CK81" s="670"/>
      <c r="CL81" s="670"/>
      <c r="CM81" s="670"/>
      <c r="CN81" s="670"/>
      <c r="CO81" s="670"/>
      <c r="CP81" s="670"/>
      <c r="CQ81" s="670"/>
      <c r="CR81" s="670"/>
      <c r="CS81" s="670"/>
      <c r="CT81" s="586">
        <f>1.369/45.772</f>
        <v>2.9909114742637421E-2</v>
      </c>
      <c r="CU81" s="586">
        <f>2.041/68.043</f>
        <v>2.9995737989212699E-2</v>
      </c>
      <c r="CV81" s="586">
        <f>3.23/107.676</f>
        <v>2.9997399606226084E-2</v>
      </c>
      <c r="CW81" s="586">
        <f>4.85/161.662</f>
        <v>3.0000866004379505E-2</v>
      </c>
      <c r="CX81" s="586">
        <f>6.151/226.073</f>
        <v>2.720802572620348E-2</v>
      </c>
      <c r="CY81" s="586">
        <v>2.7E-2</v>
      </c>
      <c r="CZ81" s="586">
        <v>2.8000000000000001E-2</v>
      </c>
      <c r="DA81" s="586">
        <v>2.9000000000000001E-2</v>
      </c>
      <c r="DB81" s="586">
        <v>5.6000000000000001E-2</v>
      </c>
      <c r="DC81" s="586">
        <v>2.5000000000000001E-2</v>
      </c>
      <c r="DD81" s="674"/>
      <c r="DE81" s="674"/>
      <c r="DF81" s="674"/>
      <c r="DG81" s="674"/>
      <c r="DH81" s="674"/>
      <c r="DI81" s="674"/>
    </row>
    <row r="82" spans="1:113" collapsed="1">
      <c r="B82" s="510"/>
      <c r="C82" s="502"/>
      <c r="D82" s="502"/>
      <c r="E82" s="502"/>
      <c r="F82" s="502"/>
      <c r="G82" s="502"/>
      <c r="H82" s="502"/>
      <c r="I82" s="502"/>
      <c r="J82" s="502"/>
      <c r="K82" s="502"/>
      <c r="L82" s="488"/>
      <c r="M82" s="502"/>
      <c r="N82" s="502"/>
      <c r="O82" s="502"/>
      <c r="P82" s="502"/>
      <c r="AH82" s="561"/>
      <c r="AI82" s="122"/>
      <c r="AJ82" s="561"/>
      <c r="AN82" s="122"/>
      <c r="AO82" s="561"/>
      <c r="AP82" s="561"/>
      <c r="AQ82" s="646"/>
      <c r="AR82" s="561"/>
      <c r="AS82" s="561"/>
      <c r="AT82" s="561"/>
      <c r="AU82" s="561"/>
      <c r="AY82" s="561"/>
      <c r="AZ82" s="122"/>
      <c r="BA82" s="122"/>
      <c r="BC82" s="646"/>
      <c r="BD82" s="561"/>
      <c r="BE82" s="122"/>
      <c r="BF82" s="122"/>
      <c r="BH82" s="646"/>
      <c r="BI82" s="561"/>
      <c r="BJ82" s="122"/>
      <c r="BK82" s="122"/>
      <c r="BM82" s="646"/>
      <c r="BN82" s="561"/>
      <c r="BO82" s="561"/>
      <c r="BP82" s="561"/>
      <c r="BQ82" s="561"/>
      <c r="BR82" s="561"/>
      <c r="BS82" s="561"/>
      <c r="BT82" s="561"/>
      <c r="BU82" s="561"/>
      <c r="BV82" s="561"/>
      <c r="BW82" s="561"/>
      <c r="BX82" s="561"/>
      <c r="BY82" s="561"/>
      <c r="BZ82" s="561"/>
      <c r="CA82" s="561"/>
      <c r="CB82" s="561"/>
      <c r="CC82" s="561"/>
      <c r="CD82" s="561"/>
      <c r="CE82" s="561"/>
      <c r="CF82" s="561"/>
      <c r="CG82" s="561"/>
      <c r="CH82" s="561"/>
      <c r="CI82" s="561"/>
      <c r="CJ82" s="561"/>
      <c r="CK82" s="561"/>
      <c r="CL82" s="561"/>
      <c r="CM82" s="561"/>
      <c r="CN82" s="561"/>
      <c r="CO82" s="561"/>
      <c r="CP82" s="561"/>
      <c r="CQ82" s="561"/>
      <c r="CR82" s="561"/>
      <c r="CS82" s="561"/>
    </row>
    <row r="83" spans="1:113">
      <c r="A83" s="675" t="s">
        <v>700</v>
      </c>
      <c r="AQ83" s="122"/>
      <c r="AR83" s="122"/>
      <c r="AS83" s="122"/>
      <c r="AT83" s="122"/>
      <c r="BQ83" s="561"/>
      <c r="BR83" s="561"/>
      <c r="BS83" s="561"/>
      <c r="BT83" s="561"/>
      <c r="BU83" s="561"/>
      <c r="BV83" s="561"/>
      <c r="BW83" s="561"/>
      <c r="BX83" s="561"/>
      <c r="BY83" s="561"/>
      <c r="BZ83" s="561"/>
      <c r="CA83" s="561"/>
      <c r="CB83" s="561"/>
      <c r="CC83" s="561"/>
      <c r="CD83" s="561"/>
      <c r="CE83" s="561"/>
      <c r="CF83" s="561"/>
      <c r="CG83" s="561"/>
      <c r="CH83" s="561"/>
      <c r="CI83" s="561"/>
      <c r="CJ83" s="561"/>
      <c r="CK83" s="561"/>
      <c r="CL83" s="561"/>
      <c r="CM83" s="561"/>
      <c r="CN83" s="561"/>
      <c r="CO83" s="561"/>
      <c r="CP83" s="561"/>
      <c r="CQ83" s="561"/>
      <c r="CR83" s="561"/>
      <c r="CS83" s="561"/>
    </row>
    <row r="84" spans="1:113">
      <c r="J84" s="676"/>
      <c r="M84" s="677"/>
      <c r="R84" s="677"/>
      <c r="W84" s="677"/>
      <c r="AB84" s="677"/>
      <c r="AG84" s="677"/>
      <c r="AL84" s="677"/>
      <c r="BQ84" s="561"/>
      <c r="BR84" s="561"/>
      <c r="BS84" s="561"/>
      <c r="BT84" s="561"/>
      <c r="BU84" s="561"/>
      <c r="BV84" s="561"/>
      <c r="BW84" s="561"/>
      <c r="BX84" s="561"/>
      <c r="BY84" s="561"/>
      <c r="BZ84" s="561"/>
      <c r="CA84" s="561"/>
      <c r="CB84" s="561"/>
      <c r="CC84" s="561"/>
      <c r="CD84" s="561"/>
      <c r="CE84" s="561"/>
      <c r="CF84" s="561"/>
      <c r="CG84" s="561"/>
      <c r="CH84" s="561"/>
      <c r="CI84" s="561"/>
      <c r="CJ84" s="561"/>
      <c r="CK84" s="561"/>
      <c r="CL84" s="561"/>
      <c r="CM84" s="561"/>
      <c r="CN84" s="561"/>
      <c r="CO84" s="561"/>
      <c r="CP84" s="561"/>
      <c r="CQ84" s="561"/>
      <c r="CR84" s="561"/>
      <c r="CS84" s="561"/>
    </row>
    <row r="85" spans="1:113">
      <c r="BQ85" s="561"/>
      <c r="BR85" s="561"/>
      <c r="BS85" s="561"/>
      <c r="BT85" s="561"/>
      <c r="BU85" s="561"/>
      <c r="BV85" s="561"/>
      <c r="BW85" s="561"/>
      <c r="BX85" s="561"/>
      <c r="BY85" s="561"/>
      <c r="BZ85" s="561"/>
      <c r="CA85" s="561"/>
      <c r="CB85" s="561"/>
      <c r="CC85" s="561"/>
      <c r="CD85" s="561"/>
      <c r="CE85" s="561"/>
      <c r="CF85" s="561"/>
      <c r="CG85" s="561"/>
      <c r="CH85" s="561"/>
      <c r="CI85" s="561"/>
      <c r="CJ85" s="561"/>
      <c r="CK85" s="561"/>
      <c r="CL85" s="561"/>
      <c r="CM85" s="561"/>
      <c r="CN85" s="561"/>
      <c r="CO85" s="561"/>
      <c r="CP85" s="561"/>
      <c r="CQ85" s="561"/>
      <c r="CR85" s="561"/>
      <c r="CS85" s="561"/>
      <c r="CT85" s="667"/>
      <c r="CU85" s="667"/>
      <c r="CV85" s="667"/>
      <c r="CW85" s="667"/>
      <c r="CX85" s="667"/>
      <c r="CY85" s="667"/>
      <c r="CZ85" s="667"/>
      <c r="DA85" s="667"/>
      <c r="DB85" s="667"/>
      <c r="DC85" s="667"/>
      <c r="DD85" s="667"/>
      <c r="DE85" s="667"/>
      <c r="DF85" s="667"/>
      <c r="DG85" s="667"/>
      <c r="DH85" s="667"/>
      <c r="DI85" s="667"/>
    </row>
    <row r="86" spans="1:113">
      <c r="DG86" s="122"/>
      <c r="DH86" s="122"/>
    </row>
    <row r="87" spans="1:113">
      <c r="J87" s="676"/>
      <c r="DG87" s="122"/>
      <c r="DH87" s="122"/>
    </row>
    <row r="88" spans="1:113">
      <c r="DG88" s="122"/>
      <c r="DH88" s="122"/>
    </row>
    <row r="89" spans="1:113">
      <c r="DG89" s="122"/>
      <c r="DH89" s="122"/>
    </row>
    <row r="90" spans="1:113">
      <c r="DG90" s="122"/>
      <c r="DH90" s="122"/>
    </row>
    <row r="91" spans="1:113">
      <c r="DG91" s="122"/>
      <c r="DH91" s="122"/>
    </row>
    <row r="92" spans="1:113">
      <c r="DG92" s="122"/>
      <c r="DH92" s="122"/>
    </row>
    <row r="93" spans="1:113">
      <c r="DG93" s="122"/>
      <c r="DH93" s="122"/>
    </row>
    <row r="94" spans="1:113">
      <c r="DG94" s="122"/>
      <c r="DH94" s="122"/>
    </row>
    <row r="95" spans="1:113">
      <c r="DG95" s="122"/>
      <c r="DH95" s="122"/>
    </row>
    <row r="96" spans="1:113" ht="14.25" customHeight="1">
      <c r="DG96" s="122"/>
      <c r="DH96" s="122"/>
    </row>
    <row r="97" spans="111:112" customFormat="1" outlineLevel="1"/>
    <row r="98" spans="111:112">
      <c r="DG98" s="122"/>
      <c r="DH98" s="122"/>
    </row>
    <row r="99" spans="111:112">
      <c r="DG99" s="122"/>
      <c r="DH99" s="122"/>
    </row>
  </sheetData>
  <mergeCells count="2">
    <mergeCell ref="CJ5:CM5"/>
    <mergeCell ref="CO5:CR5"/>
  </mergeCells>
  <phoneticPr fontId="0" type="noConversion"/>
  <dataValidations count="1">
    <dataValidation type="custom" allowBlank="1" showInputMessage="1" showErrorMessage="1" sqref="A33:A34 BK6:BN6 AA6:AE6 AG6:AJ6 AL6:AY6 BA6:BD6 BF6:BI6 BP6:CR6">
      <formula1>-1</formula1>
    </dataValidation>
  </dataValidations>
  <printOptions horizontalCentered="1"/>
  <pageMargins left="0" right="0" top="0" bottom="0" header="0" footer="0"/>
  <pageSetup paperSize="5" scale="81"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2"/>
  <sheetViews>
    <sheetView workbookViewId="0"/>
  </sheetViews>
  <sheetFormatPr defaultRowHeight="12.75"/>
  <sheetData>
    <row r="1" spans="1:20">
      <c r="A1" t="s">
        <v>783</v>
      </c>
    </row>
    <row r="2" spans="1:20">
      <c r="A2" s="254" t="s">
        <v>26</v>
      </c>
      <c r="B2" s="254" t="s">
        <v>225</v>
      </c>
      <c r="C2" s="254" t="s">
        <v>27</v>
      </c>
      <c r="D2" s="254" t="s">
        <v>564</v>
      </c>
      <c r="E2" s="254" t="s">
        <v>25</v>
      </c>
      <c r="F2" s="254" t="s">
        <v>800</v>
      </c>
      <c r="G2" s="254" t="s">
        <v>336</v>
      </c>
      <c r="H2" s="254" t="s">
        <v>653</v>
      </c>
      <c r="I2" s="254" t="s">
        <v>782</v>
      </c>
      <c r="J2" s="254" t="s">
        <v>225</v>
      </c>
      <c r="K2" s="254" t="s">
        <v>335</v>
      </c>
      <c r="L2" s="254" t="s">
        <v>653</v>
      </c>
      <c r="M2" s="254" t="s">
        <v>337</v>
      </c>
      <c r="N2" s="254" t="s">
        <v>176</v>
      </c>
      <c r="O2" s="254" t="s">
        <v>430</v>
      </c>
      <c r="P2" s="254" t="s">
        <v>225</v>
      </c>
      <c r="Q2" s="254" t="s">
        <v>334</v>
      </c>
      <c r="R2" s="254" t="s">
        <v>653</v>
      </c>
      <c r="S2" s="254" t="s">
        <v>725</v>
      </c>
      <c r="T2" s="254" t="s">
        <v>726</v>
      </c>
    </row>
  </sheetData>
  <phoneticPr fontId="37"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V346"/>
  <sheetViews>
    <sheetView view="pageBreakPreview" zoomScale="85" zoomScaleNormal="100" zoomScaleSheetLayoutView="85" workbookViewId="0">
      <pane ySplit="9" topLeftCell="A10" activePane="bottomLeft" state="frozen"/>
      <selection activeCell="E43" sqref="E43"/>
      <selection pane="bottomLeft" activeCell="A10" sqref="A10"/>
    </sheetView>
  </sheetViews>
  <sheetFormatPr defaultRowHeight="12.75" outlineLevelRow="2" outlineLevelCol="1"/>
  <cols>
    <col min="1" max="1" width="2.7109375" style="26" customWidth="1"/>
    <col min="2" max="2" width="6.85546875" style="26" customWidth="1"/>
    <col min="3" max="3" width="1.28515625" style="26" customWidth="1"/>
    <col min="4" max="4" width="5.42578125" style="26" customWidth="1"/>
    <col min="5" max="5" width="2.140625" style="26" customWidth="1"/>
    <col min="6" max="6" width="5.85546875" style="26" customWidth="1"/>
    <col min="7" max="7" width="2.140625" style="26" customWidth="1"/>
    <col min="8" max="8" width="6.7109375" style="26" customWidth="1"/>
    <col min="9" max="9" width="1.7109375" style="26" customWidth="1"/>
    <col min="10" max="10" width="6.42578125" style="26" customWidth="1"/>
    <col min="11" max="11" width="4.28515625" style="26" customWidth="1"/>
    <col min="12" max="12" width="5.85546875" style="26" customWidth="1"/>
    <col min="13" max="13" width="1.28515625" style="26" customWidth="1"/>
    <col min="14" max="14" width="7" style="26" customWidth="1"/>
    <col min="15" max="15" width="1.7109375" style="26" customWidth="1"/>
    <col min="16" max="16" width="6.5703125" style="26" customWidth="1"/>
    <col min="17" max="17" width="4" style="26" customWidth="1"/>
    <col min="18" max="18" width="1.28515625" style="26" customWidth="1"/>
    <col min="19" max="19" width="8.140625" style="26" customWidth="1"/>
    <col min="20" max="20" width="1.5703125" style="26" customWidth="1"/>
    <col min="21" max="21" width="6.42578125" style="26" customWidth="1"/>
    <col min="22" max="22" width="1.28515625" style="26" customWidth="1"/>
    <col min="23" max="23" width="6" style="26" customWidth="1"/>
    <col min="24" max="25" width="1.7109375" style="26" customWidth="1"/>
    <col min="26" max="26" width="6.42578125" style="26" customWidth="1"/>
    <col min="27" max="27" width="1.7109375" style="26" customWidth="1"/>
    <col min="28" max="28" width="6.5703125" style="26" customWidth="1"/>
    <col min="29" max="29" width="1.28515625" style="26" customWidth="1"/>
    <col min="30" max="30" width="7.42578125" style="26" customWidth="1"/>
    <col min="31" max="31" width="1.7109375" style="26" customWidth="1"/>
    <col min="32" max="32" width="7" style="26" customWidth="1"/>
    <col min="33" max="33" width="4" style="26" customWidth="1"/>
    <col min="34" max="34" width="1.140625" style="26" customWidth="1"/>
    <col min="35" max="35" width="8.140625" style="26" customWidth="1"/>
    <col min="36" max="36" width="1.28515625" style="26" customWidth="1"/>
    <col min="37" max="37" width="8.140625" style="26" customWidth="1"/>
    <col min="38" max="38" width="1.28515625" style="26" customWidth="1"/>
    <col min="39" max="39" width="6.140625" style="26" customWidth="1"/>
    <col min="40" max="40" width="1.7109375" style="26" customWidth="1"/>
    <col min="41" max="44" width="9.140625" style="26"/>
    <col min="45" max="45" width="2.140625" style="26" customWidth="1"/>
    <col min="46" max="49" width="0" style="26" hidden="1" customWidth="1" outlineLevel="1"/>
    <col min="50" max="50" width="9.140625" style="26" collapsed="1"/>
    <col min="51" max="16384" width="9.140625" style="26"/>
  </cols>
  <sheetData>
    <row r="1" spans="1:256">
      <c r="A1" s="28" t="s">
        <v>691</v>
      </c>
      <c r="B1" s="72"/>
      <c r="C1" s="28"/>
      <c r="D1" s="28"/>
      <c r="E1" s="42"/>
      <c r="F1" s="28"/>
      <c r="G1" s="28"/>
      <c r="H1" s="28"/>
      <c r="I1" s="42"/>
      <c r="J1" s="46"/>
      <c r="K1" s="46"/>
      <c r="L1" s="46"/>
      <c r="M1" s="47"/>
      <c r="N1" s="46"/>
      <c r="O1" s="42"/>
      <c r="P1" s="46"/>
      <c r="Q1" s="46"/>
      <c r="R1" s="47"/>
      <c r="S1" s="324"/>
      <c r="T1" s="46"/>
      <c r="U1" s="47"/>
      <c r="V1" s="47"/>
      <c r="W1" s="46"/>
      <c r="X1" s="136"/>
      <c r="Y1" s="46"/>
      <c r="Z1" s="46"/>
      <c r="AA1" s="46"/>
      <c r="AB1" s="46"/>
      <c r="AC1" s="47"/>
      <c r="AD1" s="46"/>
      <c r="AE1" s="47"/>
      <c r="AF1" s="46"/>
      <c r="AG1" s="46"/>
      <c r="AH1" s="47"/>
      <c r="AI1" s="46"/>
      <c r="AJ1" s="46"/>
      <c r="AK1" s="47"/>
      <c r="AL1" s="47"/>
      <c r="AM1" s="46"/>
      <c r="AN1" s="136"/>
      <c r="AO1" s="46"/>
      <c r="AP1" s="46"/>
      <c r="AQ1" s="46"/>
      <c r="AR1" s="46"/>
      <c r="AS1" s="46"/>
      <c r="AT1" s="46"/>
    </row>
    <row r="2" spans="1:256">
      <c r="A2" s="147" t="s">
        <v>710</v>
      </c>
      <c r="B2" s="73"/>
      <c r="C2" s="29"/>
      <c r="D2" s="29"/>
      <c r="E2" s="43"/>
      <c r="F2" s="29"/>
      <c r="G2" s="29"/>
      <c r="H2" s="29"/>
      <c r="I2" s="43"/>
      <c r="J2" s="29"/>
      <c r="K2" s="29"/>
      <c r="L2" s="29"/>
      <c r="M2" s="43"/>
      <c r="N2" s="29"/>
      <c r="O2" s="43"/>
      <c r="P2" s="29"/>
      <c r="Q2" s="29"/>
      <c r="R2" s="43"/>
      <c r="S2" s="325"/>
      <c r="T2" s="29"/>
      <c r="U2" s="43"/>
      <c r="V2" s="43"/>
      <c r="W2" s="29"/>
      <c r="X2" s="91"/>
      <c r="Y2" s="29"/>
      <c r="Z2" s="29"/>
      <c r="AA2" s="29"/>
      <c r="AB2" s="29"/>
      <c r="AC2" s="43"/>
      <c r="AD2" s="29"/>
      <c r="AE2" s="43"/>
      <c r="AF2" s="29"/>
      <c r="AG2" s="29"/>
      <c r="AH2" s="43"/>
      <c r="AI2" s="29"/>
      <c r="AJ2" s="29"/>
      <c r="AK2" s="43"/>
      <c r="AL2" s="43"/>
      <c r="AM2" s="29"/>
      <c r="AN2" s="136"/>
      <c r="AO2" s="46"/>
      <c r="AP2" s="46"/>
      <c r="AQ2" s="46"/>
      <c r="AR2" s="46"/>
      <c r="AS2" s="46"/>
      <c r="AT2" s="46"/>
    </row>
    <row r="3" spans="1:256">
      <c r="B3" s="218"/>
      <c r="X3" s="107"/>
      <c r="AN3" s="107"/>
    </row>
    <row r="4" spans="1:256">
      <c r="B4" s="218"/>
      <c r="X4" s="107"/>
      <c r="AN4" s="107"/>
    </row>
    <row r="5" spans="1:256">
      <c r="B5" s="218"/>
      <c r="J5" s="679" t="s">
        <v>363</v>
      </c>
      <c r="K5" s="680"/>
      <c r="L5" s="680"/>
      <c r="M5" s="680"/>
      <c r="N5" s="680"/>
      <c r="O5" s="680"/>
      <c r="P5" s="680"/>
      <c r="Q5" s="680"/>
      <c r="R5" s="680"/>
      <c r="S5" s="680"/>
      <c r="T5" s="680"/>
      <c r="U5" s="680"/>
      <c r="V5" s="680"/>
      <c r="W5" s="680"/>
      <c r="X5" s="681"/>
      <c r="Z5" s="679" t="s">
        <v>48</v>
      </c>
      <c r="AA5" s="680"/>
      <c r="AB5" s="680"/>
      <c r="AC5" s="680"/>
      <c r="AD5" s="680"/>
      <c r="AE5" s="680"/>
      <c r="AF5" s="680"/>
      <c r="AG5" s="680"/>
      <c r="AH5" s="680"/>
      <c r="AI5" s="680"/>
      <c r="AJ5" s="680"/>
      <c r="AK5" s="680"/>
      <c r="AL5" s="680"/>
      <c r="AM5" s="680"/>
      <c r="AN5" s="681"/>
    </row>
    <row r="6" spans="1:256">
      <c r="B6" s="218"/>
      <c r="D6" s="29"/>
      <c r="E6" s="91" t="s">
        <v>64</v>
      </c>
      <c r="F6" s="29"/>
      <c r="H6" s="44" t="s">
        <v>103</v>
      </c>
      <c r="P6" s="682" t="s">
        <v>114</v>
      </c>
      <c r="Q6" s="682"/>
      <c r="S6" s="120"/>
      <c r="T6" s="120"/>
      <c r="U6" s="29" t="s">
        <v>33</v>
      </c>
      <c r="V6" s="120"/>
      <c r="W6" s="120"/>
      <c r="X6" s="107"/>
      <c r="AF6" s="682" t="s">
        <v>114</v>
      </c>
      <c r="AG6" s="682"/>
      <c r="AI6" s="120"/>
      <c r="AJ6" s="120"/>
      <c r="AK6" s="91" t="s">
        <v>362</v>
      </c>
      <c r="AL6" s="120"/>
      <c r="AM6" s="120"/>
      <c r="AN6" s="107"/>
      <c r="AT6" s="683" t="s">
        <v>98</v>
      </c>
    </row>
    <row r="7" spans="1:256">
      <c r="B7" s="218"/>
      <c r="D7" s="44"/>
      <c r="E7" s="44"/>
      <c r="F7" s="44" t="s">
        <v>102</v>
      </c>
      <c r="G7" s="44"/>
      <c r="H7" s="91" t="s">
        <v>104</v>
      </c>
      <c r="J7" s="91"/>
      <c r="K7" s="91" t="s">
        <v>109</v>
      </c>
      <c r="L7" s="91"/>
      <c r="N7" s="44" t="s">
        <v>112</v>
      </c>
      <c r="P7" s="682" t="s">
        <v>115</v>
      </c>
      <c r="Q7" s="682"/>
      <c r="U7" s="44" t="s">
        <v>119</v>
      </c>
      <c r="W7" s="44" t="s">
        <v>121</v>
      </c>
      <c r="X7" s="107"/>
      <c r="Z7" s="91"/>
      <c r="AA7" s="91" t="s">
        <v>414</v>
      </c>
      <c r="AB7" s="91"/>
      <c r="AC7" s="44"/>
      <c r="AD7" s="44" t="s">
        <v>112</v>
      </c>
      <c r="AF7" s="682" t="s">
        <v>115</v>
      </c>
      <c r="AG7" s="682"/>
      <c r="AK7" s="44" t="s">
        <v>119</v>
      </c>
      <c r="AM7" s="44" t="s">
        <v>121</v>
      </c>
      <c r="AN7" s="107"/>
      <c r="AT7" s="683" t="s">
        <v>24</v>
      </c>
    </row>
    <row r="8" spans="1:256">
      <c r="B8" s="218"/>
      <c r="D8" s="91" t="s">
        <v>101</v>
      </c>
      <c r="E8" s="44"/>
      <c r="F8" s="91" t="s">
        <v>79</v>
      </c>
      <c r="G8" s="44"/>
      <c r="H8" s="44" t="s">
        <v>105</v>
      </c>
      <c r="J8" s="91" t="s">
        <v>101</v>
      </c>
      <c r="K8" s="44"/>
      <c r="L8" s="91" t="s">
        <v>96</v>
      </c>
      <c r="N8" s="91" t="s">
        <v>576</v>
      </c>
      <c r="P8" s="684" t="s">
        <v>116</v>
      </c>
      <c r="Q8" s="684"/>
      <c r="S8" s="91" t="s">
        <v>101</v>
      </c>
      <c r="U8" s="91" t="s">
        <v>98</v>
      </c>
      <c r="W8" s="91" t="s">
        <v>99</v>
      </c>
      <c r="X8" s="107"/>
      <c r="Z8" s="91" t="s">
        <v>101</v>
      </c>
      <c r="AA8" s="44"/>
      <c r="AB8" s="91" t="s">
        <v>96</v>
      </c>
      <c r="AC8" s="44"/>
      <c r="AD8" s="91" t="s">
        <v>576</v>
      </c>
      <c r="AF8" s="684" t="s">
        <v>361</v>
      </c>
      <c r="AG8" s="684"/>
      <c r="AI8" s="91" t="s">
        <v>101</v>
      </c>
      <c r="AK8" s="91" t="s">
        <v>356</v>
      </c>
      <c r="AM8" s="91" t="s">
        <v>99</v>
      </c>
      <c r="AN8" s="107"/>
      <c r="AT8" s="28">
        <v>600</v>
      </c>
    </row>
    <row r="9" spans="1:256">
      <c r="B9" s="218"/>
      <c r="D9" s="685" t="s">
        <v>107</v>
      </c>
      <c r="E9" s="44"/>
      <c r="F9" s="685" t="s">
        <v>108</v>
      </c>
      <c r="G9" s="44"/>
      <c r="H9" s="685" t="s">
        <v>106</v>
      </c>
      <c r="J9" s="685" t="s">
        <v>110</v>
      </c>
      <c r="K9" s="44"/>
      <c r="L9" s="685" t="s">
        <v>111</v>
      </c>
      <c r="N9" s="685" t="s">
        <v>113</v>
      </c>
      <c r="P9" s="686" t="s">
        <v>117</v>
      </c>
      <c r="Q9" s="686"/>
      <c r="S9" s="685" t="s">
        <v>118</v>
      </c>
      <c r="U9" s="685" t="s">
        <v>120</v>
      </c>
      <c r="W9" s="685" t="s">
        <v>122</v>
      </c>
      <c r="X9" s="107"/>
      <c r="Z9" s="685" t="s">
        <v>353</v>
      </c>
      <c r="AA9" s="44"/>
      <c r="AB9" s="685" t="s">
        <v>354</v>
      </c>
      <c r="AC9" s="44"/>
      <c r="AD9" s="685" t="s">
        <v>355</v>
      </c>
      <c r="AF9" s="686" t="s">
        <v>357</v>
      </c>
      <c r="AG9" s="686"/>
      <c r="AI9" s="685" t="s">
        <v>358</v>
      </c>
      <c r="AK9" s="685" t="s">
        <v>359</v>
      </c>
      <c r="AM9" s="685" t="s">
        <v>360</v>
      </c>
      <c r="AN9" s="107"/>
    </row>
    <row r="10" spans="1:256">
      <c r="A10" s="28"/>
      <c r="B10" s="28"/>
      <c r="C10" s="28"/>
      <c r="D10" s="28"/>
      <c r="E10" s="28"/>
      <c r="F10" s="28"/>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c r="BV10" s="28"/>
      <c r="BW10" s="28"/>
      <c r="BX10" s="28"/>
      <c r="BY10" s="28"/>
      <c r="BZ10" s="28"/>
      <c r="CA10" s="28"/>
      <c r="CB10" s="28"/>
      <c r="CC10" s="28"/>
      <c r="CD10" s="28"/>
      <c r="CE10" s="28"/>
      <c r="CF10" s="28"/>
      <c r="CG10" s="28"/>
      <c r="CH10" s="28"/>
      <c r="CI10" s="28"/>
      <c r="CJ10" s="28"/>
      <c r="CK10" s="28"/>
      <c r="CL10" s="28"/>
      <c r="CM10" s="28"/>
      <c r="CN10" s="28"/>
      <c r="CO10" s="28"/>
      <c r="CP10" s="28"/>
      <c r="CQ10" s="28"/>
      <c r="CR10" s="28"/>
      <c r="CS10" s="28"/>
      <c r="CT10" s="28"/>
      <c r="CU10" s="28"/>
      <c r="CV10" s="28"/>
      <c r="CW10" s="28"/>
      <c r="CX10" s="28"/>
      <c r="CY10" s="28"/>
      <c r="CZ10" s="28"/>
      <c r="DA10" s="28"/>
      <c r="DB10" s="28"/>
      <c r="DC10" s="28"/>
      <c r="DD10" s="28"/>
      <c r="DE10" s="28"/>
      <c r="DF10" s="28"/>
      <c r="DG10" s="28"/>
      <c r="DH10" s="28"/>
      <c r="DI10" s="28"/>
      <c r="DJ10" s="28"/>
      <c r="DK10" s="28"/>
      <c r="DL10" s="28"/>
      <c r="DM10" s="28"/>
      <c r="DN10" s="28"/>
      <c r="DO10" s="28"/>
      <c r="DP10" s="28"/>
      <c r="DQ10" s="28"/>
      <c r="DR10" s="28"/>
      <c r="DS10" s="28"/>
      <c r="DT10" s="28"/>
      <c r="DU10" s="28"/>
      <c r="DV10" s="28"/>
      <c r="DW10" s="28"/>
      <c r="DX10" s="28"/>
      <c r="DY10" s="28"/>
      <c r="DZ10" s="28"/>
      <c r="EA10" s="28"/>
      <c r="EB10" s="28"/>
      <c r="EC10" s="28"/>
      <c r="ED10" s="28"/>
      <c r="EE10" s="28"/>
      <c r="EF10" s="28"/>
      <c r="EG10" s="28"/>
      <c r="EH10" s="28"/>
      <c r="EI10" s="28"/>
      <c r="EJ10" s="28"/>
      <c r="EK10" s="28"/>
      <c r="EL10" s="28"/>
      <c r="EM10" s="28"/>
      <c r="EN10" s="28"/>
      <c r="EO10" s="28"/>
      <c r="EP10" s="28"/>
      <c r="EQ10" s="28"/>
      <c r="ER10" s="28"/>
      <c r="ES10" s="28"/>
      <c r="ET10" s="28"/>
      <c r="EU10" s="28"/>
      <c r="EV10" s="28"/>
      <c r="EW10" s="28"/>
      <c r="EX10" s="28"/>
      <c r="EY10" s="28"/>
      <c r="EZ10" s="28"/>
      <c r="FA10" s="28"/>
      <c r="FB10" s="28"/>
      <c r="FC10" s="28"/>
      <c r="FD10" s="28"/>
      <c r="FE10" s="28"/>
      <c r="FF10" s="28"/>
      <c r="FG10" s="28"/>
      <c r="FH10" s="28"/>
      <c r="FI10" s="28"/>
      <c r="FJ10" s="28"/>
      <c r="FK10" s="28"/>
      <c r="FL10" s="28"/>
      <c r="FM10" s="28"/>
      <c r="FN10" s="28"/>
      <c r="FO10" s="28"/>
      <c r="FP10" s="28"/>
      <c r="FQ10" s="28"/>
      <c r="FR10" s="28"/>
      <c r="FS10" s="28"/>
      <c r="FT10" s="28"/>
      <c r="FU10" s="28"/>
      <c r="FV10" s="28"/>
      <c r="FW10" s="28"/>
      <c r="FX10" s="28"/>
      <c r="FY10" s="28"/>
      <c r="FZ10" s="28"/>
      <c r="GA10" s="28"/>
      <c r="GB10" s="28"/>
      <c r="GC10" s="28"/>
      <c r="GD10" s="28"/>
      <c r="GE10" s="28"/>
      <c r="GF10" s="28"/>
      <c r="GG10" s="28"/>
      <c r="GH10" s="28"/>
      <c r="GI10" s="28"/>
      <c r="GJ10" s="28"/>
      <c r="GK10" s="28"/>
      <c r="GL10" s="28"/>
      <c r="GM10" s="28"/>
      <c r="GN10" s="28"/>
      <c r="GO10" s="28"/>
      <c r="GP10" s="28"/>
      <c r="GQ10" s="28"/>
      <c r="GR10" s="28"/>
      <c r="GS10" s="28"/>
      <c r="GT10" s="28"/>
      <c r="GU10" s="28"/>
      <c r="GV10" s="28"/>
      <c r="GW10" s="28"/>
      <c r="GX10" s="28"/>
      <c r="GY10" s="28"/>
      <c r="GZ10" s="28"/>
      <c r="HA10" s="28"/>
      <c r="HB10" s="28"/>
      <c r="HC10" s="28"/>
      <c r="HD10" s="28"/>
      <c r="HE10" s="28"/>
      <c r="HF10" s="28"/>
      <c r="HG10" s="28"/>
      <c r="HH10" s="28"/>
      <c r="HI10" s="28"/>
      <c r="HJ10" s="28"/>
      <c r="HK10" s="28"/>
      <c r="HL10" s="28"/>
      <c r="HM10" s="28"/>
      <c r="HN10" s="28"/>
      <c r="HO10" s="28"/>
      <c r="HP10" s="28"/>
      <c r="HQ10" s="28"/>
      <c r="HR10" s="28"/>
      <c r="HS10" s="28"/>
      <c r="HT10" s="28"/>
      <c r="HU10" s="28"/>
      <c r="HV10" s="28"/>
      <c r="HW10" s="28"/>
      <c r="HX10" s="28"/>
      <c r="HY10" s="28"/>
      <c r="HZ10" s="28"/>
      <c r="IA10" s="28"/>
      <c r="IB10" s="28"/>
      <c r="IC10" s="28"/>
      <c r="ID10" s="28"/>
      <c r="IE10" s="28"/>
      <c r="IF10" s="28"/>
      <c r="IG10" s="28"/>
      <c r="IH10" s="28"/>
      <c r="II10" s="28"/>
      <c r="IJ10" s="28"/>
      <c r="IK10" s="28"/>
      <c r="IL10" s="28"/>
      <c r="IM10" s="28"/>
      <c r="IN10" s="28"/>
      <c r="IO10" s="28"/>
      <c r="IP10" s="28"/>
      <c r="IQ10" s="28"/>
      <c r="IR10" s="28"/>
      <c r="IS10" s="28"/>
      <c r="IT10" s="28"/>
      <c r="IU10" s="28"/>
      <c r="IV10" s="28"/>
    </row>
    <row r="11" spans="1:256" ht="12" customHeight="1">
      <c r="A11" s="28" t="s">
        <v>723</v>
      </c>
      <c r="B11" s="1073"/>
      <c r="C11" s="137"/>
      <c r="D11" s="728"/>
      <c r="E11" s="137"/>
      <c r="F11" s="762"/>
      <c r="G11" s="137"/>
      <c r="H11" s="728"/>
      <c r="I11" s="137"/>
      <c r="J11" s="733"/>
      <c r="K11" s="137"/>
      <c r="L11" s="734"/>
      <c r="M11" s="137"/>
      <c r="N11" s="728"/>
      <c r="O11" s="735"/>
      <c r="P11" s="731"/>
      <c r="Q11" s="220"/>
      <c r="R11" s="137"/>
      <c r="S11" s="725"/>
      <c r="T11" s="137"/>
      <c r="U11" s="751"/>
      <c r="V11" s="137"/>
      <c r="W11" s="708"/>
      <c r="X11" s="735"/>
      <c r="Y11" s="137"/>
      <c r="Z11" s="137"/>
      <c r="AA11" s="137"/>
      <c r="AB11" s="732"/>
      <c r="AC11" s="137"/>
      <c r="AD11" s="728"/>
      <c r="AE11" s="735"/>
      <c r="AF11" s="731"/>
      <c r="AG11" s="220"/>
      <c r="AH11" s="137"/>
      <c r="AI11" s="725"/>
      <c r="AJ11" s="137"/>
      <c r="AK11" s="752"/>
      <c r="AL11" s="137"/>
      <c r="AM11" s="708"/>
      <c r="AN11" s="735"/>
      <c r="AO11" s="137"/>
      <c r="AP11" s="726"/>
      <c r="AQ11" s="310"/>
      <c r="AR11" s="220"/>
      <c r="AS11" s="137"/>
      <c r="AT11" s="137"/>
      <c r="AU11" s="137"/>
      <c r="AV11" s="137"/>
      <c r="AW11" s="137"/>
    </row>
    <row r="12" spans="1:256" ht="12.75" customHeight="1">
      <c r="A12" s="147" t="s">
        <v>710</v>
      </c>
      <c r="B12" s="1116"/>
      <c r="C12" s="642"/>
      <c r="D12" s="744"/>
      <c r="E12" s="642"/>
      <c r="F12" s="759"/>
      <c r="G12" s="642"/>
      <c r="H12" s="744"/>
      <c r="I12" s="642"/>
      <c r="J12" s="738"/>
      <c r="K12" s="642"/>
      <c r="L12" s="736"/>
      <c r="M12" s="642"/>
      <c r="N12" s="744"/>
      <c r="O12" s="1117"/>
      <c r="P12" s="736"/>
      <c r="Q12" s="642"/>
      <c r="R12" s="642"/>
      <c r="S12" s="777"/>
      <c r="T12" s="642"/>
      <c r="U12" s="1118"/>
      <c r="V12" s="642"/>
      <c r="W12" s="759"/>
      <c r="X12" s="1117"/>
      <c r="Y12" s="642"/>
      <c r="Z12" s="642"/>
      <c r="AA12" s="642"/>
      <c r="AB12" s="760"/>
      <c r="AC12" s="642"/>
      <c r="AD12" s="744"/>
      <c r="AE12" s="1117"/>
      <c r="AF12" s="736"/>
      <c r="AG12" s="642"/>
      <c r="AH12" s="642"/>
      <c r="AI12" s="777"/>
      <c r="AJ12" s="642"/>
      <c r="AK12" s="1119"/>
      <c r="AL12" s="642"/>
      <c r="AM12" s="759"/>
      <c r="AN12" s="735"/>
      <c r="AO12" s="137"/>
      <c r="AP12" s="726"/>
      <c r="AQ12" s="310"/>
      <c r="AR12" s="220"/>
      <c r="AS12" s="137"/>
      <c r="AT12" s="137"/>
      <c r="AU12" s="137"/>
      <c r="AV12" s="137"/>
      <c r="AW12" s="137"/>
    </row>
    <row r="13" spans="1:256" ht="11.25" hidden="1" customHeight="1" outlineLevel="2">
      <c r="A13" s="687"/>
      <c r="B13" s="688">
        <v>1994</v>
      </c>
      <c r="P13" s="122"/>
      <c r="Q13" s="122"/>
      <c r="X13" s="107"/>
      <c r="AF13" s="122"/>
      <c r="AG13" s="122"/>
      <c r="AN13" s="107"/>
    </row>
    <row r="14" spans="1:256" ht="11.25" hidden="1" customHeight="1" outlineLevel="2">
      <c r="A14" s="26" t="str">
        <f>'qtrP&amp;L'!A10</f>
        <v>1Q</v>
      </c>
      <c r="B14" s="218" t="str">
        <f>'qtrP&amp;L'!B10</f>
        <v>Apr</v>
      </c>
      <c r="D14" s="689">
        <f>+'qtrP&amp;L'!E10</f>
        <v>29.078859566465098</v>
      </c>
      <c r="E14" s="107" t="s">
        <v>576</v>
      </c>
      <c r="F14" s="690">
        <f>+'qtrP&amp;L'!F10</f>
        <v>3.9</v>
      </c>
      <c r="G14" s="107" t="s">
        <v>576</v>
      </c>
      <c r="H14" s="689">
        <f>D14-F14</f>
        <v>25.1788595664651</v>
      </c>
      <c r="I14" s="107" t="s">
        <v>576</v>
      </c>
      <c r="J14" s="45"/>
      <c r="L14" s="691" t="s">
        <v>371</v>
      </c>
      <c r="P14" s="122"/>
      <c r="Q14" s="122"/>
      <c r="S14" s="692">
        <v>13.92159</v>
      </c>
      <c r="U14" s="693" t="e">
        <f>S14/L14</f>
        <v>#VALUE!</v>
      </c>
      <c r="X14" s="107"/>
      <c r="Z14" s="694"/>
      <c r="AB14" s="694"/>
      <c r="AF14" s="122"/>
      <c r="AG14" s="122"/>
      <c r="AI14" s="692">
        <f>+S14</f>
        <v>13.92159</v>
      </c>
      <c r="AK14" s="695" t="e">
        <f>AI14/AB14</f>
        <v>#DIV/0!</v>
      </c>
      <c r="AN14" s="107"/>
    </row>
    <row r="15" spans="1:256" ht="11.25" hidden="1" customHeight="1" outlineLevel="2">
      <c r="A15" s="26" t="str">
        <f>'qtrP&amp;L'!A11</f>
        <v>2Q</v>
      </c>
      <c r="B15" s="218" t="str">
        <f>'qtrP&amp;L'!B11</f>
        <v>Jul</v>
      </c>
      <c r="D15" s="689">
        <f>+'qtrP&amp;L'!E11</f>
        <v>46.033357985211978</v>
      </c>
      <c r="F15" s="690">
        <f>+'qtrP&amp;L'!F11</f>
        <v>-1.8</v>
      </c>
      <c r="H15" s="689">
        <f>D15-F15</f>
        <v>47.833357985211975</v>
      </c>
      <c r="J15" s="45"/>
      <c r="L15" s="26" t="e">
        <f>AVERAGE(J15,J14)</f>
        <v>#DIV/0!</v>
      </c>
      <c r="P15" s="122"/>
      <c r="Q15" s="122"/>
      <c r="S15" s="696">
        <v>15.980499000000002</v>
      </c>
      <c r="U15" s="697" t="e">
        <f>S15/L15</f>
        <v>#DIV/0!</v>
      </c>
      <c r="X15" s="107"/>
      <c r="Z15" s="694"/>
      <c r="AB15" s="694" t="e">
        <f>AVERAGE(Z15,Z14)</f>
        <v>#DIV/0!</v>
      </c>
      <c r="AF15" s="122"/>
      <c r="AG15" s="122"/>
      <c r="AI15" s="696">
        <f>+S15</f>
        <v>15.980499000000002</v>
      </c>
      <c r="AK15" s="698" t="e">
        <f>AI15/AB15</f>
        <v>#DIV/0!</v>
      </c>
      <c r="AN15" s="107"/>
    </row>
    <row r="16" spans="1:256" ht="11.25" hidden="1" customHeight="1" outlineLevel="2">
      <c r="A16" s="26" t="str">
        <f>'qtrP&amp;L'!A12</f>
        <v>3Q</v>
      </c>
      <c r="B16" s="218" t="str">
        <f>'qtrP&amp;L'!B12</f>
        <v>Oct</v>
      </c>
      <c r="D16" s="689">
        <f>+'qtrP&amp;L'!E12</f>
        <v>27.748213412697464</v>
      </c>
      <c r="F16" s="690">
        <f>+'qtrP&amp;L'!F12</f>
        <v>-14</v>
      </c>
      <c r="H16" s="689">
        <f>D16-F16</f>
        <v>41.748213412697467</v>
      </c>
      <c r="J16" s="45"/>
      <c r="L16" s="699" t="e">
        <f>AVERAGE(J16,J15)</f>
        <v>#DIV/0!</v>
      </c>
      <c r="P16" s="122"/>
      <c r="Q16" s="122"/>
      <c r="S16" s="696">
        <v>15.275765999999999</v>
      </c>
      <c r="U16" s="697" t="e">
        <f>S16/L16</f>
        <v>#DIV/0!</v>
      </c>
      <c r="X16" s="107"/>
      <c r="Z16" s="694"/>
      <c r="AB16" s="694" t="e">
        <f>AVERAGE(Z16,Z15)</f>
        <v>#DIV/0!</v>
      </c>
      <c r="AF16" s="122"/>
      <c r="AG16" s="122"/>
      <c r="AI16" s="696">
        <f>+S16</f>
        <v>15.275765999999999</v>
      </c>
      <c r="AK16" s="698" t="e">
        <f>AI16/AB16</f>
        <v>#DIV/0!</v>
      </c>
      <c r="AN16" s="107"/>
    </row>
    <row r="17" spans="1:46" ht="11.25" hidden="1" customHeight="1" outlineLevel="2">
      <c r="A17" s="26" t="str">
        <f>'qtrP&amp;L'!A13</f>
        <v>4Q</v>
      </c>
      <c r="B17" s="218" t="str">
        <f>'qtrP&amp;L'!B13</f>
        <v>Jan</v>
      </c>
      <c r="D17" s="643">
        <f>+'qtrP&amp;L'!E13</f>
        <v>7.1823528369426848</v>
      </c>
      <c r="F17" s="700">
        <f>+'qtrP&amp;L'!F13</f>
        <v>-15.9</v>
      </c>
      <c r="H17" s="643">
        <f>D17-F17</f>
        <v>23.082352836942686</v>
      </c>
      <c r="J17" s="494">
        <f>+yrSales!B40</f>
        <v>121</v>
      </c>
      <c r="L17" s="662">
        <f>AVERAGE(J17,J16)</f>
        <v>121</v>
      </c>
      <c r="N17" s="120"/>
      <c r="P17" s="122"/>
      <c r="Q17" s="122"/>
      <c r="S17" s="701">
        <v>14.093592999999995</v>
      </c>
      <c r="U17" s="702">
        <f>S17/L17</f>
        <v>0.11647597520661153</v>
      </c>
      <c r="X17" s="107"/>
      <c r="Z17" s="694">
        <f>+turn!AB14</f>
        <v>0.19275899999999999</v>
      </c>
      <c r="AB17" s="703">
        <f>AVERAGE(Z17,Z16)</f>
        <v>0.19275899999999999</v>
      </c>
      <c r="AD17" s="120"/>
      <c r="AF17" s="122"/>
      <c r="AG17" s="122"/>
      <c r="AI17" s="701">
        <f>+S17</f>
        <v>14.093592999999995</v>
      </c>
      <c r="AK17" s="704">
        <f>AI17/AB17</f>
        <v>73.115097090148822</v>
      </c>
      <c r="AN17" s="107"/>
    </row>
    <row r="18" spans="1:46" ht="11.25" hidden="1" customHeight="1" outlineLevel="2">
      <c r="B18" s="218" t="str">
        <f>'qtrP&amp;L'!B14</f>
        <v>Year</v>
      </c>
      <c r="D18" s="689">
        <f>+'qtrP&amp;L'!E14</f>
        <v>26.553015995146055</v>
      </c>
      <c r="F18" s="690">
        <f>+'qtrP&amp;L'!F14</f>
        <v>-7.4</v>
      </c>
      <c r="H18" s="689">
        <f>D18-F18</f>
        <v>33.953015995146053</v>
      </c>
      <c r="L18" s="699" t="e">
        <f>AVERAGE(L14:L17)</f>
        <v>#DIV/0!</v>
      </c>
      <c r="P18" s="122"/>
      <c r="Q18" s="122"/>
      <c r="S18" s="692">
        <f>SUM(S14:S17)</f>
        <v>59.271447999999992</v>
      </c>
      <c r="U18" s="693" t="e">
        <f>SUM(U14:U17)</f>
        <v>#VALUE!</v>
      </c>
      <c r="X18" s="107"/>
      <c r="AB18" s="694" t="e">
        <f>AVERAGE(AB14:AB17)</f>
        <v>#DIV/0!</v>
      </c>
      <c r="AF18" s="122"/>
      <c r="AG18" s="122"/>
      <c r="AI18" s="692">
        <f>SUM(AI14:AI17)</f>
        <v>59.271447999999992</v>
      </c>
      <c r="AK18" s="695" t="e">
        <f>SUM(AK14:AK17)</f>
        <v>#DIV/0!</v>
      </c>
      <c r="AN18" s="107"/>
    </row>
    <row r="19" spans="1:46" ht="11.25" hidden="1" customHeight="1" outlineLevel="2">
      <c r="B19" s="218"/>
      <c r="P19" s="122"/>
      <c r="Q19" s="122"/>
      <c r="X19" s="107"/>
      <c r="AF19" s="122"/>
      <c r="AG19" s="122"/>
      <c r="AN19" s="107"/>
    </row>
    <row r="20" spans="1:46" ht="11.25" hidden="1" customHeight="1" outlineLevel="2">
      <c r="A20" s="705"/>
      <c r="B20" s="706">
        <f>B13+1</f>
        <v>1995</v>
      </c>
      <c r="P20" s="122"/>
      <c r="Q20" s="122"/>
      <c r="X20" s="107"/>
      <c r="AF20" s="122"/>
      <c r="AG20" s="122"/>
      <c r="AN20" s="107"/>
    </row>
    <row r="21" spans="1:46" ht="11.25" hidden="1" customHeight="1" outlineLevel="2">
      <c r="A21" s="26" t="str">
        <f>$A$14</f>
        <v>1Q</v>
      </c>
      <c r="B21" s="218" t="str">
        <f>$B$14</f>
        <v>Apr</v>
      </c>
      <c r="D21" s="689">
        <f>(S21/S14-1)*100</f>
        <v>5.3038769278509035</v>
      </c>
      <c r="E21" s="107" t="s">
        <v>576</v>
      </c>
      <c r="F21" s="690">
        <f>'qtrP&amp;L'!J10</f>
        <v>-17.2</v>
      </c>
      <c r="G21" s="107" t="s">
        <v>576</v>
      </c>
      <c r="H21" s="689">
        <f>D21-F21</f>
        <v>22.503876927850904</v>
      </c>
      <c r="I21" s="107" t="s">
        <v>576</v>
      </c>
      <c r="J21" s="45">
        <v>125</v>
      </c>
      <c r="L21" s="26">
        <f>AVERAGE(J21,J17)</f>
        <v>123</v>
      </c>
      <c r="N21" s="689" t="e">
        <f>(L21/L14-1)*100</f>
        <v>#VALUE!</v>
      </c>
      <c r="O21" s="107" t="s">
        <v>576</v>
      </c>
      <c r="P21" s="655" t="e">
        <f>H21/N21*100</f>
        <v>#VALUE!</v>
      </c>
      <c r="Q21" s="122" t="s">
        <v>576</v>
      </c>
      <c r="S21" s="692">
        <v>14.659974</v>
      </c>
      <c r="U21" s="693">
        <f>S21/L21</f>
        <v>0.11918678048780487</v>
      </c>
      <c r="W21" s="690" t="e">
        <f>(U21/U14-1)*100</f>
        <v>#VALUE!</v>
      </c>
      <c r="X21" s="107" t="s">
        <v>576</v>
      </c>
      <c r="Z21" s="694">
        <f>+turn!AB18</f>
        <v>0.19925899999999999</v>
      </c>
      <c r="AB21" s="694">
        <f>AVERAGE(Z21,Z17)</f>
        <v>0.19600899999999999</v>
      </c>
      <c r="AD21" s="689" t="e">
        <f>(AB21/AB14-1)*100</f>
        <v>#DIV/0!</v>
      </c>
      <c r="AE21" s="107" t="s">
        <v>576</v>
      </c>
      <c r="AF21" s="655" t="e">
        <f>+H21/AD21*100</f>
        <v>#DIV/0!</v>
      </c>
      <c r="AG21" s="122" t="s">
        <v>576</v>
      </c>
      <c r="AI21" s="692">
        <f>+S21</f>
        <v>14.659974</v>
      </c>
      <c r="AK21" s="695">
        <f>AI21/AB21</f>
        <v>74.792351371620697</v>
      </c>
      <c r="AM21" s="690" t="e">
        <f>(AK21/AK14-1)*100</f>
        <v>#DIV/0!</v>
      </c>
      <c r="AN21" s="107" t="s">
        <v>576</v>
      </c>
      <c r="AT21" s="236">
        <f>+J21/$AT$8</f>
        <v>0.20833333333333334</v>
      </c>
    </row>
    <row r="22" spans="1:46" ht="11.25" hidden="1" customHeight="1" outlineLevel="2">
      <c r="A22" s="26" t="str">
        <f>$A$15</f>
        <v>2Q</v>
      </c>
      <c r="B22" s="218" t="str">
        <f>$B$15</f>
        <v>Jul</v>
      </c>
      <c r="D22" s="690">
        <f>(S22/S15-1)*100</f>
        <v>-2.8366010347987358</v>
      </c>
      <c r="F22" s="690">
        <f>'qtrP&amp;L'!J11</f>
        <v>-13.5</v>
      </c>
      <c r="H22" s="689">
        <f>D22-F22</f>
        <v>10.663398965201264</v>
      </c>
      <c r="I22" s="107"/>
      <c r="J22" s="45">
        <v>123</v>
      </c>
      <c r="L22" s="699">
        <f>AVERAGE(J22,J21)</f>
        <v>124</v>
      </c>
      <c r="N22" s="689" t="e">
        <f>(L22/L15-1)*100</f>
        <v>#DIV/0!</v>
      </c>
      <c r="O22" s="107"/>
      <c r="P22" s="655" t="e">
        <f>H22/N22*100</f>
        <v>#DIV/0!</v>
      </c>
      <c r="Q22" s="122"/>
      <c r="S22" s="696">
        <v>15.527196</v>
      </c>
      <c r="U22" s="697">
        <f>S22/L22</f>
        <v>0.12521932258064516</v>
      </c>
      <c r="W22" s="690" t="e">
        <f>(U22/U15-1)*100</f>
        <v>#DIV/0!</v>
      </c>
      <c r="X22" s="107"/>
      <c r="Z22" s="694">
        <f>+turn!AB19</f>
        <v>0.19600899999999999</v>
      </c>
      <c r="AB22" s="694">
        <f>AVERAGE(Z22,Z21)</f>
        <v>0.19763399999999998</v>
      </c>
      <c r="AD22" s="689" t="e">
        <f>(AB22/AB15-1)*100</f>
        <v>#DIV/0!</v>
      </c>
      <c r="AE22" s="107"/>
      <c r="AF22" s="655" t="e">
        <f>+H22/AD22*100</f>
        <v>#DIV/0!</v>
      </c>
      <c r="AG22" s="122"/>
      <c r="AI22" s="696">
        <f>+S22</f>
        <v>15.527196</v>
      </c>
      <c r="AK22" s="698">
        <f>AI22/AB22</f>
        <v>78.565408785937649</v>
      </c>
      <c r="AM22" s="690" t="e">
        <f>(AK22/AK15-1)*100</f>
        <v>#DIV/0!</v>
      </c>
      <c r="AN22" s="107"/>
      <c r="AT22" s="236">
        <f>+J22/$AT$8</f>
        <v>0.20499999999999999</v>
      </c>
    </row>
    <row r="23" spans="1:46" ht="11.25" hidden="1" customHeight="1" outlineLevel="2">
      <c r="A23" s="26" t="str">
        <f>$A$16</f>
        <v>3Q</v>
      </c>
      <c r="B23" s="218" t="str">
        <f>$B$16</f>
        <v>Oct</v>
      </c>
      <c r="D23" s="689">
        <f>(S23/S16-1)*100</f>
        <v>-4.3749033600004594E-2</v>
      </c>
      <c r="F23" s="690">
        <f>'qtrP&amp;L'!J12</f>
        <v>-8.1</v>
      </c>
      <c r="H23" s="689">
        <f>D23-F23</f>
        <v>8.0562509663999951</v>
      </c>
      <c r="I23" s="107"/>
      <c r="J23" s="45">
        <v>122</v>
      </c>
      <c r="L23" s="699">
        <f>AVERAGE(J23,J22)</f>
        <v>122.5</v>
      </c>
      <c r="N23" s="689" t="e">
        <f>(L23/L16-1)*100</f>
        <v>#DIV/0!</v>
      </c>
      <c r="O23" s="107"/>
      <c r="P23" s="655" t="e">
        <f>H23/N23*100</f>
        <v>#DIV/0!</v>
      </c>
      <c r="Q23" s="122"/>
      <c r="S23" s="696">
        <v>15.269083</v>
      </c>
      <c r="U23" s="697">
        <f>S23/L23</f>
        <v>0.12464557551020408</v>
      </c>
      <c r="W23" s="690" t="e">
        <f>(U23/U16-1)*100</f>
        <v>#DIV/0!</v>
      </c>
      <c r="X23" s="107"/>
      <c r="Z23" s="694">
        <f>+turn!AB20</f>
        <v>0.194384</v>
      </c>
      <c r="AB23" s="694">
        <f>AVERAGE(Z23,Z22)</f>
        <v>0.1951965</v>
      </c>
      <c r="AD23" s="689" t="e">
        <f>(AB23/AB16-1)*100</f>
        <v>#DIV/0!</v>
      </c>
      <c r="AE23" s="107"/>
      <c r="AF23" s="655" t="e">
        <f>+H23/AD23*100</f>
        <v>#DIV/0!</v>
      </c>
      <c r="AG23" s="122"/>
      <c r="AI23" s="696">
        <f>+S23</f>
        <v>15.269083</v>
      </c>
      <c r="AK23" s="698">
        <f>AI23/AB23</f>
        <v>78.224163855396995</v>
      </c>
      <c r="AM23" s="690" t="e">
        <f>(AK23/AK16-1)*100</f>
        <v>#DIV/0!</v>
      </c>
      <c r="AN23" s="107"/>
      <c r="AT23" s="236">
        <f>+J23/$AT$8</f>
        <v>0.20333333333333334</v>
      </c>
    </row>
    <row r="24" spans="1:46" ht="11.25" hidden="1" customHeight="1" outlineLevel="2">
      <c r="A24" s="26" t="str">
        <f>$A$17</f>
        <v>4Q</v>
      </c>
      <c r="B24" s="218" t="str">
        <f>$B$17</f>
        <v>Jan</v>
      </c>
      <c r="D24" s="643">
        <f>(S24/S17-1)*100</f>
        <v>5.6290968527330065</v>
      </c>
      <c r="F24" s="700">
        <f>'qtrP&amp;L'!J13</f>
        <v>0.2</v>
      </c>
      <c r="H24" s="643">
        <f>D24-F24</f>
        <v>5.4290968527330064</v>
      </c>
      <c r="I24" s="107"/>
      <c r="J24" s="494">
        <f>yrSales!C40</f>
        <v>123</v>
      </c>
      <c r="L24" s="662">
        <f>AVERAGE(J24,J23)</f>
        <v>122.5</v>
      </c>
      <c r="N24" s="643">
        <f>(L24/L17-1)*100</f>
        <v>1.2396694214876103</v>
      </c>
      <c r="O24" s="107"/>
      <c r="P24" s="662">
        <f>H24/N24*100</f>
        <v>437.94714612046005</v>
      </c>
      <c r="Q24" s="122"/>
      <c r="S24" s="701">
        <v>14.886934999999994</v>
      </c>
      <c r="U24" s="702">
        <f>S24/L24</f>
        <v>0.12152599999999995</v>
      </c>
      <c r="W24" s="700">
        <f>(U24/U17-1)*100</f>
        <v>4.3356793402505645</v>
      </c>
      <c r="X24" s="107"/>
      <c r="Z24" s="694">
        <f>+turn!AB21</f>
        <v>0.19770299999999999</v>
      </c>
      <c r="AB24" s="703">
        <f>AVERAGE(Z24,Z23)</f>
        <v>0.19604349999999998</v>
      </c>
      <c r="AD24" s="643">
        <f>(AB24/AB17-1)*100</f>
        <v>1.7039411908134072</v>
      </c>
      <c r="AE24" s="107"/>
      <c r="AF24" s="662">
        <f>+H24/AD24*100</f>
        <v>318.6199665812016</v>
      </c>
      <c r="AG24" s="122"/>
      <c r="AI24" s="701">
        <f>+S24</f>
        <v>14.886934999999994</v>
      </c>
      <c r="AK24" s="704">
        <f>AI24/AB24</f>
        <v>75.936896658139631</v>
      </c>
      <c r="AM24" s="700">
        <f>(AK24/AK17-1)*100</f>
        <v>3.8593938602196065</v>
      </c>
      <c r="AN24" s="107"/>
      <c r="AT24" s="236">
        <f>+J24/$AT$8</f>
        <v>0.20499999999999999</v>
      </c>
    </row>
    <row r="25" spans="1:46" ht="11.25" hidden="1" customHeight="1" outlineLevel="2">
      <c r="B25" s="218" t="str">
        <f>$B$18</f>
        <v>Year</v>
      </c>
      <c r="D25" s="689">
        <f>(S25/S18-1)*100</f>
        <v>1.808189332577137</v>
      </c>
      <c r="F25" s="690">
        <f>'qtrP&amp;L'!J14</f>
        <v>-10.1</v>
      </c>
      <c r="H25" s="689">
        <f>D25-F25</f>
        <v>11.908189332577138</v>
      </c>
      <c r="I25" s="107"/>
      <c r="J25" s="45"/>
      <c r="L25" s="699">
        <f>AVERAGE(L21:L24)</f>
        <v>123</v>
      </c>
      <c r="N25" s="689" t="e">
        <f>(L25/L18-1)*100</f>
        <v>#DIV/0!</v>
      </c>
      <c r="O25" s="107"/>
      <c r="P25" s="655" t="e">
        <f>H25/N25*100</f>
        <v>#DIV/0!</v>
      </c>
      <c r="Q25" s="122"/>
      <c r="S25" s="692">
        <f>SUM(S21:S24)</f>
        <v>60.343187999999998</v>
      </c>
      <c r="U25" s="693">
        <f>SUM(U21:U24)</f>
        <v>0.49057767857865409</v>
      </c>
      <c r="W25" s="690" t="e">
        <f>(U25/U18-1)*100</f>
        <v>#VALUE!</v>
      </c>
      <c r="X25" s="107"/>
      <c r="Z25" s="45"/>
      <c r="AB25" s="694">
        <f>AVERAGE(AB21:AB24)</f>
        <v>0.19622075</v>
      </c>
      <c r="AD25" s="689" t="e">
        <f>(AB25/AB18-1)*100</f>
        <v>#DIV/0!</v>
      </c>
      <c r="AE25" s="107"/>
      <c r="AF25" s="655" t="e">
        <f>+H25/AD25*100</f>
        <v>#DIV/0!</v>
      </c>
      <c r="AG25" s="122"/>
      <c r="AI25" s="692">
        <f>SUM(AI21:AI24)</f>
        <v>60.343187999999998</v>
      </c>
      <c r="AK25" s="695">
        <f>SUM(AK21:AK24)</f>
        <v>307.518820671095</v>
      </c>
      <c r="AM25" s="690" t="e">
        <f>(AK25/AK18-1)*100</f>
        <v>#DIV/0!</v>
      </c>
      <c r="AN25" s="107"/>
    </row>
    <row r="26" spans="1:46" ht="11.25" hidden="1" customHeight="1" outlineLevel="2">
      <c r="B26" s="218"/>
      <c r="I26" s="107"/>
      <c r="J26" s="45"/>
      <c r="O26" s="107"/>
      <c r="P26" s="122"/>
      <c r="Q26" s="122"/>
      <c r="X26" s="107"/>
      <c r="Z26" s="45"/>
      <c r="AE26" s="107"/>
      <c r="AF26" s="122"/>
      <c r="AG26" s="122"/>
      <c r="AN26" s="107"/>
    </row>
    <row r="27" spans="1:46" ht="11.25" hidden="1" customHeight="1" outlineLevel="2">
      <c r="A27" s="705"/>
      <c r="B27" s="706">
        <f>B20+1</f>
        <v>1996</v>
      </c>
      <c r="I27" s="107"/>
      <c r="J27" s="45"/>
      <c r="O27" s="107"/>
      <c r="P27" s="122"/>
      <c r="Q27" s="122"/>
      <c r="X27" s="107"/>
      <c r="Z27" s="45"/>
      <c r="AE27" s="107"/>
      <c r="AF27" s="122"/>
      <c r="AG27" s="122"/>
      <c r="AN27" s="107"/>
    </row>
    <row r="28" spans="1:46" ht="11.25" hidden="1" customHeight="1" outlineLevel="2">
      <c r="A28" s="26" t="str">
        <f>$A$14</f>
        <v>1Q</v>
      </c>
      <c r="B28" s="218" t="str">
        <f>$B$14</f>
        <v>Apr</v>
      </c>
      <c r="D28" s="689">
        <f>(S28/S21-1)*100</f>
        <v>18.025802774275057</v>
      </c>
      <c r="E28" s="26" t="s">
        <v>576</v>
      </c>
      <c r="F28" s="690">
        <f>'qtrP&amp;L'!N10</f>
        <v>2.9</v>
      </c>
      <c r="G28" s="107" t="s">
        <v>576</v>
      </c>
      <c r="H28" s="689">
        <f>D28-F28</f>
        <v>15.125802774275057</v>
      </c>
      <c r="I28" s="107" t="s">
        <v>576</v>
      </c>
      <c r="J28" s="45">
        <v>122</v>
      </c>
      <c r="L28" s="699">
        <f>AVERAGE(J28,J24)</f>
        <v>122.5</v>
      </c>
      <c r="N28" s="689">
        <f>(L28/L21-1)*100</f>
        <v>-0.40650406504064707</v>
      </c>
      <c r="O28" s="107" t="s">
        <v>576</v>
      </c>
      <c r="P28" s="707">
        <f>H28/N28*100</f>
        <v>-3720.947482471694</v>
      </c>
      <c r="Q28" s="122" t="s">
        <v>576</v>
      </c>
      <c r="S28" s="692">
        <v>17.302552000000002</v>
      </c>
      <c r="U28" s="693">
        <f>S28/L28</f>
        <v>0.14124532244897961</v>
      </c>
      <c r="W28" s="689">
        <f>(U28/U21-1)*100</f>
        <v>18.507540744782315</v>
      </c>
      <c r="X28" s="107" t="s">
        <v>576</v>
      </c>
      <c r="Z28" s="694">
        <f>+turn!AB25</f>
        <v>0.196078</v>
      </c>
      <c r="AB28" s="694">
        <f>AVERAGE(Z28,Z24)</f>
        <v>0.1968905</v>
      </c>
      <c r="AD28" s="708">
        <f>(AB28/AB21-1)*100</f>
        <v>0.44972424735598704</v>
      </c>
      <c r="AE28" s="107" t="s">
        <v>576</v>
      </c>
      <c r="AF28" s="707">
        <f>+H28/AD28*100</f>
        <v>3363.3505116084975</v>
      </c>
      <c r="AG28" s="122" t="s">
        <v>576</v>
      </c>
      <c r="AI28" s="692">
        <f>+S28</f>
        <v>17.302552000000002</v>
      </c>
      <c r="AK28" s="695">
        <f>AI28/AB28</f>
        <v>87.879059680380735</v>
      </c>
      <c r="AM28" s="689">
        <f>(AK28/AK21-1)*100</f>
        <v>17.497388528054316</v>
      </c>
      <c r="AN28" s="107" t="s">
        <v>576</v>
      </c>
      <c r="AT28" s="236">
        <f>+J28/$AT$8</f>
        <v>0.20333333333333334</v>
      </c>
    </row>
    <row r="29" spans="1:46" ht="11.25" hidden="1" customHeight="1" outlineLevel="2">
      <c r="A29" s="26" t="str">
        <f>$A$15</f>
        <v>2Q</v>
      </c>
      <c r="B29" s="218" t="str">
        <f>$B$15</f>
        <v>Jul</v>
      </c>
      <c r="D29" s="689">
        <f>(S29/S22-1)*100</f>
        <v>3.5170097678936862</v>
      </c>
      <c r="F29" s="690">
        <f>'qtrP&amp;L'!N11</f>
        <v>2.2000000000000002</v>
      </c>
      <c r="H29" s="690">
        <f>D29-F29</f>
        <v>1.3170097678936861</v>
      </c>
      <c r="I29" s="107"/>
      <c r="J29" s="45">
        <v>123</v>
      </c>
      <c r="L29" s="699">
        <f>AVERAGE(J29,J28)</f>
        <v>122.5</v>
      </c>
      <c r="N29" s="689">
        <f>(L29/L22-1)*100</f>
        <v>-1.2096774193548376</v>
      </c>
      <c r="O29" s="107"/>
      <c r="P29" s="707">
        <f>H29/N29*100</f>
        <v>-108.87280747921149</v>
      </c>
      <c r="Q29" s="122"/>
      <c r="S29" s="696">
        <v>16.073288999999999</v>
      </c>
      <c r="U29" s="697">
        <f>S29/L29</f>
        <v>0.13121052244897957</v>
      </c>
      <c r="W29" s="689">
        <f>(U29/U22-1)*100</f>
        <v>4.7845649895413622</v>
      </c>
      <c r="X29" s="107"/>
      <c r="Z29" s="694">
        <f>+turn!AB26</f>
        <v>0.19770299999999999</v>
      </c>
      <c r="AB29" s="694">
        <f>AVERAGE(Z29,Z28)</f>
        <v>0.1968905</v>
      </c>
      <c r="AD29" s="709">
        <f>(AB29/AB22-1)*100</f>
        <v>-0.37620045133933688</v>
      </c>
      <c r="AE29" s="107"/>
      <c r="AF29" s="707">
        <f>+H29/AD29*100</f>
        <v>-350.08192127492401</v>
      </c>
      <c r="AG29" s="122"/>
      <c r="AI29" s="696">
        <f>+S29</f>
        <v>16.073288999999999</v>
      </c>
      <c r="AK29" s="698">
        <f>AI29/AB29</f>
        <v>81.635675667439514</v>
      </c>
      <c r="AM29" s="689">
        <f>(AK29/AK22-1)*100</f>
        <v>3.9079118010665992</v>
      </c>
      <c r="AN29" s="107"/>
      <c r="AT29" s="236">
        <f>+J29/$AT$8</f>
        <v>0.20499999999999999</v>
      </c>
    </row>
    <row r="30" spans="1:46" ht="11.25" hidden="1" customHeight="1" outlineLevel="2">
      <c r="A30" s="26" t="str">
        <f>$A$16</f>
        <v>3Q</v>
      </c>
      <c r="B30" s="218" t="str">
        <f>$B$16</f>
        <v>Oct</v>
      </c>
      <c r="D30" s="689">
        <f>(S30/S23-1)*100</f>
        <v>3.000697553350129</v>
      </c>
      <c r="F30" s="690">
        <f>'qtrP&amp;L'!N12</f>
        <v>-0.3</v>
      </c>
      <c r="H30" s="689">
        <f>D30-F30</f>
        <v>3.3006975533501288</v>
      </c>
      <c r="I30" s="107"/>
      <c r="J30" s="45">
        <v>130</v>
      </c>
      <c r="L30" s="699">
        <f>AVERAGE(J30,J29)</f>
        <v>126.5</v>
      </c>
      <c r="N30" s="689">
        <f>(L30/L23-1)*100</f>
        <v>3.2653061224489743</v>
      </c>
      <c r="O30" s="107"/>
      <c r="P30" s="655">
        <f>H30/N30*100</f>
        <v>101.08386257134785</v>
      </c>
      <c r="Q30" s="122"/>
      <c r="S30" s="696">
        <v>15.727262</v>
      </c>
      <c r="U30" s="697">
        <f>S30/L30</f>
        <v>0.12432618181818182</v>
      </c>
      <c r="W30" s="709">
        <f>(U30/U23-1)*100</f>
        <v>-0.25624149972023336</v>
      </c>
      <c r="X30" s="107"/>
      <c r="Z30" s="694">
        <f>+turn!AB27</f>
        <v>0.20907799999999999</v>
      </c>
      <c r="AB30" s="694">
        <f>AVERAGE(Z30,Z29)</f>
        <v>0.20339049999999997</v>
      </c>
      <c r="AD30" s="689">
        <f>(AB30/AB23-1)*100</f>
        <v>4.1978211699492451</v>
      </c>
      <c r="AE30" s="107"/>
      <c r="AF30" s="655">
        <f>+H30/AD30*100</f>
        <v>78.628827187272407</v>
      </c>
      <c r="AG30" s="122"/>
      <c r="AI30" s="696">
        <f>+S30</f>
        <v>15.727262</v>
      </c>
      <c r="AK30" s="698">
        <f>AI30/AB30</f>
        <v>77.325450303726086</v>
      </c>
      <c r="AM30" s="709">
        <f>(AK30/AK23-1)*100</f>
        <v>-1.1488950566889367</v>
      </c>
      <c r="AN30" s="107"/>
      <c r="AT30" s="236">
        <f>+J30/$AT$8</f>
        <v>0.21666666666666667</v>
      </c>
    </row>
    <row r="31" spans="1:46" ht="11.25" hidden="1" customHeight="1" outlineLevel="2">
      <c r="A31" s="26" t="str">
        <f>$A$17</f>
        <v>4Q</v>
      </c>
      <c r="B31" s="218" t="str">
        <f>$B$17</f>
        <v>Jan</v>
      </c>
      <c r="D31" s="643">
        <f>(S31/S24-1)*100</f>
        <v>0.5546272620925663</v>
      </c>
      <c r="F31" s="700">
        <f>'qtrP&amp;L'!N13</f>
        <v>-10.6</v>
      </c>
      <c r="H31" s="643">
        <f>D31-F31</f>
        <v>11.154627262092566</v>
      </c>
      <c r="I31" s="107"/>
      <c r="J31" s="26">
        <f>yrSales!D40</f>
        <v>133</v>
      </c>
      <c r="L31" s="662">
        <f>AVERAGE(J31,J30)</f>
        <v>131.5</v>
      </c>
      <c r="N31" s="643">
        <f>(L31/L24-1)*100</f>
        <v>7.3469387755102034</v>
      </c>
      <c r="O31" s="107"/>
      <c r="P31" s="662">
        <f>H31/N31*100</f>
        <v>151.82687106737106</v>
      </c>
      <c r="Q31" s="122"/>
      <c r="S31" s="701">
        <v>14.969501999999993</v>
      </c>
      <c r="U31" s="702">
        <f>S31/L31</f>
        <v>0.11383651711026611</v>
      </c>
      <c r="W31" s="700">
        <f>(U31/U24-1)*100</f>
        <v>-6.327438482081071</v>
      </c>
      <c r="X31" s="107"/>
      <c r="Z31" s="694">
        <f>+turn!AB28</f>
        <v>0.212121</v>
      </c>
      <c r="AB31" s="703">
        <f>AVERAGE(Z31,Z30)</f>
        <v>0.2105995</v>
      </c>
      <c r="AD31" s="643">
        <f>(AB31/AB24-1)*100</f>
        <v>7.424882742860639</v>
      </c>
      <c r="AE31" s="107"/>
      <c r="AF31" s="662">
        <f>+H31/AD31*100</f>
        <v>150.23304270788984</v>
      </c>
      <c r="AG31" s="122"/>
      <c r="AI31" s="701">
        <f>+S31</f>
        <v>14.969501999999993</v>
      </c>
      <c r="AK31" s="704">
        <f>AI31/AB31</f>
        <v>71.080425167201227</v>
      </c>
      <c r="AM31" s="700">
        <f>(AK31/AK24-1)*100</f>
        <v>-6.3954042167429614</v>
      </c>
      <c r="AN31" s="107"/>
      <c r="AT31" s="236">
        <f>+J31/$AT$8</f>
        <v>0.22166666666666668</v>
      </c>
    </row>
    <row r="32" spans="1:46" ht="11.25" hidden="1" customHeight="1" outlineLevel="2">
      <c r="B32" s="218" t="str">
        <f>$B$18</f>
        <v>Year</v>
      </c>
      <c r="D32" s="689">
        <f>(S32/S25-1)*100</f>
        <v>6.1803446645875004</v>
      </c>
      <c r="F32" s="690">
        <f>'qtrP&amp;L'!N14</f>
        <v>-1.3</v>
      </c>
      <c r="H32" s="689">
        <f>D32-F32</f>
        <v>7.4803446645875002</v>
      </c>
      <c r="I32" s="107"/>
      <c r="J32" s="45"/>
      <c r="L32" s="699">
        <f>AVERAGE(L28:L31)</f>
        <v>125.75</v>
      </c>
      <c r="N32" s="689">
        <f>(L32/L25-1)*100</f>
        <v>2.2357723577235866</v>
      </c>
      <c r="O32" s="107"/>
      <c r="P32" s="655">
        <f>H32/N32*100</f>
        <v>334.57541590700316</v>
      </c>
      <c r="Q32" s="122"/>
      <c r="S32" s="692">
        <f>SUM(S28:S31)</f>
        <v>64.072604999999996</v>
      </c>
      <c r="U32" s="693">
        <f>SUM(U28:U31)</f>
        <v>0.51061854382640715</v>
      </c>
      <c r="W32" s="689">
        <f>(U32/U25-1)*100</f>
        <v>4.0851563621519205</v>
      </c>
      <c r="X32" s="107"/>
      <c r="Z32" s="45"/>
      <c r="AB32" s="694">
        <f>AVERAGE(AB28:AB31)</f>
        <v>0.20194275</v>
      </c>
      <c r="AD32" s="689">
        <f>(AB32/AB25-1)*100</f>
        <v>2.9161034192357382</v>
      </c>
      <c r="AE32" s="107"/>
      <c r="AF32" s="655">
        <f>+H32/AD32*100</f>
        <v>256.51849708910441</v>
      </c>
      <c r="AG32" s="122"/>
      <c r="AI32" s="692">
        <f>SUM(AI28:AI31)</f>
        <v>64.072604999999996</v>
      </c>
      <c r="AK32" s="695">
        <f>SUM(AK28:AK31)</f>
        <v>317.92061081874755</v>
      </c>
      <c r="AM32" s="689">
        <f>(AK32/AK25-1)*100</f>
        <v>3.3824889562703353</v>
      </c>
      <c r="AN32" s="107"/>
    </row>
    <row r="33" spans="1:46" ht="11.25" hidden="1" customHeight="1" outlineLevel="2">
      <c r="B33" s="218"/>
      <c r="I33" s="107"/>
      <c r="J33" s="45"/>
      <c r="O33" s="107"/>
      <c r="P33" s="122"/>
      <c r="Q33" s="122"/>
      <c r="X33" s="107"/>
      <c r="Z33" s="45"/>
      <c r="AE33" s="107"/>
      <c r="AF33" s="122"/>
      <c r="AG33" s="122"/>
      <c r="AN33" s="107"/>
    </row>
    <row r="34" spans="1:46" hidden="1" outlineLevel="2" collapsed="1">
      <c r="A34" s="705"/>
      <c r="B34" s="706">
        <f>B27+1</f>
        <v>1997</v>
      </c>
      <c r="I34" s="107"/>
      <c r="J34" s="45"/>
      <c r="O34" s="107"/>
      <c r="P34" s="122"/>
      <c r="Q34" s="122"/>
      <c r="X34" s="107"/>
      <c r="Z34" s="45"/>
      <c r="AE34" s="107"/>
      <c r="AF34" s="122"/>
      <c r="AG34" s="122"/>
      <c r="AN34" s="107"/>
    </row>
    <row r="35" spans="1:46" hidden="1" outlineLevel="2">
      <c r="A35" s="26" t="str">
        <f>$A$14</f>
        <v>1Q</v>
      </c>
      <c r="B35" s="218" t="str">
        <f>$B$14</f>
        <v>Apr</v>
      </c>
      <c r="D35" s="689">
        <f>(S35/S28-1)*100</f>
        <v>8.190959345187899</v>
      </c>
      <c r="E35" s="26" t="s">
        <v>576</v>
      </c>
      <c r="F35" s="690">
        <f>'qtrP&amp;L'!R10</f>
        <v>-1.1000000000000001</v>
      </c>
      <c r="G35" s="107" t="s">
        <v>576</v>
      </c>
      <c r="H35" s="689">
        <f>D35-F35</f>
        <v>9.2909593451878987</v>
      </c>
      <c r="I35" s="107" t="s">
        <v>576</v>
      </c>
      <c r="J35" s="45">
        <v>135</v>
      </c>
      <c r="L35" s="26">
        <f>AVERAGE(J35,J31)</f>
        <v>134</v>
      </c>
      <c r="N35" s="689">
        <f>(L35/L28-1)*100</f>
        <v>9.387755102040817</v>
      </c>
      <c r="O35" s="107" t="s">
        <v>576</v>
      </c>
      <c r="P35" s="655">
        <f>H35/N35*100</f>
        <v>98.968914763958054</v>
      </c>
      <c r="Q35" s="122" t="s">
        <v>576</v>
      </c>
      <c r="S35" s="692">
        <v>18.719797</v>
      </c>
      <c r="U35" s="693">
        <f>S35/L35</f>
        <v>0.13969997761194031</v>
      </c>
      <c r="W35" s="709">
        <f>(U35/U28-1)*100</f>
        <v>-1.0940856732423954</v>
      </c>
      <c r="X35" s="107" t="s">
        <v>576</v>
      </c>
      <c r="Z35" s="694">
        <f>+turn!AB32</f>
        <v>0.21537100000000001</v>
      </c>
      <c r="AB35" s="694">
        <f>AVERAGE(Z35,Z31)</f>
        <v>0.21374599999999999</v>
      </c>
      <c r="AD35" s="689">
        <f>(AB35/AB28-1)*100</f>
        <v>8.5608498124592138</v>
      </c>
      <c r="AE35" s="107" t="s">
        <v>576</v>
      </c>
      <c r="AF35" s="655">
        <f>+H35/AD35*100</f>
        <v>108.52847028885036</v>
      </c>
      <c r="AG35" s="122" t="s">
        <v>576</v>
      </c>
      <c r="AI35" s="692">
        <f>+S35</f>
        <v>18.719797</v>
      </c>
      <c r="AK35" s="695">
        <f>AI35/AB35</f>
        <v>87.579636577994449</v>
      </c>
      <c r="AM35" s="709">
        <f>(AK35/AK28-1)*100</f>
        <v>-0.34072178682305054</v>
      </c>
      <c r="AN35" s="107" t="s">
        <v>576</v>
      </c>
      <c r="AT35" s="236">
        <f>+J35/$AT$8</f>
        <v>0.22500000000000001</v>
      </c>
    </row>
    <row r="36" spans="1:46" hidden="1" outlineLevel="2">
      <c r="A36" s="26" t="str">
        <f>$A$15</f>
        <v>2Q</v>
      </c>
      <c r="B36" s="218" t="str">
        <f>$B$15</f>
        <v>Jul</v>
      </c>
      <c r="D36" s="689">
        <f>(S36/S29-1)*100</f>
        <v>24.931331726817074</v>
      </c>
      <c r="F36" s="690">
        <f>'qtrP&amp;L'!R11</f>
        <v>13.3</v>
      </c>
      <c r="H36" s="689">
        <f>D36-F36</f>
        <v>11.631331726817074</v>
      </c>
      <c r="I36" s="107"/>
      <c r="J36" s="45">
        <v>136</v>
      </c>
      <c r="L36" s="699">
        <f>AVERAGE(J36,J35)</f>
        <v>135.5</v>
      </c>
      <c r="N36" s="689">
        <f>(L36/L29-1)*100</f>
        <v>10.612244897959178</v>
      </c>
      <c r="O36" s="107"/>
      <c r="P36" s="655">
        <f>H36/N36*100</f>
        <v>109.60293357962247</v>
      </c>
      <c r="Q36" s="122"/>
      <c r="S36" s="696">
        <v>20.080573999999999</v>
      </c>
      <c r="U36" s="697">
        <f>S36/L36</f>
        <v>0.1481961180811808</v>
      </c>
      <c r="W36" s="709">
        <f>(U36/U29-1)*100</f>
        <v>12.945299900628005</v>
      </c>
      <c r="X36" s="107"/>
      <c r="Z36" s="694">
        <f>+turn!AB33</f>
        <v>0.21699599999999999</v>
      </c>
      <c r="AB36" s="694">
        <f>AVERAGE(Z36,Z35)</f>
        <v>0.2161835</v>
      </c>
      <c r="AD36" s="689">
        <f>(AB36/AB29-1)*100</f>
        <v>9.7988475827934796</v>
      </c>
      <c r="AE36" s="107"/>
      <c r="AF36" s="655">
        <f>+H36/AD36*100</f>
        <v>118.7010169159217</v>
      </c>
      <c r="AG36" s="122"/>
      <c r="AI36" s="696">
        <f>+S36</f>
        <v>20.080573999999999</v>
      </c>
      <c r="AK36" s="698">
        <f>AI36/AB36</f>
        <v>92.886709670256977</v>
      </c>
      <c r="AM36" s="689">
        <f>(AK36/AK29-1)*100</f>
        <v>13.782006348120369</v>
      </c>
      <c r="AN36" s="107"/>
      <c r="AT36" s="236">
        <f>+J36/$AT$8</f>
        <v>0.22666666666666666</v>
      </c>
    </row>
    <row r="37" spans="1:46" hidden="1" outlineLevel="2">
      <c r="A37" s="26" t="str">
        <f>$A$16</f>
        <v>3Q</v>
      </c>
      <c r="B37" s="218" t="str">
        <f>$B$16</f>
        <v>Oct</v>
      </c>
      <c r="D37" s="689">
        <f>(S37/S30-1)*100</f>
        <v>20.322113283291145</v>
      </c>
      <c r="F37" s="690">
        <f>'qtrP&amp;L'!R12</f>
        <v>12</v>
      </c>
      <c r="H37" s="689">
        <f>D37-F37</f>
        <v>8.3221132832911451</v>
      </c>
      <c r="I37" s="107"/>
      <c r="J37" s="45">
        <v>137</v>
      </c>
      <c r="L37" s="699">
        <f>AVERAGE(J37,J36)</f>
        <v>136.5</v>
      </c>
      <c r="N37" s="689">
        <f>(L37/L30-1)*100</f>
        <v>7.9051383399209474</v>
      </c>
      <c r="O37" s="107"/>
      <c r="P37" s="655">
        <f>H37/N37*100</f>
        <v>105.274733033633</v>
      </c>
      <c r="Q37" s="122"/>
      <c r="S37" s="696">
        <v>18.923373999999999</v>
      </c>
      <c r="U37" s="697">
        <f>S37/L37</f>
        <v>0.13863277655677655</v>
      </c>
      <c r="W37" s="709">
        <f>(U37/U30-1)*100</f>
        <v>11.507306449350384</v>
      </c>
      <c r="X37" s="107"/>
      <c r="Z37" s="694">
        <f>+turn!AB34</f>
        <v>0.21862099999999998</v>
      </c>
      <c r="AB37" s="694">
        <f>AVERAGE(Z37,Z36)</f>
        <v>0.21780849999999999</v>
      </c>
      <c r="AD37" s="689">
        <f>(AB37/AB30-1)*100</f>
        <v>7.088826665945569</v>
      </c>
      <c r="AE37" s="107"/>
      <c r="AF37" s="655">
        <f>+H37/AD37*100</f>
        <v>117.39761282738417</v>
      </c>
      <c r="AG37" s="122"/>
      <c r="AI37" s="696">
        <f>+S37</f>
        <v>18.923373999999999</v>
      </c>
      <c r="AK37" s="698">
        <f>AI37/AB37</f>
        <v>86.880787480745695</v>
      </c>
      <c r="AM37" s="689">
        <f>(AK37/AK30-1)*100</f>
        <v>12.357299103318864</v>
      </c>
      <c r="AN37" s="107"/>
      <c r="AT37" s="236">
        <f>+J37/$AT$8</f>
        <v>0.22833333333333333</v>
      </c>
    </row>
    <row r="38" spans="1:46" hidden="1" outlineLevel="2">
      <c r="A38" s="26" t="str">
        <f>$A$17</f>
        <v>4Q</v>
      </c>
      <c r="B38" s="218" t="str">
        <f>$B$17</f>
        <v>Jan</v>
      </c>
      <c r="D38" s="643">
        <f>(S38/S31-1)*100</f>
        <v>17.675304094952637</v>
      </c>
      <c r="F38" s="700">
        <f>'qtrP&amp;L'!R13</f>
        <v>20.100000000000001</v>
      </c>
      <c r="H38" s="700">
        <f>D38-F38</f>
        <v>-2.4246959050473649</v>
      </c>
      <c r="I38" s="107"/>
      <c r="J38" s="26">
        <f>yrSales!E40</f>
        <v>141</v>
      </c>
      <c r="L38" s="120">
        <f>AVERAGE(J38,J37)</f>
        <v>139</v>
      </c>
      <c r="N38" s="643">
        <f>(L38/L31-1)*100</f>
        <v>5.7034220532319324</v>
      </c>
      <c r="O38" s="107"/>
      <c r="P38" s="710">
        <f>H38/N38*100</f>
        <v>-42.513001535163845</v>
      </c>
      <c r="Q38" s="122"/>
      <c r="S38" s="701">
        <v>17.615407000000008</v>
      </c>
      <c r="U38" s="702">
        <f>S38/L38</f>
        <v>0.12672954676258999</v>
      </c>
      <c r="W38" s="700">
        <f>(U38/U31-1)*100</f>
        <v>11.325917183354473</v>
      </c>
      <c r="X38" s="107"/>
      <c r="Z38" s="694">
        <f>+turn!AB35</f>
        <v>0.22462499999999999</v>
      </c>
      <c r="AB38" s="703">
        <f>AVERAGE(Z38,Z37)</f>
        <v>0.22162299999999999</v>
      </c>
      <c r="AD38" s="643">
        <f>(AB38/AB31-1)*100</f>
        <v>5.2343429115453644</v>
      </c>
      <c r="AE38" s="107"/>
      <c r="AF38" s="710">
        <f>+H38/AD38*100</f>
        <v>-46.322832608066719</v>
      </c>
      <c r="AG38" s="122"/>
      <c r="AI38" s="701">
        <f>+S38</f>
        <v>17.615407000000008</v>
      </c>
      <c r="AK38" s="704">
        <f>AI38/AB38</f>
        <v>79.483659186997784</v>
      </c>
      <c r="AM38" s="643">
        <f>(AK38/AK31-1)*100</f>
        <v>11.822149347066757</v>
      </c>
      <c r="AN38" s="107"/>
      <c r="AT38" s="236">
        <f>+J38/$AT$8</f>
        <v>0.23499999999999999</v>
      </c>
    </row>
    <row r="39" spans="1:46" hidden="1" outlineLevel="2">
      <c r="B39" s="218" t="str">
        <f>$B$18</f>
        <v>Year</v>
      </c>
      <c r="D39" s="689">
        <f>(S39/S32-1)*100</f>
        <v>17.584031428096303</v>
      </c>
      <c r="F39" s="690">
        <f>'qtrP&amp;L'!R14</f>
        <v>10.7</v>
      </c>
      <c r="H39" s="689">
        <f>D39-F39</f>
        <v>6.8840314280963035</v>
      </c>
      <c r="I39" s="107"/>
      <c r="J39" s="45"/>
      <c r="L39" s="699">
        <f>AVERAGE(L35:L38)</f>
        <v>136.25</v>
      </c>
      <c r="N39" s="689">
        <f>(L39/L32-1)*100</f>
        <v>8.3499005964214668</v>
      </c>
      <c r="O39" s="107"/>
      <c r="P39" s="655">
        <f>H39/N39*100</f>
        <v>82.444471626962908</v>
      </c>
      <c r="Q39" s="122"/>
      <c r="S39" s="692">
        <f>SUM(S35:S38)</f>
        <v>75.339151999999999</v>
      </c>
      <c r="U39" s="693">
        <f>SUM(U35:U38)</f>
        <v>0.55325841901248762</v>
      </c>
      <c r="W39" s="709">
        <f>(U39/U32-1)*100</f>
        <v>8.3506319348590985</v>
      </c>
      <c r="X39" s="107"/>
      <c r="Z39" s="45"/>
      <c r="AB39" s="694">
        <f>AVERAGE(AB35:AB38)</f>
        <v>0.21734024999999998</v>
      </c>
      <c r="AD39" s="689">
        <f>(AB39/AB32-1)*100</f>
        <v>7.6246857091923248</v>
      </c>
      <c r="AE39" s="107"/>
      <c r="AF39" s="655">
        <f>+H39/AD39*100</f>
        <v>90.286100839499682</v>
      </c>
      <c r="AG39" s="122"/>
      <c r="AI39" s="692">
        <f>SUM(AI35:AI38)</f>
        <v>75.339151999999999</v>
      </c>
      <c r="AK39" s="695">
        <f>SUM(AK35:AK38)</f>
        <v>346.83079291599489</v>
      </c>
      <c r="AM39" s="689">
        <f>(AK39/AK32-1)*100</f>
        <v>9.0935224434786974</v>
      </c>
      <c r="AN39" s="107"/>
    </row>
    <row r="40" spans="1:46" hidden="1" outlineLevel="2">
      <c r="B40" s="218"/>
      <c r="I40" s="107"/>
      <c r="J40" s="45"/>
      <c r="O40" s="107"/>
      <c r="P40" s="122"/>
      <c r="Q40" s="122"/>
      <c r="X40" s="107"/>
      <c r="Z40" s="45"/>
      <c r="AE40" s="107"/>
      <c r="AF40" s="122"/>
      <c r="AG40" s="122"/>
      <c r="AN40" s="107"/>
    </row>
    <row r="41" spans="1:46" hidden="1" outlineLevel="2" collapsed="1">
      <c r="A41" s="705"/>
      <c r="B41" s="706">
        <f>B34+1</f>
        <v>1998</v>
      </c>
      <c r="I41" s="107"/>
      <c r="J41" s="45"/>
      <c r="O41" s="107"/>
      <c r="P41" s="122"/>
      <c r="Q41" s="122"/>
      <c r="X41" s="107"/>
      <c r="Z41" s="45"/>
      <c r="AE41" s="107"/>
      <c r="AF41" s="122"/>
      <c r="AG41" s="122"/>
      <c r="AN41" s="107"/>
    </row>
    <row r="42" spans="1:46" hidden="1" outlineLevel="2">
      <c r="A42" s="26" t="str">
        <f>$A$14</f>
        <v>1Q</v>
      </c>
      <c r="B42" s="218" t="str">
        <f>$B$14</f>
        <v>Apr</v>
      </c>
      <c r="D42" s="689">
        <f>(S42/S35-1)*100</f>
        <v>38.334341980311002</v>
      </c>
      <c r="E42" s="107" t="s">
        <v>576</v>
      </c>
      <c r="F42" s="690">
        <f>'qtrP&amp;L'!V10</f>
        <v>31.7</v>
      </c>
      <c r="G42" s="107" t="s">
        <v>576</v>
      </c>
      <c r="H42" s="689">
        <f>D42-F42</f>
        <v>6.6343419803110031</v>
      </c>
      <c r="I42" s="107" t="s">
        <v>576</v>
      </c>
      <c r="J42" s="45">
        <v>142</v>
      </c>
      <c r="L42" s="699">
        <f>AVERAGE(J42,J38)</f>
        <v>141.5</v>
      </c>
      <c r="N42" s="689">
        <f>(L42/L35-1)*100</f>
        <v>5.5970149253731449</v>
      </c>
      <c r="O42" s="107" t="s">
        <v>576</v>
      </c>
      <c r="P42" s="655">
        <f>H42/N42*100</f>
        <v>118.53357671488969</v>
      </c>
      <c r="Q42" s="122" t="s">
        <v>576</v>
      </c>
      <c r="S42" s="692">
        <v>25.895907999999999</v>
      </c>
      <c r="U42" s="693">
        <f>S42/L42</f>
        <v>0.18300995053003533</v>
      </c>
      <c r="W42" s="709">
        <f>(U42/U35-1)*100</f>
        <v>31.00213304142525</v>
      </c>
      <c r="X42" s="107" t="s">
        <v>576</v>
      </c>
      <c r="Z42" s="694">
        <f>+turn!AB39</f>
        <v>0.22624999999999998</v>
      </c>
      <c r="AB42" s="694">
        <f>AVERAGE(Z42,Z38)</f>
        <v>0.22543749999999999</v>
      </c>
      <c r="AD42" s="689">
        <f>(AB42/AB35-1)*100</f>
        <v>5.4698099613559981</v>
      </c>
      <c r="AE42" s="107" t="s">
        <v>576</v>
      </c>
      <c r="AF42" s="655">
        <f>+H42/AD42*100</f>
        <v>121.290173281748</v>
      </c>
      <c r="AG42" s="122" t="s">
        <v>576</v>
      </c>
      <c r="AI42" s="692">
        <f>+S42</f>
        <v>25.895907999999999</v>
      </c>
      <c r="AK42" s="695">
        <f>AI42/AB42</f>
        <v>114.86956695314666</v>
      </c>
      <c r="AM42" s="709">
        <f>(AK42/AK35-1)*100</f>
        <v>31.160132014077302</v>
      </c>
      <c r="AN42" s="107" t="s">
        <v>576</v>
      </c>
      <c r="AT42" s="236">
        <f>+J42/$AT$8</f>
        <v>0.23666666666666666</v>
      </c>
    </row>
    <row r="43" spans="1:46" hidden="1" outlineLevel="2">
      <c r="A43" s="26" t="str">
        <f>$A$15</f>
        <v>2Q</v>
      </c>
      <c r="B43" s="218" t="str">
        <f>$B$15</f>
        <v>Jul</v>
      </c>
      <c r="D43" s="689">
        <f>(S43/S36-1)*100</f>
        <v>36.243824504219859</v>
      </c>
      <c r="F43" s="690">
        <f>'qtrP&amp;L'!V11</f>
        <v>23</v>
      </c>
      <c r="H43" s="689">
        <f>D43-F43</f>
        <v>13.243824504219859</v>
      </c>
      <c r="I43" s="107"/>
      <c r="J43" s="45">
        <v>150</v>
      </c>
      <c r="L43" s="699">
        <f>AVERAGE(J43,J42)</f>
        <v>146</v>
      </c>
      <c r="N43" s="689">
        <f>(L43/L36-1)*100</f>
        <v>7.7490774907749138</v>
      </c>
      <c r="O43" s="107"/>
      <c r="P43" s="655">
        <f>H43/N43*100</f>
        <v>170.90840193540853</v>
      </c>
      <c r="Q43" s="122"/>
      <c r="S43" s="696">
        <v>27.358542</v>
      </c>
      <c r="U43" s="697">
        <f>S43/L43</f>
        <v>0.18738727397260274</v>
      </c>
      <c r="W43" s="709">
        <f>(U43/U36-1)*100</f>
        <v>26.445467262478029</v>
      </c>
      <c r="X43" s="107"/>
      <c r="Z43" s="694">
        <f>+turn!AB40</f>
        <v>0.23924999999999999</v>
      </c>
      <c r="AB43" s="694">
        <f>AVERAGE(Z43,Z42)</f>
        <v>0.23274999999999998</v>
      </c>
      <c r="AD43" s="689">
        <f>(AB43/AB36-1)*100</f>
        <v>7.6631657827725075</v>
      </c>
      <c r="AE43" s="107"/>
      <c r="AF43" s="655">
        <f>+H43/AD43*100</f>
        <v>172.82445505737562</v>
      </c>
      <c r="AG43" s="122"/>
      <c r="AI43" s="696">
        <f>+S43</f>
        <v>27.358542</v>
      </c>
      <c r="AK43" s="698">
        <f>AI43/AB43</f>
        <v>117.54475617615468</v>
      </c>
      <c r="AM43" s="709">
        <f>(AK43/AK36-1)*100</f>
        <v>26.546366636769125</v>
      </c>
      <c r="AN43" s="107"/>
      <c r="AT43" s="236">
        <f>+J43/$AT$8</f>
        <v>0.25</v>
      </c>
    </row>
    <row r="44" spans="1:46" hidden="1" outlineLevel="2">
      <c r="A44" s="26" t="str">
        <f>$A$16</f>
        <v>3Q</v>
      </c>
      <c r="B44" s="218" t="str">
        <f>$B$16</f>
        <v>Oct</v>
      </c>
      <c r="D44" s="689">
        <f>(S44/S37-1)*100</f>
        <v>41.381494653120534</v>
      </c>
      <c r="F44" s="690">
        <f>'qtrP&amp;L'!V12</f>
        <v>28.5</v>
      </c>
      <c r="H44" s="689">
        <f>D44-F44</f>
        <v>12.881494653120534</v>
      </c>
      <c r="I44" s="107"/>
      <c r="J44" s="45">
        <v>155</v>
      </c>
      <c r="L44" s="699">
        <f>AVERAGE(J44,J43)</f>
        <v>152.5</v>
      </c>
      <c r="N44" s="689">
        <f>(L44/L37-1)*100</f>
        <v>11.721611721611724</v>
      </c>
      <c r="O44" s="107"/>
      <c r="P44" s="655">
        <f>H44/N44*100</f>
        <v>109.89525125943453</v>
      </c>
      <c r="Q44" s="122"/>
      <c r="S44" s="696">
        <v>26.754148999999998</v>
      </c>
      <c r="U44" s="697">
        <f>S44/L44</f>
        <v>0.17543704262295082</v>
      </c>
      <c r="W44" s="709">
        <f>(U44/U37-1)*100</f>
        <v>26.548026361645594</v>
      </c>
      <c r="X44" s="107"/>
      <c r="Z44" s="694">
        <f>+turn!AB41</f>
        <v>0.24737499999999998</v>
      </c>
      <c r="AB44" s="694">
        <f>AVERAGE(Z44,Z43)</f>
        <v>0.24331249999999999</v>
      </c>
      <c r="AD44" s="689">
        <f>(AB44/AB37-1)*100</f>
        <v>11.709368550814126</v>
      </c>
      <c r="AE44" s="107"/>
      <c r="AF44" s="655">
        <f>+H44/AD44*100</f>
        <v>110.01015637367493</v>
      </c>
      <c r="AG44" s="122"/>
      <c r="AI44" s="696">
        <f>+S44</f>
        <v>26.754148999999998</v>
      </c>
      <c r="AK44" s="698">
        <f>AI44/AB44</f>
        <v>109.95797174415618</v>
      </c>
      <c r="AM44" s="709">
        <f>(AK44/AK37-1)*100</f>
        <v>26.56189582596129</v>
      </c>
      <c r="AN44" s="107"/>
      <c r="AT44" s="236">
        <f>+J44/$AT$8</f>
        <v>0.25833333333333336</v>
      </c>
    </row>
    <row r="45" spans="1:46" hidden="1" outlineLevel="2">
      <c r="A45" s="26" t="str">
        <f>$A$17</f>
        <v>4Q</v>
      </c>
      <c r="B45" s="218" t="str">
        <f>$B$17</f>
        <v>Jan</v>
      </c>
      <c r="D45" s="643">
        <f>(S45/S38-1)*100</f>
        <v>51.759161738357726</v>
      </c>
      <c r="F45" s="700">
        <f>'qtrP&amp;L'!V13</f>
        <v>30.4</v>
      </c>
      <c r="H45" s="643">
        <f>D45-F45</f>
        <v>21.359161738357727</v>
      </c>
      <c r="I45" s="107"/>
      <c r="J45" s="26">
        <f>yrSales!F40</f>
        <v>162</v>
      </c>
      <c r="L45" s="662">
        <f>AVERAGE(J45,J44)</f>
        <v>158.5</v>
      </c>
      <c r="N45" s="643">
        <f>(L45/L38-1)*100</f>
        <v>14.028776978417268</v>
      </c>
      <c r="O45" s="107"/>
      <c r="P45" s="662">
        <f>H45/N45*100</f>
        <v>152.25248623752429</v>
      </c>
      <c r="Q45" s="122"/>
      <c r="S45" s="701">
        <v>26.732994000000001</v>
      </c>
      <c r="U45" s="702">
        <f>S45/L45</f>
        <v>0.16866242271293377</v>
      </c>
      <c r="W45" s="700">
        <f>(U45/U38-1)*100</f>
        <v>33.088476224805838</v>
      </c>
      <c r="X45" s="107"/>
      <c r="Z45" s="694">
        <f>+turn!AB42</f>
        <v>0.25737499999999996</v>
      </c>
      <c r="AB45" s="703">
        <f>AVERAGE(Z45,Z44)</f>
        <v>0.25237499999999996</v>
      </c>
      <c r="AD45" s="643">
        <f>(AB45/AB38-1)*100</f>
        <v>13.87581613821669</v>
      </c>
      <c r="AE45" s="107"/>
      <c r="AF45" s="662">
        <f>+H45/AD45*100</f>
        <v>153.9308500891018</v>
      </c>
      <c r="AG45" s="122"/>
      <c r="AI45" s="701">
        <f>+S45</f>
        <v>26.732994000000001</v>
      </c>
      <c r="AK45" s="704">
        <f>AI45/AB45</f>
        <v>105.9256820208024</v>
      </c>
      <c r="AM45" s="700">
        <f>(AK45/AK38-1)*100</f>
        <v>33.267243989856588</v>
      </c>
      <c r="AN45" s="107"/>
      <c r="AT45" s="236">
        <f>+J45/$AT$8</f>
        <v>0.27</v>
      </c>
    </row>
    <row r="46" spans="1:46" hidden="1" outlineLevel="2">
      <c r="B46" s="218" t="str">
        <f>$B$18</f>
        <v>Year</v>
      </c>
      <c r="D46" s="689">
        <f>(S46/S39-1)*100</f>
        <v>41.681436764778049</v>
      </c>
      <c r="F46" s="690">
        <f>'qtrP&amp;L'!V14</f>
        <v>30.3</v>
      </c>
      <c r="H46" s="689">
        <f>D46-F46</f>
        <v>11.381436764778048</v>
      </c>
      <c r="I46" s="107"/>
      <c r="L46" s="699">
        <f>AVERAGE(L42:L45)</f>
        <v>149.625</v>
      </c>
      <c r="N46" s="689">
        <f>(L46/L39-1)*100</f>
        <v>9.8165137614678812</v>
      </c>
      <c r="O46" s="107"/>
      <c r="P46" s="655">
        <f>H46/N46*100</f>
        <v>115.94173900568303</v>
      </c>
      <c r="Q46" s="122"/>
      <c r="S46" s="692">
        <f>SUM(S42:S45)</f>
        <v>106.74159300000001</v>
      </c>
      <c r="U46" s="693">
        <f>SUM(U42:U45)</f>
        <v>0.71449668983852266</v>
      </c>
      <c r="W46" s="709">
        <f>(U46/U39-1)*100</f>
        <v>29.143392180787721</v>
      </c>
      <c r="X46" s="107"/>
      <c r="Z46" s="45"/>
      <c r="AB46" s="694">
        <f>AVERAGE(AB42:AB45)</f>
        <v>0.23846875000000001</v>
      </c>
      <c r="AD46" s="689">
        <f>(AB46/AB39-1)*100</f>
        <v>9.7213930691623105</v>
      </c>
      <c r="AE46" s="107"/>
      <c r="AF46" s="655">
        <f>+H46/AD46*100</f>
        <v>117.07619148619388</v>
      </c>
      <c r="AG46" s="122"/>
      <c r="AI46" s="692">
        <f>SUM(AI42:AI45)</f>
        <v>106.74159300000001</v>
      </c>
      <c r="AK46" s="695">
        <f>SUM(AK42:AK45)</f>
        <v>448.29797689425993</v>
      </c>
      <c r="AM46" s="709">
        <f>(AK46/AK39-1)*100</f>
        <v>29.255529223681464</v>
      </c>
      <c r="AN46" s="107"/>
    </row>
    <row r="47" spans="1:46" hidden="1" outlineLevel="2">
      <c r="B47" s="218"/>
      <c r="I47" s="107"/>
      <c r="O47" s="107"/>
      <c r="P47" s="122"/>
      <c r="Q47" s="122"/>
      <c r="X47" s="107"/>
      <c r="AE47" s="107"/>
      <c r="AF47" s="122"/>
      <c r="AG47" s="122"/>
      <c r="AN47" s="107"/>
    </row>
    <row r="48" spans="1:46" hidden="1" outlineLevel="2">
      <c r="A48" s="705"/>
      <c r="B48" s="706">
        <f>B41+1</f>
        <v>1999</v>
      </c>
      <c r="I48" s="107"/>
      <c r="O48" s="107"/>
      <c r="P48" s="122"/>
      <c r="Q48" s="122"/>
      <c r="X48" s="107"/>
      <c r="AE48" s="107"/>
      <c r="AF48" s="122"/>
      <c r="AG48" s="122"/>
      <c r="AN48" s="107"/>
    </row>
    <row r="49" spans="1:46" hidden="1" outlineLevel="2">
      <c r="A49" s="26" t="str">
        <f>$A$14</f>
        <v>1Q</v>
      </c>
      <c r="B49" s="218" t="str">
        <f>$B$14</f>
        <v>Apr</v>
      </c>
      <c r="D49" s="689">
        <f>(S49/S42-1)*100</f>
        <v>40.659215347845709</v>
      </c>
      <c r="E49" s="107" t="s">
        <v>576</v>
      </c>
      <c r="F49" s="690">
        <f>'qtrP&amp;L'!Z10</f>
        <v>22.6</v>
      </c>
      <c r="G49" s="107" t="s">
        <v>576</v>
      </c>
      <c r="H49" s="689">
        <f>D49-F49</f>
        <v>18.059215347845708</v>
      </c>
      <c r="I49" s="107" t="s">
        <v>576</v>
      </c>
      <c r="J49" s="45">
        <v>169</v>
      </c>
      <c r="L49" s="699">
        <f>AVERAGE(J49,J45)</f>
        <v>165.5</v>
      </c>
      <c r="N49" s="689">
        <f>(L49/L42-1)*100</f>
        <v>16.96113074204948</v>
      </c>
      <c r="O49" s="107" t="s">
        <v>576</v>
      </c>
      <c r="P49" s="655">
        <f>H49/N49*100</f>
        <v>106.47412382167359</v>
      </c>
      <c r="Q49" s="122" t="s">
        <v>576</v>
      </c>
      <c r="S49" s="692">
        <v>36.424981000000002</v>
      </c>
      <c r="U49" s="693">
        <f>S49/L49</f>
        <v>0.22009051963746226</v>
      </c>
      <c r="W49" s="709">
        <f>(U49/U42-1)*100</f>
        <v>20.261504360846949</v>
      </c>
      <c r="X49" s="107" t="s">
        <v>576</v>
      </c>
      <c r="Z49" s="694">
        <f>+turn!AB46</f>
        <v>0.27625</v>
      </c>
      <c r="AB49" s="694">
        <f>AVERAGE(Z49,Z45)</f>
        <v>0.26681250000000001</v>
      </c>
      <c r="AD49" s="689">
        <f>(AB49/AB42-1)*100</f>
        <v>18.353202107014145</v>
      </c>
      <c r="AE49" s="107" t="s">
        <v>576</v>
      </c>
      <c r="AF49" s="655">
        <f>+H49/AD49*100</f>
        <v>98.398171842416076</v>
      </c>
      <c r="AG49" s="122" t="s">
        <v>576</v>
      </c>
      <c r="AI49" s="692">
        <f>+S49</f>
        <v>36.424981000000002</v>
      </c>
      <c r="AK49" s="695">
        <f>AI49/AB49</f>
        <v>136.51901991098617</v>
      </c>
      <c r="AM49" s="709">
        <f>(AK49/AK42-1)*100</f>
        <v>18.846987528620151</v>
      </c>
      <c r="AN49" s="107" t="s">
        <v>576</v>
      </c>
      <c r="AT49" s="236">
        <f>+J49/$AT$8</f>
        <v>0.28166666666666668</v>
      </c>
    </row>
    <row r="50" spans="1:46" hidden="1" outlineLevel="2">
      <c r="A50" s="26" t="str">
        <f>$A$15</f>
        <v>2Q</v>
      </c>
      <c r="B50" s="218" t="str">
        <f>$B$15</f>
        <v>Jul</v>
      </c>
      <c r="D50" s="689">
        <f>(S50/S43-1)*100</f>
        <v>34.40516311139681</v>
      </c>
      <c r="E50" s="107"/>
      <c r="F50" s="690">
        <f>'qtrP&amp;L'!Z11</f>
        <v>17.2</v>
      </c>
      <c r="G50" s="107"/>
      <c r="H50" s="689">
        <f>D50-F50</f>
        <v>17.205163111396811</v>
      </c>
      <c r="I50" s="107"/>
      <c r="J50" s="45">
        <v>177</v>
      </c>
      <c r="L50" s="699">
        <f>AVERAGE(J50,J49)</f>
        <v>173</v>
      </c>
      <c r="N50" s="689">
        <f>(L50/L43-1)*100</f>
        <v>18.493150684931514</v>
      </c>
      <c r="O50" s="107"/>
      <c r="P50" s="655">
        <f>H50/N50*100</f>
        <v>93.035326454219756</v>
      </c>
      <c r="Q50" s="122"/>
      <c r="S50" s="696">
        <v>36.771293</v>
      </c>
      <c r="U50" s="697">
        <f>S50/L50</f>
        <v>0.21255082658959537</v>
      </c>
      <c r="W50" s="709">
        <f>(U50/U43-1)*100</f>
        <v>13.428634764531399</v>
      </c>
      <c r="X50" s="107"/>
      <c r="Z50" s="694">
        <f>+turn!AB47</f>
        <v>0.29249999999999998</v>
      </c>
      <c r="AB50" s="694">
        <f>AVERAGE(Z50,Z49)</f>
        <v>0.28437499999999999</v>
      </c>
      <c r="AD50" s="689">
        <f>(AB50/AB43-1)*100</f>
        <v>22.180451127819545</v>
      </c>
      <c r="AE50" s="107"/>
      <c r="AF50" s="655">
        <f>+H50/AD50*100</f>
        <v>77.569040468331394</v>
      </c>
      <c r="AG50" s="122"/>
      <c r="AI50" s="696">
        <f>+S50</f>
        <v>36.771293</v>
      </c>
      <c r="AK50" s="698">
        <f>AI50/AB50</f>
        <v>129.30564571428573</v>
      </c>
      <c r="AM50" s="709">
        <f>(AK50/AK43-1)*100</f>
        <v>10.005456577327854</v>
      </c>
      <c r="AN50" s="107"/>
      <c r="AT50" s="236">
        <f>+J50/$AT$8</f>
        <v>0.29499999999999998</v>
      </c>
    </row>
    <row r="51" spans="1:46" hidden="1" outlineLevel="2">
      <c r="A51" s="26" t="str">
        <f>$A$16</f>
        <v>3Q</v>
      </c>
      <c r="B51" s="218" t="str">
        <f>$B$16</f>
        <v>Oct</v>
      </c>
      <c r="D51" s="689">
        <f>(S51/S44-1)*100</f>
        <v>49.543141888011476</v>
      </c>
      <c r="E51" s="107"/>
      <c r="F51" s="690">
        <f>'qtrP&amp;L'!Z12</f>
        <v>26.9</v>
      </c>
      <c r="G51" s="107"/>
      <c r="H51" s="689">
        <f>D51-F51</f>
        <v>22.643141888011478</v>
      </c>
      <c r="I51" s="107"/>
      <c r="J51" s="45">
        <v>186</v>
      </c>
      <c r="L51" s="699">
        <f>AVERAGE(J51,J50)</f>
        <v>181.5</v>
      </c>
      <c r="N51" s="689">
        <f>(L51/L44-1)*100</f>
        <v>19.016393442622959</v>
      </c>
      <c r="O51" s="107"/>
      <c r="P51" s="655">
        <f>H51/N51*100</f>
        <v>119.07169441109477</v>
      </c>
      <c r="Q51" s="122"/>
      <c r="S51" s="696">
        <v>40.008994999999999</v>
      </c>
      <c r="U51" s="697">
        <f>S51/L51</f>
        <v>0.22043523415977961</v>
      </c>
      <c r="W51" s="709">
        <f>(U51/U44-1)*100</f>
        <v>25.649196352185943</v>
      </c>
      <c r="X51" s="107"/>
      <c r="Z51" s="694">
        <f>+turn!AB48</f>
        <v>0.31374999999999997</v>
      </c>
      <c r="AB51" s="694">
        <f>AVERAGE(Z51,Z50)</f>
        <v>0.30312499999999998</v>
      </c>
      <c r="AD51" s="689">
        <f>(AB51/AB44-1)*100</f>
        <v>24.58258412535319</v>
      </c>
      <c r="AE51" s="107"/>
      <c r="AF51" s="655">
        <f>+H51/AD51*100</f>
        <v>92.110502998985069</v>
      </c>
      <c r="AG51" s="122"/>
      <c r="AI51" s="696">
        <f>+S51</f>
        <v>40.008994999999999</v>
      </c>
      <c r="AK51" s="698">
        <f>AI51/AB51</f>
        <v>131.98843711340206</v>
      </c>
      <c r="AM51" s="709">
        <f>(AK51/AK44-1)*100</f>
        <v>20.03535079794403</v>
      </c>
      <c r="AN51" s="107"/>
      <c r="AT51" s="236">
        <f>+J51/$AT$8</f>
        <v>0.31</v>
      </c>
    </row>
    <row r="52" spans="1:46" hidden="1" outlineLevel="2">
      <c r="A52" s="26" t="str">
        <f>$A$17</f>
        <v>4Q</v>
      </c>
      <c r="B52" s="218" t="str">
        <f>$B$17</f>
        <v>Jan</v>
      </c>
      <c r="D52" s="643">
        <f>(S52/S45-1)*100</f>
        <v>56.34990977815648</v>
      </c>
      <c r="E52" s="107"/>
      <c r="F52" s="700">
        <f>'qtrP&amp;L'!Z13</f>
        <v>26.5</v>
      </c>
      <c r="G52" s="107"/>
      <c r="H52" s="643">
        <f>D52-F52</f>
        <v>29.84990977815648</v>
      </c>
      <c r="I52" s="107"/>
      <c r="J52" s="26">
        <f>yrSales!G40</f>
        <v>200</v>
      </c>
      <c r="L52" s="662">
        <f>AVERAGE(J52,J51)</f>
        <v>193</v>
      </c>
      <c r="N52" s="643">
        <f>(L52/L45-1)*100</f>
        <v>21.76656151419558</v>
      </c>
      <c r="O52" s="107"/>
      <c r="P52" s="662">
        <f>H52/N52*100</f>
        <v>137.13654202428413</v>
      </c>
      <c r="Q52" s="122"/>
      <c r="S52" s="701">
        <v>41.797011999999988</v>
      </c>
      <c r="U52" s="702">
        <f>S52/L52</f>
        <v>0.21656482901554397</v>
      </c>
      <c r="W52" s="700">
        <f>(U52/U45-1)*100</f>
        <v>28.401350776361657</v>
      </c>
      <c r="X52" s="107"/>
      <c r="Z52" s="694">
        <f>+turn!AB49</f>
        <v>0.34799999999999998</v>
      </c>
      <c r="AB52" s="703">
        <f>AVERAGE(Z52,Z51)</f>
        <v>0.33087499999999997</v>
      </c>
      <c r="AD52" s="643">
        <f>(AB52/AB45-1)*100</f>
        <v>31.104507181773155</v>
      </c>
      <c r="AE52" s="107"/>
      <c r="AF52" s="662">
        <f>+H52/AD52*100</f>
        <v>95.966509302703713</v>
      </c>
      <c r="AG52" s="122"/>
      <c r="AI52" s="701">
        <f>+S52</f>
        <v>41.797011999999988</v>
      </c>
      <c r="AK52" s="704">
        <f>AI52/AB52</f>
        <v>126.32266565923685</v>
      </c>
      <c r="AM52" s="700">
        <f>(AK52/AK45-1)*100</f>
        <v>19.255937983414405</v>
      </c>
      <c r="AN52" s="107"/>
      <c r="AT52" s="236">
        <f>+J52/$AT$8</f>
        <v>0.33333333333333331</v>
      </c>
    </row>
    <row r="53" spans="1:46" hidden="1" outlineLevel="2">
      <c r="B53" s="218" t="str">
        <f>$B$18</f>
        <v>Year</v>
      </c>
      <c r="D53" s="689">
        <f>(S53/S46-1)*100</f>
        <v>45.212636090225836</v>
      </c>
      <c r="E53" s="107"/>
      <c r="F53" s="690">
        <f>'qtrP&amp;L'!Z14</f>
        <v>23.3</v>
      </c>
      <c r="G53" s="107"/>
      <c r="H53" s="689">
        <f>D53-F53</f>
        <v>21.912636090225835</v>
      </c>
      <c r="I53" s="107"/>
      <c r="L53" s="699">
        <f>AVERAGE(L49:L52)</f>
        <v>178.25</v>
      </c>
      <c r="N53" s="689">
        <f>(L53/L46-1)*100</f>
        <v>19.131161236424397</v>
      </c>
      <c r="O53" s="107"/>
      <c r="P53" s="655">
        <f>H53/N53*100</f>
        <v>114.53897554585294</v>
      </c>
      <c r="Q53" s="122"/>
      <c r="S53" s="692">
        <f>SUM(S49:S52)</f>
        <v>155.00228099999998</v>
      </c>
      <c r="U53" s="693">
        <f>SUM(U49:U52)</f>
        <v>0.86964140940238122</v>
      </c>
      <c r="W53" s="709">
        <f>(U53/U46-1)*100</f>
        <v>21.713847211653501</v>
      </c>
      <c r="X53" s="107"/>
      <c r="AB53" s="694">
        <f>AVERAGE(AB49:AB52)</f>
        <v>0.29629687499999996</v>
      </c>
      <c r="AD53" s="689">
        <f>(AB53/AB46-1)*100</f>
        <v>24.249770672257863</v>
      </c>
      <c r="AE53" s="107"/>
      <c r="AF53" s="655">
        <f>+H53/AD53*100</f>
        <v>90.362240477986262</v>
      </c>
      <c r="AG53" s="122"/>
      <c r="AI53" s="692">
        <f>SUM(AI49:AI52)</f>
        <v>155.00228099999998</v>
      </c>
      <c r="AK53" s="695">
        <f>SUM(AK49:AK52)</f>
        <v>524.13576839791074</v>
      </c>
      <c r="AM53" s="709">
        <f>(AK53/AK46-1)*100</f>
        <v>16.916826622561064</v>
      </c>
      <c r="AN53" s="107"/>
    </row>
    <row r="54" spans="1:46" hidden="1" outlineLevel="2">
      <c r="B54" s="218"/>
      <c r="E54" s="107"/>
      <c r="G54" s="107"/>
      <c r="I54" s="107"/>
      <c r="O54" s="107"/>
      <c r="P54" s="122"/>
      <c r="Q54" s="122"/>
      <c r="X54" s="107"/>
      <c r="AE54" s="107"/>
      <c r="AF54" s="122"/>
      <c r="AG54" s="122"/>
      <c r="AN54" s="107"/>
      <c r="AP54" s="711" t="s">
        <v>32</v>
      </c>
    </row>
    <row r="55" spans="1:46" hidden="1" outlineLevel="2">
      <c r="A55" s="705"/>
      <c r="B55" s="706">
        <f>B48+1</f>
        <v>2000</v>
      </c>
      <c r="E55" s="107"/>
      <c r="G55" s="107"/>
      <c r="I55" s="107"/>
      <c r="O55" s="107"/>
      <c r="P55" s="122"/>
      <c r="Q55" s="122"/>
      <c r="X55" s="107"/>
      <c r="AE55" s="107"/>
      <c r="AF55" s="122"/>
      <c r="AG55" s="122"/>
      <c r="AN55" s="107"/>
      <c r="AP55" s="712"/>
    </row>
    <row r="56" spans="1:46" hidden="1" outlineLevel="2">
      <c r="A56" s="26" t="str">
        <f>$A$14</f>
        <v>1Q</v>
      </c>
      <c r="B56" s="218" t="str">
        <f>$B$14</f>
        <v>Apr</v>
      </c>
      <c r="D56" s="689">
        <f>(S56/S49-1)*100</f>
        <v>55.642672812924722</v>
      </c>
      <c r="E56" s="107" t="s">
        <v>576</v>
      </c>
      <c r="F56" s="690">
        <f>+'qtrP&amp;L'!AD10</f>
        <v>30.9</v>
      </c>
      <c r="G56" s="107" t="s">
        <v>576</v>
      </c>
      <c r="H56" s="689">
        <f>D56-F56</f>
        <v>24.742672812924724</v>
      </c>
      <c r="I56" s="107" t="s">
        <v>576</v>
      </c>
      <c r="J56" s="45">
        <v>207</v>
      </c>
      <c r="L56" s="699">
        <f>AVERAGE(J56,J52)</f>
        <v>203.5</v>
      </c>
      <c r="N56" s="689">
        <f>(L56/L49-1)*100</f>
        <v>22.96072507552871</v>
      </c>
      <c r="O56" s="107" t="s">
        <v>576</v>
      </c>
      <c r="P56" s="655">
        <f>H56/N56*100</f>
        <v>107.76085132997476</v>
      </c>
      <c r="Q56" s="122" t="s">
        <v>576</v>
      </c>
      <c r="S56" s="692">
        <v>56.692813999999998</v>
      </c>
      <c r="U56" s="693">
        <f>S56/L56</f>
        <v>0.27858876658476656</v>
      </c>
      <c r="W56" s="709">
        <f>(U56/U49-1)*100</f>
        <v>26.579176169725006</v>
      </c>
      <c r="X56" s="107" t="s">
        <v>576</v>
      </c>
      <c r="Z56" s="694">
        <f>+turn!AB53</f>
        <v>0.37749999999999995</v>
      </c>
      <c r="AB56" s="694">
        <f>AVERAGE(Z56,Z52)</f>
        <v>0.36274999999999996</v>
      </c>
      <c r="AD56" s="689">
        <f>(AB56/AB49-1)*100</f>
        <v>35.956898571093923</v>
      </c>
      <c r="AE56" s="107" t="s">
        <v>576</v>
      </c>
      <c r="AF56" s="655">
        <f>+H56/AD56*100</f>
        <v>68.812032728583503</v>
      </c>
      <c r="AG56" s="122" t="s">
        <v>576</v>
      </c>
      <c r="AI56" s="692">
        <f>+S56</f>
        <v>56.692813999999998</v>
      </c>
      <c r="AK56" s="695">
        <f>AI56/AB56</f>
        <v>156.28618607856652</v>
      </c>
      <c r="AM56" s="709">
        <f>(AK56/AK49-1)*100</f>
        <v>14.479422852924827</v>
      </c>
      <c r="AN56" s="107" t="s">
        <v>576</v>
      </c>
      <c r="AR56" s="236">
        <f>+AI56/$AI$60</f>
        <v>0.22077523034993532</v>
      </c>
      <c r="AT56" s="236">
        <f>+J56/$AT$8</f>
        <v>0.34499999999999997</v>
      </c>
    </row>
    <row r="57" spans="1:46" hidden="1" outlineLevel="2">
      <c r="A57" s="26" t="str">
        <f>$A$15</f>
        <v>2Q</v>
      </c>
      <c r="B57" s="218" t="str">
        <f>$B$15</f>
        <v>Jul</v>
      </c>
      <c r="D57" s="689">
        <f>(S57/S50-1)*100</f>
        <v>64.354277669811609</v>
      </c>
      <c r="F57" s="690">
        <f>+'qtrP&amp;L'!AD11</f>
        <v>34.299999999999997</v>
      </c>
      <c r="H57" s="689">
        <f>D57-F57</f>
        <v>30.054277669811611</v>
      </c>
      <c r="J57" s="713">
        <v>216</v>
      </c>
      <c r="K57" s="713"/>
      <c r="L57" s="699">
        <f>AVERAGE(J57,J56)</f>
        <v>211.5</v>
      </c>
      <c r="N57" s="689">
        <f>(L57/L50-1)*100</f>
        <v>22.254335260115599</v>
      </c>
      <c r="O57" s="107"/>
      <c r="P57" s="655">
        <f>H57/N57*100</f>
        <v>135.04909186694573</v>
      </c>
      <c r="Q57" s="122"/>
      <c r="S57" s="696">
        <v>60.435192999999998</v>
      </c>
      <c r="U57" s="697">
        <f>S57/L57</f>
        <v>0.28574559338061467</v>
      </c>
      <c r="W57" s="709">
        <f>(U57/U50-1)*100</f>
        <v>34.43635951242274</v>
      </c>
      <c r="X57" s="107"/>
      <c r="Z57" s="694">
        <f>+turn!AB54</f>
        <v>0.39999999999999997</v>
      </c>
      <c r="AA57" s="713"/>
      <c r="AB57" s="694">
        <f>AVERAGE(Z57,Z56)</f>
        <v>0.38874999999999993</v>
      </c>
      <c r="AD57" s="689">
        <f>(AB57/AB50-1)*100</f>
        <v>36.703296703296687</v>
      </c>
      <c r="AE57" s="107"/>
      <c r="AF57" s="655">
        <f>+H57/AD57*100</f>
        <v>81.884409220145443</v>
      </c>
      <c r="AG57" s="122"/>
      <c r="AI57" s="696">
        <f>+S57</f>
        <v>60.435192999999998</v>
      </c>
      <c r="AK57" s="698">
        <f>AI57/AB57</f>
        <v>155.46030353697751</v>
      </c>
      <c r="AM57" s="709">
        <f>(AK57/AK50-1)*100</f>
        <v>20.227003761678898</v>
      </c>
      <c r="AN57" s="107"/>
      <c r="AR57" s="236">
        <f>+AI57/$AI$60</f>
        <v>0.23534893956432995</v>
      </c>
      <c r="AT57" s="236">
        <f>+J57/$AT$8</f>
        <v>0.36</v>
      </c>
    </row>
    <row r="58" spans="1:46" hidden="1" outlineLevel="2">
      <c r="A58" s="26" t="str">
        <f>$A$16</f>
        <v>3Q</v>
      </c>
      <c r="B58" s="218" t="str">
        <f>$B$16</f>
        <v>Oct</v>
      </c>
      <c r="D58" s="689">
        <f>(S58/S51-1)*100</f>
        <v>70.613060887932818</v>
      </c>
      <c r="F58" s="690">
        <f>+'qtrP&amp;L'!AD12</f>
        <v>39.1</v>
      </c>
      <c r="H58" s="689">
        <f>D58-F58</f>
        <v>31.513060887932816</v>
      </c>
      <c r="J58" s="713">
        <v>233</v>
      </c>
      <c r="K58" s="713"/>
      <c r="L58" s="699">
        <f>AVERAGE(J58,J57)</f>
        <v>224.5</v>
      </c>
      <c r="N58" s="689">
        <f>(L58/L51-1)*100</f>
        <v>23.691460055096414</v>
      </c>
      <c r="O58" s="107"/>
      <c r="P58" s="655">
        <f>H58/N58*100</f>
        <v>133.01443142232111</v>
      </c>
      <c r="Q58" s="122"/>
      <c r="S58" s="696">
        <v>68.260570999999999</v>
      </c>
      <c r="U58" s="697">
        <f>S58/L58</f>
        <v>0.30405599554565699</v>
      </c>
      <c r="W58" s="709">
        <f>(U58/U51-1)*100</f>
        <v>37.934389982894444</v>
      </c>
      <c r="X58" s="107"/>
      <c r="Z58" s="694">
        <f>+turn!AB55</f>
        <v>0.44374999999999998</v>
      </c>
      <c r="AA58" s="713"/>
      <c r="AB58" s="694">
        <f>AVERAGE(Z58,Z57)</f>
        <v>0.421875</v>
      </c>
      <c r="AD58" s="689">
        <f>(AB58/AB51-1)*100</f>
        <v>39.17525773195878</v>
      </c>
      <c r="AE58" s="107"/>
      <c r="AF58" s="655">
        <f>+H58/AD58*100</f>
        <v>80.441234371828472</v>
      </c>
      <c r="AG58" s="122"/>
      <c r="AI58" s="696">
        <f>+S58</f>
        <v>68.260570999999999</v>
      </c>
      <c r="AK58" s="698">
        <f>AI58/AB58</f>
        <v>161.80283496296295</v>
      </c>
      <c r="AM58" s="709">
        <f>(AK58/AK51-1)*100</f>
        <v>22.588643749107273</v>
      </c>
      <c r="AN58" s="107"/>
      <c r="AR58" s="236">
        <f>+AI58/$AI$60</f>
        <v>0.2658228128584888</v>
      </c>
      <c r="AT58" s="236">
        <f>+J58/$AT$8</f>
        <v>0.38833333333333331</v>
      </c>
    </row>
    <row r="59" spans="1:46" hidden="1" outlineLevel="2">
      <c r="A59" s="26" t="str">
        <f>$A$17</f>
        <v>4Q</v>
      </c>
      <c r="B59" s="218" t="str">
        <f>$B$17</f>
        <v>Jan</v>
      </c>
      <c r="D59" s="643">
        <f>(S59/S52-1)*100</f>
        <v>70.828388402501162</v>
      </c>
      <c r="F59" s="700">
        <f>+'qtrP&amp;L'!AD13</f>
        <v>32.200000000000003</v>
      </c>
      <c r="H59" s="643">
        <f>D59-F59</f>
        <v>38.628388402501159</v>
      </c>
      <c r="J59" s="26">
        <f>yrSales!H40</f>
        <v>250</v>
      </c>
      <c r="K59" s="45"/>
      <c r="L59" s="662">
        <f>AVERAGE(J59,J58)</f>
        <v>241.5</v>
      </c>
      <c r="N59" s="643">
        <f>(L59/L52-1)*100</f>
        <v>25.129533678756477</v>
      </c>
      <c r="O59" s="107"/>
      <c r="P59" s="662">
        <f>H59/N59*100</f>
        <v>153.71709199345821</v>
      </c>
      <c r="Q59" s="122"/>
      <c r="S59" s="701">
        <v>71.401161999999999</v>
      </c>
      <c r="U59" s="702">
        <f>S59/L59</f>
        <v>0.29565698550724639</v>
      </c>
      <c r="W59" s="700">
        <f>(U59/U52-1)*100</f>
        <v>36.521237936574444</v>
      </c>
      <c r="X59" s="107"/>
      <c r="Z59" s="694">
        <f>+turn!AB56</f>
        <v>0.48049999999999998</v>
      </c>
      <c r="AA59" s="45"/>
      <c r="AB59" s="703">
        <f>AVERAGE(Z59,Z58)</f>
        <v>0.46212500000000001</v>
      </c>
      <c r="AD59" s="643">
        <f>(AB59/AB52-1)*100</f>
        <v>39.667548167737074</v>
      </c>
      <c r="AE59" s="107"/>
      <c r="AF59" s="662">
        <f>+H59/AD59*100</f>
        <v>97.3803277156386</v>
      </c>
      <c r="AG59" s="122"/>
      <c r="AI59" s="701">
        <f>+S59</f>
        <v>71.401161999999999</v>
      </c>
      <c r="AK59" s="704">
        <f>AI59/AB59</f>
        <v>154.50616608060588</v>
      </c>
      <c r="AM59" s="700">
        <f>(AK59/AK52-1)*100</f>
        <v>22.310723316586547</v>
      </c>
      <c r="AN59" s="107"/>
      <c r="AR59" s="236">
        <f>+AI59/$AI$60</f>
        <v>0.2780530172272459</v>
      </c>
      <c r="AT59" s="236">
        <f>+J59/$AT$8</f>
        <v>0.41666666666666669</v>
      </c>
    </row>
    <row r="60" spans="1:46" hidden="1" outlineLevel="2">
      <c r="B60" s="218" t="str">
        <f>$B$18</f>
        <v>Year</v>
      </c>
      <c r="D60" s="689">
        <f>(S60/S53-1)*100</f>
        <v>65.668362003008212</v>
      </c>
      <c r="F60" s="690">
        <f>+'qtrP&amp;L'!AD14</f>
        <v>34.299999999999997</v>
      </c>
      <c r="H60" s="689">
        <f>D60-F60</f>
        <v>31.368362003008215</v>
      </c>
      <c r="L60" s="699">
        <f>AVERAGE(L56:L59)</f>
        <v>220.25</v>
      </c>
      <c r="N60" s="689">
        <f>(L60/L53-1)*100</f>
        <v>23.562412342215989</v>
      </c>
      <c r="O60" s="107"/>
      <c r="P60" s="655">
        <f>H60/N60*100</f>
        <v>133.12882207229083</v>
      </c>
      <c r="Q60" s="122"/>
      <c r="S60" s="692">
        <f>SUM(S56:S59)</f>
        <v>256.78973999999999</v>
      </c>
      <c r="U60" s="693">
        <f>SUM(U56:U59)</f>
        <v>1.1640473410182846</v>
      </c>
      <c r="W60" s="709">
        <f>(U60/U53-1)*100</f>
        <v>33.853715845732268</v>
      </c>
      <c r="X60" s="107"/>
      <c r="AB60" s="694">
        <f>AVERAGE(AB56:AB59)</f>
        <v>0.40887499999999999</v>
      </c>
      <c r="AD60" s="689">
        <f>(AB60/AB53-1)*100</f>
        <v>37.995042978431705</v>
      </c>
      <c r="AE60" s="107"/>
      <c r="AF60" s="655">
        <f>+H60/AD60*100</f>
        <v>82.559090723531497</v>
      </c>
      <c r="AG60" s="122"/>
      <c r="AI60" s="692">
        <f>SUM(AI56:AI59)</f>
        <v>256.78973999999999</v>
      </c>
      <c r="AK60" s="695">
        <f>SUM(AK56:AK59)</f>
        <v>628.05549065911282</v>
      </c>
      <c r="AM60" s="709">
        <f>(AK60/AK53-1)*100</f>
        <v>19.826870922937822</v>
      </c>
      <c r="AN60" s="107"/>
    </row>
    <row r="61" spans="1:46" hidden="1" outlineLevel="2">
      <c r="B61" s="218"/>
      <c r="E61" s="107"/>
      <c r="G61" s="107"/>
      <c r="I61" s="107"/>
      <c r="O61" s="107"/>
      <c r="P61" s="122"/>
      <c r="Q61" s="122"/>
      <c r="X61" s="107"/>
      <c r="AE61" s="107"/>
      <c r="AF61" s="122"/>
      <c r="AG61" s="122"/>
      <c r="AN61" s="107"/>
    </row>
    <row r="62" spans="1:46" hidden="1" outlineLevel="2">
      <c r="A62" s="705"/>
      <c r="B62" s="706">
        <v>2001</v>
      </c>
      <c r="E62" s="107"/>
      <c r="G62" s="107"/>
      <c r="I62" s="107"/>
      <c r="O62" s="107"/>
      <c r="P62" s="122"/>
      <c r="Q62" s="122"/>
      <c r="X62" s="107"/>
      <c r="AE62" s="107"/>
      <c r="AF62" s="122"/>
      <c r="AG62" s="122"/>
      <c r="AN62" s="107"/>
      <c r="AP62" s="714"/>
      <c r="AQ62" s="122"/>
    </row>
    <row r="63" spans="1:46" hidden="1" outlineLevel="2">
      <c r="A63" s="26" t="str">
        <f>$A$14</f>
        <v>1Q</v>
      </c>
      <c r="B63" s="218" t="str">
        <f>$B$14</f>
        <v>Apr</v>
      </c>
      <c r="C63" s="107"/>
      <c r="D63" s="689">
        <f>(S63/S56-1)*100</f>
        <v>60.402334235869802</v>
      </c>
      <c r="E63" s="107" t="s">
        <v>576</v>
      </c>
      <c r="F63" s="690">
        <f>+'qtrP&amp;L'!AH10</f>
        <v>27.7</v>
      </c>
      <c r="G63" s="107" t="s">
        <v>576</v>
      </c>
      <c r="H63" s="689">
        <f>D63-F63</f>
        <v>32.702334235869799</v>
      </c>
      <c r="I63" s="107" t="s">
        <v>576</v>
      </c>
      <c r="J63" s="45">
        <f>+J59+13</f>
        <v>263</v>
      </c>
      <c r="L63" s="699">
        <f>AVERAGE(J63,J59)</f>
        <v>256.5</v>
      </c>
      <c r="N63" s="689">
        <f>(L63/L56-1)*100</f>
        <v>26.04422604422605</v>
      </c>
      <c r="O63" s="107" t="s">
        <v>576</v>
      </c>
      <c r="P63" s="655">
        <f>H63/N63*100</f>
        <v>125.56462296225477</v>
      </c>
      <c r="Q63" s="122" t="s">
        <v>576</v>
      </c>
      <c r="S63" s="692">
        <v>90.936596999999992</v>
      </c>
      <c r="U63" s="693">
        <f>S63/L63</f>
        <v>0.35452864327485378</v>
      </c>
      <c r="W63" s="709">
        <f>(U63/U56-1)*100</f>
        <v>27.258771996099451</v>
      </c>
      <c r="X63" s="107" t="s">
        <v>576</v>
      </c>
      <c r="Z63" s="694">
        <f>+turn!AB60</f>
        <v>0.49875000000000003</v>
      </c>
      <c r="AB63" s="694">
        <f>AVERAGE(Z63,Z59)</f>
        <v>0.48962499999999998</v>
      </c>
      <c r="AD63" s="689">
        <f>(AB63/AB56-1)*100</f>
        <v>34.975878704341845</v>
      </c>
      <c r="AE63" s="107" t="s">
        <v>576</v>
      </c>
      <c r="AF63" s="655">
        <f>+H63/AD63*100</f>
        <v>93.499678770930174</v>
      </c>
      <c r="AG63" s="122" t="s">
        <v>576</v>
      </c>
      <c r="AI63" s="692">
        <f>+S63</f>
        <v>90.936596999999992</v>
      </c>
      <c r="AJ63" s="107"/>
      <c r="AK63" s="695">
        <f>AI63/AB63</f>
        <v>185.72702986979832</v>
      </c>
      <c r="AM63" s="709">
        <f>(AK63/AK56-1)*100</f>
        <v>18.837777368520349</v>
      </c>
      <c r="AN63" s="107" t="s">
        <v>576</v>
      </c>
      <c r="AP63" s="715"/>
      <c r="AQ63" s="122"/>
      <c r="AR63" s="236">
        <f>+AI63/$AI$67</f>
        <v>0.24718928886718544</v>
      </c>
      <c r="AT63" s="236">
        <f>+J63/$AT$8</f>
        <v>0.43833333333333335</v>
      </c>
    </row>
    <row r="64" spans="1:46" hidden="1" outlineLevel="2">
      <c r="A64" s="26" t="str">
        <f>$A$15</f>
        <v>2Q</v>
      </c>
      <c r="B64" s="218" t="str">
        <f>$B$15</f>
        <v>Jul</v>
      </c>
      <c r="C64" s="107"/>
      <c r="D64" s="689">
        <f>(S64/S57-1)*100</f>
        <v>44.201942070409217</v>
      </c>
      <c r="F64" s="716">
        <f>+'qtrP&amp;L'!AH11</f>
        <v>17.399999999999999</v>
      </c>
      <c r="H64" s="689">
        <f>D64-F64</f>
        <v>26.801942070409218</v>
      </c>
      <c r="J64" s="713">
        <f>+J63+10</f>
        <v>273</v>
      </c>
      <c r="K64" s="713"/>
      <c r="L64" s="699">
        <f>AVERAGE(J64,J63)</f>
        <v>268</v>
      </c>
      <c r="N64" s="689">
        <f>(L64/L57-1)*100</f>
        <v>26.71394799054374</v>
      </c>
      <c r="O64" s="107"/>
      <c r="P64" s="655">
        <f>H64/N64*100</f>
        <v>100.32939376799202</v>
      </c>
      <c r="Q64" s="122"/>
      <c r="S64" s="696">
        <v>87.148722000000006</v>
      </c>
      <c r="U64" s="697">
        <f>S64/L64</f>
        <v>0.3251817985074627</v>
      </c>
      <c r="W64" s="709">
        <f>(U64/U57-1)*100</f>
        <v>13.801159507058003</v>
      </c>
      <c r="X64" s="107"/>
      <c r="Z64" s="694">
        <f>+turn!AB61</f>
        <v>0.55374999999999996</v>
      </c>
      <c r="AA64" s="713"/>
      <c r="AB64" s="694">
        <f>AVERAGE(Z64,Z63)</f>
        <v>0.52625</v>
      </c>
      <c r="AD64" s="689">
        <f>(AB64/AB57-1)*100</f>
        <v>35.369774919614173</v>
      </c>
      <c r="AE64" s="107"/>
      <c r="AF64" s="655">
        <f>+H64/AD64*100</f>
        <v>75.776399853611466</v>
      </c>
      <c r="AG64" s="122"/>
      <c r="AI64" s="696">
        <f>+S64</f>
        <v>87.148722000000006</v>
      </c>
      <c r="AK64" s="698">
        <f>AI64/AB64</f>
        <v>165.60327220902613</v>
      </c>
      <c r="AM64" s="709">
        <f>(AK64/AK57-1)*100</f>
        <v>6.5244750211336244</v>
      </c>
      <c r="AN64" s="107"/>
      <c r="AP64" s="717"/>
      <c r="AQ64" s="122"/>
      <c r="AR64" s="236">
        <f>+AI64/$AI$67</f>
        <v>0.23689286082328376</v>
      </c>
      <c r="AT64" s="236">
        <f>+J64/$AT$8</f>
        <v>0.45500000000000002</v>
      </c>
    </row>
    <row r="65" spans="1:46" hidden="1" outlineLevel="2">
      <c r="A65" s="26" t="str">
        <f>$A$16</f>
        <v>3Q</v>
      </c>
      <c r="B65" s="218" t="str">
        <f>$B$16</f>
        <v>Oct</v>
      </c>
      <c r="C65" s="107"/>
      <c r="D65" s="689">
        <f>(S65/S58-1)*100</f>
        <v>33.754216617965291</v>
      </c>
      <c r="F65" s="716">
        <f>+'qtrP&amp;L'!AH12</f>
        <v>7</v>
      </c>
      <c r="H65" s="689">
        <f>D65-F65</f>
        <v>26.754216617965291</v>
      </c>
      <c r="J65" s="713">
        <f>+J64+17</f>
        <v>290</v>
      </c>
      <c r="K65" s="713"/>
      <c r="L65" s="699">
        <f>AVERAGE(J65,J64)</f>
        <v>281.5</v>
      </c>
      <c r="N65" s="689">
        <f>(L65/L58-1)*100</f>
        <v>25.389755011135851</v>
      </c>
      <c r="O65" s="107"/>
      <c r="P65" s="655">
        <f>H65/N65*100</f>
        <v>105.37406369707385</v>
      </c>
      <c r="Q65" s="122"/>
      <c r="S65" s="696">
        <v>91.301391999999993</v>
      </c>
      <c r="U65" s="697">
        <f>S65/L65</f>
        <v>0.32433887033747777</v>
      </c>
      <c r="W65" s="709">
        <f>(U65/U58-1)*100</f>
        <v>6.6707695585549232</v>
      </c>
      <c r="X65" s="107"/>
      <c r="Z65" s="694">
        <f>+turn!AB62</f>
        <v>0.61499999999999999</v>
      </c>
      <c r="AA65" s="713"/>
      <c r="AB65" s="694">
        <f>AVERAGE(Z65,Z64)</f>
        <v>0.58437499999999998</v>
      </c>
      <c r="AD65" s="689">
        <f>(AB65/AB58-1)*100</f>
        <v>38.518518518518505</v>
      </c>
      <c r="AE65" s="107"/>
      <c r="AF65" s="655">
        <f>+H65/AD65*100</f>
        <v>69.458062373563763</v>
      </c>
      <c r="AG65" s="122"/>
      <c r="AI65" s="696">
        <f>+S65</f>
        <v>91.301391999999993</v>
      </c>
      <c r="AK65" s="698">
        <f>AI65/AB65</f>
        <v>156.23767614973261</v>
      </c>
      <c r="AM65" s="709">
        <f>(AK65/AK58-1)*100</f>
        <v>-3.4394692864956444</v>
      </c>
      <c r="AN65" s="107"/>
      <c r="AP65" s="718"/>
      <c r="AQ65" s="122"/>
      <c r="AR65" s="236">
        <f>+AI65/$AI$67</f>
        <v>0.24818089642241764</v>
      </c>
      <c r="AT65" s="236">
        <f>+J65/$AT$8</f>
        <v>0.48333333333333334</v>
      </c>
    </row>
    <row r="66" spans="1:46" hidden="1" outlineLevel="2">
      <c r="A66" s="26" t="str">
        <f>$A$17</f>
        <v>4Q</v>
      </c>
      <c r="B66" s="218" t="str">
        <f>$B$17</f>
        <v>Jan</v>
      </c>
      <c r="C66" s="107"/>
      <c r="D66" s="643">
        <f>(S66/S59-1)*100</f>
        <v>37.946945457274218</v>
      </c>
      <c r="F66" s="700">
        <f>+'qtrP&amp;L'!AH13</f>
        <v>17.899999999999999</v>
      </c>
      <c r="H66" s="643">
        <f>D66-F66</f>
        <v>20.046945457274219</v>
      </c>
      <c r="J66" s="26">
        <f>+yrSales!I40</f>
        <v>311</v>
      </c>
      <c r="K66" s="45"/>
      <c r="L66" s="662">
        <f>AVERAGE(J66,J65)</f>
        <v>300.5</v>
      </c>
      <c r="N66" s="643">
        <f>(L66/L59-1)*100</f>
        <v>24.430641821946164</v>
      </c>
      <c r="O66" s="107"/>
      <c r="P66" s="662">
        <f>H66/N66*100</f>
        <v>82.056564880198735</v>
      </c>
      <c r="Q66" s="122"/>
      <c r="S66" s="701">
        <v>98.495722000000001</v>
      </c>
      <c r="U66" s="702">
        <f>S66/L66</f>
        <v>0.32777278535773713</v>
      </c>
      <c r="W66" s="700">
        <f>(U66/U59-1)*100</f>
        <v>10.862520226062312</v>
      </c>
      <c r="X66" s="107"/>
      <c r="Z66" s="694">
        <f>+turn!AB63</f>
        <v>0.66874999999999996</v>
      </c>
      <c r="AA66" s="45"/>
      <c r="AB66" s="703">
        <f>AVERAGE(Z66,Z65)</f>
        <v>0.64187499999999997</v>
      </c>
      <c r="AD66" s="643">
        <f>(AB66/AB59-1)*100</f>
        <v>38.896402488504187</v>
      </c>
      <c r="AE66" s="107"/>
      <c r="AF66" s="662">
        <f>+H66/AD66*100</f>
        <v>51.539330567136851</v>
      </c>
      <c r="AG66" s="122"/>
      <c r="AI66" s="701">
        <f>+S66</f>
        <v>98.495722000000001</v>
      </c>
      <c r="AK66" s="704">
        <f>AI66/AB66</f>
        <v>153.45000506329114</v>
      </c>
      <c r="AM66" s="700">
        <f>(AK66/AK59-1)*100</f>
        <v>-0.68357208265962255</v>
      </c>
      <c r="AN66" s="107"/>
      <c r="AP66" s="718"/>
      <c r="AQ66" s="122"/>
      <c r="AR66" s="236">
        <f>+AI66/$AI$67</f>
        <v>0.26773695388711316</v>
      </c>
      <c r="AT66" s="236">
        <f>+J66/$AT$8</f>
        <v>0.51833333333333331</v>
      </c>
    </row>
    <row r="67" spans="1:46" hidden="1" outlineLevel="2">
      <c r="B67" s="218" t="str">
        <f>$B$18</f>
        <v>Year</v>
      </c>
      <c r="D67" s="689">
        <f>(S67/S60-1)*100</f>
        <v>43.262122933727795</v>
      </c>
      <c r="F67" s="690">
        <f>F63*S63/$S$67+F64*S64/$S$67+F65*S65/$S$67+F66*S66/$S$67</f>
        <v>17.498836829482421</v>
      </c>
      <c r="H67" s="689">
        <f>D67-F67</f>
        <v>25.763286104245374</v>
      </c>
      <c r="L67" s="699">
        <f>AVERAGE(L63:L66)</f>
        <v>276.625</v>
      </c>
      <c r="N67" s="689">
        <f>(L67/L60-1)*100</f>
        <v>25.595913734392738</v>
      </c>
      <c r="O67" s="107"/>
      <c r="P67" s="655">
        <f>H67/N67*100</f>
        <v>100.65390269552184</v>
      </c>
      <c r="Q67" s="122"/>
      <c r="S67" s="692">
        <f>SUM(S63:S66)</f>
        <v>367.88243299999999</v>
      </c>
      <c r="U67" s="693">
        <f>SUM(U63:U66)</f>
        <v>1.3318220974775312</v>
      </c>
      <c r="W67" s="709">
        <f>(U67/U60-1)*100</f>
        <v>14.413052678122252</v>
      </c>
      <c r="X67" s="107"/>
      <c r="AB67" s="694">
        <f>AVERAGE(AB63:AB66)</f>
        <v>0.56053124999999993</v>
      </c>
      <c r="AD67" s="689">
        <f>(AB67/AB60-1)*100</f>
        <v>37.091103638031164</v>
      </c>
      <c r="AE67" s="107"/>
      <c r="AF67" s="655">
        <f>+H67/AD67*100</f>
        <v>69.459475662053705</v>
      </c>
      <c r="AG67" s="122"/>
      <c r="AI67" s="692">
        <f>SUM(AI63:AI66)</f>
        <v>367.88243299999999</v>
      </c>
      <c r="AK67" s="695">
        <f>SUM(AK63:AK66)</f>
        <v>661.01798329184817</v>
      </c>
      <c r="AM67" s="709">
        <f>(AK67/AK60-1)*100</f>
        <v>5.2483408111189123</v>
      </c>
      <c r="AN67" s="107"/>
      <c r="AP67" s="715"/>
      <c r="AQ67" s="122"/>
    </row>
    <row r="68" spans="1:46" hidden="1" outlineLevel="2">
      <c r="B68" s="218"/>
      <c r="E68" s="107"/>
      <c r="G68" s="107"/>
      <c r="I68" s="107"/>
      <c r="O68" s="107"/>
      <c r="P68" s="122"/>
      <c r="Q68" s="122"/>
      <c r="X68" s="107"/>
      <c r="AE68" s="107"/>
      <c r="AF68" s="122"/>
      <c r="AG68" s="122"/>
      <c r="AN68" s="107"/>
      <c r="AP68" s="122"/>
      <c r="AQ68" s="122"/>
    </row>
    <row r="69" spans="1:46" hidden="1" outlineLevel="2">
      <c r="A69" s="705"/>
      <c r="B69" s="706">
        <v>2002</v>
      </c>
      <c r="E69" s="107"/>
      <c r="G69" s="107"/>
      <c r="I69" s="107"/>
      <c r="O69" s="107"/>
      <c r="P69" s="122"/>
      <c r="Q69" s="122"/>
      <c r="X69" s="107"/>
      <c r="AE69" s="107"/>
      <c r="AF69" s="122"/>
      <c r="AG69" s="122"/>
      <c r="AN69" s="107"/>
      <c r="AP69" s="719"/>
      <c r="AQ69" s="122"/>
    </row>
    <row r="70" spans="1:46" hidden="1" outlineLevel="2">
      <c r="A70" s="26" t="str">
        <f>$A$14</f>
        <v>1Q</v>
      </c>
      <c r="B70" s="218" t="str">
        <f>$B$14</f>
        <v>Apr</v>
      </c>
      <c r="C70" s="107"/>
      <c r="D70" s="689">
        <f>(S70/S63-1)*100</f>
        <v>39.516673358691911</v>
      </c>
      <c r="E70" s="107" t="s">
        <v>576</v>
      </c>
      <c r="F70" s="716">
        <f>'qtrP&amp;L'!AL10</f>
        <v>13.2</v>
      </c>
      <c r="G70" s="107" t="s">
        <v>576</v>
      </c>
      <c r="H70" s="689">
        <f>D70-F70</f>
        <v>26.316673358691911</v>
      </c>
      <c r="I70" s="107" t="s">
        <v>576</v>
      </c>
      <c r="J70" s="45">
        <f>+J66+13</f>
        <v>324</v>
      </c>
      <c r="L70" s="699">
        <f>AVERAGE(J70,J66)</f>
        <v>317.5</v>
      </c>
      <c r="N70" s="689">
        <f>(L70/L63-1)*100</f>
        <v>23.781676413255369</v>
      </c>
      <c r="O70" s="107" t="s">
        <v>576</v>
      </c>
      <c r="P70" s="655">
        <f>H70/N70*100</f>
        <v>110.65945436892579</v>
      </c>
      <c r="Q70" s="122" t="s">
        <v>576</v>
      </c>
      <c r="S70" s="692">
        <v>126.87171500000001</v>
      </c>
      <c r="U70" s="693">
        <f>S70/L70</f>
        <v>0.39959595275590554</v>
      </c>
      <c r="W70" s="709">
        <f>(U70/U63-1)*100</f>
        <v>12.711895170092813</v>
      </c>
      <c r="X70" s="107" t="s">
        <v>576</v>
      </c>
      <c r="Z70" s="694">
        <f>+turn!AB67</f>
        <v>0.71124999999999994</v>
      </c>
      <c r="AB70" s="694">
        <f>AVERAGE(Z70,Z66)</f>
        <v>0.69</v>
      </c>
      <c r="AD70" s="689">
        <f>(AB70/AB63-1)*100</f>
        <v>40.924176665815672</v>
      </c>
      <c r="AE70" s="107" t="s">
        <v>576</v>
      </c>
      <c r="AF70" s="655">
        <f>+H70/AD70*100</f>
        <v>64.305932343104317</v>
      </c>
      <c r="AG70" s="122" t="s">
        <v>576</v>
      </c>
      <c r="AI70" s="692">
        <f>+S70</f>
        <v>126.87171500000001</v>
      </c>
      <c r="AJ70" s="107"/>
      <c r="AK70" s="695">
        <f>AI70/AB70</f>
        <v>183.87205072463772</v>
      </c>
      <c r="AM70" s="709">
        <f>(AK70/AK63-1)*100</f>
        <v>-0.99876638659489592</v>
      </c>
      <c r="AN70" s="107" t="s">
        <v>576</v>
      </c>
      <c r="AP70" s="720"/>
      <c r="AQ70" s="721"/>
      <c r="AR70" s="236"/>
    </row>
    <row r="71" spans="1:46" hidden="1" outlineLevel="2">
      <c r="A71" s="26" t="str">
        <f>$A$15</f>
        <v>2Q</v>
      </c>
      <c r="B71" s="218" t="str">
        <f>$B$15</f>
        <v>Jul</v>
      </c>
      <c r="D71" s="689">
        <f>(S71/S64-1)*100</f>
        <v>39.52357442487795</v>
      </c>
      <c r="F71" s="716">
        <f>'qtrP&amp;L'!AL11</f>
        <v>11.6</v>
      </c>
      <c r="H71" s="689">
        <f>D71-F71</f>
        <v>27.923574424877948</v>
      </c>
      <c r="J71" s="713">
        <f>+J70+12</f>
        <v>336</v>
      </c>
      <c r="K71" s="713"/>
      <c r="L71" s="699">
        <f>AVERAGE(J71,J70)</f>
        <v>330</v>
      </c>
      <c r="N71" s="689">
        <f>(L71/L64-1)*100</f>
        <v>23.134328358208943</v>
      </c>
      <c r="O71" s="107"/>
      <c r="P71" s="655">
        <f>H71/N71*100</f>
        <v>120.70190235269828</v>
      </c>
      <c r="Q71" s="122"/>
      <c r="S71" s="696">
        <v>121.593012</v>
      </c>
      <c r="U71" s="697">
        <f>S71/L71</f>
        <v>0.36846367272727271</v>
      </c>
      <c r="W71" s="709">
        <f>(U71/U64-1)*100</f>
        <v>13.310054381416037</v>
      </c>
      <c r="X71" s="107"/>
      <c r="Z71" s="694">
        <f>+turn!AB68</f>
        <v>0.74999999999999989</v>
      </c>
      <c r="AA71" s="713"/>
      <c r="AB71" s="694">
        <f>AVERAGE(Z71,Z70)</f>
        <v>0.73062499999999986</v>
      </c>
      <c r="AD71" s="689">
        <f>(AB71/AB64-1)*100</f>
        <v>38.836104513064114</v>
      </c>
      <c r="AE71" s="107"/>
      <c r="AF71" s="655">
        <f>+H71/AD71*100</f>
        <v>71.901069314211753</v>
      </c>
      <c r="AG71" s="122"/>
      <c r="AI71" s="696">
        <f>+S71</f>
        <v>121.593012</v>
      </c>
      <c r="AK71" s="698">
        <f>AI71/AB71</f>
        <v>166.42328417450815</v>
      </c>
      <c r="AM71" s="709">
        <f>(AK71/AK64-1)*100</f>
        <v>0.49516652330818811</v>
      </c>
      <c r="AN71" s="107"/>
      <c r="AP71" s="718"/>
      <c r="AQ71" s="721"/>
      <c r="AR71" s="236"/>
    </row>
    <row r="72" spans="1:46" hidden="1" outlineLevel="2">
      <c r="A72" s="26" t="str">
        <f>$A$16</f>
        <v>3Q</v>
      </c>
      <c r="B72" s="218" t="str">
        <f>$B$16</f>
        <v>Oct</v>
      </c>
      <c r="D72" s="689">
        <f>(S72/S65-1)*100</f>
        <v>46.103133893073611</v>
      </c>
      <c r="F72" s="716">
        <f>'qtrP&amp;L'!AL12</f>
        <v>18.2</v>
      </c>
      <c r="H72" s="689">
        <f>D72-F72</f>
        <v>27.903133893073612</v>
      </c>
      <c r="J72" s="713">
        <f>+J71+23</f>
        <v>359</v>
      </c>
      <c r="K72" s="713"/>
      <c r="L72" s="699">
        <f>AVERAGE(J72,J71)</f>
        <v>347.5</v>
      </c>
      <c r="N72" s="689">
        <f>(L72/L65-1)*100</f>
        <v>23.445825932504437</v>
      </c>
      <c r="O72" s="107"/>
      <c r="P72" s="655">
        <f>H72/N72*100</f>
        <v>119.01109380151853</v>
      </c>
      <c r="Q72" s="122"/>
      <c r="S72" s="696">
        <v>133.394195</v>
      </c>
      <c r="U72" s="697">
        <f>S72/L72</f>
        <v>0.38386818705035969</v>
      </c>
      <c r="W72" s="709">
        <f>(U72/U65-1)*100</f>
        <v>18.354049470216459</v>
      </c>
      <c r="X72" s="107"/>
      <c r="Z72" s="694">
        <f>+turn!AB69</f>
        <v>0.8125</v>
      </c>
      <c r="AA72" s="713"/>
      <c r="AB72" s="694">
        <f>AVERAGE(Z72,Z71)</f>
        <v>0.78125</v>
      </c>
      <c r="AD72" s="689">
        <f>(AB72/AB65-1)*100</f>
        <v>33.689839572192511</v>
      </c>
      <c r="AE72" s="107"/>
      <c r="AF72" s="655">
        <f>+H72/AD72*100</f>
        <v>82.823587904837552</v>
      </c>
      <c r="AG72" s="122"/>
      <c r="AI72" s="696">
        <f>+S72</f>
        <v>133.394195</v>
      </c>
      <c r="AK72" s="698">
        <f>AI72/AB72</f>
        <v>170.74456960000001</v>
      </c>
      <c r="AM72" s="709">
        <f>(AK72/AK65-1)*100</f>
        <v>9.2851441520190647</v>
      </c>
      <c r="AN72" s="107"/>
      <c r="AP72" s="718"/>
      <c r="AQ72" s="721"/>
      <c r="AR72" s="236"/>
    </row>
    <row r="73" spans="1:46" hidden="1" outlineLevel="2">
      <c r="A73" s="26" t="str">
        <f>$A$17</f>
        <v>4Q</v>
      </c>
      <c r="B73" s="218" t="str">
        <f>$B$17</f>
        <v>Jan</v>
      </c>
      <c r="D73" s="643">
        <f>(S73/S66-1)*100</f>
        <v>35.213143571859916</v>
      </c>
      <c r="F73" s="722">
        <f>'qtrP&amp;L'!AL13</f>
        <v>11</v>
      </c>
      <c r="H73" s="643">
        <f>D73-F73</f>
        <v>24.213143571859916</v>
      </c>
      <c r="J73" s="26">
        <f>+yrSales!J40</f>
        <v>378</v>
      </c>
      <c r="K73" s="45"/>
      <c r="L73" s="662">
        <f>AVERAGE(J73,J72)</f>
        <v>368.5</v>
      </c>
      <c r="N73" s="643">
        <f>(L73/L66-1)*100</f>
        <v>22.628951747088188</v>
      </c>
      <c r="O73" s="107"/>
      <c r="P73" s="662">
        <f>H73/N73*100</f>
        <v>107.00073004917508</v>
      </c>
      <c r="Q73" s="122"/>
      <c r="S73" s="701">
        <v>133.17916200000002</v>
      </c>
      <c r="U73" s="702">
        <f>S73/L73</f>
        <v>0.36140885210312079</v>
      </c>
      <c r="W73" s="700">
        <f>(U73/U66-1)*100</f>
        <v>10.262007173253473</v>
      </c>
      <c r="X73" s="107"/>
      <c r="Z73" s="694">
        <f>+turn!AB70</f>
        <v>0.86499999999999988</v>
      </c>
      <c r="AA73" s="45"/>
      <c r="AB73" s="703">
        <f>AVERAGE(Z73,Z72)</f>
        <v>0.83874999999999988</v>
      </c>
      <c r="AD73" s="643">
        <f>(AB73/AB66-1)*100</f>
        <v>30.671859785783816</v>
      </c>
      <c r="AE73" s="107"/>
      <c r="AF73" s="662">
        <f>+H73/AD73*100</f>
        <v>78.942534756508408</v>
      </c>
      <c r="AG73" s="122"/>
      <c r="AI73" s="701">
        <f>+S73</f>
        <v>133.17916200000002</v>
      </c>
      <c r="AK73" s="704">
        <f>AI73/AB73</f>
        <v>158.78290551415802</v>
      </c>
      <c r="AM73" s="700">
        <f>(AK73/AK66-1)*100</f>
        <v>3.4753341641580837</v>
      </c>
      <c r="AN73" s="107"/>
      <c r="AP73" s="723"/>
      <c r="AQ73" s="721"/>
      <c r="AR73" s="236"/>
    </row>
    <row r="74" spans="1:46" hidden="1" outlineLevel="2">
      <c r="B74" s="218" t="str">
        <f>$B$18</f>
        <v>Year</v>
      </c>
      <c r="D74" s="689">
        <f>(S74/S67-1)*100</f>
        <v>40.000727895588327</v>
      </c>
      <c r="F74" s="690">
        <f>F70*S70/S74+F71*S71/S74+F72*S72/S74+F73*S73/S74</f>
        <v>13.548378119937244</v>
      </c>
      <c r="H74" s="689">
        <f>D74-F74</f>
        <v>26.452349775651083</v>
      </c>
      <c r="L74" s="699">
        <f>AVERAGE(L70:L73)</f>
        <v>340.875</v>
      </c>
      <c r="N74" s="689">
        <f>(L74/L67-1)*100</f>
        <v>23.226389516493452</v>
      </c>
      <c r="O74" s="107"/>
      <c r="P74" s="655">
        <f>H74/N74*100</f>
        <v>113.88920243874676</v>
      </c>
      <c r="Q74" s="122"/>
      <c r="S74" s="692">
        <f>SUM(S70:S73)</f>
        <v>515.03808400000003</v>
      </c>
      <c r="U74" s="693">
        <f>SUM(U70:U73)</f>
        <v>1.5133366646366588</v>
      </c>
      <c r="W74" s="709">
        <f>(U74/U67-1)*100</f>
        <v>13.629040057445806</v>
      </c>
      <c r="X74" s="107"/>
      <c r="AB74" s="694">
        <f>AVERAGE(AB70:AB73)</f>
        <v>0.76015624999999987</v>
      </c>
      <c r="AD74" s="689">
        <f>(AB74/AB67-1)*100</f>
        <v>35.613536265819249</v>
      </c>
      <c r="AE74" s="107"/>
      <c r="AF74" s="655">
        <f>+H74/AD74*100</f>
        <v>74.276111134291412</v>
      </c>
      <c r="AG74" s="122"/>
      <c r="AI74" s="692">
        <f>SUM(AI70:AI73)</f>
        <v>515.03808400000003</v>
      </c>
      <c r="AK74" s="695">
        <f>SUM(AK70:AK73)</f>
        <v>679.82281001330398</v>
      </c>
      <c r="AM74" s="709">
        <f>(AK74/AK67-1)*100</f>
        <v>2.8448283097849192</v>
      </c>
      <c r="AN74" s="107"/>
      <c r="AP74" s="724"/>
      <c r="AQ74" s="236"/>
    </row>
    <row r="75" spans="1:46" hidden="1" outlineLevel="2">
      <c r="B75" s="218"/>
      <c r="O75" s="107"/>
      <c r="P75" s="122"/>
      <c r="Q75" s="122"/>
      <c r="X75" s="107"/>
      <c r="AE75" s="107"/>
      <c r="AF75" s="122"/>
      <c r="AG75" s="122"/>
    </row>
    <row r="76" spans="1:46" hidden="1" outlineLevel="2">
      <c r="A76" s="705"/>
      <c r="B76" s="706">
        <v>2003</v>
      </c>
      <c r="E76" s="107"/>
      <c r="G76" s="107"/>
      <c r="I76" s="107"/>
      <c r="O76" s="107"/>
      <c r="P76" s="122"/>
      <c r="Q76" s="122"/>
      <c r="X76" s="107"/>
      <c r="AE76" s="107"/>
      <c r="AF76" s="122"/>
      <c r="AG76" s="122"/>
      <c r="AN76" s="107"/>
      <c r="AP76" s="719"/>
      <c r="AQ76" s="122"/>
      <c r="AR76" s="122"/>
    </row>
    <row r="77" spans="1:46" hidden="1" outlineLevel="2">
      <c r="A77" s="26" t="str">
        <f>$A$14</f>
        <v>1Q</v>
      </c>
      <c r="B77" s="218" t="str">
        <f>$B$14</f>
        <v>Apr</v>
      </c>
      <c r="C77" s="107"/>
      <c r="D77" s="689">
        <f>(S77/S70-1)*100</f>
        <v>28.71416375194422</v>
      </c>
      <c r="E77" s="107" t="s">
        <v>576</v>
      </c>
      <c r="F77" s="716">
        <f>+'qtrP&amp;L'!AP10</f>
        <v>7.8</v>
      </c>
      <c r="G77" s="107" t="s">
        <v>576</v>
      </c>
      <c r="H77" s="689">
        <f>D77-F77</f>
        <v>20.914163751944219</v>
      </c>
      <c r="I77" s="107" t="s">
        <v>576</v>
      </c>
      <c r="J77" s="713">
        <f>+J73+28</f>
        <v>406</v>
      </c>
      <c r="L77" s="699">
        <f>AVERAGE(J77,J73)</f>
        <v>392</v>
      </c>
      <c r="N77" s="689">
        <f>(L77/L70-1)*100</f>
        <v>23.464566929133856</v>
      </c>
      <c r="O77" s="107" t="s">
        <v>576</v>
      </c>
      <c r="P77" s="655">
        <f>H77/N77*100</f>
        <v>89.13083209721195</v>
      </c>
      <c r="Q77" s="122" t="s">
        <v>576</v>
      </c>
      <c r="S77" s="725">
        <v>163.30186699999999</v>
      </c>
      <c r="U77" s="693">
        <f>S77/L77</f>
        <v>0.41658639540816322</v>
      </c>
      <c r="W77" s="709">
        <f>(U77/U70-1)*100</f>
        <v>4.2519055899038039</v>
      </c>
      <c r="X77" s="107" t="s">
        <v>576</v>
      </c>
      <c r="Z77" s="694">
        <f>+turn!AB74</f>
        <v>0.95124999999999993</v>
      </c>
      <c r="AB77" s="694">
        <f>AVERAGE(Z77,Z73)</f>
        <v>0.90812499999999985</v>
      </c>
      <c r="AD77" s="689">
        <f>(AB77/AB70-1)*100</f>
        <v>31.61231884057969</v>
      </c>
      <c r="AE77" s="107" t="s">
        <v>576</v>
      </c>
      <c r="AF77" s="655">
        <f>+H77/AD77*100</f>
        <v>66.158271582081468</v>
      </c>
      <c r="AG77" s="122" t="s">
        <v>576</v>
      </c>
      <c r="AI77" s="692">
        <f>+S77</f>
        <v>163.30186699999999</v>
      </c>
      <c r="AJ77" s="107"/>
      <c r="AK77" s="695">
        <f>AI77/AB77</f>
        <v>179.82311576049554</v>
      </c>
      <c r="AM77" s="709">
        <f>(AK77/AK70-1)*100</f>
        <v>-2.2020393791146398</v>
      </c>
      <c r="AN77" s="107" t="s">
        <v>576</v>
      </c>
      <c r="AP77" s="726"/>
      <c r="AQ77" s="721"/>
      <c r="AR77" s="721"/>
    </row>
    <row r="78" spans="1:46" hidden="1" outlineLevel="2">
      <c r="A78" s="26" t="str">
        <f>$A$15</f>
        <v>2Q</v>
      </c>
      <c r="B78" s="218" t="str">
        <f>$B$15</f>
        <v>Jul</v>
      </c>
      <c r="D78" s="689">
        <f>(S78/S71-1)*100</f>
        <v>38.670522447457742</v>
      </c>
      <c r="F78" s="716">
        <f>+'qtrP&amp;L'!AP11</f>
        <v>14.6</v>
      </c>
      <c r="H78" s="689">
        <f>D78-F78</f>
        <v>24.070522447457741</v>
      </c>
      <c r="J78" s="713">
        <f>+J77+9</f>
        <v>415</v>
      </c>
      <c r="K78" s="713"/>
      <c r="L78" s="699">
        <f>AVERAGE(J78,J77)</f>
        <v>410.5</v>
      </c>
      <c r="N78" s="689">
        <f>(L78/L71-1)*100</f>
        <v>24.393939393939391</v>
      </c>
      <c r="O78" s="107"/>
      <c r="P78" s="655">
        <f>H78/N78*100</f>
        <v>98.674191399516218</v>
      </c>
      <c r="Q78" s="122"/>
      <c r="S78" s="727">
        <v>168.613665</v>
      </c>
      <c r="U78" s="697">
        <f>S78/L78</f>
        <v>0.4107519244823386</v>
      </c>
      <c r="W78" s="709">
        <f>(U78/U71-1)*100</f>
        <v>11.476912077128043</v>
      </c>
      <c r="X78" s="107"/>
      <c r="Z78" s="694">
        <f>+turn!AB75</f>
        <v>0.98250000000000004</v>
      </c>
      <c r="AA78" s="713"/>
      <c r="AB78" s="694">
        <f>AVERAGE(Z78,Z77)</f>
        <v>0.96687499999999993</v>
      </c>
      <c r="AD78" s="689">
        <f>(AB78/AB71-1)*100</f>
        <v>32.335329341317376</v>
      </c>
      <c r="AE78" s="107"/>
      <c r="AF78" s="655">
        <f>+H78/AD78*100</f>
        <v>74.440319420841504</v>
      </c>
      <c r="AG78" s="122"/>
      <c r="AI78" s="696">
        <f>+S78</f>
        <v>168.613665</v>
      </c>
      <c r="AK78" s="698">
        <f>AI78/AB78</f>
        <v>174.39034518422756</v>
      </c>
      <c r="AM78" s="709">
        <f>(AK78/AK71-1)*100</f>
        <v>4.7872273697983969</v>
      </c>
      <c r="AN78" s="107"/>
      <c r="AP78" s="723"/>
      <c r="AQ78" s="721"/>
      <c r="AR78" s="721"/>
    </row>
    <row r="79" spans="1:46" hidden="1" outlineLevel="2">
      <c r="A79" s="26" t="str">
        <f>$A$16</f>
        <v>3Q</v>
      </c>
      <c r="B79" s="218" t="str">
        <f>$B$16</f>
        <v>Oct</v>
      </c>
      <c r="D79" s="728">
        <f>(S79/S72-1)*100</f>
        <v>52.923446181447417</v>
      </c>
      <c r="F79" s="716">
        <f>+'qtrP&amp;L'!AP12</f>
        <v>20.9</v>
      </c>
      <c r="H79" s="728">
        <f>D79-F79</f>
        <v>32.023446181447419</v>
      </c>
      <c r="J79" s="713">
        <f>+J78+20+106</f>
        <v>541</v>
      </c>
      <c r="K79" s="713"/>
      <c r="L79" s="699">
        <f>AVERAGE(J79,J78)</f>
        <v>478</v>
      </c>
      <c r="N79" s="689">
        <f>(L79/L72-1)*100</f>
        <v>37.553956834532379</v>
      </c>
      <c r="O79" s="107"/>
      <c r="P79" s="655">
        <f>H79/N79*100</f>
        <v>85.273161287762278</v>
      </c>
      <c r="Q79" s="122"/>
      <c r="S79" s="727">
        <v>203.99100000000001</v>
      </c>
      <c r="U79" s="697">
        <f>S79/L79</f>
        <v>0.42675941422594144</v>
      </c>
      <c r="W79" s="709">
        <f>(U79/U72-1)*100</f>
        <v>11.173425832746808</v>
      </c>
      <c r="X79" s="107"/>
      <c r="Z79" s="694">
        <f>+turn!AB76</f>
        <v>1.18875</v>
      </c>
      <c r="AA79" s="713"/>
      <c r="AB79" s="694">
        <f>AVERAGE(Z79,Z78)</f>
        <v>1.0856250000000001</v>
      </c>
      <c r="AD79" s="689">
        <f>(AB79/AB72-1)*100</f>
        <v>38.960000000000015</v>
      </c>
      <c r="AE79" s="107"/>
      <c r="AF79" s="655">
        <f>+H79/AD79*100</f>
        <v>82.195703751148372</v>
      </c>
      <c r="AG79" s="122"/>
      <c r="AI79" s="696">
        <f>+S79</f>
        <v>203.99100000000001</v>
      </c>
      <c r="AK79" s="698">
        <f>AI79/AB79</f>
        <v>187.90189982728842</v>
      </c>
      <c r="AM79" s="709">
        <f>(AK79/AK72-1)*100</f>
        <v>10.048536400005315</v>
      </c>
      <c r="AN79" s="107"/>
      <c r="AP79" s="723"/>
      <c r="AQ79" s="721"/>
      <c r="AR79" s="721"/>
    </row>
    <row r="80" spans="1:46" hidden="1" outlineLevel="2">
      <c r="A80" s="26" t="str">
        <f>$A$17</f>
        <v>4Q</v>
      </c>
      <c r="B80" s="218" t="str">
        <f>$B$17</f>
        <v>Jan</v>
      </c>
      <c r="D80" s="643">
        <f>(S80/S73-1)*100</f>
        <v>57.541913351279362</v>
      </c>
      <c r="F80" s="722">
        <f>+'qtrP&amp;L'!AP13</f>
        <v>20.5</v>
      </c>
      <c r="H80" s="643">
        <f>D80-F80</f>
        <v>37.041913351279362</v>
      </c>
      <c r="J80" s="26">
        <f>+yrSales!K40</f>
        <v>548</v>
      </c>
      <c r="K80" s="45"/>
      <c r="L80" s="662">
        <f>AVERAGE(J80,J79)</f>
        <v>544.5</v>
      </c>
      <c r="N80" s="643">
        <f>(L80/L73-1)*100</f>
        <v>47.761194029850749</v>
      </c>
      <c r="O80" s="107"/>
      <c r="P80" s="662">
        <f>H80/N80*100</f>
        <v>77.55650607924116</v>
      </c>
      <c r="Q80" s="122"/>
      <c r="S80" s="729">
        <v>209.81299999999999</v>
      </c>
      <c r="U80" s="702">
        <f>S80/L80</f>
        <v>0.38533149678604223</v>
      </c>
      <c r="W80" s="700">
        <f>(U80/U73-1)*100</f>
        <v>6.6192746922799639</v>
      </c>
      <c r="X80" s="107"/>
      <c r="Z80" s="694">
        <f>+turn!AB77</f>
        <v>1.25</v>
      </c>
      <c r="AA80" s="45"/>
      <c r="AB80" s="703">
        <f>AVERAGE(Z80,Z79)</f>
        <v>1.2193749999999999</v>
      </c>
      <c r="AD80" s="643">
        <f>(AB80/AB73-1)*100</f>
        <v>45.380029806259323</v>
      </c>
      <c r="AE80" s="107"/>
      <c r="AF80" s="662">
        <f>+H80/AD80*100</f>
        <v>81.626022524494076</v>
      </c>
      <c r="AG80" s="122"/>
      <c r="AI80" s="701">
        <f>+S80</f>
        <v>209.81299999999999</v>
      </c>
      <c r="AK80" s="704">
        <f>AI80/AB80</f>
        <v>172.06601742696054</v>
      </c>
      <c r="AM80" s="700">
        <f>(AK80/AK73-1)*100</f>
        <v>8.3655805829917504</v>
      </c>
      <c r="AN80" s="107"/>
      <c r="AP80" s="723"/>
      <c r="AQ80" s="721"/>
      <c r="AR80" s="721"/>
    </row>
    <row r="81" spans="1:48" hidden="1" outlineLevel="2">
      <c r="B81" s="218" t="str">
        <f>$B$18</f>
        <v>Year</v>
      </c>
      <c r="D81" s="689">
        <f>(S81/S74-1)*100</f>
        <v>44.789202035009112</v>
      </c>
      <c r="F81" s="690">
        <f>'qtrP&amp;L'!AP14</f>
        <v>16.100000000000001</v>
      </c>
      <c r="H81" s="689">
        <f>D81-F81</f>
        <v>28.68920203500911</v>
      </c>
      <c r="L81" s="699">
        <f>AVERAGE(L77:L80)</f>
        <v>456.25</v>
      </c>
      <c r="N81" s="689">
        <f>(L81/L74-1)*100</f>
        <v>33.846718005133837</v>
      </c>
      <c r="O81" s="107"/>
      <c r="P81" s="655">
        <f>H81/N81*100</f>
        <v>84.762138623477639</v>
      </c>
      <c r="Q81" s="122"/>
      <c r="S81" s="692">
        <f>SUM(S77:S80)</f>
        <v>745.71953199999996</v>
      </c>
      <c r="U81" s="693">
        <f>SUM(U77:U80)</f>
        <v>1.6394292309024854</v>
      </c>
      <c r="W81" s="709">
        <f>(U81/U74-1)*100</f>
        <v>8.3320895615847981</v>
      </c>
      <c r="X81" s="107"/>
      <c r="AB81" s="694">
        <f>AVERAGE(AB77:AB80)</f>
        <v>1.0449999999999999</v>
      </c>
      <c r="AD81" s="689">
        <f>(AB81/AB74-1)*100</f>
        <v>37.471736896197342</v>
      </c>
      <c r="AE81" s="107"/>
      <c r="AF81" s="655">
        <f>+H81/AD81*100</f>
        <v>76.562242402808153</v>
      </c>
      <c r="AG81" s="122"/>
      <c r="AI81" s="692">
        <f>SUM(AI77:AI80)</f>
        <v>745.71953199999996</v>
      </c>
      <c r="AK81" s="695">
        <f>SUM(AK77:AK80)</f>
        <v>714.18137819897208</v>
      </c>
      <c r="AM81" s="709">
        <f>(AK81/AK74-1)*100</f>
        <v>5.0540475664527573</v>
      </c>
      <c r="AN81" s="107"/>
      <c r="AP81" s="715"/>
      <c r="AQ81" s="721"/>
      <c r="AR81" s="122"/>
    </row>
    <row r="82" spans="1:48" hidden="1" outlineLevel="2" collapsed="1">
      <c r="B82" s="218"/>
      <c r="L82" s="26">
        <f>550-114</f>
        <v>436</v>
      </c>
      <c r="O82" s="107"/>
      <c r="P82" s="122"/>
      <c r="Q82" s="122"/>
      <c r="X82" s="107"/>
      <c r="AE82" s="107"/>
      <c r="AF82" s="122"/>
      <c r="AG82" s="122"/>
    </row>
    <row r="83" spans="1:48" hidden="1" outlineLevel="2">
      <c r="A83" s="705"/>
      <c r="B83" s="706">
        <v>2004</v>
      </c>
      <c r="E83" s="107"/>
      <c r="F83" s="26" t="s">
        <v>693</v>
      </c>
      <c r="G83" s="107"/>
      <c r="I83" s="107"/>
      <c r="O83" s="107"/>
      <c r="P83" s="122"/>
      <c r="Q83" s="122"/>
      <c r="X83" s="107"/>
      <c r="Z83" s="677"/>
      <c r="AE83" s="107"/>
      <c r="AF83" s="122"/>
      <c r="AG83" s="122"/>
      <c r="AN83" s="107"/>
      <c r="AP83" s="719" t="s">
        <v>131</v>
      </c>
      <c r="AQ83" s="730" t="s">
        <v>132</v>
      </c>
      <c r="AR83" s="730" t="s">
        <v>133</v>
      </c>
      <c r="AT83" s="711" t="s">
        <v>134</v>
      </c>
      <c r="AU83" s="711" t="s">
        <v>135</v>
      </c>
      <c r="AV83" s="711" t="s">
        <v>238</v>
      </c>
    </row>
    <row r="84" spans="1:48" hidden="1" outlineLevel="2">
      <c r="A84" s="26" t="str">
        <f>$A$14</f>
        <v>1Q</v>
      </c>
      <c r="B84" s="218" t="str">
        <f>$B$14</f>
        <v>Apr</v>
      </c>
      <c r="C84" s="107"/>
      <c r="D84" s="689">
        <f>(S84/S77-1)*100</f>
        <v>52.164212550001054</v>
      </c>
      <c r="E84" s="107" t="s">
        <v>576</v>
      </c>
      <c r="F84" s="716">
        <f>+'qtrP&amp;L'!AT10</f>
        <v>20.100000000000001</v>
      </c>
      <c r="G84" s="107" t="s">
        <v>576</v>
      </c>
      <c r="H84" s="689">
        <f>D84-F84</f>
        <v>32.064212550001052</v>
      </c>
      <c r="I84" s="107" t="s">
        <v>576</v>
      </c>
      <c r="J84" s="137">
        <f>+qtrSales!J82-segQtrSales!J237</f>
        <v>436</v>
      </c>
      <c r="L84" s="699">
        <f>AVERAGE(J84,J80)</f>
        <v>492</v>
      </c>
      <c r="N84" s="689">
        <f>(L84/L77-1)*100</f>
        <v>25.510204081632647</v>
      </c>
      <c r="O84" s="107" t="s">
        <v>576</v>
      </c>
      <c r="P84" s="731">
        <f>H84/N84*100</f>
        <v>125.69171319600416</v>
      </c>
      <c r="Q84" s="122" t="s">
        <v>576</v>
      </c>
      <c r="S84" s="725">
        <v>248.48699999999999</v>
      </c>
      <c r="U84" s="693">
        <f>S84/L84</f>
        <v>0.50505487804878046</v>
      </c>
      <c r="W84" s="709">
        <f>(U84/U77-1)*100</f>
        <v>21.236527072358548</v>
      </c>
      <c r="X84" s="107" t="s">
        <v>576</v>
      </c>
      <c r="Z84" s="732">
        <f>+qtrSales!Z82-segQtrSales!Z237</f>
        <v>1.0887499999999999</v>
      </c>
      <c r="AB84" s="694">
        <f>AVERAGE(Z84,Z80)</f>
        <v>1.1693750000000001</v>
      </c>
      <c r="AD84" s="689">
        <f>(AB84/AB77-1)*100</f>
        <v>28.768066070199616</v>
      </c>
      <c r="AE84" s="107" t="s">
        <v>576</v>
      </c>
      <c r="AF84" s="655">
        <f>+H84/AD84*100</f>
        <v>111.4576575003624</v>
      </c>
      <c r="AG84" s="122" t="s">
        <v>576</v>
      </c>
      <c r="AI84" s="692">
        <f>+S84</f>
        <v>248.48699999999999</v>
      </c>
      <c r="AJ84" s="107"/>
      <c r="AK84" s="695">
        <f>AI84/AB84</f>
        <v>212.49556386958844</v>
      </c>
      <c r="AM84" s="709">
        <f>(AK84/AK77-1)*100</f>
        <v>18.169214770257327</v>
      </c>
      <c r="AN84" s="107" t="s">
        <v>576</v>
      </c>
      <c r="AP84" s="291">
        <f>+F84</f>
        <v>20.100000000000001</v>
      </c>
      <c r="AQ84" s="721"/>
      <c r="AR84" s="291">
        <f>+'qtrP&amp;L'!AT10</f>
        <v>20.100000000000001</v>
      </c>
      <c r="AV84" s="291"/>
    </row>
    <row r="85" spans="1:48" hidden="1" outlineLevel="2">
      <c r="A85" s="26" t="str">
        <f>$A$15</f>
        <v>2Q</v>
      </c>
      <c r="B85" s="218" t="str">
        <f>$B$15</f>
        <v>Jul</v>
      </c>
      <c r="D85" s="689">
        <f>(S85/S78-1)*100</f>
        <v>46.2983442059693</v>
      </c>
      <c r="F85" s="716">
        <f>+'qtrP&amp;L'!AT11</f>
        <v>14.1</v>
      </c>
      <c r="H85" s="689">
        <f>D85-F85</f>
        <v>32.198344205969299</v>
      </c>
      <c r="J85" s="137">
        <f>+qtrSales!J83-segQtrSales!J238</f>
        <v>444</v>
      </c>
      <c r="K85" s="713"/>
      <c r="L85" s="699">
        <f>AVERAGE(J85,J84)</f>
        <v>440</v>
      </c>
      <c r="N85" s="689">
        <f>(L85/L78-1)*100</f>
        <v>7.1863580998781984</v>
      </c>
      <c r="O85" s="107"/>
      <c r="P85" s="731">
        <f>H85/N85*100</f>
        <v>448.04814564577617</v>
      </c>
      <c r="Q85" s="122"/>
      <c r="S85" s="727">
        <v>246.67899999999997</v>
      </c>
      <c r="U85" s="697">
        <f>S85/L85</f>
        <v>0.56063409090909089</v>
      </c>
      <c r="W85" s="709">
        <f>(U85/U78-1)*100</f>
        <v>36.489705219432736</v>
      </c>
      <c r="X85" s="107"/>
      <c r="Z85" s="732">
        <f>+qtrSales!Z83-segQtrSales!Z238</f>
        <v>1.1187500000000001</v>
      </c>
      <c r="AA85" s="713"/>
      <c r="AB85" s="694">
        <f>AVERAGE(Z85,Z84)</f>
        <v>1.10375</v>
      </c>
      <c r="AD85" s="689">
        <f>(AB85/AB78-1)*100</f>
        <v>14.156431803490644</v>
      </c>
      <c r="AE85" s="107"/>
      <c r="AF85" s="655">
        <f>+H85/AD85*100</f>
        <v>227.44675108052257</v>
      </c>
      <c r="AG85" s="122"/>
      <c r="AI85" s="696">
        <f>+S85</f>
        <v>246.67899999999997</v>
      </c>
      <c r="AK85" s="698">
        <f>AI85/AB85</f>
        <v>223.4917327293318</v>
      </c>
      <c r="AM85" s="709">
        <f>(AK85/AK78-1)*100</f>
        <v>28.156024058116923</v>
      </c>
      <c r="AN85" s="107"/>
      <c r="AP85" s="291">
        <f>+F85</f>
        <v>14.1</v>
      </c>
      <c r="AQ85" s="721"/>
      <c r="AR85" s="291">
        <f>+'qtrP&amp;L'!AT11</f>
        <v>14.1</v>
      </c>
      <c r="AV85" s="291"/>
    </row>
    <row r="86" spans="1:48" hidden="1" outlineLevel="2">
      <c r="A86" s="26" t="str">
        <f>$A$16</f>
        <v>3Q</v>
      </c>
      <c r="B86" s="218" t="str">
        <f>$B$16</f>
        <v>Oct</v>
      </c>
      <c r="D86" s="689">
        <f>(S86/S79-1)*100</f>
        <v>27.662985131697006</v>
      </c>
      <c r="E86" s="137"/>
      <c r="F86" s="733">
        <v>6</v>
      </c>
      <c r="G86" s="137"/>
      <c r="H86" s="689">
        <f>D86-F86</f>
        <v>21.662985131697006</v>
      </c>
      <c r="I86" s="137"/>
      <c r="J86" s="137">
        <f>+qtrSales!J84-segQtrSales!J239</f>
        <v>485</v>
      </c>
      <c r="K86" s="713"/>
      <c r="L86" s="734">
        <f>AVERAGE(J86,J85)</f>
        <v>464.5</v>
      </c>
      <c r="M86" s="137"/>
      <c r="N86" s="728">
        <f>(L86/L79-1)*100</f>
        <v>-2.8242677824267814</v>
      </c>
      <c r="O86" s="735"/>
      <c r="P86" s="731">
        <f>H86/N86*100</f>
        <v>-767.03014021860417</v>
      </c>
      <c r="Q86" s="220"/>
      <c r="R86" s="137"/>
      <c r="S86" s="727">
        <v>260.42100000000005</v>
      </c>
      <c r="T86" s="137"/>
      <c r="U86" s="697">
        <f>S86/L86</f>
        <v>0.56064800861141018</v>
      </c>
      <c r="W86" s="709">
        <f>(U86/U79-1)*100</f>
        <v>31.373319468140281</v>
      </c>
      <c r="X86" s="107"/>
      <c r="Z86" s="732">
        <f>+qtrSales!Z84-segQtrSales!Z239-0.023/0.8</f>
        <v>1.1924999999999999</v>
      </c>
      <c r="AA86" s="713"/>
      <c r="AB86" s="694">
        <f>AVERAGE(Z86,Z85)</f>
        <v>1.1556250000000001</v>
      </c>
      <c r="AD86" s="689">
        <f>(AB86/AB79-1)*100</f>
        <v>6.4478986758779611</v>
      </c>
      <c r="AE86" s="107"/>
      <c r="AF86" s="655">
        <f>+H86/AD86*100</f>
        <v>335.9696890514075</v>
      </c>
      <c r="AG86" s="122"/>
      <c r="AI86" s="696">
        <f>+S86</f>
        <v>260.42100000000005</v>
      </c>
      <c r="AK86" s="698">
        <f>AI86/AB86</f>
        <v>225.35078420767985</v>
      </c>
      <c r="AM86" s="709">
        <f>(AK86/AK79-1)*100</f>
        <v>19.930019023124768</v>
      </c>
      <c r="AN86" s="107"/>
      <c r="AP86" s="291">
        <f>+F86</f>
        <v>6</v>
      </c>
      <c r="AQ86" s="291">
        <f>+F239</f>
        <v>8</v>
      </c>
      <c r="AR86" s="291">
        <f>+'qtrP&amp;L'!AT12</f>
        <v>6.1</v>
      </c>
      <c r="AT86" s="191">
        <v>0.97</v>
      </c>
      <c r="AU86" s="236">
        <f>1-AT86</f>
        <v>3.0000000000000027E-2</v>
      </c>
      <c r="AV86" s="291">
        <f>+AT86*AP86+AU86*AQ86</f>
        <v>6.0600000000000005</v>
      </c>
    </row>
    <row r="87" spans="1:48" hidden="1" outlineLevel="2">
      <c r="A87" s="26" t="str">
        <f>$A$17</f>
        <v>4Q</v>
      </c>
      <c r="B87" s="218" t="str">
        <f>$B$17</f>
        <v>Jan</v>
      </c>
      <c r="D87" s="643">
        <f>(S87/S80-1)*100</f>
        <v>31.570017110474559</v>
      </c>
      <c r="F87" s="722">
        <f>'qtrP&amp;L'!AT13</f>
        <v>12.9</v>
      </c>
      <c r="H87" s="643">
        <f>D87-F87</f>
        <v>18.670017110474561</v>
      </c>
      <c r="J87" s="137">
        <f>+qtrSales!J85-segQtrSales!J240</f>
        <v>497</v>
      </c>
      <c r="K87" s="45"/>
      <c r="L87" s="662">
        <f>AVERAGE(J87,J86)</f>
        <v>491</v>
      </c>
      <c r="N87" s="643">
        <f>(L87/L80-1)*100</f>
        <v>-9.8255280073461844</v>
      </c>
      <c r="O87" s="107"/>
      <c r="P87" s="736">
        <f>H87/N87*100</f>
        <v>-190.01540778791409</v>
      </c>
      <c r="Q87" s="122"/>
      <c r="S87" s="729">
        <v>276.05099999999999</v>
      </c>
      <c r="U87" s="702">
        <f>S87/L87</f>
        <v>0.56222199592668021</v>
      </c>
      <c r="W87" s="700">
        <f>(U87/U80-1)*100</f>
        <v>45.906057671391842</v>
      </c>
      <c r="X87" s="107"/>
      <c r="Z87" s="732">
        <f>+qtrSales!Z85-segQtrSales!Z240-0.023/0.8</f>
        <v>1.2349999999999999</v>
      </c>
      <c r="AA87" s="45"/>
      <c r="AB87" s="703">
        <f>AVERAGE(Z87,Z86)</f>
        <v>1.2137499999999999</v>
      </c>
      <c r="AD87" s="643">
        <f>(AB87/AB80-1)*100</f>
        <v>-0.46130189646335085</v>
      </c>
      <c r="AE87" s="107"/>
      <c r="AF87" s="662">
        <f>+H87/AD87*100</f>
        <v>-4047.2448202817745</v>
      </c>
      <c r="AG87" s="122"/>
      <c r="AI87" s="701">
        <f>+S87</f>
        <v>276.05099999999999</v>
      </c>
      <c r="AK87" s="704">
        <f>AI87/AB87</f>
        <v>227.43645726055615</v>
      </c>
      <c r="AM87" s="700">
        <f>(AK87/AK80-1)*100</f>
        <v>32.179764872572548</v>
      </c>
      <c r="AN87" s="107"/>
      <c r="AP87" s="291">
        <f>+F87</f>
        <v>12.9</v>
      </c>
      <c r="AQ87" s="291">
        <f>+F240</f>
        <v>18</v>
      </c>
      <c r="AR87" s="291">
        <f>+'qtrP&amp;L'!AT13</f>
        <v>12.9</v>
      </c>
      <c r="AT87" s="191">
        <v>0.995</v>
      </c>
      <c r="AU87" s="236">
        <f>1-AT87</f>
        <v>5.0000000000000044E-3</v>
      </c>
      <c r="AV87" s="291">
        <f>+AT87*AP87+AU87*AQ87</f>
        <v>12.9255</v>
      </c>
    </row>
    <row r="88" spans="1:48" ht="1.5" hidden="1" customHeight="1" outlineLevel="2">
      <c r="B88" s="218" t="str">
        <f>$B$18</f>
        <v>Year</v>
      </c>
      <c r="D88" s="689">
        <f>(S88/S81-1)*100</f>
        <v>38.34128727098971</v>
      </c>
      <c r="F88" s="690">
        <f>'qtrP&amp;L'!AT14</f>
        <v>12.9</v>
      </c>
      <c r="H88" s="689">
        <f>D88-F88</f>
        <v>25.441287270989712</v>
      </c>
      <c r="L88" s="699">
        <f>AVERAGE(L84:L87)</f>
        <v>471.875</v>
      </c>
      <c r="N88" s="689">
        <f>(L88/L81-1)*100</f>
        <v>3.4246575342465668</v>
      </c>
      <c r="O88" s="107"/>
      <c r="P88" s="655">
        <f>H88/N88*100</f>
        <v>742.8855883129014</v>
      </c>
      <c r="Q88" s="122"/>
      <c r="S88" s="692">
        <f>SUM(S84:S87)</f>
        <v>1031.6379999999999</v>
      </c>
      <c r="U88" s="693">
        <f>SUM(U84:U87)</f>
        <v>2.1885589734959621</v>
      </c>
      <c r="W88" s="709">
        <f>(U88/U81-1)*100</f>
        <v>33.495178214627018</v>
      </c>
      <c r="X88" s="107"/>
      <c r="Z88" s="137"/>
      <c r="AB88" s="694">
        <f>AVERAGE(AB84:AB87)</f>
        <v>1.160625</v>
      </c>
      <c r="AD88" s="689">
        <f>(AB88/AB81-1)*100</f>
        <v>11.06459330143541</v>
      </c>
      <c r="AE88" s="107"/>
      <c r="AF88" s="655">
        <f>+H88/AD88*100</f>
        <v>229.93422874105289</v>
      </c>
      <c r="AG88" s="122"/>
      <c r="AI88" s="692">
        <f>SUM(AI84:AI87)</f>
        <v>1031.6379999999999</v>
      </c>
      <c r="AK88" s="695">
        <f>SUM(AK84:AK87)</f>
        <v>888.7745380671563</v>
      </c>
      <c r="AM88" s="709">
        <f>(AK88/AK81-1)*100</f>
        <v>24.446613311099561</v>
      </c>
      <c r="AN88" s="107"/>
      <c r="AP88" s="726"/>
      <c r="AQ88" s="726"/>
      <c r="AR88" s="122"/>
    </row>
    <row r="89" spans="1:48" ht="13.5" hidden="1" customHeight="1" outlineLevel="1" collapsed="1">
      <c r="B89" s="218"/>
      <c r="O89" s="107"/>
      <c r="P89" s="122"/>
      <c r="Q89" s="122"/>
      <c r="X89" s="107"/>
      <c r="Z89" s="137"/>
      <c r="AE89" s="107"/>
      <c r="AF89" s="122"/>
      <c r="AG89" s="122"/>
      <c r="AP89" s="726"/>
      <c r="AQ89" s="726"/>
    </row>
    <row r="90" spans="1:48" hidden="1" outlineLevel="1">
      <c r="A90" s="705"/>
      <c r="B90" s="706">
        <v>2005</v>
      </c>
      <c r="E90" s="107"/>
      <c r="F90" s="137"/>
      <c r="G90" s="735"/>
      <c r="H90" s="137"/>
      <c r="I90" s="735"/>
      <c r="J90" s="137"/>
      <c r="O90" s="107"/>
      <c r="P90" s="122"/>
      <c r="Q90" s="122"/>
      <c r="X90" s="107"/>
      <c r="Z90" s="737"/>
      <c r="AE90" s="107"/>
      <c r="AF90" s="122"/>
      <c r="AG90" s="122"/>
      <c r="AN90" s="107"/>
      <c r="AP90" s="726"/>
      <c r="AQ90" s="726"/>
      <c r="AR90" s="122"/>
    </row>
    <row r="91" spans="1:48" hidden="1" outlineLevel="1">
      <c r="A91" s="26" t="str">
        <f>$A$14</f>
        <v>1Q</v>
      </c>
      <c r="B91" s="218" t="str">
        <f>$B$14</f>
        <v>Apr</v>
      </c>
      <c r="C91" s="107"/>
      <c r="D91" s="689">
        <f>(S91/S84-1)*100</f>
        <v>7.6941650871071632</v>
      </c>
      <c r="E91" s="107" t="s">
        <v>576</v>
      </c>
      <c r="F91" s="733">
        <v>10</v>
      </c>
      <c r="G91" s="107" t="s">
        <v>576</v>
      </c>
      <c r="H91" s="689">
        <f>D91-F91</f>
        <v>-2.3058349128928368</v>
      </c>
      <c r="I91" s="107" t="s">
        <v>576</v>
      </c>
      <c r="J91" s="137">
        <f>+qtrSales!J89-segQtrSales!J244</f>
        <v>509</v>
      </c>
      <c r="L91" s="699">
        <f>AVERAGE(J91,J87)</f>
        <v>503</v>
      </c>
      <c r="N91" s="689">
        <f>(L91/L84-1)*100</f>
        <v>2.2357723577235866</v>
      </c>
      <c r="O91" s="107" t="s">
        <v>576</v>
      </c>
      <c r="P91" s="731">
        <f>H91/N91*100</f>
        <v>-103.13370701302462</v>
      </c>
      <c r="Q91" s="122" t="s">
        <v>576</v>
      </c>
      <c r="S91" s="725">
        <v>267.60599999999999</v>
      </c>
      <c r="U91" s="693">
        <f>S91/L91</f>
        <v>0.53201988071570572</v>
      </c>
      <c r="W91" s="709">
        <f>(U91/U84-1)*100</f>
        <v>5.3390242999139748</v>
      </c>
      <c r="X91" s="107" t="s">
        <v>576</v>
      </c>
      <c r="Z91" s="732">
        <f>+qtrSales!Z89-segQtrSales!Z244-0.023/0.8</f>
        <v>1.2712499999999998</v>
      </c>
      <c r="AB91" s="694">
        <f>AVERAGE(Z91,Z87)</f>
        <v>1.2531249999999998</v>
      </c>
      <c r="AD91" s="689">
        <f>(AB91/AB84-1)*100</f>
        <v>7.1619454836985286</v>
      </c>
      <c r="AE91" s="107" t="s">
        <v>576</v>
      </c>
      <c r="AF91" s="655">
        <f>+H91/AD91*100</f>
        <v>-32.195650164347121</v>
      </c>
      <c r="AG91" s="122" t="s">
        <v>576</v>
      </c>
      <c r="AI91" s="692">
        <f>+S91</f>
        <v>267.60599999999999</v>
      </c>
      <c r="AJ91" s="107"/>
      <c r="AK91" s="695">
        <f>AI91/AB91</f>
        <v>213.55092269326687</v>
      </c>
      <c r="AM91" s="709">
        <f>(AK91/AK84-1)*100</f>
        <v>0.49664981445265433</v>
      </c>
      <c r="AN91" s="107" t="s">
        <v>576</v>
      </c>
      <c r="AP91" s="291">
        <f>+F91</f>
        <v>10</v>
      </c>
      <c r="AQ91" s="291">
        <f>+F244</f>
        <v>15</v>
      </c>
      <c r="AR91" s="291">
        <f>+'qtrP&amp;L'!AX10</f>
        <v>10.8</v>
      </c>
      <c r="AT91" s="191">
        <v>0.85</v>
      </c>
      <c r="AU91" s="236">
        <f>1-AT91</f>
        <v>0.15000000000000002</v>
      </c>
      <c r="AV91" s="291">
        <f>+AT91*AP91+AU91*AQ91</f>
        <v>10.75</v>
      </c>
    </row>
    <row r="92" spans="1:48" hidden="1" outlineLevel="1">
      <c r="A92" s="26" t="str">
        <f>$A$15</f>
        <v>2Q</v>
      </c>
      <c r="B92" s="218" t="str">
        <f>$B$15</f>
        <v>Jul</v>
      </c>
      <c r="D92" s="689">
        <f>(S92/S85-1)*100</f>
        <v>10.048281369715294</v>
      </c>
      <c r="F92" s="733">
        <v>12</v>
      </c>
      <c r="H92" s="689">
        <f>D92-F92</f>
        <v>-1.9517186302847058</v>
      </c>
      <c r="J92" s="137">
        <f>+qtrSales!J90-segQtrSales!J245</f>
        <v>523</v>
      </c>
      <c r="K92" s="713"/>
      <c r="L92" s="699">
        <f>AVERAGE(J92,J91)</f>
        <v>516</v>
      </c>
      <c r="N92" s="689">
        <f>(L92/L85-1)*100</f>
        <v>17.272727272727263</v>
      </c>
      <c r="O92" s="107"/>
      <c r="P92" s="731">
        <f>H92/N92*100</f>
        <v>-11.299423649016724</v>
      </c>
      <c r="Q92" s="122"/>
      <c r="S92" s="727">
        <v>271.46599999999995</v>
      </c>
      <c r="U92" s="697">
        <f>S92/L92</f>
        <v>0.52609689922480607</v>
      </c>
      <c r="W92" s="709">
        <f>(U92/U85-1)*100</f>
        <v>-6.1603802273745734</v>
      </c>
      <c r="X92" s="107"/>
      <c r="Z92" s="732">
        <f>+qtrSales!Z90-segQtrSales!Z245-0.023/0.8</f>
        <v>1.31375</v>
      </c>
      <c r="AA92" s="713"/>
      <c r="AB92" s="694">
        <f>AVERAGE(Z92,Z91)</f>
        <v>1.2925</v>
      </c>
      <c r="AD92" s="689">
        <f>(AB92/AB85-1)*100</f>
        <v>17.100792751981885</v>
      </c>
      <c r="AE92" s="107"/>
      <c r="AF92" s="655">
        <f>+H92/AD92*100</f>
        <v>-11.413030136035726</v>
      </c>
      <c r="AG92" s="122"/>
      <c r="AI92" s="696">
        <f>+S92</f>
        <v>271.46599999999995</v>
      </c>
      <c r="AK92" s="698">
        <f>AI92/AB92</f>
        <v>210.03172147001931</v>
      </c>
      <c r="AM92" s="709">
        <f>(AK92/AK85-1)*100</f>
        <v>-6.0225991784733086</v>
      </c>
      <c r="AN92" s="107"/>
      <c r="AP92" s="291">
        <f>+F92</f>
        <v>12</v>
      </c>
      <c r="AQ92" s="291">
        <f>+F245</f>
        <v>35</v>
      </c>
      <c r="AR92" s="291">
        <f>+'qtrP&amp;L'!AX11</f>
        <v>15.7</v>
      </c>
      <c r="AT92" s="191">
        <v>0.84</v>
      </c>
      <c r="AU92" s="236">
        <f>1-AT92</f>
        <v>0.16000000000000003</v>
      </c>
      <c r="AV92" s="291">
        <f>+AT92*AP92+AU92*AQ92</f>
        <v>15.680000000000001</v>
      </c>
    </row>
    <row r="93" spans="1:48" hidden="1" outlineLevel="1">
      <c r="A93" s="26" t="str">
        <f>$A$16</f>
        <v>3Q</v>
      </c>
      <c r="B93" s="218" t="str">
        <f>$B$16</f>
        <v>Oct</v>
      </c>
      <c r="D93" s="689">
        <f>(S93/S86-1)*100</f>
        <v>6.5970102257498553</v>
      </c>
      <c r="E93" s="137"/>
      <c r="F93" s="733">
        <v>10</v>
      </c>
      <c r="G93" s="137"/>
      <c r="H93" s="689">
        <f>D93-F93</f>
        <v>-3.4029897742501447</v>
      </c>
      <c r="I93" s="137"/>
      <c r="J93" s="137">
        <f>+qtrSales!J91-segQtrSales!J246</f>
        <v>546</v>
      </c>
      <c r="K93" s="713"/>
      <c r="L93" s="734">
        <f>AVERAGE(J93,J92)</f>
        <v>534.5</v>
      </c>
      <c r="M93" s="137"/>
      <c r="N93" s="728">
        <f>(L93/L86-1)*100</f>
        <v>15.069967707212051</v>
      </c>
      <c r="O93" s="735"/>
      <c r="P93" s="731">
        <f>H93/N93*100</f>
        <v>-22.581267859131323</v>
      </c>
      <c r="Q93" s="220"/>
      <c r="R93" s="137"/>
      <c r="S93" s="727">
        <v>277.60100000000006</v>
      </c>
      <c r="T93" s="137"/>
      <c r="U93" s="697">
        <f>S93/L93</f>
        <v>0.51936576239476151</v>
      </c>
      <c r="W93" s="709">
        <f>(U93/U86-1)*100</f>
        <v>-7.3633091677066336</v>
      </c>
      <c r="X93" s="107"/>
      <c r="Z93" s="732">
        <f>+qtrSales!Z91-segQtrSales!Z246-0.033/0.8</f>
        <v>1.3925875000000001</v>
      </c>
      <c r="AA93" s="713"/>
      <c r="AB93" s="694">
        <f>AVERAGE(Z93,Z92)</f>
        <v>1.35316875</v>
      </c>
      <c r="AD93" s="689">
        <f>(AB93/AB86-1)*100</f>
        <v>17.094104921579213</v>
      </c>
      <c r="AE93" s="107"/>
      <c r="AF93" s="655">
        <f>+H93/AD93*100</f>
        <v>-19.907387896948538</v>
      </c>
      <c r="AG93" s="122"/>
      <c r="AI93" s="696">
        <f>+S93</f>
        <v>277.60100000000006</v>
      </c>
      <c r="AK93" s="698">
        <f>AI93/AB93</f>
        <v>205.14884045319553</v>
      </c>
      <c r="AM93" s="709">
        <f>(AK93/AK86-1)*100</f>
        <v>-8.9646653884578935</v>
      </c>
      <c r="AN93" s="107"/>
      <c r="AP93" s="291">
        <f>+F93</f>
        <v>10</v>
      </c>
      <c r="AQ93" s="291">
        <f>+F246</f>
        <v>52</v>
      </c>
      <c r="AR93" s="291">
        <f>+'qtrP&amp;L'!AX12</f>
        <v>16</v>
      </c>
      <c r="AT93" s="191">
        <v>0.85599999999999998</v>
      </c>
      <c r="AU93" s="236">
        <f>1-AT93</f>
        <v>0.14400000000000002</v>
      </c>
      <c r="AV93" s="291">
        <f>+AT93*AP93+AU93*AQ93</f>
        <v>16.048000000000002</v>
      </c>
    </row>
    <row r="94" spans="1:48" hidden="1" outlineLevel="1">
      <c r="A94" s="26" t="str">
        <f>$A$17</f>
        <v>4Q</v>
      </c>
      <c r="B94" s="218" t="str">
        <f>$B$17</f>
        <v>Jan</v>
      </c>
      <c r="D94" s="643">
        <f>(S94/S87-1)*100</f>
        <v>1.1646398672708891</v>
      </c>
      <c r="F94" s="738">
        <v>8</v>
      </c>
      <c r="H94" s="643">
        <f>D94-F94</f>
        <v>-6.8353601327291109</v>
      </c>
      <c r="J94" s="137">
        <f>+qtrSales!J92-segQtrSales!J247</f>
        <v>559</v>
      </c>
      <c r="K94" s="45"/>
      <c r="L94" s="662">
        <f>AVERAGE(J94,J93)</f>
        <v>552.5</v>
      </c>
      <c r="N94" s="643">
        <f>(L94/L87-1)*100</f>
        <v>12.525458248472511</v>
      </c>
      <c r="O94" s="107"/>
      <c r="P94" s="736">
        <f>H94/N94*100</f>
        <v>-54.571736994634016</v>
      </c>
      <c r="Q94" s="122"/>
      <c r="S94" s="729">
        <v>279.26599999999996</v>
      </c>
      <c r="U94" s="702">
        <f>S94/L94</f>
        <v>0.50545882352941174</v>
      </c>
      <c r="W94" s="700">
        <f>(U94/U87-1)*100</f>
        <v>-10.096220498045227</v>
      </c>
      <c r="X94" s="107"/>
      <c r="Z94" s="732">
        <f>+qtrSales!Z92-segQtrSales!Z247-0.036/0.8</f>
        <v>1.43875</v>
      </c>
      <c r="AA94" s="45"/>
      <c r="AB94" s="703">
        <f>AVERAGE(Z94,Z93)</f>
        <v>1.41566875</v>
      </c>
      <c r="AD94" s="643">
        <f>(AB94/AB87-1)*100</f>
        <v>16.635942327497432</v>
      </c>
      <c r="AE94" s="107"/>
      <c r="AF94" s="662">
        <f>+H94/AD94*100</f>
        <v>-41.087904719596153</v>
      </c>
      <c r="AG94" s="122"/>
      <c r="AI94" s="701">
        <f>+S94</f>
        <v>279.26599999999996</v>
      </c>
      <c r="AK94" s="704">
        <f>AI94/AB94</f>
        <v>197.26789900532873</v>
      </c>
      <c r="AM94" s="700">
        <f>(AK94/AK87-1)*100</f>
        <v>-13.264609649043935</v>
      </c>
      <c r="AN94" s="107"/>
      <c r="AP94" s="291">
        <f>+F94</f>
        <v>8</v>
      </c>
      <c r="AQ94" s="291">
        <f>+F247</f>
        <v>41</v>
      </c>
      <c r="AR94" s="291">
        <f>+'qtrP&amp;L'!AX13</f>
        <v>14.6</v>
      </c>
      <c r="AT94" s="191">
        <v>0.8</v>
      </c>
      <c r="AU94" s="236">
        <f>1-AT94</f>
        <v>0.19999999999999996</v>
      </c>
      <c r="AV94" s="291">
        <f>+AT94*AP94+AU94*AQ94</f>
        <v>14.599999999999998</v>
      </c>
    </row>
    <row r="95" spans="1:48" hidden="1" outlineLevel="1">
      <c r="B95" s="218" t="str">
        <f>$B$18</f>
        <v>Year</v>
      </c>
      <c r="D95" s="689">
        <f>(S95/S88-1)*100</f>
        <v>6.2329034021623819</v>
      </c>
      <c r="F95" s="690">
        <f>F91*S91/S95+F92*S92/S95+F93*S93/S95+F94*S94/S95</f>
        <v>9.9857656311163314</v>
      </c>
      <c r="H95" s="689">
        <f>D95-F95</f>
        <v>-3.7528622289539495</v>
      </c>
      <c r="L95" s="699">
        <f>AVERAGE(L91:L94)</f>
        <v>526.5</v>
      </c>
      <c r="N95" s="689">
        <f>(L95/L88-1)*100</f>
        <v>11.576158940397342</v>
      </c>
      <c r="O95" s="107"/>
      <c r="P95" s="655">
        <f>H95/N95*100</f>
        <v>-32.418889964075902</v>
      </c>
      <c r="Q95" s="122"/>
      <c r="S95" s="692">
        <f>SUM(S91:S94)</f>
        <v>1095.9389999999999</v>
      </c>
      <c r="U95" s="693">
        <f>SUM(U91:U94)</f>
        <v>2.0829413658646851</v>
      </c>
      <c r="W95" s="709">
        <f>(U95/U88-1)*100</f>
        <v>-4.8258972643796527</v>
      </c>
      <c r="X95" s="107"/>
      <c r="Z95" s="137"/>
      <c r="AB95" s="694">
        <f>AVERAGE(AB91:AB94)</f>
        <v>1.3286156249999999</v>
      </c>
      <c r="AD95" s="689">
        <f>(AB95/AB88-1)*100</f>
        <v>14.474151857835205</v>
      </c>
      <c r="AE95" s="107"/>
      <c r="AF95" s="655">
        <f>+H95/AD95*100</f>
        <v>-25.928028569925743</v>
      </c>
      <c r="AG95" s="122"/>
      <c r="AI95" s="692">
        <f>SUM(AI91:AI94)</f>
        <v>1095.9389999999999</v>
      </c>
      <c r="AK95" s="695">
        <f>SUM(AK91:AK94)</f>
        <v>825.99938362181047</v>
      </c>
      <c r="AM95" s="709">
        <f>(AK95/AK88-1)*100</f>
        <v>-7.0631135070391204</v>
      </c>
      <c r="AN95" s="107"/>
      <c r="AP95" s="715"/>
      <c r="AQ95" s="726"/>
    </row>
    <row r="96" spans="1:48" hidden="1" outlineLevel="1">
      <c r="B96" s="218"/>
      <c r="F96" s="716"/>
      <c r="O96" s="107"/>
      <c r="P96" s="122"/>
      <c r="Q96" s="122"/>
      <c r="X96" s="107"/>
      <c r="Z96" s="673"/>
      <c r="AE96" s="107"/>
      <c r="AF96" s="122"/>
      <c r="AG96" s="122"/>
      <c r="AQ96" s="726"/>
    </row>
    <row r="97" spans="1:48" hidden="1" outlineLevel="1">
      <c r="A97" s="705"/>
      <c r="B97" s="706">
        <v>2006</v>
      </c>
      <c r="E97" s="107"/>
      <c r="G97" s="107"/>
      <c r="I97" s="107"/>
      <c r="O97" s="107"/>
      <c r="P97" s="122"/>
      <c r="Q97" s="122"/>
      <c r="X97" s="107"/>
      <c r="Z97" s="737"/>
      <c r="AE97" s="107"/>
      <c r="AF97" s="122"/>
      <c r="AG97" s="122"/>
      <c r="AN97" s="107"/>
      <c r="AP97" s="719"/>
      <c r="AQ97" s="726"/>
    </row>
    <row r="98" spans="1:48" hidden="1" outlineLevel="1">
      <c r="A98" s="26" t="str">
        <f>$A$14</f>
        <v>1Q</v>
      </c>
      <c r="B98" s="218" t="str">
        <f>$B$14</f>
        <v>Apr</v>
      </c>
      <c r="C98" s="107"/>
      <c r="D98" s="689">
        <f>(S98/S91-1)*100</f>
        <v>10.819637825758765</v>
      </c>
      <c r="E98" s="107" t="s">
        <v>576</v>
      </c>
      <c r="F98" s="733">
        <v>2</v>
      </c>
      <c r="G98" s="107" t="s">
        <v>576</v>
      </c>
      <c r="H98" s="728">
        <f>D98-F98</f>
        <v>8.8196378257587646</v>
      </c>
      <c r="I98" s="107" t="s">
        <v>576</v>
      </c>
      <c r="J98" s="137">
        <f>+qtrSales!J96-segQtrSales!J251</f>
        <v>580</v>
      </c>
      <c r="L98" s="699">
        <f>AVERAGE(J98,J94)</f>
        <v>569.5</v>
      </c>
      <c r="N98" s="689">
        <f>(L98/L91-1)*100</f>
        <v>13.220675944334005</v>
      </c>
      <c r="O98" s="107" t="s">
        <v>576</v>
      </c>
      <c r="P98" s="731">
        <f>H98/N98*100</f>
        <v>66.710944757242942</v>
      </c>
      <c r="Q98" s="122" t="s">
        <v>576</v>
      </c>
      <c r="S98" s="725">
        <v>296.56</v>
      </c>
      <c r="U98" s="693">
        <f>S98/L98</f>
        <v>0.52073748902546091</v>
      </c>
      <c r="W98" s="709">
        <f>(U98/U91-1)*100</f>
        <v>-2.1206710687328156</v>
      </c>
      <c r="X98" s="107" t="s">
        <v>576</v>
      </c>
      <c r="Z98" s="732">
        <f>+qtrSales!Z96-segQtrSales!Z251-0.042/0.8-0.014/0.8</f>
        <v>1.4699999999999998</v>
      </c>
      <c r="AB98" s="694">
        <f>AVERAGE(Z98,Z94)</f>
        <v>1.4543749999999998</v>
      </c>
      <c r="AD98" s="689">
        <f>(AB98/AB91-1)*100</f>
        <v>16.059850374064833</v>
      </c>
      <c r="AE98" s="107" t="s">
        <v>576</v>
      </c>
      <c r="AF98" s="655">
        <f>+H98/AD98*100</f>
        <v>54.917310064119029</v>
      </c>
      <c r="AG98" s="122" t="s">
        <v>576</v>
      </c>
      <c r="AI98" s="692">
        <f>+S98</f>
        <v>296.56</v>
      </c>
      <c r="AJ98" s="107"/>
      <c r="AK98" s="695">
        <f>AI98/AB98</f>
        <v>203.90889557370008</v>
      </c>
      <c r="AM98" s="709">
        <f>(AK98/AK91-1)*100</f>
        <v>-4.5150950405473456</v>
      </c>
      <c r="AN98" s="107" t="s">
        <v>576</v>
      </c>
      <c r="AP98" s="291">
        <f>+F98</f>
        <v>2</v>
      </c>
      <c r="AQ98" s="291">
        <f>+F251</f>
        <v>34</v>
      </c>
      <c r="AR98" s="291">
        <f>+'qtrP&amp;L'!BB10</f>
        <v>6.6</v>
      </c>
      <c r="AT98" s="191">
        <v>0.85499999999999998</v>
      </c>
      <c r="AU98" s="236">
        <f>1-AT98</f>
        <v>0.14500000000000002</v>
      </c>
      <c r="AV98" s="291">
        <f>+AT98*AP98+AU98*AQ98</f>
        <v>6.6400000000000006</v>
      </c>
    </row>
    <row r="99" spans="1:48" hidden="1" outlineLevel="1">
      <c r="A99" s="26" t="str">
        <f>$A$15</f>
        <v>2Q</v>
      </c>
      <c r="B99" s="218" t="str">
        <f>$B$15</f>
        <v>Jul</v>
      </c>
      <c r="D99" s="728">
        <f>(S99/S92-1)*100</f>
        <v>10.896023811453382</v>
      </c>
      <c r="F99" s="716">
        <v>3</v>
      </c>
      <c r="H99" s="728">
        <f>D99-F99</f>
        <v>7.8960238114533823</v>
      </c>
      <c r="J99" s="137">
        <f>+qtrSales!J97-segQtrSales!J252</f>
        <v>585</v>
      </c>
      <c r="K99" s="713"/>
      <c r="L99" s="699">
        <f>AVERAGE(J99,J98)</f>
        <v>582.5</v>
      </c>
      <c r="N99" s="689">
        <f>(L99/L92-1)*100</f>
        <v>12.887596899224807</v>
      </c>
      <c r="O99" s="107"/>
      <c r="P99" s="731">
        <f>H99/N99*100</f>
        <v>61.268395288871361</v>
      </c>
      <c r="Q99" s="122"/>
      <c r="S99" s="727">
        <v>301.04499999999996</v>
      </c>
      <c r="U99" s="697">
        <f>S99/L99</f>
        <v>0.51681545064377676</v>
      </c>
      <c r="W99" s="709">
        <f>(U99/U92-1)*100</f>
        <v>-1.7642089498541735</v>
      </c>
      <c r="X99" s="107"/>
      <c r="Z99" s="732">
        <f>+qtrSales!Z97-segQtrSales!Z252-0.049/0.8-0.014/0.8</f>
        <v>1.4962499999999999</v>
      </c>
      <c r="AA99" s="713"/>
      <c r="AB99" s="694">
        <f>AVERAGE(Z99,Z98)</f>
        <v>1.4831249999999998</v>
      </c>
      <c r="AD99" s="689">
        <f>(AB99/AB92-1)*100</f>
        <v>14.748549323017389</v>
      </c>
      <c r="AE99" s="107"/>
      <c r="AF99" s="655">
        <f>+H99/AD99*100</f>
        <v>53.537630301920046</v>
      </c>
      <c r="AG99" s="122"/>
      <c r="AI99" s="696">
        <f>+S99</f>
        <v>301.04499999999996</v>
      </c>
      <c r="AK99" s="698">
        <f>AI99/AB99</f>
        <v>202.98019384745049</v>
      </c>
      <c r="AM99" s="709">
        <f>(AK99/AK92-1)*100</f>
        <v>-3.3573631512492152</v>
      </c>
      <c r="AN99" s="107"/>
      <c r="AP99" s="291">
        <f>+F99</f>
        <v>3</v>
      </c>
      <c r="AQ99" s="291">
        <f>+F252</f>
        <v>19</v>
      </c>
      <c r="AR99" s="291">
        <f>+'qtrP&amp;L'!BB11</f>
        <v>5.7</v>
      </c>
      <c r="AT99" s="191">
        <v>0.83</v>
      </c>
      <c r="AU99" s="236">
        <f>1-AT99</f>
        <v>0.17000000000000004</v>
      </c>
      <c r="AV99" s="291">
        <f>+AT99*AP99+AU99*AQ99</f>
        <v>5.7200000000000006</v>
      </c>
    </row>
    <row r="100" spans="1:48" hidden="1" outlineLevel="1">
      <c r="A100" s="26" t="str">
        <f>$A$16</f>
        <v>3Q</v>
      </c>
      <c r="B100" s="218" t="str">
        <f>$B$16</f>
        <v>Oct</v>
      </c>
      <c r="D100" s="728">
        <f>(S100/S93-1)*100</f>
        <v>6.9232459537249325</v>
      </c>
      <c r="E100" s="137"/>
      <c r="F100" s="716">
        <v>-3</v>
      </c>
      <c r="G100" s="137"/>
      <c r="H100" s="728">
        <f>D100-F100</f>
        <v>9.9232459537249333</v>
      </c>
      <c r="I100" s="137"/>
      <c r="J100" s="137">
        <f>+qtrSales!J98-segQtrSales!J253</f>
        <v>630</v>
      </c>
      <c r="K100" s="713"/>
      <c r="L100" s="734">
        <f>AVERAGE(J100,J99)</f>
        <v>607.5</v>
      </c>
      <c r="M100" s="137"/>
      <c r="N100" s="728">
        <f>(L100/L93-1)*100</f>
        <v>13.657623947614583</v>
      </c>
      <c r="O100" s="735"/>
      <c r="P100" s="731">
        <f>H100/N100*100</f>
        <v>72.657191263917539</v>
      </c>
      <c r="Q100" s="220"/>
      <c r="R100" s="137"/>
      <c r="S100" s="727">
        <v>296.82</v>
      </c>
      <c r="T100" s="137"/>
      <c r="U100" s="697">
        <f>S100/L100</f>
        <v>0.48859259259259258</v>
      </c>
      <c r="W100" s="709">
        <f>(U100/U93-1)*100</f>
        <v>-5.9251440950354279</v>
      </c>
      <c r="X100" s="107"/>
      <c r="Z100" s="732">
        <f>+qtrSales!Z98-segQtrSales!Z253-0.079/0.8-0.013/0.8</f>
        <v>1.6187499999999999</v>
      </c>
      <c r="AA100" s="713"/>
      <c r="AB100" s="694">
        <f>AVERAGE(Z100,Z99)</f>
        <v>1.5574999999999999</v>
      </c>
      <c r="AD100" s="689">
        <f>(AB100/AB93-1)*100</f>
        <v>15.100204612321999</v>
      </c>
      <c r="AE100" s="107"/>
      <c r="AF100" s="655">
        <f>+H100/AD100*100</f>
        <v>65.715970137433843</v>
      </c>
      <c r="AG100" s="122"/>
      <c r="AI100" s="696">
        <f>+S100</f>
        <v>296.82</v>
      </c>
      <c r="AK100" s="698">
        <f>AI100/AB100</f>
        <v>190.57463884430177</v>
      </c>
      <c r="AM100" s="709">
        <f>(AK100/AK93-1)*100</f>
        <v>-7.1042086207739779</v>
      </c>
      <c r="AN100" s="107"/>
      <c r="AP100" s="291">
        <f>+F100</f>
        <v>-3</v>
      </c>
      <c r="AQ100" s="291">
        <f>+F253</f>
        <v>5</v>
      </c>
      <c r="AR100" s="291">
        <f>+'qtrP&amp;L'!BB12</f>
        <v>-1.2</v>
      </c>
      <c r="AT100" s="191">
        <v>0.77</v>
      </c>
      <c r="AU100" s="236">
        <f>1-AT100</f>
        <v>0.22999999999999998</v>
      </c>
      <c r="AV100" s="291">
        <f>+AT100*AP100+AU100*AQ100</f>
        <v>-1.1600000000000001</v>
      </c>
    </row>
    <row r="101" spans="1:48" hidden="1" outlineLevel="1">
      <c r="A101" s="26" t="str">
        <f>$A$17</f>
        <v>4Q</v>
      </c>
      <c r="B101" s="218" t="str">
        <f>$B$17</f>
        <v>Jan</v>
      </c>
      <c r="D101" s="643">
        <f>(S101/S94-1)*100</f>
        <v>13.17167145302327</v>
      </c>
      <c r="F101" s="722">
        <v>-2</v>
      </c>
      <c r="H101" s="643">
        <f>D101-F101</f>
        <v>15.17167145302327</v>
      </c>
      <c r="J101" s="137">
        <f>+qtrSales!J99-segQtrSales!J254</f>
        <v>650</v>
      </c>
      <c r="K101" s="45"/>
      <c r="L101" s="662">
        <f>AVERAGE(J101,J100)</f>
        <v>640</v>
      </c>
      <c r="N101" s="643">
        <f>(L101/L94-1)*100</f>
        <v>15.837104072398201</v>
      </c>
      <c r="O101" s="107"/>
      <c r="P101" s="662">
        <f>H101/N101*100</f>
        <v>95.798268317661154</v>
      </c>
      <c r="Q101" s="122"/>
      <c r="S101" s="701">
        <v>316.04999999999995</v>
      </c>
      <c r="U101" s="702">
        <f>S101/L101</f>
        <v>0.49382812499999995</v>
      </c>
      <c r="W101" s="700">
        <f>(U101/U94-1)*100</f>
        <v>-2.3010180034447436</v>
      </c>
      <c r="X101" s="107"/>
      <c r="Z101" s="732">
        <f>+qtrSales!Z99-segQtrSales!Z254-0.106/0.8-0.013/0.8</f>
        <v>1.7112499999999997</v>
      </c>
      <c r="AA101" s="45"/>
      <c r="AB101" s="703">
        <f>AVERAGE(Z101,Z100)</f>
        <v>1.6649999999999998</v>
      </c>
      <c r="AD101" s="643">
        <f>(AB101/AB94-1)*100</f>
        <v>17.612259223776739</v>
      </c>
      <c r="AE101" s="107"/>
      <c r="AF101" s="662">
        <f>+H101/AD101*100</f>
        <v>86.142676304362766</v>
      </c>
      <c r="AG101" s="122"/>
      <c r="AI101" s="701">
        <f>+S101</f>
        <v>316.04999999999995</v>
      </c>
      <c r="AK101" s="704">
        <f>AI101/AB101</f>
        <v>189.81981981981983</v>
      </c>
      <c r="AM101" s="700">
        <f>(AK101/AK94-1)*100</f>
        <v>-3.7756164196323216</v>
      </c>
      <c r="AN101" s="107"/>
      <c r="AP101" s="291">
        <f>+F101</f>
        <v>-2</v>
      </c>
      <c r="AQ101" s="291">
        <f>+F254</f>
        <v>-2</v>
      </c>
      <c r="AR101" s="291">
        <f>+'qtrP&amp;L'!BB13</f>
        <v>-2</v>
      </c>
      <c r="AT101" s="191">
        <v>0.77</v>
      </c>
      <c r="AU101" s="236">
        <f>1-AT101</f>
        <v>0.22999999999999998</v>
      </c>
      <c r="AV101" s="291">
        <f>+AT101*AP101+AU101*AQ101</f>
        <v>-2</v>
      </c>
    </row>
    <row r="102" spans="1:48" hidden="1" outlineLevel="1">
      <c r="B102" s="218" t="str">
        <f>$B$18</f>
        <v>Year</v>
      </c>
      <c r="D102" s="689">
        <f>(S102/S95-1)*100</f>
        <v>10.450946631153757</v>
      </c>
      <c r="F102" s="690">
        <v>0</v>
      </c>
      <c r="H102" s="689">
        <f>D102-F102</f>
        <v>10.450946631153757</v>
      </c>
      <c r="L102" s="699">
        <f>AVERAGE(L98:L101)</f>
        <v>599.875</v>
      </c>
      <c r="N102" s="689">
        <f>(L102/L95-1)*100</f>
        <v>13.936372269705611</v>
      </c>
      <c r="O102" s="107"/>
      <c r="P102" s="655">
        <f>H102/N102*100</f>
        <v>74.990438177886872</v>
      </c>
      <c r="Q102" s="122"/>
      <c r="S102" s="692">
        <f>SUM(S98:S101)</f>
        <v>1210.4749999999999</v>
      </c>
      <c r="U102" s="693">
        <f>SUM(U98:U101)</f>
        <v>2.0199736572618301</v>
      </c>
      <c r="W102" s="709">
        <f>(U102/U95-1)*100</f>
        <v>-3.0230187769455297</v>
      </c>
      <c r="X102" s="107"/>
      <c r="AB102" s="694">
        <f>AVERAGE(AB98:AB101)</f>
        <v>1.5399999999999998</v>
      </c>
      <c r="AD102" s="689">
        <f>(AB102/AB95-1)*100</f>
        <v>15.910122613528642</v>
      </c>
      <c r="AE102" s="107"/>
      <c r="AF102" s="655">
        <f>+H102/AD102*100</f>
        <v>65.687404710930025</v>
      </c>
      <c r="AG102" s="122"/>
      <c r="AI102" s="692">
        <f>SUM(AI98:AI101)</f>
        <v>1210.4749999999999</v>
      </c>
      <c r="AK102" s="695">
        <f>SUM(AK98:AK101)</f>
        <v>787.28354808527217</v>
      </c>
      <c r="AM102" s="709">
        <f>(AK102/AK95-1)*100</f>
        <v>-4.6871506570354331</v>
      </c>
      <c r="AN102" s="107"/>
      <c r="AP102" s="715"/>
      <c r="AQ102" s="715"/>
    </row>
    <row r="103" spans="1:48" hidden="1" outlineLevel="1">
      <c r="B103" s="218"/>
      <c r="D103" s="689"/>
      <c r="F103" s="690"/>
      <c r="H103" s="689"/>
      <c r="L103" s="699"/>
      <c r="N103" s="689"/>
      <c r="O103" s="107"/>
      <c r="P103" s="655"/>
      <c r="Q103" s="122"/>
      <c r="S103" s="692"/>
      <c r="U103" s="693"/>
      <c r="W103" s="709"/>
      <c r="X103" s="107"/>
      <c r="AB103" s="694"/>
      <c r="AD103" s="689"/>
      <c r="AE103" s="107"/>
      <c r="AF103" s="655"/>
      <c r="AG103" s="122"/>
      <c r="AI103" s="692"/>
      <c r="AK103" s="695"/>
      <c r="AM103" s="709"/>
      <c r="AN103" s="107"/>
      <c r="AP103" s="715"/>
      <c r="AQ103" s="715"/>
    </row>
    <row r="104" spans="1:48" hidden="1" outlineLevel="1">
      <c r="A104" s="705"/>
      <c r="B104" s="706">
        <v>2007</v>
      </c>
      <c r="E104" s="107"/>
      <c r="G104" s="107"/>
      <c r="I104" s="107"/>
      <c r="O104" s="107"/>
      <c r="P104" s="122"/>
      <c r="Q104" s="122"/>
      <c r="X104" s="107"/>
      <c r="Z104" s="737"/>
      <c r="AE104" s="107"/>
      <c r="AF104" s="122"/>
      <c r="AG104" s="122"/>
      <c r="AN104" s="107"/>
      <c r="AP104" s="291"/>
      <c r="AQ104" s="719"/>
    </row>
    <row r="105" spans="1:48" hidden="1" outlineLevel="1">
      <c r="A105" s="26" t="str">
        <f>$A$14</f>
        <v>1Q</v>
      </c>
      <c r="B105" s="218" t="str">
        <f>$B$14</f>
        <v>Apr</v>
      </c>
      <c r="C105" s="107"/>
      <c r="D105" s="689">
        <f>(S105/S98-1)*100</f>
        <v>12.305098462368491</v>
      </c>
      <c r="E105" s="107" t="s">
        <v>576</v>
      </c>
      <c r="F105" s="733">
        <v>-1</v>
      </c>
      <c r="G105" s="107" t="s">
        <v>576</v>
      </c>
      <c r="H105" s="728">
        <f>D105-F105</f>
        <v>13.305098462368491</v>
      </c>
      <c r="I105" s="107" t="s">
        <v>576</v>
      </c>
      <c r="J105" s="137">
        <f>+qtrSales!J103-segQtrSales!J258</f>
        <v>667</v>
      </c>
      <c r="L105" s="699">
        <f>AVERAGE(J105,J101)</f>
        <v>658.5</v>
      </c>
      <c r="N105" s="689">
        <f>(L105/L98-1)*100</f>
        <v>15.627743634767333</v>
      </c>
      <c r="O105" s="107" t="s">
        <v>576</v>
      </c>
      <c r="P105" s="731">
        <f>H105/N105*100</f>
        <v>85.137680610324267</v>
      </c>
      <c r="Q105" s="122" t="s">
        <v>576</v>
      </c>
      <c r="S105" s="725">
        <v>333.05200000000002</v>
      </c>
      <c r="U105" s="693">
        <f>S105/L105</f>
        <v>0.50577372817008359</v>
      </c>
      <c r="W105" s="709">
        <f>(U105/U98-1)*100</f>
        <v>-2.8735708818240391</v>
      </c>
      <c r="X105" s="107" t="s">
        <v>576</v>
      </c>
      <c r="Z105" s="739">
        <f>+qtrSales!Z103-segQtrSales!Z258-0.112/0.8-0.012/0.8</f>
        <v>1.8225</v>
      </c>
      <c r="AB105" s="694">
        <f>AVERAGE(Z105,Z101)</f>
        <v>1.7668749999999998</v>
      </c>
      <c r="AD105" s="689">
        <f>(AB105/AB98-1)*100</f>
        <v>21.486892995272889</v>
      </c>
      <c r="AE105" s="107" t="s">
        <v>576</v>
      </c>
      <c r="AF105" s="655">
        <f>+H105/AD105*100</f>
        <v>61.921928243862943</v>
      </c>
      <c r="AG105" s="122" t="s">
        <v>576</v>
      </c>
      <c r="AI105" s="692">
        <f>+S105</f>
        <v>333.05200000000002</v>
      </c>
      <c r="AJ105" s="107"/>
      <c r="AK105" s="695">
        <f>AI105/AB105</f>
        <v>188.4977714892112</v>
      </c>
      <c r="AM105" s="709">
        <f>(AK105/AK98-1)*100</f>
        <v>-7.5578478521643238</v>
      </c>
      <c r="AN105" s="107" t="s">
        <v>576</v>
      </c>
      <c r="AP105" s="291">
        <f>+F105</f>
        <v>-1</v>
      </c>
      <c r="AQ105" s="291">
        <f>+F258</f>
        <v>-2</v>
      </c>
      <c r="AR105" s="291">
        <f>+'qtrP&amp;L'!BF10</f>
        <v>-1.6</v>
      </c>
      <c r="AT105" s="191">
        <v>0.4</v>
      </c>
      <c r="AU105" s="236">
        <f>1-AT105</f>
        <v>0.6</v>
      </c>
      <c r="AV105" s="291">
        <f>+AT105*AP105+AU105*AQ105</f>
        <v>-1.6</v>
      </c>
    </row>
    <row r="106" spans="1:48" hidden="1" outlineLevel="1">
      <c r="A106" s="26" t="str">
        <f>$A$15</f>
        <v>2Q</v>
      </c>
      <c r="B106" s="218" t="str">
        <f>$B$15</f>
        <v>Jul</v>
      </c>
      <c r="D106" s="689">
        <f>(S106/S99-1)*100</f>
        <v>2.5667259047650992</v>
      </c>
      <c r="F106" s="716">
        <v>-6</v>
      </c>
      <c r="H106" s="728">
        <f>D106-F106</f>
        <v>8.5667259047651001</v>
      </c>
      <c r="J106" s="137">
        <f>+qtrSales!J104-segQtrSales!J259</f>
        <v>669</v>
      </c>
      <c r="K106" s="713"/>
      <c r="L106" s="699">
        <f>AVERAGE(J106,J105)</f>
        <v>668</v>
      </c>
      <c r="N106" s="689">
        <f>(L106/L99-1)*100</f>
        <v>14.678111587982823</v>
      </c>
      <c r="O106" s="107"/>
      <c r="P106" s="731">
        <f>H106/N106*100</f>
        <v>58.363951339481567</v>
      </c>
      <c r="Q106" s="122"/>
      <c r="S106" s="727">
        <v>308.77200000000005</v>
      </c>
      <c r="U106" s="697">
        <f>S106/L106</f>
        <v>0.46223353293413183</v>
      </c>
      <c r="W106" s="709">
        <f>(U106/U99-1)*100</f>
        <v>-10.561200839033425</v>
      </c>
      <c r="X106" s="107"/>
      <c r="Z106" s="739">
        <f>+qtrSales!Z104-segQtrSales!Z259-0.121/0.8</f>
        <v>1.8587499999999992</v>
      </c>
      <c r="AA106" s="713"/>
      <c r="AB106" s="694">
        <f>AVERAGE(Z106,Z105)</f>
        <v>1.8406249999999997</v>
      </c>
      <c r="AD106" s="689">
        <f>(AB106/AB99-1)*100</f>
        <v>24.104509060261272</v>
      </c>
      <c r="AE106" s="107"/>
      <c r="AF106" s="655">
        <f>+H106/AD106*100</f>
        <v>35.539931069943329</v>
      </c>
      <c r="AG106" s="122"/>
      <c r="AI106" s="696">
        <f>+S106</f>
        <v>308.77200000000005</v>
      </c>
      <c r="AK106" s="698">
        <f>AI106/AB106</f>
        <v>167.75388794567067</v>
      </c>
      <c r="AM106" s="709">
        <f>(AK106/AK99-1)*100</f>
        <v>-17.354553286245313</v>
      </c>
      <c r="AN106" s="107"/>
      <c r="AP106" s="291">
        <f>+F106</f>
        <v>-6</v>
      </c>
      <c r="AQ106" s="291">
        <f>+F259</f>
        <v>-3</v>
      </c>
      <c r="AR106" s="291">
        <f>+'qtrP&amp;L'!BF11</f>
        <v>-5.6</v>
      </c>
      <c r="AT106" s="191">
        <v>0.85</v>
      </c>
      <c r="AU106" s="236">
        <f>1-AT106</f>
        <v>0.15000000000000002</v>
      </c>
      <c r="AV106" s="291">
        <f>+AT106*AP106+AU106*AQ106</f>
        <v>-5.55</v>
      </c>
    </row>
    <row r="107" spans="1:48" hidden="1" outlineLevel="1">
      <c r="A107" s="26" t="str">
        <f>$A$16</f>
        <v>3Q</v>
      </c>
      <c r="B107" s="218" t="str">
        <f>$B$16</f>
        <v>Oct</v>
      </c>
      <c r="D107" s="689">
        <f>(S107/S100-1)*100</f>
        <v>1.2654133818476021</v>
      </c>
      <c r="E107" s="137"/>
      <c r="F107" s="716">
        <v>-8</v>
      </c>
      <c r="G107" s="137"/>
      <c r="H107" s="728">
        <f>D107-F107</f>
        <v>9.2654133818476012</v>
      </c>
      <c r="I107" s="137"/>
      <c r="J107" s="137">
        <f>+qtrSales!J105-segQtrSales!J260</f>
        <v>695</v>
      </c>
      <c r="K107" s="713"/>
      <c r="L107" s="734">
        <f>AVERAGE(J107,J106)</f>
        <v>682</v>
      </c>
      <c r="M107" s="137"/>
      <c r="N107" s="728">
        <f>(L107/L100-1)*100</f>
        <v>12.263374485596712</v>
      </c>
      <c r="O107" s="735"/>
      <c r="P107" s="731">
        <f>H107/N107*100</f>
        <v>75.553538650636455</v>
      </c>
      <c r="Q107" s="220"/>
      <c r="R107" s="137"/>
      <c r="S107" s="727">
        <v>300.57600000000002</v>
      </c>
      <c r="T107" s="137"/>
      <c r="U107" s="697">
        <f>S107/L107</f>
        <v>0.44072727272727275</v>
      </c>
      <c r="W107" s="709">
        <f>(U107/U100-1)*100</f>
        <v>-9.7965709245272592</v>
      </c>
      <c r="X107" s="107"/>
      <c r="Z107" s="739">
        <f>+qtrSales!Z105-segQtrSales!Z260-0.13/0.8</f>
        <v>1.9674999999999998</v>
      </c>
      <c r="AA107" s="713"/>
      <c r="AB107" s="694">
        <f>AVERAGE(Z107,Z106)</f>
        <v>1.9131249999999995</v>
      </c>
      <c r="AD107" s="689">
        <f>(AB107/AB100-1)*100</f>
        <v>22.83306581059388</v>
      </c>
      <c r="AE107" s="107"/>
      <c r="AF107" s="655">
        <f>+H107/AD107*100</f>
        <v>40.578928203100602</v>
      </c>
      <c r="AG107" s="122"/>
      <c r="AI107" s="696">
        <f>+S107</f>
        <v>300.57600000000002</v>
      </c>
      <c r="AK107" s="698">
        <f>AI107/AB107</f>
        <v>157.11257758902323</v>
      </c>
      <c r="AM107" s="709">
        <f>(AK107/AK100-1)*100</f>
        <v>-17.558506975640565</v>
      </c>
      <c r="AN107" s="107"/>
      <c r="AP107" s="291">
        <f>+F107</f>
        <v>-8</v>
      </c>
      <c r="AQ107" s="291">
        <f>+F260</f>
        <v>-13</v>
      </c>
      <c r="AR107" s="291">
        <f>+'qtrP&amp;L'!BF12</f>
        <v>-9.3000000000000007</v>
      </c>
      <c r="AT107" s="191">
        <v>0.75</v>
      </c>
      <c r="AU107" s="236">
        <f>1-AT107</f>
        <v>0.25</v>
      </c>
      <c r="AV107" s="291">
        <f>+AT107*AP107+AU107*AQ107</f>
        <v>-9.25</v>
      </c>
    </row>
    <row r="108" spans="1:48" hidden="1" outlineLevel="1">
      <c r="A108" s="26" t="str">
        <f>$A$17</f>
        <v>4Q</v>
      </c>
      <c r="B108" s="218" t="str">
        <f>$B$17</f>
        <v>Jan</v>
      </c>
      <c r="D108" s="643">
        <f>(S108/S101-1)*100</f>
        <v>-11.147919632969449</v>
      </c>
      <c r="F108" s="722">
        <v>-16</v>
      </c>
      <c r="H108" s="643">
        <f>D108-F108</f>
        <v>4.8520803670305508</v>
      </c>
      <c r="J108" s="137">
        <f>+qtrSales!J106-segQtrSales!J261</f>
        <v>710</v>
      </c>
      <c r="K108" s="45"/>
      <c r="L108" s="662">
        <f>AVERAGE(J108,J107)</f>
        <v>702.5</v>
      </c>
      <c r="N108" s="643">
        <f>(L108/L101-1)*100</f>
        <v>9.765625</v>
      </c>
      <c r="O108" s="107"/>
      <c r="P108" s="662">
        <f>H108/N108*100</f>
        <v>49.685302958392839</v>
      </c>
      <c r="Q108" s="122"/>
      <c r="S108" s="729">
        <v>280.81700000000001</v>
      </c>
      <c r="U108" s="702">
        <f>S108/L108</f>
        <v>0.39973950177935946</v>
      </c>
      <c r="W108" s="700">
        <f>(U108/U101-1)*100</f>
        <v>-19.052908989466832</v>
      </c>
      <c r="X108" s="107"/>
      <c r="Z108" s="739">
        <f>+qtrSales!Z106-segQtrSales!Z261-0.106/0.8</f>
        <v>2.08935</v>
      </c>
      <c r="AA108" s="45"/>
      <c r="AB108" s="703">
        <f>AVERAGE(Z108,Z107)</f>
        <v>2.0284249999999999</v>
      </c>
      <c r="AD108" s="643">
        <f>(AB108/AB101-1)*100</f>
        <v>21.827327327327328</v>
      </c>
      <c r="AE108" s="107"/>
      <c r="AF108" s="662">
        <f>+H108/AD108*100</f>
        <v>22.229383809880627</v>
      </c>
      <c r="AG108" s="122"/>
      <c r="AI108" s="701">
        <f>+S108</f>
        <v>280.81700000000001</v>
      </c>
      <c r="AK108" s="704">
        <f>AI108/AB108</f>
        <v>138.44090858671137</v>
      </c>
      <c r="AM108" s="700">
        <f>(AK108/AK101-1)*100</f>
        <v>-27.067200507237963</v>
      </c>
      <c r="AN108" s="107"/>
      <c r="AP108" s="291">
        <f>+F108</f>
        <v>-16</v>
      </c>
      <c r="AQ108" s="291">
        <f>+F261</f>
        <v>-17.399999999999999</v>
      </c>
      <c r="AR108" s="291">
        <f>+'qtrP&amp;L'!BF13</f>
        <v>-15.7</v>
      </c>
      <c r="AT108" s="191" t="s">
        <v>653</v>
      </c>
      <c r="AU108" s="236"/>
      <c r="AV108" s="291"/>
    </row>
    <row r="109" spans="1:48" hidden="1" outlineLevel="1">
      <c r="B109" s="218" t="str">
        <f>$B$18</f>
        <v>Year</v>
      </c>
      <c r="D109" s="689">
        <f>(S109/S102-1)*100</f>
        <v>1.0526446229786046</v>
      </c>
      <c r="F109" s="690">
        <f>F105*S105/S109+F106*S106/S109+F107*S107/S109+F108*S108/S109</f>
        <v>-7.4257993471313757</v>
      </c>
      <c r="H109" s="689">
        <f>D109-F109</f>
        <v>8.4784439701099803</v>
      </c>
      <c r="L109" s="699">
        <f>AVERAGE(L105:L108)</f>
        <v>677.75</v>
      </c>
      <c r="N109" s="689">
        <f>(L109/L102-1)*100</f>
        <v>12.981871223171492</v>
      </c>
      <c r="O109" s="107"/>
      <c r="P109" s="655">
        <f>H109/N109*100</f>
        <v>65.309875782596791</v>
      </c>
      <c r="Q109" s="122"/>
      <c r="S109" s="692">
        <f>SUM(S105:S108)</f>
        <v>1223.2170000000001</v>
      </c>
      <c r="U109" s="693">
        <f>SUM(U105:U108)</f>
        <v>1.8084740356108477</v>
      </c>
      <c r="W109" s="709">
        <f>(U109/U102-1)*100</f>
        <v>-10.470414843809406</v>
      </c>
      <c r="X109" s="107"/>
      <c r="AB109" s="694">
        <f>AVERAGE(AB105:AB108)</f>
        <v>1.8872624999999998</v>
      </c>
      <c r="AD109" s="689">
        <f>(AB109/AB102-1)*100</f>
        <v>22.549512987012999</v>
      </c>
      <c r="AE109" s="107"/>
      <c r="AF109" s="655">
        <f>+H109/AD109*100</f>
        <v>37.599233185182285</v>
      </c>
      <c r="AG109" s="122"/>
      <c r="AI109" s="692">
        <f>SUM(AI105:AI108)</f>
        <v>1223.2170000000001</v>
      </c>
      <c r="AK109" s="695">
        <f>SUM(AK105:AK108)</f>
        <v>651.80514561061636</v>
      </c>
      <c r="AM109" s="709">
        <f>(AK109/AK102-1)*100</f>
        <v>-17.208336539503289</v>
      </c>
      <c r="AN109" s="107"/>
      <c r="AP109" s="715"/>
      <c r="AQ109" s="726"/>
    </row>
    <row r="110" spans="1:48" hidden="1" outlineLevel="1">
      <c r="B110" s="218"/>
      <c r="D110" s="689"/>
      <c r="F110" s="690"/>
      <c r="H110" s="689"/>
      <c r="L110" s="699"/>
      <c r="N110" s="689"/>
      <c r="O110" s="107"/>
      <c r="P110" s="655"/>
      <c r="Q110" s="122"/>
      <c r="S110" s="692"/>
      <c r="U110" s="693"/>
      <c r="W110" s="709"/>
      <c r="X110" s="107"/>
      <c r="AB110" s="694"/>
      <c r="AD110" s="689"/>
      <c r="AE110" s="107"/>
      <c r="AF110" s="655"/>
      <c r="AG110" s="122"/>
      <c r="AI110" s="692"/>
      <c r="AK110" s="695"/>
      <c r="AM110" s="709"/>
      <c r="AN110" s="107"/>
      <c r="AP110" s="715"/>
      <c r="AQ110" s="726"/>
    </row>
    <row r="111" spans="1:48" hidden="1" outlineLevel="1">
      <c r="A111" s="705"/>
      <c r="B111" s="706">
        <v>2008</v>
      </c>
      <c r="E111" s="107"/>
      <c r="G111" s="107"/>
      <c r="I111" s="107"/>
      <c r="O111" s="107"/>
      <c r="P111" s="122"/>
      <c r="Q111" s="122"/>
      <c r="X111" s="107"/>
      <c r="Z111" s="737"/>
      <c r="AE111" s="107"/>
      <c r="AF111" s="122"/>
      <c r="AG111" s="122"/>
      <c r="AN111" s="107"/>
      <c r="AP111" s="719"/>
      <c r="AQ111" s="726"/>
    </row>
    <row r="112" spans="1:48" hidden="1" outlineLevel="1">
      <c r="A112" s="26" t="str">
        <f>$A$14</f>
        <v>1Q</v>
      </c>
      <c r="B112" s="218" t="str">
        <f>$B$14</f>
        <v>Apr</v>
      </c>
      <c r="C112" s="107"/>
      <c r="D112" s="689">
        <f>(S112/S105-1)*100</f>
        <v>-14.219401174591351</v>
      </c>
      <c r="E112" s="107" t="s">
        <v>576</v>
      </c>
      <c r="F112" s="733">
        <v>-21.5</v>
      </c>
      <c r="G112" s="107" t="s">
        <v>576</v>
      </c>
      <c r="H112" s="728">
        <f>D112-F112</f>
        <v>7.2805988254086493</v>
      </c>
      <c r="I112" s="107" t="s">
        <v>576</v>
      </c>
      <c r="J112" s="137">
        <f>+qtrSales!J110-segQtrSales!J265</f>
        <v>720</v>
      </c>
      <c r="L112" s="699">
        <f>AVERAGE(J112,J108)</f>
        <v>715</v>
      </c>
      <c r="N112" s="689">
        <f>(L112/L105-1)*100</f>
        <v>8.5801063022019832</v>
      </c>
      <c r="O112" s="107" t="s">
        <v>576</v>
      </c>
      <c r="P112" s="731">
        <f>H112/N112*100</f>
        <v>84.854412858966199</v>
      </c>
      <c r="Q112" s="122" t="s">
        <v>576</v>
      </c>
      <c r="S112" s="725">
        <v>285.69400000000002</v>
      </c>
      <c r="U112" s="693">
        <f>S112/L112</f>
        <v>0.39957202797202801</v>
      </c>
      <c r="W112" s="709">
        <f>(U112/U105-1)*100</f>
        <v>-20.997868074780989</v>
      </c>
      <c r="X112" s="107" t="s">
        <v>576</v>
      </c>
      <c r="Z112" s="739">
        <f>+qtrSales!Z110-segQtrSales!Z265-0.133/0.8</f>
        <v>2.1137500000000005</v>
      </c>
      <c r="AB112" s="694">
        <f>AVERAGE(Z112,Z108)</f>
        <v>2.1015500000000005</v>
      </c>
      <c r="AD112" s="689">
        <f>(AB112/AB105-1)*100</f>
        <v>18.941634241245175</v>
      </c>
      <c r="AE112" s="107" t="s">
        <v>576</v>
      </c>
      <c r="AF112" s="655">
        <f>+H112/AD112*100</f>
        <v>38.43701516290097</v>
      </c>
      <c r="AG112" s="122" t="s">
        <v>576</v>
      </c>
      <c r="AI112" s="692">
        <f>+S112</f>
        <v>285.69400000000002</v>
      </c>
      <c r="AJ112" s="107"/>
      <c r="AK112" s="695">
        <f>AI112/AB112</f>
        <v>135.94442197425707</v>
      </c>
      <c r="AM112" s="709">
        <f>(AK112/AK105-1)*100</f>
        <v>-27.880090623756825</v>
      </c>
      <c r="AN112" s="107" t="s">
        <v>576</v>
      </c>
      <c r="AP112" s="291">
        <f>+F112</f>
        <v>-21.5</v>
      </c>
      <c r="AQ112" s="291">
        <f>+F265</f>
        <v>-10</v>
      </c>
      <c r="AR112" s="291">
        <f>+'qtrP&amp;L'!BJ10</f>
        <v>-17.5</v>
      </c>
      <c r="AT112" s="191">
        <v>0.65</v>
      </c>
      <c r="AU112" s="236">
        <f>1-AT112</f>
        <v>0.35</v>
      </c>
      <c r="AV112" s="291">
        <f>+AT112*AP112+AU112*AQ112</f>
        <v>-17.475000000000001</v>
      </c>
    </row>
    <row r="113" spans="1:48" hidden="1" outlineLevel="1">
      <c r="A113" s="26" t="str">
        <f>$A$15</f>
        <v>2Q</v>
      </c>
      <c r="B113" s="218" t="str">
        <f>$B$15</f>
        <v>Jul</v>
      </c>
      <c r="D113" s="689">
        <f>(S113/S106-1)*100</f>
        <v>-10.199435181946569</v>
      </c>
      <c r="F113" s="733">
        <v>-18.8</v>
      </c>
      <c r="H113" s="728">
        <f>D113-F113</f>
        <v>8.6005648180534315</v>
      </c>
      <c r="J113" s="137">
        <f>+qtrSales!J111-segQtrSales!J266</f>
        <v>728</v>
      </c>
      <c r="K113" s="713"/>
      <c r="L113" s="699">
        <f>AVERAGE(J113,J112)</f>
        <v>724</v>
      </c>
      <c r="N113" s="689">
        <f>(L113/L106-1)*100</f>
        <v>8.3832335329341312</v>
      </c>
      <c r="O113" s="107"/>
      <c r="P113" s="731">
        <f>H113/N113*100</f>
        <v>102.5924517582088</v>
      </c>
      <c r="Q113" s="122"/>
      <c r="S113" s="727">
        <v>277.279</v>
      </c>
      <c r="U113" s="697">
        <f>S113/L113</f>
        <v>0.38298204419889503</v>
      </c>
      <c r="W113" s="709">
        <f>(U113/U106-1)*100</f>
        <v>-17.145335223121972</v>
      </c>
      <c r="X113" s="107"/>
      <c r="Z113" s="739">
        <f>+qtrSales!Z111-segQtrSales!Z266-0.137/0.8</f>
        <v>2.1599999999999997</v>
      </c>
      <c r="AA113" s="713"/>
      <c r="AB113" s="694">
        <f>AVERAGE(Z113,Z112)</f>
        <v>2.1368749999999999</v>
      </c>
      <c r="AD113" s="689">
        <f>(AB113/AB106-1)*100</f>
        <v>16.095076400679133</v>
      </c>
      <c r="AE113" s="107"/>
      <c r="AF113" s="655">
        <f>+H113/AD113*100</f>
        <v>53.435998711323485</v>
      </c>
      <c r="AG113" s="122"/>
      <c r="AI113" s="696">
        <f>+S113</f>
        <v>277.279</v>
      </c>
      <c r="AK113" s="698">
        <f>AI113/AB113</f>
        <v>129.75911085112608</v>
      </c>
      <c r="AM113" s="709">
        <f>(AK113/AK106-1)*100</f>
        <v>-22.649118634347065</v>
      </c>
      <c r="AN113" s="107"/>
      <c r="AP113" s="291">
        <f>+F113</f>
        <v>-18.8</v>
      </c>
      <c r="AQ113" s="291">
        <f>+F266</f>
        <v>-12</v>
      </c>
      <c r="AR113" s="291">
        <f>+'qtrP&amp;L'!BJ11</f>
        <v>-15.9</v>
      </c>
      <c r="AT113" s="191">
        <v>0.57999999999999996</v>
      </c>
      <c r="AU113" s="236">
        <f>1-AT113</f>
        <v>0.42000000000000004</v>
      </c>
      <c r="AV113" s="291">
        <f>+AT113*AP113+AU113*AQ113</f>
        <v>-15.944000000000001</v>
      </c>
    </row>
    <row r="114" spans="1:48" hidden="1" outlineLevel="1">
      <c r="A114" s="26" t="str">
        <f>$A$16</f>
        <v>3Q</v>
      </c>
      <c r="B114" s="218" t="str">
        <f>$B$16</f>
        <v>Oct</v>
      </c>
      <c r="D114" s="689">
        <f>(S114/S107-1)*100</f>
        <v>-10.478880549345282</v>
      </c>
      <c r="E114" s="137"/>
      <c r="F114" s="716">
        <v>-17</v>
      </c>
      <c r="G114" s="137"/>
      <c r="H114" s="728">
        <f>D114-F114</f>
        <v>6.5211194506547177</v>
      </c>
      <c r="I114" s="137"/>
      <c r="J114" s="137">
        <f>+qtrSales!J112-segQtrSales!J267</f>
        <v>735</v>
      </c>
      <c r="K114" s="713"/>
      <c r="L114" s="734">
        <f>AVERAGE(J114,J113)</f>
        <v>731.5</v>
      </c>
      <c r="M114" s="137"/>
      <c r="N114" s="728">
        <f>(L114/L107-1)*100</f>
        <v>7.2580645161290258</v>
      </c>
      <c r="O114" s="735"/>
      <c r="P114" s="731">
        <f>H114/N114*100</f>
        <v>89.846534653465085</v>
      </c>
      <c r="Q114" s="220"/>
      <c r="R114" s="137"/>
      <c r="S114" s="727">
        <v>269.07899999999995</v>
      </c>
      <c r="T114" s="137"/>
      <c r="U114" s="697">
        <f>S114/L114</f>
        <v>0.36784552289815442</v>
      </c>
      <c r="W114" s="709">
        <f>(U114/U107-1)*100</f>
        <v>-16.536700662547478</v>
      </c>
      <c r="X114" s="107"/>
      <c r="Z114" s="739">
        <f>+qtrSales!Z112-segQtrSales!Z267-0.14/0.8</f>
        <v>2.19625</v>
      </c>
      <c r="AA114" s="713"/>
      <c r="AB114" s="694">
        <f>AVERAGE(Z114,Z113)</f>
        <v>2.1781249999999996</v>
      </c>
      <c r="AD114" s="689">
        <f>(AB114/AB107-1)*100</f>
        <v>13.85168245671351</v>
      </c>
      <c r="AE114" s="107"/>
      <c r="AF114" s="655">
        <f>+H114/AD114*100</f>
        <v>47.078176034089772</v>
      </c>
      <c r="AG114" s="122"/>
      <c r="AI114" s="696">
        <f>+S114</f>
        <v>269.07899999999995</v>
      </c>
      <c r="AK114" s="698">
        <f>AI114/AB114</f>
        <v>123.53698708751793</v>
      </c>
      <c r="AM114" s="709">
        <f>(AK114/AK107-1)*100</f>
        <v>-21.370402686239853</v>
      </c>
      <c r="AN114" s="107"/>
      <c r="AP114" s="291">
        <f>+F114</f>
        <v>-17</v>
      </c>
      <c r="AQ114" s="291">
        <f>+F267</f>
        <v>-5</v>
      </c>
      <c r="AR114" s="291">
        <f>+'qtrP&amp;L'!BJ12</f>
        <v>-13.4</v>
      </c>
      <c r="AT114" s="191">
        <v>0.7</v>
      </c>
      <c r="AU114" s="236">
        <f>1-AT114</f>
        <v>0.30000000000000004</v>
      </c>
      <c r="AV114" s="291">
        <f>+AT114*AP114+AU114*AQ114</f>
        <v>-13.399999999999999</v>
      </c>
    </row>
    <row r="115" spans="1:48" hidden="1" outlineLevel="1">
      <c r="A115" s="26" t="str">
        <f>$A$17</f>
        <v>4Q</v>
      </c>
      <c r="B115" s="218" t="str">
        <f>$B$17</f>
        <v>Jan</v>
      </c>
      <c r="D115" s="643">
        <f>(S115/S108-1)*100</f>
        <v>-13.507017025322533</v>
      </c>
      <c r="F115" s="722">
        <v>-16.5</v>
      </c>
      <c r="H115" s="643">
        <f>D115-F115</f>
        <v>2.9929829746774672</v>
      </c>
      <c r="J115" s="137">
        <f>+qtrSales!J113-segQtrSales!J268</f>
        <v>731</v>
      </c>
      <c r="K115" s="45"/>
      <c r="L115" s="662">
        <f>AVERAGE(J115,J114)</f>
        <v>733</v>
      </c>
      <c r="N115" s="643">
        <f>(L115/L108-1)*100</f>
        <v>4.3416370106761581</v>
      </c>
      <c r="O115" s="107"/>
      <c r="P115" s="662">
        <f>H115/N115*100</f>
        <v>68.936739006915403</v>
      </c>
      <c r="Q115" s="122"/>
      <c r="S115" s="701">
        <v>242.88700000000003</v>
      </c>
      <c r="U115" s="702">
        <f>S115/L115</f>
        <v>0.33136016371077764</v>
      </c>
      <c r="W115" s="700">
        <f>(U115/U108-1)*100</f>
        <v>-17.105974707079241</v>
      </c>
      <c r="X115" s="107"/>
      <c r="Z115" s="740">
        <f>(1.760653+0.137408)/0.8</f>
        <v>2.3725762499999998</v>
      </c>
      <c r="AA115" s="45"/>
      <c r="AB115" s="703">
        <f>AVERAGE(Z115,Z114)</f>
        <v>2.2844131249999999</v>
      </c>
      <c r="AD115" s="643">
        <f>(AB115/AB108-1)*100</f>
        <v>12.620043876406584</v>
      </c>
      <c r="AE115" s="107"/>
      <c r="AF115" s="662">
        <f>+H115/AD115*100</f>
        <v>23.716105934250407</v>
      </c>
      <c r="AG115" s="122"/>
      <c r="AI115" s="701">
        <f>+S115</f>
        <v>242.88700000000003</v>
      </c>
      <c r="AK115" s="704">
        <f>AI115/AB115</f>
        <v>106.32358803314091</v>
      </c>
      <c r="AM115" s="700">
        <f>(AK115/AK108-1)*100</f>
        <v>-23.199299167741326</v>
      </c>
      <c r="AN115" s="107"/>
      <c r="AP115" s="291">
        <f>+F115</f>
        <v>-16.5</v>
      </c>
      <c r="AQ115" s="291">
        <f>+F268</f>
        <v>-5</v>
      </c>
      <c r="AR115" s="291">
        <f>+'qtrP&amp;L'!BJ13</f>
        <v>-13</v>
      </c>
      <c r="AT115" s="191">
        <v>0.7</v>
      </c>
      <c r="AU115" s="236">
        <f>1-AT115</f>
        <v>0.30000000000000004</v>
      </c>
      <c r="AV115" s="291">
        <f>+AT115*AP115+AU115*AQ115</f>
        <v>-13.049999999999999</v>
      </c>
    </row>
    <row r="116" spans="1:48" hidden="1" outlineLevel="1">
      <c r="B116" s="218" t="str">
        <f>$B$18</f>
        <v>Year</v>
      </c>
      <c r="D116" s="689">
        <f>(S116/S109-1)*100</f>
        <v>-12.121970181905606</v>
      </c>
      <c r="F116" s="690">
        <v>-18.600000000000001</v>
      </c>
      <c r="H116" s="689">
        <f>D116-F116</f>
        <v>6.4780298180943952</v>
      </c>
      <c r="L116" s="699">
        <f>AVERAGE(L112:L115)</f>
        <v>725.875</v>
      </c>
      <c r="N116" s="689">
        <f>(L116/L109-1)*100</f>
        <v>7.1007008483954248</v>
      </c>
      <c r="O116" s="107"/>
      <c r="P116" s="655">
        <f>H116/N116*100</f>
        <v>91.23085110053978</v>
      </c>
      <c r="Q116" s="122"/>
      <c r="S116" s="692">
        <f>SUM(S112:S115)</f>
        <v>1074.9389999999999</v>
      </c>
      <c r="U116" s="693">
        <f>SUM(U112:U115)</f>
        <v>1.481759758779855</v>
      </c>
      <c r="W116" s="709">
        <f>(U116/U109-1)*100</f>
        <v>-18.0657432950448</v>
      </c>
      <c r="X116" s="107"/>
      <c r="AB116" s="694">
        <f>AVERAGE(AB112:AB115)</f>
        <v>2.1752407812499999</v>
      </c>
      <c r="AD116" s="689">
        <f>(AB116/AB109-1)*100</f>
        <v>15.259047496042545</v>
      </c>
      <c r="AE116" s="107"/>
      <c r="AF116" s="655">
        <f>+H116/AD116*100</f>
        <v>42.453697190302876</v>
      </c>
      <c r="AG116" s="122"/>
      <c r="AI116" s="692">
        <f>SUM(AI112:AI115)</f>
        <v>1074.9389999999999</v>
      </c>
      <c r="AK116" s="695">
        <f>SUM(AK112:AK115)</f>
        <v>495.56410794604199</v>
      </c>
      <c r="AM116" s="709">
        <f>(AK116/AK109-1)*100</f>
        <v>-23.970513076911427</v>
      </c>
      <c r="AN116" s="107"/>
      <c r="AP116" s="715"/>
      <c r="AQ116" s="715"/>
    </row>
    <row r="117" spans="1:48" hidden="1" outlineLevel="1">
      <c r="B117" s="218"/>
      <c r="D117" s="689"/>
      <c r="F117" s="690"/>
      <c r="H117" s="689"/>
      <c r="L117" s="699"/>
      <c r="N117" s="689"/>
      <c r="O117" s="107"/>
      <c r="P117" s="655"/>
      <c r="Q117" s="122"/>
      <c r="S117" s="237"/>
      <c r="U117" s="693"/>
      <c r="W117" s="709"/>
      <c r="X117" s="107"/>
      <c r="AB117" s="694"/>
      <c r="AD117" s="689"/>
      <c r="AE117" s="107"/>
      <c r="AF117" s="655"/>
      <c r="AG117" s="122"/>
      <c r="AI117" s="692"/>
      <c r="AK117" s="695"/>
      <c r="AM117" s="709"/>
      <c r="AN117" s="107"/>
      <c r="AP117" s="715"/>
      <c r="AQ117" s="715"/>
    </row>
    <row r="118" spans="1:48" hidden="1" outlineLevel="1">
      <c r="A118" s="705"/>
      <c r="B118" s="706">
        <v>2009</v>
      </c>
      <c r="E118" s="107"/>
      <c r="G118" s="107"/>
      <c r="I118" s="107"/>
      <c r="O118" s="107"/>
      <c r="P118" s="122"/>
      <c r="Q118" s="122"/>
      <c r="S118" s="693"/>
      <c r="X118" s="107"/>
      <c r="Z118" s="737"/>
      <c r="AE118" s="107"/>
      <c r="AF118" s="122"/>
      <c r="AG118" s="122"/>
      <c r="AN118" s="107"/>
      <c r="AP118" s="719"/>
      <c r="AQ118" s="719"/>
    </row>
    <row r="119" spans="1:48" hidden="1" outlineLevel="1">
      <c r="A119" s="26" t="str">
        <f>$A$14</f>
        <v>1Q</v>
      </c>
      <c r="B119" s="218" t="str">
        <f>$B$14</f>
        <v>Apr</v>
      </c>
      <c r="C119" s="107"/>
      <c r="D119" s="689">
        <f>(S119/S112-1)*100</f>
        <v>-4.6161277450699201</v>
      </c>
      <c r="E119" s="107" t="s">
        <v>576</v>
      </c>
      <c r="F119" s="733">
        <v>-4.7</v>
      </c>
      <c r="G119" s="107" t="s">
        <v>576</v>
      </c>
      <c r="H119" s="728">
        <f>D119-F119</f>
        <v>8.3872254930080103E-2</v>
      </c>
      <c r="I119" s="107" t="s">
        <v>576</v>
      </c>
      <c r="J119" s="137">
        <f>655+70</f>
        <v>725</v>
      </c>
      <c r="K119" s="26">
        <f>J119-J115</f>
        <v>-6</v>
      </c>
      <c r="L119" s="699">
        <f>AVERAGE(J119,J115)</f>
        <v>728</v>
      </c>
      <c r="N119" s="689">
        <f>(L119/L112-1)*100</f>
        <v>1.8181818181818077</v>
      </c>
      <c r="O119" s="107" t="s">
        <v>576</v>
      </c>
      <c r="P119" s="731">
        <f>H119/N119*100</f>
        <v>4.6129740211544323</v>
      </c>
      <c r="Q119" s="122" t="s">
        <v>576</v>
      </c>
      <c r="S119" s="741">
        <v>272.50599999999997</v>
      </c>
      <c r="U119" s="693">
        <f>S119/L119</f>
        <v>0.37432142857142853</v>
      </c>
      <c r="W119" s="709">
        <f>(U119/U112-1)*100</f>
        <v>-6.3194111781936684</v>
      </c>
      <c r="X119" s="107" t="s">
        <v>576</v>
      </c>
      <c r="Z119" s="740">
        <f>(1.75091+0.135468)/0.8</f>
        <v>2.3579724999999998</v>
      </c>
      <c r="AB119" s="694">
        <f>AVERAGE(Z119,Z115)</f>
        <v>2.3652743749999998</v>
      </c>
      <c r="AD119" s="689">
        <f>(AB119/AB112-1)*100</f>
        <v>12.549041183888043</v>
      </c>
      <c r="AE119" s="107" t="s">
        <v>576</v>
      </c>
      <c r="AF119" s="655">
        <f>+H119/AD119*100</f>
        <v>0.66835588234235233</v>
      </c>
      <c r="AG119" s="122" t="s">
        <v>576</v>
      </c>
      <c r="AI119" s="692">
        <f>+S119</f>
        <v>272.50599999999997</v>
      </c>
      <c r="AJ119" s="107"/>
      <c r="AK119" s="695">
        <f>AI119/AB119</f>
        <v>115.21115811352752</v>
      </c>
      <c r="AM119" s="709">
        <f>(AK119/AK112-1)*100</f>
        <v>-15.251279574130427</v>
      </c>
      <c r="AN119" s="107" t="s">
        <v>576</v>
      </c>
      <c r="AP119" s="291">
        <f>+F119</f>
        <v>-4.7</v>
      </c>
      <c r="AQ119" s="291">
        <f>+F272</f>
        <v>6.7</v>
      </c>
      <c r="AR119" s="291">
        <f>+'qtrP&amp;L'!BN10</f>
        <v>-1.6</v>
      </c>
      <c r="AT119" s="191">
        <v>0.72</v>
      </c>
      <c r="AU119" s="236">
        <f>1-AT119</f>
        <v>0.28000000000000003</v>
      </c>
      <c r="AV119" s="291">
        <f>+AT119*AP119+AU119*AQ119</f>
        <v>-1.5079999999999996</v>
      </c>
    </row>
    <row r="120" spans="1:48" hidden="1" outlineLevel="1">
      <c r="A120" s="26" t="str">
        <f>$A$15</f>
        <v>2Q</v>
      </c>
      <c r="B120" s="218" t="str">
        <f>$B$15</f>
        <v>Jul</v>
      </c>
      <c r="D120" s="689">
        <f>(S120/S113-1)*100</f>
        <v>0.94922442738181179</v>
      </c>
      <c r="F120" s="716">
        <v>1.9</v>
      </c>
      <c r="H120" s="728">
        <f>D120-F120</f>
        <v>-0.95077557261818813</v>
      </c>
      <c r="J120" s="137">
        <f>+qtrSales!J118-segQtrSales!J273</f>
        <v>726</v>
      </c>
      <c r="K120" s="713">
        <f>J120-J119</f>
        <v>1</v>
      </c>
      <c r="L120" s="699">
        <f>AVERAGE(J120,J119)</f>
        <v>725.5</v>
      </c>
      <c r="N120" s="689">
        <f>(L120/L113-1)*100</f>
        <v>0.20718232044198981</v>
      </c>
      <c r="O120" s="107"/>
      <c r="P120" s="742" t="s">
        <v>371</v>
      </c>
      <c r="Q120" s="122"/>
      <c r="S120" s="743">
        <v>279.911</v>
      </c>
      <c r="U120" s="697">
        <f>S120/L120</f>
        <v>0.38581805651274981</v>
      </c>
      <c r="W120" s="709">
        <f>(U120/U113-1)*100</f>
        <v>0.74050790547819378</v>
      </c>
      <c r="X120" s="107"/>
      <c r="Z120" s="740">
        <f>(1.745+0.141)/0.8</f>
        <v>2.3574999999999999</v>
      </c>
      <c r="AA120" s="713"/>
      <c r="AB120" s="694">
        <f>AVERAGE(Z120,Z119)</f>
        <v>2.3577362499999999</v>
      </c>
      <c r="AD120" s="689">
        <f>(AB120/AB113-1)*100</f>
        <v>10.335712196548696</v>
      </c>
      <c r="AE120" s="107"/>
      <c r="AF120" s="655">
        <f>+H120/AD120*100</f>
        <v>-9.1989362178222365</v>
      </c>
      <c r="AG120" s="122"/>
      <c r="AI120" s="696">
        <f>+S120</f>
        <v>279.911</v>
      </c>
      <c r="AK120" s="698">
        <f>AI120/AB120</f>
        <v>118.72023429253379</v>
      </c>
      <c r="AM120" s="709">
        <f>(AK120/AK113-1)*100</f>
        <v>-8.5072073060498248</v>
      </c>
      <c r="AN120" s="107"/>
      <c r="AP120" s="291">
        <f>+F120</f>
        <v>1.9</v>
      </c>
      <c r="AQ120" s="291">
        <f>+F273</f>
        <v>5.5</v>
      </c>
      <c r="AR120" s="291">
        <f>+'qtrP&amp;L'!BN11</f>
        <v>2.9</v>
      </c>
      <c r="AT120" s="191">
        <v>0.72</v>
      </c>
      <c r="AU120" s="236">
        <f>1-AT120</f>
        <v>0.28000000000000003</v>
      </c>
      <c r="AV120" s="291">
        <f>+AT120*AP120+AU120*AQ120</f>
        <v>2.9079999999999999</v>
      </c>
    </row>
    <row r="121" spans="1:48" hidden="1" outlineLevel="1">
      <c r="A121" s="26" t="str">
        <f>$A$16</f>
        <v>3Q</v>
      </c>
      <c r="B121" s="218" t="str">
        <f>$B$16</f>
        <v>Oct</v>
      </c>
      <c r="D121" s="689">
        <f>(S121/S114-1)*100</f>
        <v>11.847078367319664</v>
      </c>
      <c r="E121" s="137"/>
      <c r="F121" s="716">
        <v>13.4</v>
      </c>
      <c r="G121" s="137"/>
      <c r="H121" s="728">
        <f>D121-F121</f>
        <v>-1.5529216326803361</v>
      </c>
      <c r="I121" s="137"/>
      <c r="J121" s="137">
        <f>+qtrSales!J119-segQtrSales!J274</f>
        <v>727</v>
      </c>
      <c r="K121" s="713">
        <f>J121-J120</f>
        <v>1</v>
      </c>
      <c r="L121" s="734">
        <f>AVERAGE(J121,J120)</f>
        <v>726.5</v>
      </c>
      <c r="M121" s="137"/>
      <c r="N121" s="728">
        <f>(L121/L114-1)*100</f>
        <v>-0.68352699931647498</v>
      </c>
      <c r="O121" s="735"/>
      <c r="P121" s="731">
        <f>H121/N121*100</f>
        <v>227.19243486113248</v>
      </c>
      <c r="Q121" s="220"/>
      <c r="R121" s="137"/>
      <c r="S121" s="743">
        <v>300.95699999999999</v>
      </c>
      <c r="T121" s="137"/>
      <c r="U121" s="697">
        <f>S121/L121</f>
        <v>0.41425602202339984</v>
      </c>
      <c r="W121" s="709">
        <f>(U121/U114-1)*100</f>
        <v>12.616844908044488</v>
      </c>
      <c r="X121" s="107"/>
      <c r="Z121" s="739">
        <f>+qtrSales!Z119-segQtrSales!Z274</f>
        <v>2.3717950000000005</v>
      </c>
      <c r="AA121" s="713"/>
      <c r="AB121" s="694">
        <f>AVERAGE(Z121,Z120)</f>
        <v>2.3646475000000002</v>
      </c>
      <c r="AD121" s="689">
        <f>(AB121/AB114-1)*100</f>
        <v>8.5634433285509672</v>
      </c>
      <c r="AE121" s="107"/>
      <c r="AF121" s="655">
        <f>+H121/AD121*100</f>
        <v>-18.134313185711338</v>
      </c>
      <c r="AG121" s="122"/>
      <c r="AI121" s="696">
        <f>+S121</f>
        <v>300.95699999999999</v>
      </c>
      <c r="AK121" s="698">
        <f>AI121/AB121</f>
        <v>127.2735153971152</v>
      </c>
      <c r="AM121" s="709">
        <f>(AK121/AK114-1)*100</f>
        <v>3.0246231494622577</v>
      </c>
      <c r="AN121" s="107"/>
      <c r="AP121" s="291">
        <f>+F121</f>
        <v>13.4</v>
      </c>
      <c r="AQ121" s="291">
        <f>+F274</f>
        <v>14.8</v>
      </c>
      <c r="AR121" s="291">
        <f>+'qtrP&amp;L'!BN12</f>
        <v>13.8</v>
      </c>
      <c r="AT121" s="191">
        <v>0.71</v>
      </c>
      <c r="AU121" s="236">
        <f>1-AT121</f>
        <v>0.29000000000000004</v>
      </c>
      <c r="AV121" s="291">
        <f>+AT121*AP121+AU121*AQ121</f>
        <v>13.806000000000001</v>
      </c>
    </row>
    <row r="122" spans="1:48" hidden="1" outlineLevel="1">
      <c r="A122" s="26" t="str">
        <f>$A$17</f>
        <v>4Q</v>
      </c>
      <c r="B122" s="218" t="str">
        <f>$B$17</f>
        <v>Jan</v>
      </c>
      <c r="D122" s="643">
        <f>(S122/S115-1)*100</f>
        <v>11.910888602518854</v>
      </c>
      <c r="F122" s="722">
        <v>13.3</v>
      </c>
      <c r="H122" s="744">
        <f>D122-F122</f>
        <v>-1.3891113974811464</v>
      </c>
      <c r="J122" s="137">
        <f>+qtrSales!J120-segQtrSales!J275</f>
        <v>730</v>
      </c>
      <c r="K122" s="713">
        <f>J122-J121</f>
        <v>3</v>
      </c>
      <c r="L122" s="662">
        <f>AVERAGE(J122,J121)</f>
        <v>728.5</v>
      </c>
      <c r="N122" s="643">
        <f>(L122/L115-1)*100</f>
        <v>-0.61391541609823186</v>
      </c>
      <c r="O122" s="107"/>
      <c r="P122" s="736">
        <f>H122/N122*100</f>
        <v>226.27081207859362</v>
      </c>
      <c r="Q122" s="122"/>
      <c r="S122" s="745">
        <v>271.81700000000001</v>
      </c>
      <c r="U122" s="702">
        <f>S122/L122</f>
        <v>0.37311873713109128</v>
      </c>
      <c r="W122" s="700">
        <f>(U122/U115-1)*100</f>
        <v>12.602170687228998</v>
      </c>
      <c r="X122" s="107"/>
      <c r="Z122" s="739">
        <f>+qtrSales!Z120-segQtrSales!Z275</f>
        <v>2.3762500000000002</v>
      </c>
      <c r="AA122" s="45"/>
      <c r="AB122" s="703">
        <f>AVERAGE(Z122,Z121)</f>
        <v>2.3740225000000006</v>
      </c>
      <c r="AD122" s="643">
        <f>(AB122/AB115-1)*100</f>
        <v>3.9226431515096749</v>
      </c>
      <c r="AE122" s="107"/>
      <c r="AF122" s="662">
        <f>+H122/AD122*100</f>
        <v>-35.412637444385702</v>
      </c>
      <c r="AG122" s="122"/>
      <c r="AI122" s="701">
        <f>+S122</f>
        <v>271.81700000000001</v>
      </c>
      <c r="AK122" s="704">
        <f>AI122/AB122</f>
        <v>114.4963874605232</v>
      </c>
      <c r="AM122" s="700">
        <f>(AK122/AK115-1)*100</f>
        <v>7.6867227475758693</v>
      </c>
      <c r="AN122" s="107"/>
      <c r="AP122" s="291">
        <f>+F122</f>
        <v>13.3</v>
      </c>
      <c r="AQ122" s="291">
        <f>+F275</f>
        <v>23</v>
      </c>
      <c r="AR122" s="291">
        <f>+'qtrP&amp;L'!BN13</f>
        <v>16.3</v>
      </c>
      <c r="AT122" s="191">
        <v>0.69</v>
      </c>
      <c r="AU122" s="236">
        <f>1-AT122</f>
        <v>0.31000000000000005</v>
      </c>
      <c r="AV122" s="291">
        <f>+AT122*AP122+AU122*AQ122</f>
        <v>16.307000000000002</v>
      </c>
    </row>
    <row r="123" spans="1:48" hidden="1" outlineLevel="1">
      <c r="B123" s="218" t="str">
        <f>$B$18</f>
        <v>Year</v>
      </c>
      <c r="D123" s="689">
        <f>(S123/S116-1)*100</f>
        <v>4.6748699228514434</v>
      </c>
      <c r="F123" s="690">
        <v>5.6</v>
      </c>
      <c r="H123" s="689">
        <f>D123-F123</f>
        <v>-0.92513007714855622</v>
      </c>
      <c r="L123" s="699">
        <f>AVERAGE(L119:L122)</f>
        <v>727.125</v>
      </c>
      <c r="N123" s="689">
        <f>(L123/L116-1)*100</f>
        <v>0.17220595832616592</v>
      </c>
      <c r="O123" s="107"/>
      <c r="P123" s="655">
        <f>H123/N123*100</f>
        <v>-537.22303580014216</v>
      </c>
      <c r="Q123" s="122"/>
      <c r="S123" s="692">
        <f>SUM(S119:S122)</f>
        <v>1125.1909999999998</v>
      </c>
      <c r="U123" s="693">
        <f>SUM(U119:U122)</f>
        <v>1.5475142442386696</v>
      </c>
      <c r="W123" s="709">
        <f>(U123/U116-1)*100</f>
        <v>4.4375942233010557</v>
      </c>
      <c r="X123" s="107"/>
      <c r="AB123" s="694">
        <f>AVERAGE(AB119:AB122)</f>
        <v>2.3654201562499999</v>
      </c>
      <c r="AD123" s="689">
        <f>(AB123/AB116-1)*100</f>
        <v>8.7429114348763548</v>
      </c>
      <c r="AE123" s="107"/>
      <c r="AF123" s="655">
        <f>+H123/AD123*100</f>
        <v>-10.581487460322645</v>
      </c>
      <c r="AG123" s="122"/>
      <c r="AI123" s="692">
        <f>SUM(AI119:AI122)</f>
        <v>1125.1909999999998</v>
      </c>
      <c r="AK123" s="695">
        <f>SUM(AK119:AK122)</f>
        <v>475.70129526369971</v>
      </c>
      <c r="AM123" s="709">
        <f>(AK123/AK116-1)*100</f>
        <v>-4.0081217271096143</v>
      </c>
      <c r="AN123" s="107"/>
      <c r="AP123" s="715"/>
      <c r="AQ123" s="726"/>
    </row>
    <row r="124" spans="1:48" hidden="1" outlineLevel="1">
      <c r="B124" s="218"/>
      <c r="D124" s="689"/>
      <c r="F124" s="690"/>
      <c r="H124" s="689"/>
      <c r="L124" s="699"/>
      <c r="N124" s="689"/>
      <c r="O124" s="107"/>
      <c r="P124" s="655"/>
      <c r="Q124" s="122"/>
      <c r="S124" s="692"/>
      <c r="U124" s="693"/>
      <c r="W124" s="709"/>
      <c r="X124" s="107"/>
      <c r="AB124" s="694"/>
      <c r="AD124" s="689"/>
      <c r="AE124" s="107"/>
      <c r="AF124" s="655"/>
      <c r="AG124" s="122"/>
      <c r="AI124" s="692"/>
      <c r="AK124" s="695"/>
      <c r="AM124" s="709"/>
      <c r="AN124" s="107"/>
      <c r="AP124" s="715"/>
      <c r="AQ124" s="726"/>
    </row>
    <row r="125" spans="1:48" hidden="1" outlineLevel="1">
      <c r="A125" s="705"/>
      <c r="B125" s="706">
        <v>2010</v>
      </c>
      <c r="E125" s="107"/>
      <c r="G125" s="107"/>
      <c r="I125" s="107"/>
      <c r="O125" s="107"/>
      <c r="P125" s="122"/>
      <c r="Q125" s="122"/>
      <c r="X125" s="107"/>
      <c r="Z125" s="737"/>
      <c r="AE125" s="107"/>
      <c r="AF125" s="122"/>
      <c r="AG125" s="122"/>
      <c r="AN125" s="107"/>
      <c r="AP125" s="715"/>
      <c r="AQ125" s="726"/>
    </row>
    <row r="126" spans="1:48" hidden="1" outlineLevel="1">
      <c r="A126" s="26" t="str">
        <f>$A$14</f>
        <v>1Q</v>
      </c>
      <c r="B126" s="218" t="str">
        <f>$B$14</f>
        <v>Apr</v>
      </c>
      <c r="C126" s="107"/>
      <c r="D126" s="689">
        <f>(S126/S119-1)*100</f>
        <v>23.556912508348439</v>
      </c>
      <c r="E126" s="107" t="s">
        <v>576</v>
      </c>
      <c r="F126" s="733">
        <v>16.100000000000001</v>
      </c>
      <c r="G126" s="107" t="s">
        <v>576</v>
      </c>
      <c r="H126" s="728">
        <f>D126-F126</f>
        <v>7.456912508348438</v>
      </c>
      <c r="I126" s="107" t="s">
        <v>576</v>
      </c>
      <c r="J126" s="137">
        <f>+qtrSales!J124-J279</f>
        <v>748</v>
      </c>
      <c r="K126" s="26">
        <f>J126-J122</f>
        <v>18</v>
      </c>
      <c r="L126" s="699">
        <f>AVERAGE(J126,J122)</f>
        <v>739</v>
      </c>
      <c r="N126" s="689">
        <f>(L126/L119-1)*100</f>
        <v>1.5109890109890056</v>
      </c>
      <c r="O126" s="107" t="s">
        <v>576</v>
      </c>
      <c r="P126" s="731">
        <f>H126/N126*100</f>
        <v>493.51202782524382</v>
      </c>
      <c r="Q126" s="122" t="s">
        <v>576</v>
      </c>
      <c r="S126" s="741">
        <f>336.7</f>
        <v>336.7</v>
      </c>
      <c r="U126" s="693">
        <f>S126/L126</f>
        <v>0.45561569688768605</v>
      </c>
      <c r="W126" s="709">
        <f>(U126/U119-1)*100</f>
        <v>21.717770373582781</v>
      </c>
      <c r="X126" s="107" t="s">
        <v>576</v>
      </c>
      <c r="Z126" s="740">
        <f>(1.744465+0.193093)/0.8</f>
        <v>2.4219474999999999</v>
      </c>
      <c r="AB126" s="694">
        <f>AVERAGE(Z126,Z122)</f>
        <v>2.3990987500000003</v>
      </c>
      <c r="AD126" s="689">
        <f>(AB126/AB119-1)*100</f>
        <v>1.4300402252487299</v>
      </c>
      <c r="AE126" s="107" t="s">
        <v>576</v>
      </c>
      <c r="AF126" s="655">
        <f>+H126/AD126*100</f>
        <v>521.44774508363514</v>
      </c>
      <c r="AG126" s="122" t="s">
        <v>576</v>
      </c>
      <c r="AI126" s="692">
        <f>+S126</f>
        <v>336.7</v>
      </c>
      <c r="AJ126" s="107"/>
      <c r="AK126" s="695">
        <f>AI126/AB126</f>
        <v>140.34436890103001</v>
      </c>
      <c r="AM126" s="709">
        <f>(AK126/AK119-1)*100</f>
        <v>21.814910290838817</v>
      </c>
      <c r="AN126" s="107" t="s">
        <v>576</v>
      </c>
      <c r="AP126" s="291">
        <f>+F126</f>
        <v>16.100000000000001</v>
      </c>
      <c r="AQ126" s="291">
        <f>+F279</f>
        <v>15.7</v>
      </c>
      <c r="AR126" s="291">
        <f>+'qtrP&amp;L'!BR10</f>
        <v>16</v>
      </c>
      <c r="AT126" s="191">
        <v>0.71</v>
      </c>
      <c r="AU126" s="236">
        <f>1-AT126</f>
        <v>0.29000000000000004</v>
      </c>
      <c r="AV126" s="291">
        <f>+AT126*AP126+AU126*AQ126</f>
        <v>15.984000000000002</v>
      </c>
    </row>
    <row r="127" spans="1:48" hidden="1" outlineLevel="1">
      <c r="A127" s="26" t="str">
        <f>$A$15</f>
        <v>2Q</v>
      </c>
      <c r="B127" s="218" t="str">
        <f>$B$15</f>
        <v>Jul</v>
      </c>
      <c r="D127" s="689">
        <f>(S127/S120-1)*100</f>
        <v>14.200585186005554</v>
      </c>
      <c r="F127" s="733">
        <v>5.5</v>
      </c>
      <c r="H127" s="728">
        <f>D127-F127</f>
        <v>8.7005851860055543</v>
      </c>
      <c r="J127" s="137">
        <f>+qtrSales!J125-J280</f>
        <v>763</v>
      </c>
      <c r="K127" s="137">
        <f>J127-J126</f>
        <v>15</v>
      </c>
      <c r="L127" s="699">
        <f>AVERAGE(J127,J126)</f>
        <v>755.5</v>
      </c>
      <c r="N127" s="689">
        <f>(L127/L120-1)*100</f>
        <v>4.1350792556857252</v>
      </c>
      <c r="O127" s="107"/>
      <c r="P127" s="731">
        <f>H127/N127*100</f>
        <v>210.40915174823476</v>
      </c>
      <c r="Q127" s="122"/>
      <c r="S127" s="743">
        <f>319.66</f>
        <v>319.66000000000003</v>
      </c>
      <c r="U127" s="697">
        <f>S127/L127</f>
        <v>0.42311052283256123</v>
      </c>
      <c r="W127" s="709">
        <f>(U127/U120-1)*100</f>
        <v>9.6658167471171943</v>
      </c>
      <c r="X127" s="107"/>
      <c r="Z127" s="740">
        <f>(1.606698+0.142375+0.204747+0.012846)/0.8</f>
        <v>2.4583324999999996</v>
      </c>
      <c r="AA127" s="713"/>
      <c r="AB127" s="694">
        <f>AVERAGE(Z127,Z126)</f>
        <v>2.4401399999999995</v>
      </c>
      <c r="AD127" s="689">
        <f>(AB127/AB120-1)*100</f>
        <v>3.4950368176253743</v>
      </c>
      <c r="AE127" s="107"/>
      <c r="AF127" s="655">
        <f>+H127/AD127*100</f>
        <v>248.94115970763866</v>
      </c>
      <c r="AG127" s="122"/>
      <c r="AI127" s="696">
        <f>+S127</f>
        <v>319.66000000000003</v>
      </c>
      <c r="AK127" s="698">
        <f>AI127/AB127</f>
        <v>131.00068028883592</v>
      </c>
      <c r="AM127" s="709">
        <f>(AK127/AK120-1)*100</f>
        <v>10.344021025129035</v>
      </c>
      <c r="AN127" s="107"/>
      <c r="AP127" s="291">
        <f>+F127</f>
        <v>5.5</v>
      </c>
      <c r="AQ127" s="291">
        <f>+F280</f>
        <v>12.5</v>
      </c>
      <c r="AR127" s="291">
        <f>+'qtrP&amp;L'!BR11</f>
        <v>7.6</v>
      </c>
      <c r="AT127" s="191">
        <v>0.69</v>
      </c>
      <c r="AU127" s="236">
        <f>1-AT127</f>
        <v>0.31000000000000005</v>
      </c>
      <c r="AV127" s="291">
        <f>+AT127*AP127+AU127*AQ127</f>
        <v>7.6700000000000008</v>
      </c>
    </row>
    <row r="128" spans="1:48" hidden="1" outlineLevel="1">
      <c r="A128" s="26" t="str">
        <f>$A$16</f>
        <v>3Q</v>
      </c>
      <c r="B128" s="218" t="str">
        <f>$B$16</f>
        <v>Oct</v>
      </c>
      <c r="D128" s="689">
        <f>(S128/S121-1)*100</f>
        <v>12.185129437095664</v>
      </c>
      <c r="E128" s="137"/>
      <c r="F128" s="716">
        <v>3.6</v>
      </c>
      <c r="G128" s="137"/>
      <c r="H128" s="728">
        <f>D128-F128</f>
        <v>8.5851294370956648</v>
      </c>
      <c r="I128" s="137"/>
      <c r="J128" s="137">
        <f>+qtrSales!J126-J281</f>
        <v>780</v>
      </c>
      <c r="K128" s="137">
        <f>J128-J127</f>
        <v>17</v>
      </c>
      <c r="L128" s="734">
        <f>AVERAGE(J128,J127)</f>
        <v>771.5</v>
      </c>
      <c r="M128" s="137"/>
      <c r="N128" s="728">
        <f>(L128/L121-1)*100</f>
        <v>6.1940812112869947</v>
      </c>
      <c r="O128" s="735"/>
      <c r="P128" s="731">
        <f>H128/N128*100</f>
        <v>138.6021452455555</v>
      </c>
      <c r="Q128" s="220"/>
      <c r="R128" s="137"/>
      <c r="S128" s="743">
        <v>337.62900000000002</v>
      </c>
      <c r="T128" s="137"/>
      <c r="U128" s="697">
        <f>S128/L128</f>
        <v>0.43762670123136749</v>
      </c>
      <c r="W128" s="709">
        <f>(U128/U121-1)*100</f>
        <v>5.6416027686973624</v>
      </c>
      <c r="X128" s="107"/>
      <c r="Z128" s="740">
        <f>(1.608907+0.158604+0.23284+0.014817)/0.8</f>
        <v>2.5189599999999999</v>
      </c>
      <c r="AA128" s="713"/>
      <c r="AB128" s="694">
        <f>AVERAGE(Z128,Z127)</f>
        <v>2.4886462499999995</v>
      </c>
      <c r="AD128" s="689">
        <f>(AB128/AB121-1)*100</f>
        <v>5.2438576997205333</v>
      </c>
      <c r="AE128" s="107"/>
      <c r="AF128" s="655">
        <f>+H128/AD128*100</f>
        <v>163.71781861192002</v>
      </c>
      <c r="AG128" s="122"/>
      <c r="AI128" s="696">
        <f>+S128</f>
        <v>337.62900000000002</v>
      </c>
      <c r="AK128" s="698">
        <f>AI128/AB128</f>
        <v>135.66773501858694</v>
      </c>
      <c r="AM128" s="709">
        <f>(AK128/AK121-1)*100</f>
        <v>6.595417432511641</v>
      </c>
      <c r="AN128" s="107"/>
      <c r="AP128" s="291">
        <f>+F128</f>
        <v>3.6</v>
      </c>
      <c r="AQ128" s="291">
        <f>+F281</f>
        <v>10.199999999999999</v>
      </c>
      <c r="AR128" s="291">
        <f>+'qtrP&amp;L'!BR12</f>
        <v>5.5</v>
      </c>
      <c r="AT128" s="191">
        <v>0.71</v>
      </c>
      <c r="AU128" s="236">
        <f>1-AT128</f>
        <v>0.29000000000000004</v>
      </c>
      <c r="AV128" s="291">
        <f>+AT128*AP128+AU128*AQ128</f>
        <v>5.5140000000000002</v>
      </c>
    </row>
    <row r="129" spans="1:49" hidden="1" outlineLevel="1">
      <c r="A129" s="26" t="str">
        <f>$A$17</f>
        <v>4Q</v>
      </c>
      <c r="B129" s="218" t="str">
        <f>$B$17</f>
        <v>Jan</v>
      </c>
      <c r="D129" s="643">
        <f>(S129/S122-1)*100</f>
        <v>17.969074781930505</v>
      </c>
      <c r="F129" s="722">
        <v>4.4000000000000004</v>
      </c>
      <c r="H129" s="643">
        <f>D129-F129</f>
        <v>13.569074781930505</v>
      </c>
      <c r="J129" s="137">
        <f>+qtrSales!J127-J282</f>
        <v>788</v>
      </c>
      <c r="K129" s="137">
        <f>J129-J128</f>
        <v>8</v>
      </c>
      <c r="L129" s="662">
        <f>AVERAGE(J129,J128)</f>
        <v>784</v>
      </c>
      <c r="N129" s="643">
        <f>(L129/L122-1)*100</f>
        <v>7.6183939601921713</v>
      </c>
      <c r="O129" s="107"/>
      <c r="P129" s="736">
        <f>H129/N129*100</f>
        <v>178.10938700245725</v>
      </c>
      <c r="Q129" s="122"/>
      <c r="S129" s="745">
        <v>320.66000000000003</v>
      </c>
      <c r="U129" s="702">
        <f>S129/L129</f>
        <v>0.40900510204081636</v>
      </c>
      <c r="W129" s="700">
        <f>(U129/U122-1)*100</f>
        <v>9.6179476768321059</v>
      </c>
      <c r="X129" s="107"/>
      <c r="Z129" s="739">
        <f>+qtrSales!Z127-segQtrSales!Z282</f>
        <v>2.5425274999999998</v>
      </c>
      <c r="AA129" s="45"/>
      <c r="AB129" s="703">
        <f>AVERAGE(Z129,Z128)</f>
        <v>2.5307437500000001</v>
      </c>
      <c r="AD129" s="643">
        <f>(AB129/AB122-1)*100</f>
        <v>6.6015065147865926</v>
      </c>
      <c r="AE129" s="107"/>
      <c r="AF129" s="662">
        <f>+H129/AD129*100</f>
        <v>205.54512445814277</v>
      </c>
      <c r="AG129" s="122"/>
      <c r="AI129" s="701">
        <f>+S129</f>
        <v>320.66000000000003</v>
      </c>
      <c r="AK129" s="704">
        <f>AI129/AB129</f>
        <v>126.70583499415933</v>
      </c>
      <c r="AM129" s="700">
        <f>(AK129/AK122-1)*100</f>
        <v>10.663609398022089</v>
      </c>
      <c r="AN129" s="107"/>
      <c r="AP129" s="291">
        <f>+F129</f>
        <v>4.4000000000000004</v>
      </c>
      <c r="AQ129" s="291">
        <f>+F282</f>
        <v>4.7</v>
      </c>
      <c r="AR129" s="291">
        <f>+'qtrP&amp;L'!BR13</f>
        <v>4.5</v>
      </c>
      <c r="AT129" s="191">
        <v>0.69</v>
      </c>
      <c r="AU129" s="236">
        <f>1-AT129</f>
        <v>0.31000000000000005</v>
      </c>
      <c r="AV129" s="291">
        <f>+AT129*AP129+AU129*AQ129</f>
        <v>4.4930000000000003</v>
      </c>
    </row>
    <row r="130" spans="1:49" hidden="1" outlineLevel="1">
      <c r="B130" s="218" t="str">
        <f>$B$18</f>
        <v>Year</v>
      </c>
      <c r="D130" s="689">
        <f>(S130/S123-1)*100</f>
        <v>16.837852417945065</v>
      </c>
      <c r="F130" s="690">
        <v>7.3</v>
      </c>
      <c r="H130" s="689">
        <f>D130-F130</f>
        <v>9.5378524179450643</v>
      </c>
      <c r="J130" s="716"/>
      <c r="L130" s="699">
        <f>AVERAGE(L126:L129)</f>
        <v>762.5</v>
      </c>
      <c r="N130" s="689">
        <f>(L130/L123-1)*100</f>
        <v>4.8650507134261556</v>
      </c>
      <c r="O130" s="107"/>
      <c r="P130" s="655">
        <f>H130/N130*100</f>
        <v>196.04836577804431</v>
      </c>
      <c r="Q130" s="122"/>
      <c r="S130" s="692">
        <f>SUM(S126:S129)</f>
        <v>1314.6490000000001</v>
      </c>
      <c r="U130" s="693">
        <f>SUM(U126:U129)</f>
        <v>1.725358022992431</v>
      </c>
      <c r="W130" s="709">
        <f>(U130/U123-1)*100</f>
        <v>11.492222408670315</v>
      </c>
      <c r="X130" s="107"/>
      <c r="AB130" s="694">
        <f>AVERAGE(AB126:AB129)</f>
        <v>2.4646571874999998</v>
      </c>
      <c r="AD130" s="689">
        <f>(AB130/AB123-1)*100</f>
        <v>4.1953236505485991</v>
      </c>
      <c r="AE130" s="107"/>
      <c r="AF130" s="655">
        <f>+H130/AD130*100</f>
        <v>227.34485375634495</v>
      </c>
      <c r="AG130" s="122"/>
      <c r="AI130" s="692">
        <f>SUM(AI126:AI129)</f>
        <v>1314.6490000000001</v>
      </c>
      <c r="AK130" s="695">
        <f>SUM(AK126:AK129)</f>
        <v>533.71861920261222</v>
      </c>
      <c r="AM130" s="709">
        <f>(AK130/AK123-1)*100</f>
        <v>12.196166904853856</v>
      </c>
      <c r="AN130" s="107"/>
      <c r="AP130" s="715"/>
      <c r="AQ130" s="715"/>
    </row>
    <row r="131" spans="1:49" hidden="1" outlineLevel="1">
      <c r="B131" s="218"/>
      <c r="D131" s="689"/>
      <c r="F131" s="690"/>
      <c r="H131" s="689"/>
      <c r="L131" s="699"/>
      <c r="N131" s="689"/>
      <c r="O131" s="107"/>
      <c r="P131" s="655"/>
      <c r="Q131" s="122"/>
      <c r="S131" s="22"/>
      <c r="U131" s="693"/>
      <c r="W131" s="709"/>
      <c r="X131" s="107"/>
      <c r="AB131" s="694"/>
      <c r="AD131" s="689"/>
      <c r="AE131" s="107"/>
      <c r="AF131" s="655"/>
      <c r="AG131" s="122"/>
      <c r="AI131" s="692"/>
      <c r="AK131" s="695"/>
      <c r="AM131" s="709"/>
      <c r="AN131" s="107"/>
      <c r="AP131" s="715"/>
      <c r="AQ131" s="715"/>
    </row>
    <row r="132" spans="1:49" hidden="1" outlineLevel="1">
      <c r="A132" s="705"/>
      <c r="B132" s="706">
        <v>2011</v>
      </c>
      <c r="E132" s="107"/>
      <c r="G132" s="107"/>
      <c r="I132" s="107"/>
      <c r="O132" s="107"/>
      <c r="P132" s="122"/>
      <c r="Q132" s="122"/>
      <c r="X132" s="107"/>
      <c r="Z132" s="737"/>
      <c r="AE132" s="107"/>
      <c r="AF132" s="122"/>
      <c r="AG132" s="122"/>
      <c r="AN132" s="107"/>
      <c r="AP132" s="715"/>
      <c r="AQ132" s="719"/>
    </row>
    <row r="133" spans="1:49" hidden="1" outlineLevel="1">
      <c r="A133" s="26" t="str">
        <f>$A$14</f>
        <v>1Q</v>
      </c>
      <c r="B133" s="218" t="str">
        <f>$B$14</f>
        <v>Apr</v>
      </c>
      <c r="C133" s="107"/>
      <c r="D133" s="689">
        <f>(S133/S126-1)*100</f>
        <v>11.355509355509374</v>
      </c>
      <c r="E133" s="107" t="s">
        <v>576</v>
      </c>
      <c r="F133" s="733">
        <v>7.8</v>
      </c>
      <c r="G133" s="107" t="s">
        <v>576</v>
      </c>
      <c r="H133" s="728">
        <f>D133-F133</f>
        <v>3.5555093555093746</v>
      </c>
      <c r="I133" s="107" t="s">
        <v>576</v>
      </c>
      <c r="J133" s="137">
        <f>+qtrSales!J131-J286</f>
        <v>810</v>
      </c>
      <c r="K133" s="26">
        <f>J133-J129</f>
        <v>22</v>
      </c>
      <c r="L133" s="699">
        <f>AVERAGE(J133,J129)</f>
        <v>799</v>
      </c>
      <c r="N133" s="689">
        <f>(L133/L126-1)*100</f>
        <v>8.1190798376183935</v>
      </c>
      <c r="O133" s="107" t="s">
        <v>576</v>
      </c>
      <c r="P133" s="731">
        <f>H133/N133*100</f>
        <v>43.79202356202385</v>
      </c>
      <c r="Q133" s="122" t="s">
        <v>576</v>
      </c>
      <c r="S133" s="741">
        <v>374.93400000000003</v>
      </c>
      <c r="U133" s="693">
        <f>S133/L133</f>
        <v>0.46925406758448063</v>
      </c>
      <c r="W133" s="709">
        <f>(U133/U126-1)*100</f>
        <v>2.993393509038067</v>
      </c>
      <c r="X133" s="107" t="s">
        <v>576</v>
      </c>
      <c r="Z133" s="737">
        <f>+qtrSales!Z131-Z286</f>
        <v>2.6028862500000001</v>
      </c>
      <c r="AB133" s="694">
        <f>AVERAGE(Z133,Z129)</f>
        <v>2.5727068749999997</v>
      </c>
      <c r="AD133" s="689">
        <f>(AB133/AB126-1)*100</f>
        <v>7.2363892899364624</v>
      </c>
      <c r="AE133" s="107" t="s">
        <v>576</v>
      </c>
      <c r="AF133" s="655">
        <f>+H133/AD133*100</f>
        <v>49.133749070879425</v>
      </c>
      <c r="AG133" s="122" t="s">
        <v>576</v>
      </c>
      <c r="AI133" s="692">
        <f>+S133</f>
        <v>374.93400000000003</v>
      </c>
      <c r="AJ133" s="107"/>
      <c r="AK133" s="695">
        <f>AI133/AB133</f>
        <v>145.73521905794266</v>
      </c>
      <c r="AM133" s="709">
        <f>(AK133/AK126-1)*100</f>
        <v>3.8411588574061239</v>
      </c>
      <c r="AN133" s="107" t="s">
        <v>576</v>
      </c>
      <c r="AP133" s="291">
        <f>+F133</f>
        <v>7.8</v>
      </c>
      <c r="AQ133" s="291">
        <f>+F286</f>
        <v>7.4</v>
      </c>
      <c r="AR133" s="291">
        <f>+'qtrP&amp;L'!BV10</f>
        <v>7.7</v>
      </c>
      <c r="AT133" s="191">
        <f>+S126/(S126+S279)</f>
        <v>0.69914532754138392</v>
      </c>
      <c r="AU133" s="236">
        <f>+S279/(S126+S279)</f>
        <v>0.30085467245861613</v>
      </c>
      <c r="AV133" s="291">
        <f>+AT133*AP133+AU133*AQ133</f>
        <v>7.6796581310165539</v>
      </c>
      <c r="AW133" s="107" t="str">
        <f>+(IF(ROUND(AR133,0)=ROUND(AV133,0),"y","n"))</f>
        <v>y</v>
      </c>
    </row>
    <row r="134" spans="1:49" hidden="1" outlineLevel="1">
      <c r="A134" s="26" t="str">
        <f>$A$15</f>
        <v>2Q</v>
      </c>
      <c r="B134" s="218" t="str">
        <f>$B$15</f>
        <v>Jul</v>
      </c>
      <c r="D134" s="689">
        <f>(S134/S127-1)*100</f>
        <v>17.100669461302619</v>
      </c>
      <c r="F134" s="733">
        <v>11.9</v>
      </c>
      <c r="H134" s="728">
        <f>D134-F134</f>
        <v>5.2006694613026188</v>
      </c>
      <c r="J134" s="137">
        <f>+qtrSales!J132-J287</f>
        <v>837</v>
      </c>
      <c r="K134" s="137">
        <f>J134-J133</f>
        <v>27</v>
      </c>
      <c r="L134" s="699">
        <f>AVERAGE(J134,J133)</f>
        <v>823.5</v>
      </c>
      <c r="N134" s="689">
        <f>(L134/L127-1)*100</f>
        <v>9.0006618133686267</v>
      </c>
      <c r="O134" s="107"/>
      <c r="P134" s="731">
        <f>H134/N134*100</f>
        <v>57.780967323737208</v>
      </c>
      <c r="Q134" s="122"/>
      <c r="S134" s="743">
        <v>374.32400000000001</v>
      </c>
      <c r="U134" s="697">
        <f>S134/L134</f>
        <v>0.4545525197328476</v>
      </c>
      <c r="W134" s="709">
        <f>(U134/U127-1)*100</f>
        <v>7.4311545573942261</v>
      </c>
      <c r="X134" s="107"/>
      <c r="Z134" s="737">
        <f>+qtrSales!Z132-Z287</f>
        <v>2.6835562499999996</v>
      </c>
      <c r="AA134" s="713"/>
      <c r="AB134" s="694">
        <f>AVERAGE(Z134,Z133)</f>
        <v>2.6432212499999999</v>
      </c>
      <c r="AD134" s="689">
        <f>(AB134/AB127-1)*100</f>
        <v>8.3225245272812387</v>
      </c>
      <c r="AE134" s="107"/>
      <c r="AF134" s="655">
        <f>+H134/AD134*100</f>
        <v>62.48908542419818</v>
      </c>
      <c r="AG134" s="122"/>
      <c r="AI134" s="696">
        <f>+S134</f>
        <v>374.32400000000001</v>
      </c>
      <c r="AK134" s="698">
        <f>AI134/AB134</f>
        <v>141.61659755118873</v>
      </c>
      <c r="AM134" s="709">
        <f>(AK134/AK127-1)*100</f>
        <v>8.1037115524487113</v>
      </c>
      <c r="AN134" s="107"/>
      <c r="AP134" s="291">
        <f>+F134</f>
        <v>11.9</v>
      </c>
      <c r="AQ134" s="291">
        <f>+F287</f>
        <v>14.9</v>
      </c>
      <c r="AR134" s="291">
        <f>+'qtrP&amp;L'!BV11</f>
        <v>12.8</v>
      </c>
      <c r="AT134" s="191">
        <f>+S127/(S127+S280)</f>
        <v>0.68689282314540445</v>
      </c>
      <c r="AU134" s="236">
        <f>+S280/(S127+S280)</f>
        <v>0.3131071768545956</v>
      </c>
      <c r="AV134" s="291">
        <f>+AT134*AP134+AU134*AQ134</f>
        <v>12.839321530563787</v>
      </c>
      <c r="AW134" s="107" t="str">
        <f>+(IF(ROUND(AR134,0)=ROUND(AV134,0),"y","n"))</f>
        <v>y</v>
      </c>
    </row>
    <row r="135" spans="1:49" hidden="1" outlineLevel="1">
      <c r="A135" s="26" t="str">
        <f>$A$16</f>
        <v>3Q</v>
      </c>
      <c r="B135" s="218" t="str">
        <f>$B$16</f>
        <v>Oct</v>
      </c>
      <c r="D135" s="689">
        <f>(S135/S128-1)*100</f>
        <v>5.7989686904857063</v>
      </c>
      <c r="E135" s="137"/>
      <c r="F135" s="716">
        <v>0.6</v>
      </c>
      <c r="G135" s="137"/>
      <c r="H135" s="728">
        <f>D135-F135</f>
        <v>5.1989686904857066</v>
      </c>
      <c r="I135" s="137"/>
      <c r="J135" s="137">
        <f>+qtrSales!J133-J288</f>
        <v>866</v>
      </c>
      <c r="K135" s="137">
        <f>J135-J134</f>
        <v>29</v>
      </c>
      <c r="L135" s="734">
        <f>AVERAGE(J135,J134)</f>
        <v>851.5</v>
      </c>
      <c r="M135" s="137"/>
      <c r="N135" s="728">
        <f>(L135/L128-1)*100</f>
        <v>10.369410239792609</v>
      </c>
      <c r="O135" s="735"/>
      <c r="P135" s="731">
        <f>H135/N135*100</f>
        <v>50.137554308871543</v>
      </c>
      <c r="Q135" s="220"/>
      <c r="R135" s="137"/>
      <c r="S135" s="743">
        <v>357.20800000000003</v>
      </c>
      <c r="T135" s="137"/>
      <c r="U135" s="697">
        <f>S135/L135</f>
        <v>0.41950440399295363</v>
      </c>
      <c r="W135" s="709">
        <f>(U135/U128-1)*100</f>
        <v>-4.1410401119087226</v>
      </c>
      <c r="X135" s="107"/>
      <c r="Z135" s="737">
        <f>+(1.623956+0.210436+0.340675+0.03205)/0.8</f>
        <v>2.7588962499999994</v>
      </c>
      <c r="AA135" s="713"/>
      <c r="AB135" s="694">
        <f>AVERAGE(Z135,Z134)</f>
        <v>2.7212262499999995</v>
      </c>
      <c r="AD135" s="689">
        <f>(AB135/AB128-1)*100</f>
        <v>9.3456432387688757</v>
      </c>
      <c r="AE135" s="107"/>
      <c r="AF135" s="655">
        <f>+H135/AD135*100</f>
        <v>55.629864715128797</v>
      </c>
      <c r="AG135" s="122"/>
      <c r="AI135" s="696">
        <f>+S135</f>
        <v>357.20800000000003</v>
      </c>
      <c r="AK135" s="698">
        <f>AI135/AB135</f>
        <v>131.26729172188462</v>
      </c>
      <c r="AM135" s="709">
        <f>(AK135/AK128-1)*100</f>
        <v>-3.2435444552084913</v>
      </c>
      <c r="AN135" s="107"/>
      <c r="AP135" s="291">
        <f>+F135</f>
        <v>0.6</v>
      </c>
      <c r="AQ135" s="291">
        <f>+F288</f>
        <v>11</v>
      </c>
      <c r="AR135" s="291">
        <f>+'qtrP&amp;L'!BV12</f>
        <v>3.7</v>
      </c>
      <c r="AT135" s="191">
        <f>+S128/(S128+S281)</f>
        <v>0.69899300652972329</v>
      </c>
      <c r="AU135" s="236">
        <f>+S281/(S128+S281)</f>
        <v>0.30100699347027671</v>
      </c>
      <c r="AV135" s="291">
        <f>+AT135*AP135+AU135*AQ135</f>
        <v>3.7304727320908775</v>
      </c>
      <c r="AW135" s="107" t="str">
        <f>+(IF(ROUND(AR135,0)=ROUND(AV135,0),"y","n"))</f>
        <v>y</v>
      </c>
    </row>
    <row r="136" spans="1:49" hidden="1" outlineLevel="1">
      <c r="A136" s="26" t="str">
        <f>$A$17</f>
        <v>4Q</v>
      </c>
      <c r="B136" s="218" t="str">
        <f>$B$17</f>
        <v>Jan</v>
      </c>
      <c r="D136" s="643">
        <f>(S136/S129-1)*100</f>
        <v>10.413522110646788</v>
      </c>
      <c r="F136" s="722">
        <v>5.5</v>
      </c>
      <c r="H136" s="643">
        <f>D136-F136</f>
        <v>4.9135221106467881</v>
      </c>
      <c r="J136" s="137">
        <f>+qtrSales!J134-J289</f>
        <v>865</v>
      </c>
      <c r="K136" s="137">
        <f>J136-J135</f>
        <v>-1</v>
      </c>
      <c r="L136" s="662">
        <f>AVERAGE(J136,J135)</f>
        <v>865.5</v>
      </c>
      <c r="N136" s="643">
        <f>(L136/L129-1)*100</f>
        <v>10.395408163265296</v>
      </c>
      <c r="O136" s="107"/>
      <c r="P136" s="736">
        <f>H136/N136*100</f>
        <v>47.266274045976509</v>
      </c>
      <c r="Q136" s="122"/>
      <c r="S136" s="745">
        <v>354.05200000000002</v>
      </c>
      <c r="U136" s="702">
        <f>S136/L136</f>
        <v>0.40907221259387638</v>
      </c>
      <c r="W136" s="700">
        <f>(U136/U129-1)*100</f>
        <v>1.6408243497489927E-2</v>
      </c>
      <c r="X136" s="107"/>
      <c r="Z136" s="737">
        <f>+(1.631674+0.213475+0.326858+0.032676)/0.8</f>
        <v>2.75585375</v>
      </c>
      <c r="AA136" s="45"/>
      <c r="AB136" s="703">
        <f>AVERAGE(Z136,Z135)</f>
        <v>2.7573749999999997</v>
      </c>
      <c r="AD136" s="643">
        <f>(AB136/AB129-1)*100</f>
        <v>8.9551243582049587</v>
      </c>
      <c r="AE136" s="107"/>
      <c r="AF136" s="662">
        <f>+H136/AD136*100</f>
        <v>54.868273338324656</v>
      </c>
      <c r="AG136" s="122"/>
      <c r="AI136" s="701">
        <f>+S136</f>
        <v>354.05200000000002</v>
      </c>
      <c r="AK136" s="704">
        <f>AI136/AB136</f>
        <v>128.40183145201507</v>
      </c>
      <c r="AM136" s="700">
        <f>(AK136/AK129-1)*100</f>
        <v>1.3385306666689134</v>
      </c>
      <c r="AN136" s="107"/>
      <c r="AP136" s="291">
        <f>+F136</f>
        <v>5.5</v>
      </c>
      <c r="AQ136" s="291">
        <f>+F289</f>
        <v>15.4</v>
      </c>
      <c r="AR136" s="291">
        <f>+'qtrP&amp;L'!BV13</f>
        <v>8.6999999999999993</v>
      </c>
      <c r="AT136" s="191">
        <f>+S129/(S129+S282)</f>
        <v>0.67511063763490209</v>
      </c>
      <c r="AU136" s="236">
        <f>+S282/(S129+S282)</f>
        <v>0.32488936236509786</v>
      </c>
      <c r="AV136" s="291">
        <f>+AT136*AP136+AU136*AQ136</f>
        <v>8.7164046874144674</v>
      </c>
      <c r="AW136" s="107" t="str">
        <f>+(IF(ROUND(AR136,0)=ROUND(AV136,0),"y","n"))</f>
        <v>y</v>
      </c>
    </row>
    <row r="137" spans="1:49" hidden="1" outlineLevel="1">
      <c r="B137" s="218" t="str">
        <f>$B$18</f>
        <v>Year</v>
      </c>
      <c r="D137" s="689">
        <f>(S137/S130-1)*100</f>
        <v>11.09566127536703</v>
      </c>
      <c r="F137" s="690">
        <f>F133*S133/S137+F134*S134/S137+F135*S135/S137+F136*S136/S137</f>
        <v>6.5323067569177518</v>
      </c>
      <c r="H137" s="689">
        <f>D137-F137</f>
        <v>4.5633545184492785</v>
      </c>
      <c r="J137" s="716"/>
      <c r="L137" s="699">
        <f>AVERAGE(L133:L136)</f>
        <v>834.875</v>
      </c>
      <c r="N137" s="689">
        <f>(L137/L130-1)*100</f>
        <v>9.4918032786885256</v>
      </c>
      <c r="O137" s="107"/>
      <c r="P137" s="655">
        <f>H137/N137*100</f>
        <v>48.076791990570975</v>
      </c>
      <c r="Q137" s="122"/>
      <c r="S137" s="692">
        <f>SUM(S133:S136)</f>
        <v>1460.518</v>
      </c>
      <c r="U137" s="693">
        <f>SUM(U133:U136)</f>
        <v>1.7523832039041582</v>
      </c>
      <c r="W137" s="709">
        <f>(U137/U130-1)*100</f>
        <v>1.5663520586211677</v>
      </c>
      <c r="X137" s="107"/>
      <c r="AB137" s="694">
        <f>AVERAGE(AB133:AB136)</f>
        <v>2.6736323437499996</v>
      </c>
      <c r="AD137" s="689">
        <f>(AB137/AB130-1)*100</f>
        <v>8.4788731394312755</v>
      </c>
      <c r="AE137" s="107"/>
      <c r="AF137" s="655">
        <f>+H137/AD137*100</f>
        <v>53.82029478925979</v>
      </c>
      <c r="AG137" s="122"/>
      <c r="AI137" s="692">
        <f>SUM(AI133:AI136)</f>
        <v>1460.518</v>
      </c>
      <c r="AK137" s="695">
        <f>SUM(AK133:AK136)</f>
        <v>547.02093978303105</v>
      </c>
      <c r="AM137" s="709">
        <f>(AK137/AK130-1)*100</f>
        <v>2.492384582777496</v>
      </c>
      <c r="AN137" s="107"/>
      <c r="AP137" s="726"/>
      <c r="AQ137" s="721"/>
      <c r="AR137" s="122"/>
    </row>
    <row r="138" spans="1:49" hidden="1" outlineLevel="1">
      <c r="B138" s="218"/>
      <c r="D138" s="689"/>
      <c r="F138" s="690"/>
      <c r="H138" s="689"/>
      <c r="L138" s="699"/>
      <c r="N138" s="689"/>
      <c r="O138" s="107"/>
      <c r="P138" s="655"/>
      <c r="Q138" s="122"/>
      <c r="S138" s="22"/>
      <c r="U138" s="693"/>
      <c r="W138" s="709"/>
      <c r="X138" s="107"/>
      <c r="AB138" s="694"/>
      <c r="AD138" s="689"/>
      <c r="AE138" s="107"/>
      <c r="AF138" s="655"/>
      <c r="AG138" s="122"/>
      <c r="AI138" s="692"/>
      <c r="AK138" s="695"/>
      <c r="AM138" s="709"/>
      <c r="AN138" s="107"/>
      <c r="AP138" s="715"/>
      <c r="AQ138" s="715"/>
    </row>
    <row r="139" spans="1:49" hidden="1" outlineLevel="1">
      <c r="A139" s="746"/>
      <c r="B139" s="747">
        <v>2012</v>
      </c>
      <c r="C139" s="137"/>
      <c r="D139" s="137"/>
      <c r="E139" s="735"/>
      <c r="F139" s="137"/>
      <c r="G139" s="735"/>
      <c r="H139" s="137"/>
      <c r="I139" s="735"/>
      <c r="J139" s="137"/>
      <c r="K139" s="137"/>
      <c r="L139" s="137"/>
      <c r="M139" s="137"/>
      <c r="N139" s="137"/>
      <c r="O139" s="735"/>
      <c r="P139" s="220"/>
      <c r="Q139" s="220"/>
      <c r="R139" s="137"/>
      <c r="S139" s="137"/>
      <c r="T139" s="137"/>
      <c r="U139" s="137"/>
      <c r="V139" s="137"/>
      <c r="W139" s="137"/>
      <c r="X139" s="735"/>
      <c r="Y139" s="137"/>
      <c r="Z139" s="737"/>
      <c r="AA139" s="137"/>
      <c r="AB139" s="137"/>
      <c r="AC139" s="137"/>
      <c r="AD139" s="137"/>
      <c r="AE139" s="735"/>
      <c r="AF139" s="220"/>
      <c r="AG139" s="220"/>
      <c r="AH139" s="137"/>
      <c r="AI139" s="137"/>
      <c r="AJ139" s="137"/>
      <c r="AK139" s="137"/>
      <c r="AL139" s="137"/>
      <c r="AM139" s="137"/>
      <c r="AN139" s="735"/>
      <c r="AO139" s="137"/>
      <c r="AP139" s="720"/>
      <c r="AQ139" s="748"/>
      <c r="AR139" s="137"/>
      <c r="AS139" s="137"/>
      <c r="AT139" s="137"/>
      <c r="AU139" s="137"/>
      <c r="AV139" s="137"/>
      <c r="AW139" s="137"/>
    </row>
    <row r="140" spans="1:49" hidden="1" outlineLevel="1">
      <c r="A140" s="137" t="str">
        <f>$A$14</f>
        <v>1Q</v>
      </c>
      <c r="B140" s="749" t="str">
        <f>$B$14</f>
        <v>Apr</v>
      </c>
      <c r="C140" s="735"/>
      <c r="D140" s="689">
        <f>(S140/S133-1)*100</f>
        <v>13.444499565256795</v>
      </c>
      <c r="E140" s="735" t="s">
        <v>576</v>
      </c>
      <c r="F140" s="750">
        <v>8.8000000000000007</v>
      </c>
      <c r="G140" s="735" t="s">
        <v>576</v>
      </c>
      <c r="H140" s="728">
        <f>D140-F140</f>
        <v>4.644499565256794</v>
      </c>
      <c r="I140" s="735" t="s">
        <v>576</v>
      </c>
      <c r="J140" s="137">
        <f>603+86+177+15</f>
        <v>881</v>
      </c>
      <c r="K140" s="137">
        <f>J140-J136</f>
        <v>16</v>
      </c>
      <c r="L140" s="734">
        <f>AVERAGE(J140,J136)</f>
        <v>873</v>
      </c>
      <c r="M140" s="137"/>
      <c r="N140" s="728">
        <f>(L140/L133-1)*100</f>
        <v>9.2615769712140139</v>
      </c>
      <c r="O140" s="735" t="s">
        <v>576</v>
      </c>
      <c r="P140" s="731">
        <f>H140/N140*100</f>
        <v>50.148042603245671</v>
      </c>
      <c r="Q140" s="220" t="s">
        <v>576</v>
      </c>
      <c r="R140" s="137"/>
      <c r="S140" s="741">
        <v>425.34199999999998</v>
      </c>
      <c r="T140" s="137"/>
      <c r="U140" s="751">
        <f>S140/L140</f>
        <v>0.48721878579610539</v>
      </c>
      <c r="V140" s="137"/>
      <c r="W140" s="708">
        <f>(U140/U133-1)*100</f>
        <v>3.8283564176863516</v>
      </c>
      <c r="X140" s="735" t="s">
        <v>576</v>
      </c>
      <c r="Y140" s="137"/>
      <c r="Z140" s="737">
        <f>+qtrSales!Z138-Z293</f>
        <v>2.7920199999999999</v>
      </c>
      <c r="AA140" s="137"/>
      <c r="AB140" s="732">
        <f>AVERAGE(Z140,Z136)</f>
        <v>2.773936875</v>
      </c>
      <c r="AC140" s="137"/>
      <c r="AD140" s="728">
        <f>(AB140/AB133-1)*100</f>
        <v>7.8217227914859189</v>
      </c>
      <c r="AE140" s="735" t="s">
        <v>576</v>
      </c>
      <c r="AF140" s="731">
        <f>+H140/AD140*100</f>
        <v>59.37949591249145</v>
      </c>
      <c r="AG140" s="220" t="s">
        <v>576</v>
      </c>
      <c r="AH140" s="137"/>
      <c r="AI140" s="725">
        <f>+S140</f>
        <v>425.34199999999998</v>
      </c>
      <c r="AJ140" s="735"/>
      <c r="AK140" s="752">
        <f>AI140/AB140</f>
        <v>153.33514033191545</v>
      </c>
      <c r="AL140" s="137"/>
      <c r="AM140" s="708">
        <f>(AK140/AK133-1)*100</f>
        <v>5.2148830756902687</v>
      </c>
      <c r="AN140" s="735" t="s">
        <v>576</v>
      </c>
      <c r="AO140" s="137"/>
      <c r="AP140" s="291">
        <f>+F140</f>
        <v>8.8000000000000007</v>
      </c>
      <c r="AQ140" s="291">
        <f>+F293</f>
        <v>11.3</v>
      </c>
      <c r="AR140" s="291">
        <f>+'qtrP&amp;L'!BZ10</f>
        <v>9.6</v>
      </c>
      <c r="AS140" s="137"/>
      <c r="AT140" s="753">
        <f>+S133/(S133+S286)</f>
        <v>0.69799574799221087</v>
      </c>
      <c r="AU140" s="754">
        <f>+S286/(S133+S286)</f>
        <v>0.30200425200778913</v>
      </c>
      <c r="AV140" s="291">
        <f>+AT140*AP140+AU140*AQ140</f>
        <v>9.5550106300194741</v>
      </c>
      <c r="AW140" s="735" t="str">
        <f>+(IF(ROUND(AR140,0)=ROUND(AV140,0),"y","n"))</f>
        <v>y</v>
      </c>
    </row>
    <row r="141" spans="1:49" hidden="1" outlineLevel="1">
      <c r="A141" s="137" t="str">
        <f>$A$15</f>
        <v>2Q</v>
      </c>
      <c r="B141" s="749" t="str">
        <f>$B$15</f>
        <v>Jul</v>
      </c>
      <c r="C141" s="137"/>
      <c r="D141" s="689">
        <f>(S141/S134-1)*100</f>
        <v>10.764471420480648</v>
      </c>
      <c r="E141" s="137"/>
      <c r="F141" s="750">
        <v>7.2</v>
      </c>
      <c r="G141" s="137"/>
      <c r="H141" s="728">
        <f>D141-F141</f>
        <v>3.5644714204806478</v>
      </c>
      <c r="I141" s="137"/>
      <c r="J141" s="137">
        <f>606+89+185+15</f>
        <v>895</v>
      </c>
      <c r="K141" s="137">
        <f>J141-J140</f>
        <v>14</v>
      </c>
      <c r="L141" s="734">
        <f>AVERAGE(J141,J140)</f>
        <v>888</v>
      </c>
      <c r="M141" s="137"/>
      <c r="N141" s="728">
        <f>(L141/L134-1)*100</f>
        <v>7.8324225865209485</v>
      </c>
      <c r="O141" s="735"/>
      <c r="P141" s="731">
        <f>H141/N141*100</f>
        <v>45.509181624276167</v>
      </c>
      <c r="Q141" s="220"/>
      <c r="R141" s="137"/>
      <c r="S141" s="717">
        <v>414.61799999999999</v>
      </c>
      <c r="T141" s="137"/>
      <c r="U141" s="755">
        <f>S141/L141</f>
        <v>0.46691216216216214</v>
      </c>
      <c r="V141" s="137"/>
      <c r="W141" s="708">
        <f>(U141/U134-1)*100</f>
        <v>2.7190790706822288</v>
      </c>
      <c r="X141" s="735"/>
      <c r="Y141" s="137"/>
      <c r="Z141" s="737">
        <f>+qtrSales!Z139-Z294</f>
        <v>2.8246074999999999</v>
      </c>
      <c r="AA141" s="713"/>
      <c r="AB141" s="732">
        <f>AVERAGE(Z141,Z140)</f>
        <v>2.8083137499999999</v>
      </c>
      <c r="AC141" s="137"/>
      <c r="AD141" s="728">
        <f>(AB141/AB134-1)*100</f>
        <v>6.2458827462892108</v>
      </c>
      <c r="AE141" s="735"/>
      <c r="AF141" s="731">
        <f>+H141/AD141*100</f>
        <v>57.069137626676756</v>
      </c>
      <c r="AG141" s="220"/>
      <c r="AH141" s="137"/>
      <c r="AI141" s="727">
        <f>+S141</f>
        <v>414.61799999999999</v>
      </c>
      <c r="AJ141" s="137"/>
      <c r="AK141" s="756">
        <f>AI141/AB141</f>
        <v>147.63948650680501</v>
      </c>
      <c r="AL141" s="137"/>
      <c r="AM141" s="708">
        <f>(AK141/AK134-1)*100</f>
        <v>4.2529541450388564</v>
      </c>
      <c r="AN141" s="735"/>
      <c r="AO141" s="137"/>
      <c r="AP141" s="291">
        <f>+F141</f>
        <v>7.2</v>
      </c>
      <c r="AQ141" s="291">
        <f>+F294</f>
        <v>2.2999999999999998</v>
      </c>
      <c r="AR141" s="291">
        <f>+'qtrP&amp;L'!BZ11</f>
        <v>5.6</v>
      </c>
      <c r="AS141" s="137"/>
      <c r="AT141" s="753">
        <f>+S134/(S134+S287)</f>
        <v>0.67880075945372997</v>
      </c>
      <c r="AU141" s="754">
        <f>+S287/(S134+S287)</f>
        <v>0.32119924054626986</v>
      </c>
      <c r="AV141" s="291">
        <f>+AT141*AP141+AU141*AQ141</f>
        <v>5.6261237213232773</v>
      </c>
      <c r="AW141" s="735" t="str">
        <f>+(IF(ROUND(AR141,0)=ROUND(AV141,0),"y","n"))</f>
        <v>y</v>
      </c>
    </row>
    <row r="142" spans="1:49" hidden="1" outlineLevel="1">
      <c r="A142" s="137" t="str">
        <f>$A$16</f>
        <v>3Q</v>
      </c>
      <c r="B142" s="749" t="str">
        <f>$B$16</f>
        <v>Oct</v>
      </c>
      <c r="C142" s="137"/>
      <c r="D142" s="689">
        <f>(S142/S135-1)*100</f>
        <v>15.246858972923327</v>
      </c>
      <c r="E142" s="137"/>
      <c r="F142" s="750">
        <v>11.6</v>
      </c>
      <c r="G142" s="137"/>
      <c r="H142" s="728">
        <f>D142-F142</f>
        <v>3.6468589729233276</v>
      </c>
      <c r="I142" s="137"/>
      <c r="J142" s="137">
        <f>611+95+191+16</f>
        <v>913</v>
      </c>
      <c r="K142" s="137">
        <f>J142-J141</f>
        <v>18</v>
      </c>
      <c r="L142" s="734">
        <f>AVERAGE(J142,J141)</f>
        <v>904</v>
      </c>
      <c r="M142" s="137"/>
      <c r="N142" s="728">
        <f>(L142/L135-1)*100</f>
        <v>6.1655901350557762</v>
      </c>
      <c r="O142" s="735"/>
      <c r="P142" s="731">
        <f>H142/N142*100</f>
        <v>59.148579341794616</v>
      </c>
      <c r="Q142" s="220"/>
      <c r="R142" s="137"/>
      <c r="S142" s="717">
        <v>411.67099999999999</v>
      </c>
      <c r="T142" s="137"/>
      <c r="U142" s="755">
        <f>S142/L142</f>
        <v>0.45538827433628315</v>
      </c>
      <c r="V142" s="137"/>
      <c r="W142" s="708">
        <f>(U142/U135-1)*100</f>
        <v>8.5538721409781147</v>
      </c>
      <c r="X142" s="735"/>
      <c r="Y142" s="137"/>
      <c r="Z142" s="737">
        <f>+qtrSales!Z140-Z295</f>
        <v>2.8730099999999998</v>
      </c>
      <c r="AA142" s="713"/>
      <c r="AB142" s="732">
        <f>AVERAGE(Z142,Z141)</f>
        <v>2.8488087499999999</v>
      </c>
      <c r="AC142" s="137"/>
      <c r="AD142" s="728">
        <f>(AB142/AB135-1)*100</f>
        <v>4.6884194212076347</v>
      </c>
      <c r="AE142" s="735"/>
      <c r="AF142" s="731">
        <f>+H142/AD142*100</f>
        <v>77.784401208370895</v>
      </c>
      <c r="AG142" s="220"/>
      <c r="AH142" s="137"/>
      <c r="AI142" s="727">
        <f>+S142</f>
        <v>411.67099999999999</v>
      </c>
      <c r="AJ142" s="137"/>
      <c r="AK142" s="756">
        <f>AI142/AB142</f>
        <v>144.50636603808522</v>
      </c>
      <c r="AL142" s="137"/>
      <c r="AM142" s="708">
        <f>(AK142/AK135-1)*100</f>
        <v>10.085585024676336</v>
      </c>
      <c r="AN142" s="735"/>
      <c r="AO142" s="137"/>
      <c r="AP142" s="291">
        <f>+F142</f>
        <v>11.6</v>
      </c>
      <c r="AQ142" s="291">
        <f>+F295</f>
        <v>6.4</v>
      </c>
      <c r="AR142" s="291">
        <f>+'qtrP&amp;L'!BZ12</f>
        <v>9.9</v>
      </c>
      <c r="AS142" s="137"/>
      <c r="AT142" s="753">
        <f>+S135/(S135+S288)</f>
        <v>0.67712535258257256</v>
      </c>
      <c r="AU142" s="754">
        <f>+S288/(S135+S288)</f>
        <v>0.32287464741742739</v>
      </c>
      <c r="AV142" s="291">
        <f>+AT142*AP142+AU142*AQ142</f>
        <v>9.9210518334293774</v>
      </c>
      <c r="AW142" s="735" t="str">
        <f>+(IF(ROUND(AR142,0)=ROUND(AV142,0),"y","n"))</f>
        <v>y</v>
      </c>
    </row>
    <row r="143" spans="1:49" hidden="1" outlineLevel="1">
      <c r="A143" s="137" t="str">
        <f>$A$17</f>
        <v>4Q</v>
      </c>
      <c r="B143" s="749" t="str">
        <f>$B$17</f>
        <v>Jan</v>
      </c>
      <c r="C143" s="137"/>
      <c r="D143" s="643">
        <f>(S143/S136-1)*100</f>
        <v>11.803915808977195</v>
      </c>
      <c r="E143" s="137"/>
      <c r="F143" s="738">
        <v>2.2999999999999998</v>
      </c>
      <c r="G143" s="137"/>
      <c r="H143" s="744">
        <f>D143-F143</f>
        <v>9.5039158089771938</v>
      </c>
      <c r="I143" s="137"/>
      <c r="J143" s="137">
        <f>606+99+193+16</f>
        <v>914</v>
      </c>
      <c r="K143" s="137">
        <f>J143-J142</f>
        <v>1</v>
      </c>
      <c r="L143" s="736">
        <f>AVERAGE(J143,J142)</f>
        <v>913.5</v>
      </c>
      <c r="M143" s="137"/>
      <c r="N143" s="744">
        <f>(L143/L136-1)*100</f>
        <v>5.5459272097053702</v>
      </c>
      <c r="O143" s="735"/>
      <c r="P143" s="736">
        <f>H143/N143*100</f>
        <v>171.3674819306201</v>
      </c>
      <c r="Q143" s="220"/>
      <c r="R143" s="137"/>
      <c r="S143" s="757">
        <v>395.84399999999999</v>
      </c>
      <c r="T143" s="137"/>
      <c r="U143" s="758">
        <f>S143/L143</f>
        <v>0.43332676518883417</v>
      </c>
      <c r="V143" s="137"/>
      <c r="W143" s="759">
        <f>(U143/U136-1)*100</f>
        <v>5.9291616121179835</v>
      </c>
      <c r="X143" s="735"/>
      <c r="Y143" s="137"/>
      <c r="Z143" s="737">
        <f>+qtrSales!Z141-Z296</f>
        <v>2.8833012499999997</v>
      </c>
      <c r="AA143" s="713"/>
      <c r="AB143" s="760">
        <f>AVERAGE(Z143,Z142)</f>
        <v>2.8781556249999998</v>
      </c>
      <c r="AC143" s="137"/>
      <c r="AD143" s="744">
        <f>(AB143/AB136-1)*100</f>
        <v>4.3802756244616825</v>
      </c>
      <c r="AE143" s="735"/>
      <c r="AF143" s="736">
        <f>+H143/AD143*100</f>
        <v>216.9707256754005</v>
      </c>
      <c r="AG143" s="220"/>
      <c r="AH143" s="137"/>
      <c r="AI143" s="729">
        <f>+S143</f>
        <v>395.84399999999999</v>
      </c>
      <c r="AJ143" s="137"/>
      <c r="AK143" s="761">
        <f>AI143/AB143</f>
        <v>137.53391114839388</v>
      </c>
      <c r="AL143" s="137"/>
      <c r="AM143" s="759">
        <f>(AK143/AK136-1)*100</f>
        <v>7.1121101569268097</v>
      </c>
      <c r="AN143" s="735"/>
      <c r="AO143" s="137"/>
      <c r="AP143" s="291">
        <f>+F143</f>
        <v>2.2999999999999998</v>
      </c>
      <c r="AQ143" s="291">
        <f>+F296</f>
        <v>6.3</v>
      </c>
      <c r="AR143" s="291">
        <f>+'qtrP&amp;L'!BZ13</f>
        <v>3.7</v>
      </c>
      <c r="AS143" s="137"/>
      <c r="AT143" s="753">
        <f>+S136/(S136+S289)</f>
        <v>0.65476307160835379</v>
      </c>
      <c r="AU143" s="754">
        <f>+S289/(S136+S289)</f>
        <v>0.34523692839164616</v>
      </c>
      <c r="AV143" s="291">
        <f>+AT143*AP143+AU143*AQ143</f>
        <v>3.6809477135665842</v>
      </c>
      <c r="AW143" s="735" t="str">
        <f>+(IF(ROUND(AR143,0)=ROUND(AV143,0),"y","n"))</f>
        <v>y</v>
      </c>
    </row>
    <row r="144" spans="1:49" hidden="1" outlineLevel="1">
      <c r="A144" s="137"/>
      <c r="B144" s="749" t="str">
        <f>$B$18</f>
        <v>Year</v>
      </c>
      <c r="C144" s="137"/>
      <c r="D144" s="728">
        <f>(S144/S137-1)*100</f>
        <v>12.800732342908482</v>
      </c>
      <c r="E144" s="137"/>
      <c r="F144" s="762">
        <f>F140*S140/S144+F141*S141/S144+F142*S142/S144+F143*S143/S144</f>
        <v>7.5352184403405218</v>
      </c>
      <c r="G144" s="137"/>
      <c r="H144" s="728">
        <f>D144-F144</f>
        <v>5.2655139025679603</v>
      </c>
      <c r="I144" s="137"/>
      <c r="J144" s="733"/>
      <c r="K144" s="137"/>
      <c r="L144" s="734">
        <f>AVERAGE(L140:L143)</f>
        <v>894.625</v>
      </c>
      <c r="M144" s="137"/>
      <c r="N144" s="728">
        <f>(L144/L137-1)*100</f>
        <v>7.156759994011086</v>
      </c>
      <c r="O144" s="735"/>
      <c r="P144" s="731">
        <f>H144/N144*100</f>
        <v>73.573990282952664</v>
      </c>
      <c r="Q144" s="220"/>
      <c r="R144" s="137"/>
      <c r="S144" s="725">
        <f>SUM(S140:S143)</f>
        <v>1647.4750000000001</v>
      </c>
      <c r="T144" s="137"/>
      <c r="U144" s="751">
        <f>SUM(U140:U143)</f>
        <v>1.8428459874833849</v>
      </c>
      <c r="V144" s="137"/>
      <c r="W144" s="708">
        <f>(U144/U137-1)*100</f>
        <v>5.1622717780952954</v>
      </c>
      <c r="X144" s="735"/>
      <c r="Y144" s="137"/>
      <c r="Z144" s="137"/>
      <c r="AA144" s="137"/>
      <c r="AB144" s="732">
        <f>AVERAGE(AB140:AB143)</f>
        <v>2.82730375</v>
      </c>
      <c r="AC144" s="137"/>
      <c r="AD144" s="728">
        <f>(AB144/AB137-1)*100</f>
        <v>5.7476640948494362</v>
      </c>
      <c r="AE144" s="735"/>
      <c r="AF144" s="731">
        <f>+H144/AD144*100</f>
        <v>91.611371431508374</v>
      </c>
      <c r="AG144" s="220"/>
      <c r="AH144" s="137"/>
      <c r="AI144" s="725">
        <f>SUM(AI140:AI143)</f>
        <v>1647.4750000000001</v>
      </c>
      <c r="AJ144" s="137"/>
      <c r="AK144" s="752">
        <f>SUM(AK140:AK143)</f>
        <v>583.0149040251996</v>
      </c>
      <c r="AL144" s="137"/>
      <c r="AM144" s="708">
        <f>(AK144/AK137-1)*100</f>
        <v>6.5799975146189293</v>
      </c>
      <c r="AN144" s="735"/>
      <c r="AO144" s="137"/>
      <c r="AP144" s="726"/>
      <c r="AQ144" s="310"/>
      <c r="AR144" s="220"/>
      <c r="AS144" s="137"/>
      <c r="AT144" s="137"/>
      <c r="AU144" s="137"/>
      <c r="AV144" s="137"/>
      <c r="AW144" s="137"/>
    </row>
    <row r="145" spans="1:49" hidden="1" outlineLevel="1">
      <c r="A145" s="137"/>
      <c r="B145" s="749"/>
      <c r="C145" s="137"/>
      <c r="D145" s="728"/>
      <c r="E145" s="137"/>
      <c r="F145" s="762"/>
      <c r="G145" s="137"/>
      <c r="H145" s="728"/>
      <c r="I145" s="137"/>
      <c r="J145" s="733"/>
      <c r="K145" s="137"/>
      <c r="L145" s="734"/>
      <c r="M145" s="137"/>
      <c r="N145" s="728"/>
      <c r="O145" s="735"/>
      <c r="P145" s="731"/>
      <c r="Q145" s="220"/>
      <c r="R145" s="137"/>
      <c r="S145" s="725"/>
      <c r="T145" s="137"/>
      <c r="U145" s="751"/>
      <c r="V145" s="137"/>
      <c r="W145" s="708"/>
      <c r="X145" s="735"/>
      <c r="Y145" s="137"/>
      <c r="Z145" s="737"/>
      <c r="AA145" s="137"/>
      <c r="AB145" s="732"/>
      <c r="AC145" s="137"/>
      <c r="AD145" s="728"/>
      <c r="AE145" s="735"/>
      <c r="AF145" s="731"/>
      <c r="AG145" s="220"/>
      <c r="AH145" s="137"/>
      <c r="AI145" s="725"/>
      <c r="AJ145" s="137"/>
      <c r="AK145" s="752"/>
      <c r="AL145" s="137"/>
      <c r="AM145" s="708"/>
      <c r="AN145" s="735"/>
      <c r="AO145" s="137"/>
      <c r="AP145" s="726"/>
      <c r="AQ145" s="310"/>
      <c r="AR145" s="220"/>
      <c r="AS145" s="137"/>
      <c r="AT145" s="137"/>
      <c r="AU145" s="137"/>
      <c r="AV145" s="137"/>
      <c r="AW145" s="137"/>
    </row>
    <row r="146" spans="1:49" hidden="1" outlineLevel="1">
      <c r="A146" s="746"/>
      <c r="B146" s="747">
        <v>2013</v>
      </c>
      <c r="C146" s="137"/>
      <c r="D146" s="728"/>
      <c r="E146" s="137"/>
      <c r="F146" s="762"/>
      <c r="G146" s="137"/>
      <c r="H146" s="728"/>
      <c r="I146" s="137"/>
      <c r="J146" s="733"/>
      <c r="K146" s="137"/>
      <c r="L146" s="734"/>
      <c r="M146" s="137"/>
      <c r="N146" s="728"/>
      <c r="O146" s="735"/>
      <c r="P146" s="731"/>
      <c r="Q146" s="220"/>
      <c r="R146" s="137"/>
      <c r="S146" s="725"/>
      <c r="T146" s="137"/>
      <c r="U146" s="751"/>
      <c r="V146" s="137"/>
      <c r="W146" s="708"/>
      <c r="X146" s="735"/>
      <c r="Y146" s="137"/>
      <c r="Z146" s="137"/>
      <c r="AA146" s="137"/>
      <c r="AB146" s="732"/>
      <c r="AC146" s="137"/>
      <c r="AD146" s="728"/>
      <c r="AE146" s="735"/>
      <c r="AF146" s="731"/>
      <c r="AG146" s="220"/>
      <c r="AH146" s="137"/>
      <c r="AI146" s="725"/>
      <c r="AJ146" s="137"/>
      <c r="AK146" s="752"/>
      <c r="AL146" s="137"/>
      <c r="AM146" s="708"/>
      <c r="AN146" s="735"/>
      <c r="AO146" s="137"/>
      <c r="AP146" s="726"/>
      <c r="AQ146" s="310"/>
      <c r="AR146" s="220"/>
      <c r="AS146" s="137"/>
      <c r="AT146" s="137"/>
      <c r="AU146" s="137"/>
      <c r="AV146" s="137"/>
      <c r="AW146" s="137"/>
    </row>
    <row r="147" spans="1:49" hidden="1" outlineLevel="1">
      <c r="A147" s="137" t="str">
        <f>$A$14</f>
        <v>1Q</v>
      </c>
      <c r="B147" s="749" t="str">
        <f>$B$14</f>
        <v>Apr</v>
      </c>
      <c r="C147" s="137"/>
      <c r="D147" s="689">
        <f>(S147/S140-1)*100</f>
        <v>-0.16010645551108871</v>
      </c>
      <c r="E147" s="137" t="s">
        <v>576</v>
      </c>
      <c r="F147" s="750">
        <v>-2.8</v>
      </c>
      <c r="G147" s="137" t="s">
        <v>576</v>
      </c>
      <c r="H147" s="728">
        <f>D147-F147</f>
        <v>2.6398935444889111</v>
      </c>
      <c r="I147" s="137" t="s">
        <v>576</v>
      </c>
      <c r="J147" s="137">
        <f>611+102+209+16</f>
        <v>938</v>
      </c>
      <c r="K147" s="137">
        <f>J147-J143</f>
        <v>24</v>
      </c>
      <c r="L147" s="734">
        <f>AVERAGE(J147,J143)</f>
        <v>926</v>
      </c>
      <c r="M147" s="137"/>
      <c r="N147" s="728">
        <f>(L147/L140-1)*100</f>
        <v>6.0710194730813294</v>
      </c>
      <c r="O147" s="735" t="s">
        <v>576</v>
      </c>
      <c r="P147" s="731">
        <f>H147/N147*100</f>
        <v>43.483529515826774</v>
      </c>
      <c r="Q147" s="220" t="s">
        <v>576</v>
      </c>
      <c r="R147" s="137"/>
      <c r="S147" s="717">
        <v>424.661</v>
      </c>
      <c r="T147" s="137"/>
      <c r="U147" s="751">
        <f>S147/L147</f>
        <v>0.45859719222462203</v>
      </c>
      <c r="V147" s="137"/>
      <c r="W147" s="708">
        <f>(U147/U140-1)*100</f>
        <v>-5.8744848117291415</v>
      </c>
      <c r="X147" s="735" t="s">
        <v>576</v>
      </c>
      <c r="Y147" s="137"/>
      <c r="Z147" s="737">
        <f>+qtrSales!Z145-Z300</f>
        <v>2.9482662499999996</v>
      </c>
      <c r="AA147" s="137"/>
      <c r="AB147" s="732">
        <f>AVERAGE(Z147,Z143)</f>
        <v>2.9157837499999997</v>
      </c>
      <c r="AC147" s="137"/>
      <c r="AD147" s="728">
        <f>(AB147/AB140-1)*100</f>
        <v>5.1135581446855927</v>
      </c>
      <c r="AE147" s="735" t="s">
        <v>576</v>
      </c>
      <c r="AF147" s="731">
        <f>+H147/AD147*100</f>
        <v>51.625374539497393</v>
      </c>
      <c r="AG147" s="220" t="s">
        <v>576</v>
      </c>
      <c r="AH147" s="137"/>
      <c r="AI147" s="725">
        <f>+S147</f>
        <v>424.661</v>
      </c>
      <c r="AJ147" s="137"/>
      <c r="AK147" s="752">
        <f>AI147/AB147</f>
        <v>145.64214510078125</v>
      </c>
      <c r="AL147" s="137"/>
      <c r="AM147" s="708">
        <f>(AK147/AK140-1)*100</f>
        <v>-5.017111677389563</v>
      </c>
      <c r="AN147" s="735" t="s">
        <v>576</v>
      </c>
      <c r="AO147" s="137"/>
      <c r="AP147" s="291">
        <f>+F147</f>
        <v>-2.8</v>
      </c>
      <c r="AQ147" s="291">
        <f>+F300</f>
        <v>6.4</v>
      </c>
      <c r="AR147" s="291">
        <f>+'qtrP&amp;L'!CD10</f>
        <v>0</v>
      </c>
      <c r="AS147" s="137"/>
      <c r="AT147" s="753">
        <f>+S140/(S140+S293)</f>
        <v>0.68929406597965548</v>
      </c>
      <c r="AU147" s="754">
        <f>+S293/(S140+S293)</f>
        <v>0.31070593402034458</v>
      </c>
      <c r="AV147" s="291">
        <f>+AT147*AP147+AU147*AQ147</f>
        <v>5.849459298717008E-2</v>
      </c>
      <c r="AW147" s="735" t="str">
        <f>+(IF(ROUND(AR147,0)=ROUND(AV147,0),"y","n"))</f>
        <v>y</v>
      </c>
    </row>
    <row r="148" spans="1:49" hidden="1" outlineLevel="1">
      <c r="A148" s="137" t="str">
        <f>$A$15</f>
        <v>2Q</v>
      </c>
      <c r="B148" s="749" t="str">
        <f>$B$15</f>
        <v>Jul</v>
      </c>
      <c r="C148" s="137"/>
      <c r="D148" s="689">
        <f>(S148/S141-1)*100</f>
        <v>2.7977560067338203E-2</v>
      </c>
      <c r="E148" s="137"/>
      <c r="F148" s="750">
        <v>-3.1</v>
      </c>
      <c r="G148" s="137"/>
      <c r="H148" s="728">
        <f>D148-F148</f>
        <v>3.1279775600673383</v>
      </c>
      <c r="I148" s="137"/>
      <c r="J148" s="137">
        <f>616+106+218+17</f>
        <v>957</v>
      </c>
      <c r="K148" s="137">
        <f>J148-J147</f>
        <v>19</v>
      </c>
      <c r="L148" s="734">
        <f>AVERAGE(J148,J147)</f>
        <v>947.5</v>
      </c>
      <c r="M148" s="137"/>
      <c r="N148" s="728">
        <f>(L148/L141-1)*100</f>
        <v>6.7004504504504458</v>
      </c>
      <c r="O148" s="735"/>
      <c r="P148" s="731">
        <f>H148/N148*100</f>
        <v>46.683093669576444</v>
      </c>
      <c r="Q148" s="220"/>
      <c r="R148" s="137"/>
      <c r="S148" s="717">
        <v>414.73399999999998</v>
      </c>
      <c r="T148" s="137"/>
      <c r="U148" s="755">
        <f>S148/L148</f>
        <v>0.43771398416886542</v>
      </c>
      <c r="V148" s="137"/>
      <c r="W148" s="708">
        <f>(U148/U141-1)*100</f>
        <v>-6.2534627194302921</v>
      </c>
      <c r="X148" s="735"/>
      <c r="Y148" s="137"/>
      <c r="Z148" s="737">
        <f>+qtrSales!Z146-Z301</f>
        <v>2.9972399999999997</v>
      </c>
      <c r="AA148" s="137"/>
      <c r="AB148" s="732">
        <f>AVERAGE(Z148,Z147)</f>
        <v>2.9727531249999997</v>
      </c>
      <c r="AC148" s="137"/>
      <c r="AD148" s="728">
        <f>(AB148/AB141-1)*100</f>
        <v>5.8554488436343588</v>
      </c>
      <c r="AE148" s="735"/>
      <c r="AF148" s="731">
        <f>+H148/AD148*100</f>
        <v>53.419945141658275</v>
      </c>
      <c r="AG148" s="220"/>
      <c r="AH148" s="137"/>
      <c r="AI148" s="727">
        <f>+S148</f>
        <v>414.73399999999998</v>
      </c>
      <c r="AJ148" s="137"/>
      <c r="AK148" s="756">
        <f>AI148/AB148</f>
        <v>139.51175309924199</v>
      </c>
      <c r="AL148" s="137"/>
      <c r="AM148" s="708">
        <f>(AK148/AK141-1)*100</f>
        <v>-5.505121698718729</v>
      </c>
      <c r="AN148" s="735"/>
      <c r="AO148" s="137"/>
      <c r="AP148" s="291">
        <f>+F148</f>
        <v>-3.1</v>
      </c>
      <c r="AQ148" s="291">
        <f>+F301</f>
        <v>-1.5</v>
      </c>
      <c r="AR148" s="291">
        <f>+'qtrP&amp;L'!CD11</f>
        <v>-2.6</v>
      </c>
      <c r="AS148" s="137"/>
      <c r="AT148" s="753">
        <f>+S141/(S141+S294)</f>
        <v>0.68068807911793483</v>
      </c>
      <c r="AU148" s="754">
        <f>+S294/(S141+S294)</f>
        <v>0.31931192088206517</v>
      </c>
      <c r="AV148" s="291">
        <f>+AT148*AP148+AU148*AQ148</f>
        <v>-2.5891009265886957</v>
      </c>
      <c r="AW148" s="735" t="str">
        <f>+(IF(ROUND(AR148,0)=ROUND(AV148,0),"y","n"))</f>
        <v>y</v>
      </c>
    </row>
    <row r="149" spans="1:49" hidden="1" outlineLevel="1">
      <c r="A149" s="137" t="str">
        <f>$A$16</f>
        <v>3Q</v>
      </c>
      <c r="B149" s="749" t="str">
        <f>$B$16</f>
        <v>Oct</v>
      </c>
      <c r="C149" s="137"/>
      <c r="D149" s="689">
        <f>(S149/S142-1)*100</f>
        <v>1.0076007297089351</v>
      </c>
      <c r="E149" s="137"/>
      <c r="F149" s="750">
        <v>-3.3</v>
      </c>
      <c r="G149" s="137"/>
      <c r="H149" s="728">
        <f>D149-F149</f>
        <v>4.3076007297089349</v>
      </c>
      <c r="I149" s="137"/>
      <c r="J149" s="137">
        <f>617+108+232+17</f>
        <v>974</v>
      </c>
      <c r="K149" s="137">
        <f>J149-J148</f>
        <v>17</v>
      </c>
      <c r="L149" s="734">
        <f>AVERAGE(J149,J148)</f>
        <v>965.5</v>
      </c>
      <c r="M149" s="137"/>
      <c r="N149" s="728">
        <f>(L149/L142-1)*100</f>
        <v>6.8030973451327359</v>
      </c>
      <c r="O149" s="735"/>
      <c r="P149" s="731">
        <f>H149/N149*100</f>
        <v>63.318228612307017</v>
      </c>
      <c r="Q149" s="220"/>
      <c r="R149" s="137"/>
      <c r="S149" s="717">
        <v>415.81900000000002</v>
      </c>
      <c r="T149" s="137"/>
      <c r="U149" s="755">
        <f>S149/L149</f>
        <v>0.4306773692387364</v>
      </c>
      <c r="V149" s="137"/>
      <c r="W149" s="708">
        <f>(U149/U142-1)*100</f>
        <v>-5.4263375870980184</v>
      </c>
      <c r="X149" s="735"/>
      <c r="Y149" s="137"/>
      <c r="Z149" s="737">
        <f>+qtrSales!Z147-Z302</f>
        <v>3.0445837499999997</v>
      </c>
      <c r="AA149" s="137"/>
      <c r="AB149" s="732">
        <f>AVERAGE(Z149,Z148)</f>
        <v>3.0209118749999995</v>
      </c>
      <c r="AC149" s="137"/>
      <c r="AD149" s="728">
        <f>(AB149/AB142-1)*100</f>
        <v>6.0412312690347969</v>
      </c>
      <c r="AE149" s="735"/>
      <c r="AF149" s="731">
        <f>+H149/AD149*100</f>
        <v>71.303357509058856</v>
      </c>
      <c r="AG149" s="220"/>
      <c r="AH149" s="137"/>
      <c r="AI149" s="727">
        <f>+S149</f>
        <v>415.81900000000002</v>
      </c>
      <c r="AJ149" s="137"/>
      <c r="AK149" s="756">
        <f>AI149/AB149</f>
        <v>137.64684876813897</v>
      </c>
      <c r="AL149" s="137"/>
      <c r="AM149" s="708">
        <f>(AK149/AK142-1)*100</f>
        <v>-4.7468616490836109</v>
      </c>
      <c r="AN149" s="735"/>
      <c r="AO149" s="137"/>
      <c r="AP149" s="291">
        <f>+F149</f>
        <v>-3.3</v>
      </c>
      <c r="AQ149" s="291">
        <f>+F302</f>
        <v>2.5</v>
      </c>
      <c r="AR149" s="291">
        <f>+'qtrP&amp;L'!CD12</f>
        <v>-1.4</v>
      </c>
      <c r="AS149" s="137"/>
      <c r="AT149" s="753">
        <f>+S142/(S142+S295)</f>
        <v>0.6760685739811042</v>
      </c>
      <c r="AU149" s="754">
        <f>+S295/(S142+S295)</f>
        <v>0.3239314260188958</v>
      </c>
      <c r="AV149" s="291">
        <f>+AT149*AP149+AU149*AQ149</f>
        <v>-1.4211977290904045</v>
      </c>
      <c r="AW149" s="735" t="str">
        <f>+(IF(ROUND(AR149,0)=ROUND(AV149,0),"y","n"))</f>
        <v>y</v>
      </c>
    </row>
    <row r="150" spans="1:49" hidden="1" outlineLevel="1">
      <c r="A150" s="137" t="str">
        <f>$A$17</f>
        <v>4Q</v>
      </c>
      <c r="B150" s="749" t="str">
        <f>$B$17</f>
        <v>Jan</v>
      </c>
      <c r="C150" s="137"/>
      <c r="D150" s="643">
        <f>(S150/S143-1)*100</f>
        <v>-5.2826365942138853</v>
      </c>
      <c r="E150" s="137"/>
      <c r="F150" s="738">
        <v>-1.5</v>
      </c>
      <c r="G150" s="137"/>
      <c r="H150" s="744">
        <f>D150-F150</f>
        <v>-3.7826365942138853</v>
      </c>
      <c r="I150" s="137"/>
      <c r="J150" s="137">
        <f>611+110+232+17</f>
        <v>970</v>
      </c>
      <c r="K150" s="137">
        <f>J150-J149</f>
        <v>-4</v>
      </c>
      <c r="L150" s="736">
        <f>AVERAGE(J150,J149)</f>
        <v>972</v>
      </c>
      <c r="M150" s="137"/>
      <c r="N150" s="744">
        <f>(L150/L143-1)*100</f>
        <v>6.4039408866995107</v>
      </c>
      <c r="O150" s="735"/>
      <c r="P150" s="736">
        <f>H150/N150*100</f>
        <v>-59.067325278878336</v>
      </c>
      <c r="Q150" s="220"/>
      <c r="R150" s="137"/>
      <c r="S150" s="757">
        <f>299.549+75.384</f>
        <v>374.93299999999999</v>
      </c>
      <c r="T150" s="137"/>
      <c r="U150" s="758">
        <f>S150/L150</f>
        <v>0.38573353909465019</v>
      </c>
      <c r="V150" s="137"/>
      <c r="W150" s="759">
        <f>(U150/U143-1)*100</f>
        <v>-10.983218651043614</v>
      </c>
      <c r="X150" s="735"/>
      <c r="Y150" s="137"/>
      <c r="Z150" s="737">
        <f>+qtrSales!Z148-Z303</f>
        <v>3.0381499999999999</v>
      </c>
      <c r="AA150" s="137"/>
      <c r="AB150" s="760">
        <f>AVERAGE(Z150,Z149)</f>
        <v>3.0413668749999996</v>
      </c>
      <c r="AC150" s="137"/>
      <c r="AD150" s="744">
        <f>(AB150/AB143-1)*100</f>
        <v>5.6706888460904548</v>
      </c>
      <c r="AE150" s="735"/>
      <c r="AF150" s="736">
        <f>+H150/AD150*100</f>
        <v>-66.705063474285836</v>
      </c>
      <c r="AG150" s="220"/>
      <c r="AH150" s="137"/>
      <c r="AI150" s="729">
        <f>+S150</f>
        <v>374.93299999999999</v>
      </c>
      <c r="AJ150" s="137"/>
      <c r="AK150" s="761">
        <f>AI150/AB150</f>
        <v>123.27779429767087</v>
      </c>
      <c r="AL150" s="137"/>
      <c r="AM150" s="759">
        <f>(AK150/AK143-1)*100</f>
        <v>-10.365528567962567</v>
      </c>
      <c r="AN150" s="735"/>
      <c r="AO150" s="137"/>
      <c r="AP150" s="291">
        <f>+F150</f>
        <v>-1.5</v>
      </c>
      <c r="AQ150" s="291">
        <f>+F303</f>
        <v>-6.6</v>
      </c>
      <c r="AR150" s="291">
        <f>+'qtrP&amp;L'!CD13</f>
        <v>-3.4</v>
      </c>
      <c r="AS150" s="137"/>
      <c r="AT150" s="753">
        <f>+S143/(S143+S296)</f>
        <v>0.63625579847817071</v>
      </c>
      <c r="AU150" s="754">
        <f>+S296/(S143+S296)</f>
        <v>0.36374420152182929</v>
      </c>
      <c r="AV150" s="291">
        <f>+AT150*AP150+AU150*AQ150</f>
        <v>-3.355095427761329</v>
      </c>
      <c r="AW150" s="735" t="str">
        <f>+(IF(ROUND(AR150,0)=ROUND(AV150,0),"y","n"))</f>
        <v>y</v>
      </c>
    </row>
    <row r="151" spans="1:49" hidden="1" outlineLevel="1">
      <c r="A151" s="137"/>
      <c r="B151" s="749" t="str">
        <f>$B$18</f>
        <v>Year</v>
      </c>
      <c r="C151" s="137"/>
      <c r="D151" s="728">
        <f>(S151/S144-1)*100</f>
        <v>-1.051791377714395</v>
      </c>
      <c r="E151" s="137"/>
      <c r="F151" s="762">
        <f>F147*S147/S151+F148*S148/S151+F149*S149/S151+F150*S150/S151</f>
        <v>-2.7048655121286611</v>
      </c>
      <c r="G151" s="137"/>
      <c r="H151" s="728">
        <f>D151-F151</f>
        <v>1.6530741344142661</v>
      </c>
      <c r="I151" s="137"/>
      <c r="J151" s="733"/>
      <c r="K151" s="137"/>
      <c r="L151" s="734">
        <f>AVERAGE(L147:L150)</f>
        <v>952.75</v>
      </c>
      <c r="M151" s="137"/>
      <c r="N151" s="728">
        <f>(L151/L144-1)*100</f>
        <v>6.4971356713706907</v>
      </c>
      <c r="O151" s="735"/>
      <c r="P151" s="731">
        <f>H151/N151*100</f>
        <v>25.44312167742558</v>
      </c>
      <c r="Q151" s="220"/>
      <c r="R151" s="137"/>
      <c r="S151" s="725">
        <f>SUM(S147:S150)</f>
        <v>1630.1469999999999</v>
      </c>
      <c r="T151" s="137"/>
      <c r="U151" s="751">
        <f>SUM(U147:U150)</f>
        <v>1.712722084726874</v>
      </c>
      <c r="V151" s="137"/>
      <c r="W151" s="708">
        <f>(U151/U144-1)*100</f>
        <v>-7.0610297138400497</v>
      </c>
      <c r="X151" s="735"/>
      <c r="Y151" s="137"/>
      <c r="Z151" s="137"/>
      <c r="AA151" s="137"/>
      <c r="AB151" s="732">
        <f>AVERAGE(AB147:AB150)</f>
        <v>2.9877039062499997</v>
      </c>
      <c r="AC151" s="137"/>
      <c r="AD151" s="728">
        <f>(AB151/AB144-1)*100</f>
        <v>5.6732551728833513</v>
      </c>
      <c r="AE151" s="735"/>
      <c r="AF151" s="731">
        <f>+H151/AD151*100</f>
        <v>29.138018369339708</v>
      </c>
      <c r="AG151" s="220"/>
      <c r="AH151" s="137"/>
      <c r="AI151" s="725">
        <f>SUM(AI147:AI150)</f>
        <v>1630.1469999999999</v>
      </c>
      <c r="AJ151" s="137"/>
      <c r="AK151" s="752">
        <f>SUM(AK147:AK150)</f>
        <v>546.07854126583311</v>
      </c>
      <c r="AL151" s="137"/>
      <c r="AM151" s="708">
        <f>(AK151/AK144-1)*100</f>
        <v>-6.3354062656638348</v>
      </c>
      <c r="AN151" s="735"/>
      <c r="AO151" s="137"/>
      <c r="AP151" s="726"/>
      <c r="AQ151" s="310"/>
      <c r="AR151" s="220"/>
      <c r="AS151" s="137"/>
      <c r="AT151" s="137"/>
      <c r="AU151" s="137"/>
      <c r="AV151" s="137"/>
      <c r="AW151" s="137"/>
    </row>
    <row r="152" spans="1:49" collapsed="1">
      <c r="A152" s="137"/>
      <c r="B152" s="749"/>
      <c r="C152" s="137"/>
      <c r="D152" s="728"/>
      <c r="E152" s="137"/>
      <c r="F152" s="762"/>
      <c r="G152" s="137"/>
      <c r="H152" s="728"/>
      <c r="I152" s="137"/>
      <c r="J152" s="733"/>
      <c r="K152" s="137"/>
      <c r="L152" s="734"/>
      <c r="M152" s="137"/>
      <c r="N152" s="728"/>
      <c r="O152" s="735"/>
      <c r="P152" s="731"/>
      <c r="Q152" s="220"/>
      <c r="R152" s="137"/>
      <c r="S152" s="725"/>
      <c r="T152" s="137"/>
      <c r="U152" s="751"/>
      <c r="V152" s="137"/>
      <c r="W152" s="708"/>
      <c r="X152" s="735"/>
      <c r="Y152" s="137"/>
      <c r="Z152" s="137"/>
      <c r="AA152" s="137"/>
      <c r="AB152" s="732"/>
      <c r="AC152" s="137"/>
      <c r="AD152" s="728"/>
      <c r="AE152" s="735"/>
      <c r="AF152" s="731"/>
      <c r="AG152" s="220"/>
      <c r="AH152" s="137"/>
      <c r="AI152" s="725"/>
      <c r="AJ152" s="137"/>
      <c r="AK152" s="752"/>
      <c r="AL152" s="137"/>
      <c r="AM152" s="708"/>
      <c r="AN152" s="735"/>
      <c r="AO152" s="137"/>
      <c r="AP152" s="726"/>
      <c r="AQ152" s="310"/>
      <c r="AR152" s="220"/>
      <c r="AS152" s="137"/>
      <c r="AT152" s="137"/>
      <c r="AU152" s="137"/>
      <c r="AV152" s="137"/>
      <c r="AW152" s="137"/>
    </row>
    <row r="153" spans="1:49">
      <c r="A153" s="1074"/>
      <c r="B153" s="1075">
        <v>2014</v>
      </c>
      <c r="C153" s="1076"/>
      <c r="D153" s="1112" t="s">
        <v>721</v>
      </c>
      <c r="E153" s="1076"/>
      <c r="F153" s="1078"/>
      <c r="G153" s="1076"/>
      <c r="H153" s="1077"/>
      <c r="I153" s="1076"/>
      <c r="J153" s="1079"/>
      <c r="K153" s="1076"/>
      <c r="L153" s="1080"/>
      <c r="M153" s="1076"/>
      <c r="N153" s="1077"/>
      <c r="O153" s="1081"/>
      <c r="P153" s="1082"/>
      <c r="Q153" s="1083"/>
      <c r="R153" s="1076"/>
      <c r="S153" s="1084"/>
      <c r="T153" s="1076"/>
      <c r="U153" s="1085"/>
      <c r="V153" s="1076"/>
      <c r="W153" s="1086"/>
      <c r="X153" s="1081"/>
      <c r="Y153" s="1076"/>
      <c r="Z153" s="1076"/>
      <c r="AA153" s="1076"/>
      <c r="AB153" s="1087"/>
      <c r="AC153" s="1076"/>
      <c r="AD153" s="1077"/>
      <c r="AE153" s="1081"/>
      <c r="AF153" s="1082"/>
      <c r="AG153" s="1083"/>
      <c r="AH153" s="1076"/>
      <c r="AI153" s="1084"/>
      <c r="AJ153" s="1076"/>
      <c r="AK153" s="1088"/>
      <c r="AL153" s="1076"/>
      <c r="AM153" s="1086"/>
      <c r="AN153" s="1081"/>
      <c r="AO153" s="137"/>
      <c r="AP153" s="726"/>
      <c r="AQ153" s="310"/>
      <c r="AR153" s="220"/>
      <c r="AS153" s="137"/>
      <c r="AT153" s="137"/>
      <c r="AU153" s="137"/>
      <c r="AV153" s="137"/>
      <c r="AW153" s="137"/>
    </row>
    <row r="154" spans="1:49">
      <c r="A154" s="1076" t="str">
        <f>$A$14</f>
        <v>1Q</v>
      </c>
      <c r="B154" s="1089" t="str">
        <f>$B$14</f>
        <v>Apr</v>
      </c>
      <c r="C154" s="1076"/>
      <c r="D154" s="1077">
        <f>(S154/S147-1)*100</f>
        <v>-12.332896121847782</v>
      </c>
      <c r="E154" s="1076" t="s">
        <v>576</v>
      </c>
      <c r="F154" s="1090">
        <v>-0.9</v>
      </c>
      <c r="G154" s="1076" t="s">
        <v>576</v>
      </c>
      <c r="H154" s="1077">
        <f>D154-F154</f>
        <v>-11.432896121847781</v>
      </c>
      <c r="I154" s="1076" t="s">
        <v>576</v>
      </c>
      <c r="J154" s="1076">
        <f>619+111</f>
        <v>730</v>
      </c>
      <c r="K154" s="1076" t="s">
        <v>653</v>
      </c>
      <c r="L154" s="1080">
        <f>AVERAGE(J154,721)</f>
        <v>725.5</v>
      </c>
      <c r="M154" s="1076"/>
      <c r="N154" s="1077">
        <f>(L154/L147-1)*100</f>
        <v>-21.652267818574511</v>
      </c>
      <c r="O154" s="1081" t="s">
        <v>576</v>
      </c>
      <c r="P154" s="1082">
        <f>H154/N154*100</f>
        <v>52.802303285940376</v>
      </c>
      <c r="Q154" s="1083" t="s">
        <v>576</v>
      </c>
      <c r="R154" s="1076"/>
      <c r="S154" s="1091">
        <v>372.28800000000001</v>
      </c>
      <c r="T154" s="1076"/>
      <c r="U154" s="1085">
        <f>S154/L154</f>
        <v>0.51314679531357688</v>
      </c>
      <c r="V154" s="1076"/>
      <c r="W154" s="1086">
        <f>(U154/U147-1)*100</f>
        <v>11.894883792100575</v>
      </c>
      <c r="X154" s="1081" t="s">
        <v>576</v>
      </c>
      <c r="Y154" s="1076"/>
      <c r="Z154" s="1092">
        <f>+qtrSales!Z152-Z307-Z199</f>
        <v>2.4754200000000002</v>
      </c>
      <c r="AA154" s="1076"/>
      <c r="AB154" s="1087">
        <f>AVERAGE(Z154,Z150)</f>
        <v>2.7567849999999998</v>
      </c>
      <c r="AC154" s="1076"/>
      <c r="AD154" s="1077">
        <f>(AB154/AB147-1)*100</f>
        <v>-5.4530364263124742</v>
      </c>
      <c r="AE154" s="1081" t="s">
        <v>576</v>
      </c>
      <c r="AF154" s="1082">
        <f>+H154/AD154*100</f>
        <v>209.66109939557268</v>
      </c>
      <c r="AG154" s="1083" t="s">
        <v>576</v>
      </c>
      <c r="AH154" s="1076"/>
      <c r="AI154" s="1084">
        <f>+S154</f>
        <v>372.28800000000001</v>
      </c>
      <c r="AJ154" s="1076"/>
      <c r="AK154" s="1088">
        <f>AI154/AB154</f>
        <v>135.04426351710418</v>
      </c>
      <c r="AL154" s="1076"/>
      <c r="AM154" s="1086">
        <f>(AK154/AK147-1)*100</f>
        <v>-7.2766585361287772</v>
      </c>
      <c r="AN154" s="1081" t="s">
        <v>576</v>
      </c>
      <c r="AO154" s="137"/>
      <c r="AP154" s="291">
        <f>+F154</f>
        <v>-0.9</v>
      </c>
      <c r="AQ154" s="291">
        <f>+F342</f>
        <v>0</v>
      </c>
      <c r="AR154" s="291">
        <f>+'qtrP&amp;L'!CD17</f>
        <v>0</v>
      </c>
      <c r="AS154" s="137"/>
      <c r="AT154" s="753">
        <f>+S147/(S147+S300)</f>
        <v>0.65832892805154264</v>
      </c>
      <c r="AU154" s="754">
        <f>+S300/(S147+S300)</f>
        <v>0.34167107194845742</v>
      </c>
      <c r="AV154" s="291">
        <f>+AT154*AP154+AU154*AQ154</f>
        <v>-0.59249603524638839</v>
      </c>
      <c r="AW154" s="735" t="str">
        <f>+(IF(ROUND(AR154,0)=ROUND(AV154,0),"y","n"))</f>
        <v>n</v>
      </c>
    </row>
    <row r="155" spans="1:49">
      <c r="A155" s="1076" t="str">
        <f>$A$15</f>
        <v>2Q</v>
      </c>
      <c r="B155" s="1089" t="str">
        <f>$B$15</f>
        <v>Jul</v>
      </c>
      <c r="C155" s="1076"/>
      <c r="D155" s="1077">
        <f>(S155/S148-1)*100</f>
        <v>-15.612657751715552</v>
      </c>
      <c r="E155" s="1076"/>
      <c r="F155" s="1090">
        <v>0.7</v>
      </c>
      <c r="G155" s="1076"/>
      <c r="H155" s="1077">
        <f>D155-F155</f>
        <v>-16.312657751715552</v>
      </c>
      <c r="I155" s="1076"/>
      <c r="J155" s="1076">
        <f>620+115</f>
        <v>735</v>
      </c>
      <c r="K155" s="1076">
        <f>J155-J154</f>
        <v>5</v>
      </c>
      <c r="L155" s="1080">
        <f>AVERAGE(J155,J154)</f>
        <v>732.5</v>
      </c>
      <c r="M155" s="1076"/>
      <c r="N155" s="1077">
        <f>(L155/L148-1)*100</f>
        <v>-22.691292875989443</v>
      </c>
      <c r="O155" s="1081"/>
      <c r="P155" s="1082">
        <f>H155/N155*100</f>
        <v>71.88950334767668</v>
      </c>
      <c r="Q155" s="1083"/>
      <c r="R155" s="1076"/>
      <c r="S155" s="1093">
        <v>349.983</v>
      </c>
      <c r="T155" s="1076"/>
      <c r="U155" s="1094">
        <f>S155/L155</f>
        <v>0.4777924914675768</v>
      </c>
      <c r="V155" s="1076"/>
      <c r="W155" s="1086">
        <f>(U155/U148-1)*100</f>
        <v>9.1563232494873859</v>
      </c>
      <c r="X155" s="1081"/>
      <c r="Y155" s="1076"/>
      <c r="Z155" s="1092">
        <f>+qtrSales!Z153-Z308-Z200</f>
        <v>2.5007341250000001</v>
      </c>
      <c r="AA155" s="1076"/>
      <c r="AB155" s="1087">
        <f>AVERAGE(Z155,Z154)</f>
        <v>2.4880770625000004</v>
      </c>
      <c r="AC155" s="1076"/>
      <c r="AD155" s="1077">
        <f>(AB155/AB148-1)*100</f>
        <v>-16.303945942366116</v>
      </c>
      <c r="AE155" s="1081"/>
      <c r="AF155" s="1082">
        <f>+H155/AD155*100</f>
        <v>100.05343374775795</v>
      </c>
      <c r="AG155" s="1083"/>
      <c r="AH155" s="1076"/>
      <c r="AI155" s="1095">
        <f>+S155</f>
        <v>349.983</v>
      </c>
      <c r="AJ155" s="1076"/>
      <c r="AK155" s="1096">
        <f>AI155/AB155</f>
        <v>140.66405147770618</v>
      </c>
      <c r="AL155" s="1076"/>
      <c r="AM155" s="1086">
        <f>(AK155/AK148-1)*100</f>
        <v>0.8259507553062706</v>
      </c>
      <c r="AN155" s="1081"/>
      <c r="AO155" s="137"/>
      <c r="AP155" s="291">
        <f>+F155</f>
        <v>0.7</v>
      </c>
      <c r="AQ155" s="291">
        <f>+F343</f>
        <v>0</v>
      </c>
      <c r="AR155" s="291">
        <f>+'qtrP&amp;L'!CD18</f>
        <v>0</v>
      </c>
      <c r="AS155" s="137"/>
      <c r="AT155" s="753">
        <f>+S148/(S148+S301)</f>
        <v>0.66911574898680914</v>
      </c>
      <c r="AU155" s="754">
        <f>+S301/(S148+S301)</f>
        <v>0.33088425101319086</v>
      </c>
      <c r="AV155" s="291">
        <f>+AT155*AP155+AU155*AQ155</f>
        <v>0.46838102429076639</v>
      </c>
      <c r="AW155" s="735" t="str">
        <f>+(IF(ROUND(AR155,0)=ROUND(AV155,0),"y","n"))</f>
        <v>y</v>
      </c>
    </row>
    <row r="156" spans="1:49">
      <c r="A156" s="1076" t="str">
        <f>$A$16</f>
        <v>3Q</v>
      </c>
      <c r="B156" s="1089" t="str">
        <f>$B$16</f>
        <v>Oct</v>
      </c>
      <c r="C156" s="1076"/>
      <c r="D156" s="1077">
        <f>(S156/S149-1)*100</f>
        <v>-16.415074828230559</v>
      </c>
      <c r="E156" s="1076"/>
      <c r="F156" s="1090">
        <v>-2.6</v>
      </c>
      <c r="G156" s="1076"/>
      <c r="H156" s="1077">
        <f>D156-F156</f>
        <v>-13.815074828230559</v>
      </c>
      <c r="I156" s="1076"/>
      <c r="J156" s="1076">
        <f>621+118+3</f>
        <v>742</v>
      </c>
      <c r="K156" s="1076">
        <f>J156-J155</f>
        <v>7</v>
      </c>
      <c r="L156" s="1080">
        <f>AVERAGE(J156,J155)</f>
        <v>738.5</v>
      </c>
      <c r="M156" s="1076"/>
      <c r="N156" s="1077">
        <f>(L156/L149-1)*100</f>
        <v>-23.511134127395128</v>
      </c>
      <c r="O156" s="1081"/>
      <c r="P156" s="1082">
        <f>H156/N156*100</f>
        <v>58.759712540337475</v>
      </c>
      <c r="Q156" s="1083"/>
      <c r="R156" s="1076"/>
      <c r="S156" s="1093">
        <v>347.56200000000001</v>
      </c>
      <c r="T156" s="1076"/>
      <c r="U156" s="1094">
        <f>S156/L156</f>
        <v>0.47063236289776578</v>
      </c>
      <c r="V156" s="1076"/>
      <c r="W156" s="1086">
        <f>(U156/U149-1)*100</f>
        <v>9.2772447574047447</v>
      </c>
      <c r="X156" s="1081"/>
      <c r="Y156" s="1076"/>
      <c r="Z156" s="1092">
        <f>+qtrSales!Z154-Z309-Z201</f>
        <v>2.53416</v>
      </c>
      <c r="AA156" s="1076"/>
      <c r="AB156" s="1087">
        <f>AVERAGE(Z156,Z155)</f>
        <v>2.5174470625000001</v>
      </c>
      <c r="AC156" s="1076"/>
      <c r="AD156" s="1077">
        <f>(AB156/AB149-1)*100</f>
        <v>-16.665988063620674</v>
      </c>
      <c r="AE156" s="1081"/>
      <c r="AF156" s="1082">
        <f>+H156/AD156*100</f>
        <v>82.89382408947462</v>
      </c>
      <c r="AG156" s="1083"/>
      <c r="AH156" s="1076"/>
      <c r="AI156" s="1095">
        <f>+S156</f>
        <v>347.56200000000001</v>
      </c>
      <c r="AJ156" s="1076"/>
      <c r="AK156" s="1096">
        <f>AI156/AB156</f>
        <v>138.06129438719827</v>
      </c>
      <c r="AL156" s="1076"/>
      <c r="AM156" s="1086">
        <f>(AK156/AK149-1)*100</f>
        <v>0.30109343059312454</v>
      </c>
      <c r="AN156" s="1081"/>
      <c r="AO156" s="137"/>
      <c r="AP156" s="291">
        <f>+F156</f>
        <v>-2.6</v>
      </c>
      <c r="AQ156" s="291">
        <f>+F344</f>
        <v>0</v>
      </c>
      <c r="AR156" s="291">
        <f>+'qtrP&amp;L'!CD19</f>
        <v>0</v>
      </c>
      <c r="AS156" s="137"/>
      <c r="AT156" s="753">
        <f>+S149/(S149+S302)</f>
        <v>0.65584627590024902</v>
      </c>
      <c r="AU156" s="754">
        <f>+S302/(S149+S302)</f>
        <v>0.34415372409975092</v>
      </c>
      <c r="AV156" s="291">
        <f>+AT156*AP156+AU156*AQ156</f>
        <v>-1.7052003173406476</v>
      </c>
      <c r="AW156" s="735" t="str">
        <f>+(IF(ROUND(AR156,0)=ROUND(AV156,0),"y","n"))</f>
        <v>n</v>
      </c>
    </row>
    <row r="157" spans="1:49">
      <c r="A157" s="1076" t="str">
        <f>$A$17</f>
        <v>4Q</v>
      </c>
      <c r="B157" s="1089" t="str">
        <f>$B$17</f>
        <v>Jan</v>
      </c>
      <c r="C157" s="1076"/>
      <c r="D157" s="1097">
        <f>(S157/S150-1)*100</f>
        <v>-17.310559486628286</v>
      </c>
      <c r="E157" s="1076"/>
      <c r="F157" s="1098">
        <v>1.2</v>
      </c>
      <c r="G157" s="1076"/>
      <c r="H157" s="1097">
        <f>D157-F157</f>
        <v>-18.510559486628285</v>
      </c>
      <c r="I157" s="1076"/>
      <c r="J157" s="1076">
        <f>613+118+3</f>
        <v>734</v>
      </c>
      <c r="K157" s="1076">
        <f>J157-J156</f>
        <v>-8</v>
      </c>
      <c r="L157" s="1099">
        <f>AVERAGE(J157,J156)</f>
        <v>738</v>
      </c>
      <c r="M157" s="1076"/>
      <c r="N157" s="1097">
        <f>(L157/L150-1)*100</f>
        <v>-24.074074074074069</v>
      </c>
      <c r="O157" s="1081"/>
      <c r="P157" s="1099">
        <f>H157/N157*100</f>
        <v>76.890016329071358</v>
      </c>
      <c r="Q157" s="1083"/>
      <c r="R157" s="1076"/>
      <c r="S157" s="1100">
        <v>310.02999999999997</v>
      </c>
      <c r="T157" s="1076"/>
      <c r="U157" s="1101">
        <f>S157/L157</f>
        <v>0.42009485094850946</v>
      </c>
      <c r="V157" s="1076"/>
      <c r="W157" s="1102">
        <f>(U157/U150-1)*100</f>
        <v>8.90804360297739</v>
      </c>
      <c r="X157" s="1081"/>
      <c r="Y157" s="1076"/>
      <c r="Z157" s="1092">
        <f>+qtrSales!Z155-Z310-Z202</f>
        <v>2.5132349999999999</v>
      </c>
      <c r="AA157" s="1076"/>
      <c r="AB157" s="1103">
        <f>AVERAGE(Z157,Z156)</f>
        <v>2.5236974999999999</v>
      </c>
      <c r="AC157" s="1076"/>
      <c r="AD157" s="1097">
        <f>(AB157/AB150-1)*100</f>
        <v>-17.020944735580436</v>
      </c>
      <c r="AE157" s="1081"/>
      <c r="AF157" s="1099">
        <f>+H157/AD157*100</f>
        <v>108.75165729158365</v>
      </c>
      <c r="AG157" s="1083"/>
      <c r="AH157" s="1076"/>
      <c r="AI157" s="1104">
        <f>+S157</f>
        <v>310.02999999999997</v>
      </c>
      <c r="AJ157" s="1076"/>
      <c r="AK157" s="1105">
        <f>AI157/AB157</f>
        <v>122.84752827943919</v>
      </c>
      <c r="AL157" s="1076"/>
      <c r="AM157" s="1102">
        <f>(AK157/AK150-1)*100</f>
        <v>-0.34902150925311126</v>
      </c>
      <c r="AN157" s="1081"/>
      <c r="AO157" s="137"/>
      <c r="AP157" s="291">
        <f>+F157</f>
        <v>1.2</v>
      </c>
      <c r="AQ157" s="291">
        <f>+F345</f>
        <v>0</v>
      </c>
      <c r="AR157" s="291">
        <f>+'qtrP&amp;L'!CD20</f>
        <v>-49.666184225875298</v>
      </c>
      <c r="AS157" s="137"/>
      <c r="AT157" s="753">
        <f>+S150/(S150+S303)</f>
        <v>0.63524601968428562</v>
      </c>
      <c r="AU157" s="754">
        <f>+S303/(S150+S303)</f>
        <v>0.36475398031571438</v>
      </c>
      <c r="AV157" s="291">
        <f>+AT157*AP157+AU157*AQ157</f>
        <v>0.76229522362114277</v>
      </c>
      <c r="AW157" s="735" t="str">
        <f>+(IF(ROUND(AR157,0)=ROUND(AV157,0),"y","n"))</f>
        <v>n</v>
      </c>
    </row>
    <row r="158" spans="1:49">
      <c r="A158" s="1076"/>
      <c r="B158" s="1089" t="str">
        <f>$B$18</f>
        <v>Year</v>
      </c>
      <c r="C158" s="1076"/>
      <c r="D158" s="1077">
        <f>(S158/S151-1)*100</f>
        <v>-15.353461988397354</v>
      </c>
      <c r="E158" s="1076"/>
      <c r="F158" s="1078">
        <v>-0.5</v>
      </c>
      <c r="G158" s="1076"/>
      <c r="H158" s="1077">
        <f>D158-F158</f>
        <v>-14.853461988397354</v>
      </c>
      <c r="I158" s="1076"/>
      <c r="J158" s="1079"/>
      <c r="K158" s="1076"/>
      <c r="L158" s="1080">
        <f>AVERAGE(L154:L157)</f>
        <v>733.625</v>
      </c>
      <c r="M158" s="1076"/>
      <c r="N158" s="1077">
        <f>(L158/L151-1)*100</f>
        <v>-22.999212805038049</v>
      </c>
      <c r="O158" s="1081"/>
      <c r="P158" s="1082">
        <f>H158/N158*100</f>
        <v>64.582479906197733</v>
      </c>
      <c r="Q158" s="1083"/>
      <c r="R158" s="1076"/>
      <c r="S158" s="1084">
        <v>1379.8630000000001</v>
      </c>
      <c r="T158" s="1076"/>
      <c r="U158" s="1085">
        <f>SUM(U154:U157)</f>
        <v>1.8816665006274289</v>
      </c>
      <c r="V158" s="1076"/>
      <c r="W158" s="1086">
        <f>(U158/U151-1)*100</f>
        <v>9.8640881324010277</v>
      </c>
      <c r="X158" s="1081"/>
      <c r="Y158" s="1076"/>
      <c r="Z158" s="1076"/>
      <c r="AA158" s="1076"/>
      <c r="AB158" s="1087">
        <f>AVERAGE(AB154:AB157)</f>
        <v>2.5715016562499997</v>
      </c>
      <c r="AC158" s="1076"/>
      <c r="AD158" s="1077">
        <f>(AB158/AB151-1)*100</f>
        <v>-13.930505266246207</v>
      </c>
      <c r="AE158" s="1081"/>
      <c r="AF158" s="1082">
        <f>+H158/AD158*100</f>
        <v>106.62543608082531</v>
      </c>
      <c r="AG158" s="1083"/>
      <c r="AH158" s="1076"/>
      <c r="AI158" s="1084">
        <f>SUM(AI154:AI157)</f>
        <v>1379.8630000000001</v>
      </c>
      <c r="AJ158" s="1076"/>
      <c r="AK158" s="1088">
        <f>SUM(AK154:AK157)</f>
        <v>536.61713766144783</v>
      </c>
      <c r="AL158" s="1076"/>
      <c r="AM158" s="1086">
        <f>(AK158/AK151-1)*100</f>
        <v>-1.7326085699052252</v>
      </c>
      <c r="AN158" s="1081"/>
      <c r="AO158" s="137"/>
      <c r="AP158" s="726"/>
      <c r="AQ158" s="310"/>
      <c r="AR158" s="220"/>
      <c r="AS158" s="137"/>
      <c r="AT158" s="137"/>
      <c r="AU158" s="137"/>
      <c r="AV158" s="137"/>
      <c r="AW158" s="137"/>
    </row>
    <row r="159" spans="1:49">
      <c r="A159" s="1076"/>
      <c r="B159" s="1089"/>
      <c r="C159" s="1076"/>
      <c r="D159" s="1077"/>
      <c r="E159" s="1076"/>
      <c r="F159" s="1078"/>
      <c r="G159" s="1076"/>
      <c r="H159" s="1077"/>
      <c r="I159" s="1076"/>
      <c r="J159" s="1079"/>
      <c r="K159" s="1076"/>
      <c r="L159" s="1077"/>
      <c r="M159" s="1076"/>
      <c r="N159" s="1077"/>
      <c r="O159" s="1081"/>
      <c r="P159" s="1082"/>
      <c r="Q159" s="1083"/>
      <c r="R159" s="1076"/>
      <c r="S159" s="1084"/>
      <c r="T159" s="1076"/>
      <c r="U159" s="1085"/>
      <c r="V159" s="1076"/>
      <c r="W159" s="1086"/>
      <c r="X159" s="1081"/>
      <c r="Y159" s="1076"/>
      <c r="Z159" s="1076"/>
      <c r="AA159" s="1076"/>
      <c r="AB159" s="1087"/>
      <c r="AC159" s="1076"/>
      <c r="AD159" s="1077"/>
      <c r="AE159" s="1081"/>
      <c r="AF159" s="1082"/>
      <c r="AG159" s="1083"/>
      <c r="AH159" s="1076"/>
      <c r="AI159" s="1084"/>
      <c r="AJ159" s="1076"/>
      <c r="AK159" s="1088"/>
      <c r="AL159" s="1076"/>
      <c r="AM159" s="1086"/>
      <c r="AN159" s="1081"/>
      <c r="AO159" s="137"/>
      <c r="AP159" s="726"/>
      <c r="AQ159" s="310"/>
      <c r="AR159" s="220"/>
      <c r="AS159" s="137"/>
      <c r="AT159" s="137"/>
      <c r="AU159" s="137"/>
      <c r="AV159" s="137"/>
      <c r="AW159" s="137"/>
    </row>
    <row r="160" spans="1:49">
      <c r="A160" s="1074"/>
      <c r="B160" s="1075">
        <v>2015</v>
      </c>
      <c r="C160" s="1076"/>
      <c r="D160" s="1112" t="s">
        <v>721</v>
      </c>
      <c r="E160" s="1076"/>
      <c r="F160" s="1078"/>
      <c r="G160" s="1076"/>
      <c r="H160" s="1077"/>
      <c r="I160" s="1076"/>
      <c r="J160" s="1079"/>
      <c r="K160" s="1076"/>
      <c r="L160" s="1077"/>
      <c r="M160" s="1076"/>
      <c r="N160" s="1077"/>
      <c r="O160" s="1081"/>
      <c r="P160" s="1082"/>
      <c r="Q160" s="1083"/>
      <c r="R160" s="1076"/>
      <c r="S160" s="1084"/>
      <c r="T160" s="1076"/>
      <c r="U160" s="1107"/>
      <c r="V160" s="1076"/>
      <c r="W160" s="1086"/>
      <c r="X160" s="1081"/>
      <c r="Y160" s="1076"/>
      <c r="Z160" s="1076"/>
      <c r="AA160" s="1076"/>
      <c r="AB160" s="1087"/>
      <c r="AC160" s="1076"/>
      <c r="AD160" s="1077"/>
      <c r="AE160" s="1081"/>
      <c r="AF160" s="1082"/>
      <c r="AG160" s="1083"/>
      <c r="AH160" s="1076"/>
      <c r="AI160" s="1084"/>
      <c r="AJ160" s="1076"/>
      <c r="AK160" s="1088"/>
      <c r="AL160" s="1076"/>
      <c r="AM160" s="1086"/>
      <c r="AN160" s="1081"/>
      <c r="AO160" s="137"/>
      <c r="AP160" s="726"/>
      <c r="AQ160" s="310"/>
      <c r="AR160" s="220"/>
      <c r="AS160" s="137"/>
      <c r="AT160" s="137"/>
      <c r="AU160" s="137"/>
      <c r="AV160" s="137"/>
      <c r="AW160" s="137"/>
    </row>
    <row r="161" spans="1:50">
      <c r="A161" s="1076" t="str">
        <f>$A$14</f>
        <v>1Q</v>
      </c>
      <c r="B161" s="1089" t="str">
        <f>$B$14</f>
        <v>Apr</v>
      </c>
      <c r="C161" s="1076"/>
      <c r="D161" s="1077">
        <f>(S161/S154-1)*100</f>
        <v>-0.65245186522263632</v>
      </c>
      <c r="E161" s="1076" t="s">
        <v>576</v>
      </c>
      <c r="F161" s="1090">
        <v>-2.2999999999999998</v>
      </c>
      <c r="G161" s="1076" t="s">
        <v>576</v>
      </c>
      <c r="H161" s="1077">
        <f>D161-F161</f>
        <v>1.6475481347773635</v>
      </c>
      <c r="I161" s="1076" t="s">
        <v>576</v>
      </c>
      <c r="J161" s="1076">
        <f>612+118+4</f>
        <v>734</v>
      </c>
      <c r="K161" s="1076">
        <f>J161-J157</f>
        <v>0</v>
      </c>
      <c r="L161" s="1080">
        <f>AVERAGE(J161,J157)</f>
        <v>734</v>
      </c>
      <c r="M161" s="1076"/>
      <c r="N161" s="1077">
        <f>(L161/L154-1)*100</f>
        <v>1.1716057891109521</v>
      </c>
      <c r="O161" s="1081" t="s">
        <v>576</v>
      </c>
      <c r="P161" s="1082">
        <f>H161/N161*100</f>
        <v>140.62307903305685</v>
      </c>
      <c r="Q161" s="1083" t="s">
        <v>576</v>
      </c>
      <c r="R161" s="1076"/>
      <c r="S161" s="1091">
        <v>369.85899999999998</v>
      </c>
      <c r="T161" s="1076"/>
      <c r="U161" s="1085">
        <f>S161/L161</f>
        <v>0.50389509536784738</v>
      </c>
      <c r="V161" s="1076"/>
      <c r="W161" s="1086">
        <f>(U161/U154-1)*100</f>
        <v>-1.8029343708706014</v>
      </c>
      <c r="X161" s="1081" t="s">
        <v>576</v>
      </c>
      <c r="Y161" s="1076"/>
      <c r="Z161" s="1092">
        <f>qtrSales!Z159-segQtrSales!Z314-Z206</f>
        <v>2.5160287499999998</v>
      </c>
      <c r="AA161" s="1076"/>
      <c r="AB161" s="1087">
        <f>AVERAGE(Z161,Z157)</f>
        <v>2.5146318750000001</v>
      </c>
      <c r="AC161" s="1076"/>
      <c r="AD161" s="1077">
        <f>(AB161/AB154-1)*100</f>
        <v>-8.7838959149879159</v>
      </c>
      <c r="AE161" s="1081" t="s">
        <v>576</v>
      </c>
      <c r="AF161" s="1082">
        <f>+H161/AD161*100</f>
        <v>-18.756462402590184</v>
      </c>
      <c r="AG161" s="1083" t="s">
        <v>576</v>
      </c>
      <c r="AH161" s="1076"/>
      <c r="AI161" s="1084">
        <f>+S161</f>
        <v>369.85899999999998</v>
      </c>
      <c r="AJ161" s="1076"/>
      <c r="AK161" s="1088">
        <f>AI161/AB161</f>
        <v>147.08276136840107</v>
      </c>
      <c r="AL161" s="1076"/>
      <c r="AM161" s="1086">
        <f>(AK161/AK154-1)*100</f>
        <v>8.9144829537850967</v>
      </c>
      <c r="AN161" s="1081" t="s">
        <v>576</v>
      </c>
      <c r="AO161" s="137"/>
      <c r="AP161" s="291">
        <f>+F161</f>
        <v>-2.2999999999999998</v>
      </c>
      <c r="AQ161" s="291">
        <f>+F349</f>
        <v>0</v>
      </c>
      <c r="AR161" s="291">
        <f>+'qtrP&amp;L'!CD24</f>
        <v>-146.82761313638224</v>
      </c>
      <c r="AS161" s="137"/>
      <c r="AT161" s="753">
        <f>+S154/(S154+S307)</f>
        <v>0.63157359011028724</v>
      </c>
      <c r="AU161" s="754">
        <f>+S307/(S154+S307)</f>
        <v>0.36842640988971281</v>
      </c>
      <c r="AV161" s="291">
        <f>+AT161*AP161+AU161*AQ161</f>
        <v>-1.4526192572536605</v>
      </c>
      <c r="AW161" s="735" t="str">
        <f>+(IF(ROUND(AR161,0)=ROUND(AV161,0),"y","n"))</f>
        <v>n</v>
      </c>
    </row>
    <row r="162" spans="1:50">
      <c r="A162" s="1076" t="str">
        <f>$A$15</f>
        <v>2Q</v>
      </c>
      <c r="B162" s="1089" t="str">
        <f>$B$15</f>
        <v>Jul</v>
      </c>
      <c r="C162" s="1076"/>
      <c r="D162" s="1077">
        <f>(S162/S155-1)*100</f>
        <v>1.5526468428466389</v>
      </c>
      <c r="E162" s="1076"/>
      <c r="F162" s="1090">
        <v>0.9</v>
      </c>
      <c r="G162" s="1076"/>
      <c r="H162" s="1077">
        <f>D162-F162</f>
        <v>0.65264684284663887</v>
      </c>
      <c r="I162" s="1076"/>
      <c r="J162" s="1076">
        <f>609+119+4</f>
        <v>732</v>
      </c>
      <c r="K162" s="1076">
        <f>J162-J161</f>
        <v>-2</v>
      </c>
      <c r="L162" s="1080">
        <f>AVERAGE(J162,J161)</f>
        <v>733</v>
      </c>
      <c r="M162" s="1076"/>
      <c r="N162" s="1077">
        <f>(L162/L155-1)*100</f>
        <v>6.8259385665525585E-2</v>
      </c>
      <c r="O162" s="1081"/>
      <c r="P162" s="1082">
        <f>H162/N162*100</f>
        <v>956.12762477037393</v>
      </c>
      <c r="Q162" s="1083"/>
      <c r="R162" s="1076"/>
      <c r="S162" s="1093">
        <v>355.41699999999997</v>
      </c>
      <c r="T162" s="1076"/>
      <c r="U162" s="1094">
        <f>S162/L162</f>
        <v>0.48487994542974078</v>
      </c>
      <c r="V162" s="1076"/>
      <c r="W162" s="1086">
        <f>(U162/U155-1)*100</f>
        <v>1.4833749145773067</v>
      </c>
      <c r="X162" s="1081"/>
      <c r="Y162" s="1076"/>
      <c r="Z162" s="1092">
        <f>qtrSales!Z160-segQtrSales!Z315-Z207</f>
        <v>2.5057774999999998</v>
      </c>
      <c r="AA162" s="1076"/>
      <c r="AB162" s="1087">
        <f>AVERAGE(Z162,Z161)</f>
        <v>2.5109031249999996</v>
      </c>
      <c r="AC162" s="1076"/>
      <c r="AD162" s="1077">
        <f>(AB162/AB155-1)*100</f>
        <v>0.91741782616105993</v>
      </c>
      <c r="AE162" s="1081"/>
      <c r="AF162" s="1082">
        <f>+H162/AD162*100</f>
        <v>71.139542336739112</v>
      </c>
      <c r="AG162" s="1083"/>
      <c r="AH162" s="1076"/>
      <c r="AI162" s="1095">
        <f>+S162</f>
        <v>355.41699999999997</v>
      </c>
      <c r="AJ162" s="1076"/>
      <c r="AK162" s="1096">
        <f>AI162/AB162</f>
        <v>141.54946738536557</v>
      </c>
      <c r="AL162" s="1076"/>
      <c r="AM162" s="1086">
        <f>(AK162/AK155-1)*100</f>
        <v>0.62945429081411319</v>
      </c>
      <c r="AN162" s="1081"/>
      <c r="AO162" s="137"/>
      <c r="AP162" s="291">
        <f>+F162</f>
        <v>0.9</v>
      </c>
      <c r="AQ162" s="291">
        <f>+F350</f>
        <v>0</v>
      </c>
      <c r="AR162" s="291">
        <f>+'qtrP&amp;L'!CD25</f>
        <v>-1.0344687970293904</v>
      </c>
      <c r="AS162" s="137"/>
      <c r="AT162" s="753">
        <f>+S155/(S155+S308)</f>
        <v>0.62065057980446792</v>
      </c>
      <c r="AU162" s="754">
        <f>+S308/(S155+S308)</f>
        <v>0.37934942019553219</v>
      </c>
      <c r="AV162" s="291">
        <f>+AT162*AP162+AU162*AQ162</f>
        <v>0.5585855218240211</v>
      </c>
      <c r="AW162" s="735" t="str">
        <f>+(IF(ROUND(AR162,0)=ROUND(AV162,0),"y","n"))</f>
        <v>n</v>
      </c>
    </row>
    <row r="163" spans="1:50">
      <c r="A163" s="1076" t="str">
        <f>$A$16</f>
        <v>3Q</v>
      </c>
      <c r="B163" s="1089" t="str">
        <f>$B$16</f>
        <v>Oct</v>
      </c>
      <c r="C163" s="1076"/>
      <c r="D163" s="1108">
        <f>(S163/S156-1)*100</f>
        <v>-4.0686266047496584</v>
      </c>
      <c r="E163" s="1076"/>
      <c r="F163" s="1090">
        <v>-4.7</v>
      </c>
      <c r="G163" s="1076"/>
      <c r="H163" s="1108">
        <f>D163-F163</f>
        <v>0.63137339525034175</v>
      </c>
      <c r="I163" s="1076"/>
      <c r="J163" s="1076">
        <f>607+119+4</f>
        <v>730</v>
      </c>
      <c r="K163" s="1076">
        <f>J163-J162</f>
        <v>-2</v>
      </c>
      <c r="L163" s="1080">
        <f>AVERAGE(J163,J162)</f>
        <v>731</v>
      </c>
      <c r="M163" s="1076"/>
      <c r="N163" s="1077">
        <f>(L163/L156-1)*100</f>
        <v>-1.0155721056195</v>
      </c>
      <c r="O163" s="1081"/>
      <c r="P163" s="1082">
        <f>H163/N163*100</f>
        <v>-62.169233652316926</v>
      </c>
      <c r="Q163" s="1083"/>
      <c r="R163" s="1076"/>
      <c r="S163" s="1093">
        <v>333.42099999999999</v>
      </c>
      <c r="T163" s="1076"/>
      <c r="U163" s="1094">
        <f>S163/L163</f>
        <v>0.45611627906976743</v>
      </c>
      <c r="V163" s="1076"/>
      <c r="W163" s="1086">
        <f>(U163/U156-1)*100</f>
        <v>-3.084378587698533</v>
      </c>
      <c r="X163" s="1081"/>
      <c r="Y163" s="1076"/>
      <c r="Z163" s="1092">
        <f>qtrSales!Z161-segQtrSales!Z316-Z208</f>
        <v>2.4988724999999996</v>
      </c>
      <c r="AA163" s="1076"/>
      <c r="AB163" s="1087">
        <f>AVERAGE(Z163,Z162)</f>
        <v>2.5023249999999999</v>
      </c>
      <c r="AC163" s="1076"/>
      <c r="AD163" s="1077">
        <f>(AB163/AB156-1)*100</f>
        <v>-0.60069038691057397</v>
      </c>
      <c r="AE163" s="1081"/>
      <c r="AF163" s="1082">
        <f>+H163/AD163*100</f>
        <v>-105.10795727855316</v>
      </c>
      <c r="AG163" s="1083"/>
      <c r="AH163" s="1076"/>
      <c r="AI163" s="1095">
        <f>+S163</f>
        <v>333.42099999999999</v>
      </c>
      <c r="AJ163" s="1076"/>
      <c r="AK163" s="1096">
        <f>AI163/AB163</f>
        <v>133.24448263115303</v>
      </c>
      <c r="AL163" s="1076"/>
      <c r="AM163" s="1086">
        <f>(AK163/AK156-1)*100</f>
        <v>-3.4888936667045178</v>
      </c>
      <c r="AN163" s="1081"/>
      <c r="AO163" s="137"/>
      <c r="AP163" s="291">
        <f>+F163</f>
        <v>-4.7</v>
      </c>
      <c r="AQ163" s="291">
        <f>+F351</f>
        <v>0</v>
      </c>
      <c r="AR163" s="291">
        <f>+'qtrP&amp;L'!CD26</f>
        <v>-1.2536192094066436</v>
      </c>
      <c r="AS163" s="137"/>
      <c r="AT163" s="753">
        <f>+S156/(S156+S309)</f>
        <v>0.60750479799480517</v>
      </c>
      <c r="AU163" s="754">
        <f>+S309/(S156+S309)</f>
        <v>0.39249520200519472</v>
      </c>
      <c r="AV163" s="291">
        <f>+AT163*AP163+AU163*AQ163</f>
        <v>-2.8552725505755845</v>
      </c>
      <c r="AW163" s="735" t="str">
        <f>+(IF(ROUND(AR163,0)=ROUND(AV163,0),"y","n"))</f>
        <v>n</v>
      </c>
    </row>
    <row r="164" spans="1:50">
      <c r="A164" s="1076" t="str">
        <f>$A$17</f>
        <v>4Q</v>
      </c>
      <c r="B164" s="1089" t="str">
        <f>$B$17</f>
        <v>Jan</v>
      </c>
      <c r="C164" s="1076"/>
      <c r="D164" s="1097">
        <f>(S164/S157-1)*100</f>
        <v>-1.5921039899364553</v>
      </c>
      <c r="E164" s="1076"/>
      <c r="F164" s="1098">
        <v>-1.7</v>
      </c>
      <c r="G164" s="1076"/>
      <c r="H164" s="1097">
        <f>D164-F164</f>
        <v>0.10789601006354466</v>
      </c>
      <c r="I164" s="1076"/>
      <c r="J164" s="1076">
        <f>604+117+4</f>
        <v>725</v>
      </c>
      <c r="K164" s="1076">
        <f>J164-J163</f>
        <v>-5</v>
      </c>
      <c r="L164" s="1099">
        <f>AVERAGE(J164,J163)</f>
        <v>727.5</v>
      </c>
      <c r="M164" s="1076"/>
      <c r="N164" s="1097">
        <f>(L164/L157-1)*100</f>
        <v>-1.4227642276422814</v>
      </c>
      <c r="O164" s="1081"/>
      <c r="P164" s="1099">
        <f>H164/N164*100</f>
        <v>-7.5835481358948273</v>
      </c>
      <c r="Q164" s="1083"/>
      <c r="R164" s="1076"/>
      <c r="S164" s="1195">
        <v>305.09399999999999</v>
      </c>
      <c r="T164" s="1076"/>
      <c r="U164" s="1101">
        <f>S164/L164</f>
        <v>0.41937319587628863</v>
      </c>
      <c r="V164" s="1076"/>
      <c r="W164" s="1102">
        <f>(U164/U157-1)*100</f>
        <v>-0.17178384133760272</v>
      </c>
      <c r="X164" s="1081"/>
      <c r="Y164" s="1076"/>
      <c r="Z164" s="1092">
        <f>qtrSales!Z162-segQtrSales!Z317-Z209</f>
        <v>2.4454149999999997</v>
      </c>
      <c r="AA164" s="1076"/>
      <c r="AB164" s="1103">
        <f>AVERAGE(Z164,Z163)</f>
        <v>2.4721437499999999</v>
      </c>
      <c r="AC164" s="1076"/>
      <c r="AD164" s="1097">
        <f>(AB164/AB157-1)*100</f>
        <v>-2.0427864274541685</v>
      </c>
      <c r="AE164" s="1081"/>
      <c r="AF164" s="1099">
        <f>+H164/AD164*100</f>
        <v>-5.2818057048680576</v>
      </c>
      <c r="AG164" s="1083"/>
      <c r="AH164" s="1076"/>
      <c r="AI164" s="1104">
        <f>+S164</f>
        <v>305.09399999999999</v>
      </c>
      <c r="AJ164" s="1076"/>
      <c r="AK164" s="1105">
        <f>AI164/AB164</f>
        <v>123.41272630282928</v>
      </c>
      <c r="AL164" s="1076"/>
      <c r="AM164" s="1102">
        <f>(AK164/AK157-1)*100</f>
        <v>0.46008090785876199</v>
      </c>
      <c r="AN164" s="1081"/>
      <c r="AO164" s="137"/>
      <c r="AP164" s="291">
        <f>+F164</f>
        <v>-1.7</v>
      </c>
      <c r="AQ164" s="291">
        <f>+F352</f>
        <v>0</v>
      </c>
      <c r="AR164" s="291">
        <f>+'qtrP&amp;L'!CD27</f>
        <v>0</v>
      </c>
      <c r="AS164" s="137"/>
      <c r="AT164" s="753">
        <f>+S157/(S157+S310)</f>
        <v>0.57120800645586833</v>
      </c>
      <c r="AU164" s="754">
        <f>+S310/(S157+S310)</f>
        <v>0.42879199354413172</v>
      </c>
      <c r="AV164" s="291">
        <f>+AT164*AP164+AU164*AQ164</f>
        <v>-0.97105361097497611</v>
      </c>
      <c r="AW164" s="735" t="str">
        <f>+(IF(ROUND(AR164,0)=ROUND(AV164,0),"y","n"))</f>
        <v>n</v>
      </c>
    </row>
    <row r="165" spans="1:50">
      <c r="A165" s="1076"/>
      <c r="B165" s="1089" t="str">
        <f>$B$18</f>
        <v>Year</v>
      </c>
      <c r="C165" s="1076"/>
      <c r="D165" s="1077">
        <f>(S165/S158-1)*100</f>
        <v>-1.1647533124665377</v>
      </c>
      <c r="E165" s="1076"/>
      <c r="F165" s="1078">
        <v>-2</v>
      </c>
      <c r="G165" s="1076"/>
      <c r="H165" s="1077">
        <f>D165-F165</f>
        <v>0.83524668753346232</v>
      </c>
      <c r="I165" s="1076"/>
      <c r="J165" s="1079"/>
      <c r="K165" s="1076"/>
      <c r="L165" s="1080">
        <f>AVERAGE(L161:L164)</f>
        <v>731.375</v>
      </c>
      <c r="M165" s="1076"/>
      <c r="N165" s="1077">
        <f>(L165/L158-1)*100</f>
        <v>-0.30669620037485634</v>
      </c>
      <c r="O165" s="1081"/>
      <c r="P165" s="1082">
        <f>H165/N165*100</f>
        <v>-272.33682272965575</v>
      </c>
      <c r="Q165" s="1083"/>
      <c r="R165" s="1076"/>
      <c r="S165" s="1084">
        <f>SUM(S161:S164)</f>
        <v>1363.7909999999999</v>
      </c>
      <c r="T165" s="1076"/>
      <c r="U165" s="1085">
        <f>SUM(U161:U164)</f>
        <v>1.8642645157436442</v>
      </c>
      <c r="V165" s="1076"/>
      <c r="W165" s="1086">
        <f>(U165/U158-1)*100</f>
        <v>-0.92481770164809518</v>
      </c>
      <c r="X165" s="1081"/>
      <c r="Y165" s="1076"/>
      <c r="Z165" s="1076"/>
      <c r="AA165" s="1076"/>
      <c r="AB165" s="1087">
        <f>AVERAGE(AB161:AB164)</f>
        <v>2.5000009374999999</v>
      </c>
      <c r="AC165" s="1076"/>
      <c r="AD165" s="1077">
        <f>(AB165/AB158-1)*100</f>
        <v>-2.7805044797936773</v>
      </c>
      <c r="AE165" s="1081"/>
      <c r="AF165" s="1082">
        <f>+H165/AD165*100</f>
        <v>-30.039393700075621</v>
      </c>
      <c r="AG165" s="1083"/>
      <c r="AH165" s="1076"/>
      <c r="AI165" s="1084">
        <f>SUM(AI161:AI164)</f>
        <v>1363.7909999999999</v>
      </c>
      <c r="AJ165" s="1076"/>
      <c r="AK165" s="1088">
        <f>SUM(AK161:AK164)</f>
        <v>545.28943768774889</v>
      </c>
      <c r="AL165" s="1076"/>
      <c r="AM165" s="1086">
        <f>(AK165/AK158-1)*100</f>
        <v>1.6161056771489823</v>
      </c>
      <c r="AN165" s="1081"/>
      <c r="AO165" s="137"/>
      <c r="AP165" s="726"/>
      <c r="AQ165" s="310"/>
      <c r="AR165" s="220"/>
      <c r="AS165" s="137"/>
      <c r="AT165" s="137"/>
      <c r="AU165" s="137"/>
      <c r="AV165" s="137"/>
      <c r="AW165" s="137"/>
    </row>
    <row r="166" spans="1:50">
      <c r="A166" s="1076"/>
      <c r="B166" s="1089"/>
      <c r="C166" s="1076"/>
      <c r="D166" s="1077"/>
      <c r="E166" s="1076"/>
      <c r="F166" s="1078"/>
      <c r="G166" s="1076"/>
      <c r="H166" s="1077"/>
      <c r="I166" s="1076"/>
      <c r="J166" s="1079"/>
      <c r="K166" s="1076"/>
      <c r="L166" s="1077"/>
      <c r="M166" s="1076"/>
      <c r="N166" s="1077"/>
      <c r="O166" s="1081"/>
      <c r="P166" s="1082"/>
      <c r="Q166" s="1083"/>
      <c r="R166" s="1076"/>
      <c r="S166" s="1084"/>
      <c r="T166" s="1076"/>
      <c r="U166" s="1085"/>
      <c r="V166" s="1076"/>
      <c r="W166" s="1086"/>
      <c r="X166" s="1081"/>
      <c r="Y166" s="1076"/>
      <c r="Z166" s="1076"/>
      <c r="AA166" s="1076"/>
      <c r="AB166" s="1087"/>
      <c r="AC166" s="1076"/>
      <c r="AD166" s="1077"/>
      <c r="AE166" s="1081"/>
      <c r="AF166" s="1082"/>
      <c r="AG166" s="1083"/>
      <c r="AH166" s="1076"/>
      <c r="AI166" s="1084"/>
      <c r="AJ166" s="1076"/>
      <c r="AK166" s="1088"/>
      <c r="AL166" s="1076"/>
      <c r="AM166" s="1086"/>
      <c r="AN166" s="1081"/>
      <c r="AO166" s="137"/>
      <c r="AP166" s="726"/>
      <c r="AQ166" s="310"/>
      <c r="AR166" s="220"/>
      <c r="AS166" s="137"/>
      <c r="AT166" s="137"/>
      <c r="AU166" s="137"/>
      <c r="AV166" s="137"/>
      <c r="AW166" s="137"/>
    </row>
    <row r="167" spans="1:50">
      <c r="A167" s="1074"/>
      <c r="B167" s="1075">
        <v>2016</v>
      </c>
      <c r="C167" s="1076"/>
      <c r="D167" s="1112" t="s">
        <v>721</v>
      </c>
      <c r="E167" s="1076"/>
      <c r="F167" s="1078"/>
      <c r="G167" s="1076"/>
      <c r="H167" s="1077"/>
      <c r="I167" s="1076"/>
      <c r="J167" s="1079"/>
      <c r="K167" s="1076"/>
      <c r="L167" s="1077"/>
      <c r="M167" s="1076"/>
      <c r="N167" s="1077"/>
      <c r="O167" s="1081"/>
      <c r="P167" s="1082"/>
      <c r="Q167" s="1083"/>
      <c r="R167" s="1076"/>
      <c r="S167" s="1084"/>
      <c r="T167" s="1076"/>
      <c r="U167" s="1107"/>
      <c r="V167" s="1076"/>
      <c r="W167" s="1086"/>
      <c r="X167" s="1081"/>
      <c r="Y167" s="1076"/>
      <c r="Z167" s="1076"/>
      <c r="AA167" s="1076"/>
      <c r="AB167" s="1087"/>
      <c r="AC167" s="1076"/>
      <c r="AD167" s="1077"/>
      <c r="AE167" s="1081"/>
      <c r="AF167" s="1082"/>
      <c r="AG167" s="1083"/>
      <c r="AH167" s="1076"/>
      <c r="AI167" s="1084"/>
      <c r="AJ167" s="1076"/>
      <c r="AK167" s="1088"/>
      <c r="AL167" s="1076"/>
      <c r="AM167" s="1086"/>
      <c r="AN167" s="1081"/>
      <c r="AO167" s="137"/>
      <c r="AP167" s="726"/>
      <c r="AQ167" s="310"/>
      <c r="AR167" s="220"/>
      <c r="AS167" s="137"/>
      <c r="AT167" s="137"/>
      <c r="AU167" s="137"/>
      <c r="AV167" s="137"/>
      <c r="AW167" s="137"/>
    </row>
    <row r="168" spans="1:50">
      <c r="A168" s="1076" t="str">
        <f>$A$14</f>
        <v>1Q</v>
      </c>
      <c r="B168" s="1089" t="str">
        <f>$B$14</f>
        <v>Apr</v>
      </c>
      <c r="C168" s="1076"/>
      <c r="D168" s="1077">
        <f>(S168/S161-1)*100</f>
        <v>-5.7197472550350241</v>
      </c>
      <c r="E168" s="1083"/>
      <c r="F168" s="1090">
        <v>-5.4</v>
      </c>
      <c r="G168" s="1083"/>
      <c r="H168" s="1077">
        <f>D168-F168</f>
        <v>-0.31974725503502377</v>
      </c>
      <c r="I168" s="1083"/>
      <c r="J168" s="1294">
        <f>600+117+4</f>
        <v>721</v>
      </c>
      <c r="K168" s="1076">
        <f>J168-J164</f>
        <v>-4</v>
      </c>
      <c r="L168" s="1082">
        <f>AVERAGE(J168,J167)</f>
        <v>721</v>
      </c>
      <c r="M168" s="1083"/>
      <c r="N168" s="1108">
        <f>(L168/L161-1)*100</f>
        <v>-1.7711171662125325</v>
      </c>
      <c r="O168" s="1184"/>
      <c r="P168" s="1082">
        <f>H168/N168*100</f>
        <v>18.053421938131358</v>
      </c>
      <c r="Q168" s="1083"/>
      <c r="R168" s="1083"/>
      <c r="S168" s="1093">
        <v>348.70400000000001</v>
      </c>
      <c r="T168" s="1083"/>
      <c r="U168" s="1185">
        <f>S168/L168</f>
        <v>0.48363938973647713</v>
      </c>
      <c r="V168" s="1083"/>
      <c r="W168" s="1086">
        <f>(U168/U161-1)*100</f>
        <v>-4.0198259156667193</v>
      </c>
      <c r="X168" s="1184"/>
      <c r="Y168" s="1083"/>
      <c r="Z168" s="1092">
        <f>qtrSales!Z166-segQtrSales!Z321-Z213</f>
        <v>2.4287962499999995</v>
      </c>
      <c r="AA168" s="1083"/>
      <c r="AB168" s="1187">
        <f>AVERAGE(Z168,Z167)</f>
        <v>2.4287962499999995</v>
      </c>
      <c r="AC168" s="1083"/>
      <c r="AD168" s="1108">
        <f>(AB168/AB161-1)*100</f>
        <v>-3.4134469483729335</v>
      </c>
      <c r="AE168" s="1184"/>
      <c r="AF168" s="1082">
        <f>+H168/AD168*100</f>
        <v>9.36728356617453</v>
      </c>
      <c r="AG168" s="1083"/>
      <c r="AH168" s="1083"/>
      <c r="AI168" s="1188">
        <f>+S168</f>
        <v>348.70400000000001</v>
      </c>
      <c r="AJ168" s="1083"/>
      <c r="AK168" s="1189">
        <f>AI168/AB168</f>
        <v>143.5707091527336</v>
      </c>
      <c r="AL168" s="1083"/>
      <c r="AM168" s="1086">
        <f>(AK168/AK161-1)*100</f>
        <v>-2.3878068258935903</v>
      </c>
      <c r="AN168" s="1081" t="s">
        <v>576</v>
      </c>
      <c r="AO168" s="137"/>
      <c r="AP168" s="291">
        <f>+F168</f>
        <v>-5.4</v>
      </c>
      <c r="AQ168" s="291">
        <f>+F356</f>
        <v>0</v>
      </c>
      <c r="AR168" s="291">
        <f>+'qtrP&amp;L'!CD31</f>
        <v>3.5665185742608685</v>
      </c>
      <c r="AS168" s="137"/>
      <c r="AT168" s="753">
        <f>+S161/(S161+S314)</f>
        <v>0.62129746128429153</v>
      </c>
      <c r="AU168" s="754">
        <f>+S314/(S161+S314)</f>
        <v>0.37870253871570858</v>
      </c>
      <c r="AV168" s="291">
        <f>+AT168*AP168+AU168*AQ168</f>
        <v>-3.3550062909351746</v>
      </c>
      <c r="AW168" s="735" t="str">
        <f>+(IF(ROUND(AR168,0)=ROUND(AV168,0),"y","n"))</f>
        <v>n</v>
      </c>
    </row>
    <row r="169" spans="1:50">
      <c r="A169" s="1076" t="str">
        <f>$A$15</f>
        <v>2Q</v>
      </c>
      <c r="B169" s="1089" t="str">
        <f>$B$15</f>
        <v>Jul</v>
      </c>
      <c r="C169" s="1076"/>
      <c r="D169" s="1077">
        <f>(S169/S162-1)*100</f>
        <v>-5.9808619171283217</v>
      </c>
      <c r="E169" s="1083"/>
      <c r="F169" s="1090">
        <v>-5.0999999999999996</v>
      </c>
      <c r="G169" s="1083"/>
      <c r="H169" s="1077">
        <f>D169-F169</f>
        <v>-0.88086191712832207</v>
      </c>
      <c r="I169" s="1083"/>
      <c r="J169" s="1294">
        <f>599+117+4</f>
        <v>720</v>
      </c>
      <c r="K169" s="1076">
        <f>J169-J168</f>
        <v>-1</v>
      </c>
      <c r="L169" s="1082">
        <f>AVERAGE(J169,J168)</f>
        <v>720.5</v>
      </c>
      <c r="M169" s="1083"/>
      <c r="N169" s="1108">
        <f>(L169/L162-1)*100</f>
        <v>-1.7053206002728527</v>
      </c>
      <c r="O169" s="1184"/>
      <c r="P169" s="1082">
        <f>H169/N169*100</f>
        <v>51.653742820404766</v>
      </c>
      <c r="Q169" s="1083"/>
      <c r="R169" s="1083"/>
      <c r="S169" s="1093">
        <v>334.16</v>
      </c>
      <c r="T169" s="1083"/>
      <c r="U169" s="1185">
        <f>S169/L169</f>
        <v>0.46378903539208888</v>
      </c>
      <c r="V169" s="1083"/>
      <c r="W169" s="1086">
        <f>(U169/U162-1)*100</f>
        <v>-4.3497179531645447</v>
      </c>
      <c r="X169" s="1184"/>
      <c r="Y169" s="1083"/>
      <c r="Z169" s="1092">
        <f>qtrSales!Z167-segQtrSales!Z322-Z214</f>
        <v>2.4267650000000005</v>
      </c>
      <c r="AA169" s="1083"/>
      <c r="AB169" s="1187">
        <f>AVERAGE(Z169,Z168)</f>
        <v>2.427780625</v>
      </c>
      <c r="AC169" s="1083"/>
      <c r="AD169" s="1108">
        <f>(AB169/AB162-1)*100</f>
        <v>-3.3104622465273126</v>
      </c>
      <c r="AE169" s="1184"/>
      <c r="AF169" s="1082">
        <f>+H169/AD169*100</f>
        <v>26.608426604240833</v>
      </c>
      <c r="AG169" s="1083"/>
      <c r="AH169" s="1083"/>
      <c r="AI169" s="1188">
        <f>+S169</f>
        <v>334.16</v>
      </c>
      <c r="AJ169" s="1083"/>
      <c r="AK169" s="1189">
        <f>AI169/AB169</f>
        <v>137.64011317950116</v>
      </c>
      <c r="AL169" s="1083"/>
      <c r="AM169" s="1086">
        <f>(AK169/AK162-1)*100</f>
        <v>-2.7618289761707659</v>
      </c>
      <c r="AN169" s="1081"/>
      <c r="AO169" s="137"/>
      <c r="AP169" s="291">
        <f>+F169</f>
        <v>-5.0999999999999996</v>
      </c>
      <c r="AQ169" s="291">
        <f>+F357</f>
        <v>0</v>
      </c>
      <c r="AR169" s="291">
        <f>+'qtrP&amp;L'!CD32</f>
        <v>3.6476635200053842</v>
      </c>
      <c r="AS169" s="137"/>
      <c r="AT169" s="753">
        <f>+S162/(S162+S315)</f>
        <v>0.62497274447328255</v>
      </c>
      <c r="AU169" s="754">
        <f>+S315/(S162+S315)</f>
        <v>0.37502725552671745</v>
      </c>
      <c r="AV169" s="291">
        <f>+AT169*AP169+AU169*AQ169</f>
        <v>-3.1873609968137409</v>
      </c>
      <c r="AW169" s="735" t="str">
        <f>+(IF(ROUND(AR169,0)=ROUND(AV169,0),"y","n"))</f>
        <v>n</v>
      </c>
    </row>
    <row r="170" spans="1:50">
      <c r="A170" s="1076" t="str">
        <f>$A$16</f>
        <v>3Q</v>
      </c>
      <c r="B170" s="1089" t="str">
        <f>$B$16</f>
        <v>Oct</v>
      </c>
      <c r="C170" s="1076"/>
      <c r="D170" s="1077">
        <f>(S170/S163-1)*100</f>
        <v>-6.3637263399725974</v>
      </c>
      <c r="E170" s="1083"/>
      <c r="F170" s="1090">
        <v>-5.6</v>
      </c>
      <c r="G170" s="1083"/>
      <c r="H170" s="1077">
        <f>D170-F170</f>
        <v>-0.76372633997259776</v>
      </c>
      <c r="I170" s="1083"/>
      <c r="J170" s="1294">
        <f>594+117+4</f>
        <v>715</v>
      </c>
      <c r="K170" s="1076">
        <f>J170-J169</f>
        <v>-5</v>
      </c>
      <c r="L170" s="1082">
        <f>AVERAGE(J170,J169)</f>
        <v>717.5</v>
      </c>
      <c r="M170" s="1083"/>
      <c r="N170" s="1108">
        <f>(L170/L163-1)*100</f>
        <v>-1.8467852257181949</v>
      </c>
      <c r="O170" s="1184"/>
      <c r="P170" s="1082">
        <f>H170/N170*100</f>
        <v>41.354367001479169</v>
      </c>
      <c r="Q170" s="1083"/>
      <c r="R170" s="1083"/>
      <c r="S170" s="1093">
        <v>312.20299999999997</v>
      </c>
      <c r="T170" s="1083"/>
      <c r="U170" s="1185">
        <f>S170/L170</f>
        <v>0.43512613240418113</v>
      </c>
      <c r="V170" s="1083"/>
      <c r="W170" s="1086">
        <f>(U170/U163-1)*100</f>
        <v>-4.6019288564738243</v>
      </c>
      <c r="X170" s="1184"/>
      <c r="Y170" s="1083"/>
      <c r="Z170" s="1092">
        <f>qtrSales!Z168-segQtrSales!Z323-Z215</f>
        <v>2.4094662500000004</v>
      </c>
      <c r="AA170" s="1083"/>
      <c r="AB170" s="1187">
        <f>AVERAGE(Z170,Z169)</f>
        <v>2.4181156250000004</v>
      </c>
      <c r="AC170" s="1083"/>
      <c r="AD170" s="1108">
        <f>(AB170/AB163-1)*100</f>
        <v>-3.3652453218506628</v>
      </c>
      <c r="AE170" s="1184"/>
      <c r="AF170" s="1082">
        <f>+H170/AD170*100</f>
        <v>22.694522001522273</v>
      </c>
      <c r="AG170" s="1083"/>
      <c r="AH170" s="1083"/>
      <c r="AI170" s="1188">
        <f>+S170</f>
        <v>312.20299999999997</v>
      </c>
      <c r="AJ170" s="1083"/>
      <c r="AK170" s="1189">
        <f>AI170/AB170</f>
        <v>129.11003790399803</v>
      </c>
      <c r="AL170" s="1083"/>
      <c r="AM170" s="1086">
        <f>(AK170/AK163-1)*100</f>
        <v>-3.1029012575327086</v>
      </c>
      <c r="AN170" s="1081"/>
      <c r="AO170" s="137"/>
      <c r="AP170" s="291">
        <f>+F170</f>
        <v>-5.6</v>
      </c>
      <c r="AQ170" s="291">
        <f>+F358</f>
        <v>0</v>
      </c>
      <c r="AR170" s="291">
        <f>+'qtrP&amp;L'!CD33</f>
        <v>2.1140221128063796</v>
      </c>
      <c r="AS170" s="137"/>
      <c r="AT170" s="753">
        <f>+S163/(S163+S316)</f>
        <v>0.60142391763139769</v>
      </c>
      <c r="AU170" s="754">
        <f>+S316/(S163+S316)</f>
        <v>0.39857608236860242</v>
      </c>
      <c r="AV170" s="291">
        <f>+AT170*AP170+AU170*AQ170</f>
        <v>-3.367973938735827</v>
      </c>
      <c r="AW170" s="735" t="str">
        <f>+(IF(ROUND(AR170,0)=ROUND(AV170,0),"y","n"))</f>
        <v>n</v>
      </c>
    </row>
    <row r="171" spans="1:50">
      <c r="A171" s="1076" t="str">
        <f>$A$17</f>
        <v>4Q</v>
      </c>
      <c r="B171" s="1089" t="str">
        <f>$B$17</f>
        <v>Jan</v>
      </c>
      <c r="C171" s="1076"/>
      <c r="D171" s="1097">
        <f>(S171/S164-1)*100</f>
        <v>-4.6972408503608731</v>
      </c>
      <c r="E171" s="1076"/>
      <c r="F171" s="1098">
        <v>-4.8</v>
      </c>
      <c r="G171" s="1076"/>
      <c r="H171" s="1097">
        <f>D171-F171</f>
        <v>0.10275914963912669</v>
      </c>
      <c r="I171" s="1076"/>
      <c r="J171" s="1294">
        <f>587+116+4</f>
        <v>707</v>
      </c>
      <c r="K171" s="1076">
        <f>J171-J170</f>
        <v>-8</v>
      </c>
      <c r="L171" s="1099">
        <f>AVERAGE(J171,J170)</f>
        <v>711</v>
      </c>
      <c r="M171" s="1076"/>
      <c r="N171" s="1097">
        <f>(L171/L164-1)*100</f>
        <v>-2.2680412371134051</v>
      </c>
      <c r="O171" s="1081"/>
      <c r="P171" s="1099">
        <f>H171/N171*100</f>
        <v>-4.530744324997853</v>
      </c>
      <c r="Q171" s="1083"/>
      <c r="R171" s="1076"/>
      <c r="S171" s="1195">
        <v>290.76299999999998</v>
      </c>
      <c r="T171" s="1076"/>
      <c r="U171" s="1101">
        <f>S171/L171</f>
        <v>0.40894936708860757</v>
      </c>
      <c r="V171" s="1076"/>
      <c r="W171" s="1102">
        <f>(U171/U164-1)*100</f>
        <v>-2.4855734439346411</v>
      </c>
      <c r="X171" s="1081"/>
      <c r="Y171" s="1076"/>
      <c r="Z171" s="1092">
        <f>qtrSales!Z169-segQtrSales!Z324-Z216</f>
        <v>2.3848499999999997</v>
      </c>
      <c r="AA171" s="1076"/>
      <c r="AB171" s="1103">
        <f>AVERAGE(Z171,Z170)</f>
        <v>2.3971581249999998</v>
      </c>
      <c r="AC171" s="1076"/>
      <c r="AD171" s="1097">
        <f>(AB171/AB164-1)*100</f>
        <v>-3.0332226837537335</v>
      </c>
      <c r="AE171" s="1081"/>
      <c r="AF171" s="1099">
        <f>+H171/AD171*100</f>
        <v>-3.3877878531476022</v>
      </c>
      <c r="AG171" s="1083"/>
      <c r="AH171" s="1076"/>
      <c r="AI171" s="1104">
        <f>+S171</f>
        <v>290.76299999999998</v>
      </c>
      <c r="AJ171" s="1076"/>
      <c r="AK171" s="1105">
        <f>AI171/AB171</f>
        <v>121.29487703277813</v>
      </c>
      <c r="AL171" s="1076"/>
      <c r="AM171" s="1102">
        <f>(AK171/AK164-1)*100</f>
        <v>-1.7160704033507779</v>
      </c>
      <c r="AN171" s="1081"/>
      <c r="AO171" s="137"/>
      <c r="AP171" s="291">
        <f>+F171</f>
        <v>-4.8</v>
      </c>
      <c r="AQ171" s="291">
        <f>+F359</f>
        <v>0</v>
      </c>
      <c r="AR171" s="291">
        <f>+'qtrP&amp;L'!CD34</f>
        <v>3.4888242348330101</v>
      </c>
      <c r="AS171" s="137"/>
      <c r="AT171" s="753">
        <f>+S164/(S164+S317)</f>
        <v>0.58639107730097206</v>
      </c>
      <c r="AU171" s="754">
        <f>+S317/(S164+S317)</f>
        <v>0.4136089226990281</v>
      </c>
      <c r="AV171" s="291">
        <f>+AT171*AP171+AU171*AQ171</f>
        <v>-2.8146771710446656</v>
      </c>
      <c r="AW171" s="735" t="str">
        <f>+(IF(ROUND(AR171,0)=ROUND(AV171,0),"y","n"))</f>
        <v>n</v>
      </c>
    </row>
    <row r="172" spans="1:50">
      <c r="A172" s="1076"/>
      <c r="B172" s="1089" t="str">
        <f>$B$18</f>
        <v>Year</v>
      </c>
      <c r="C172" s="1076"/>
      <c r="D172" s="1077">
        <f>(S172/S165-1)*100</f>
        <v>-5.7164917498355727</v>
      </c>
      <c r="E172" s="1076"/>
      <c r="F172" s="1078">
        <v>-5.3</v>
      </c>
      <c r="G172" s="1076"/>
      <c r="H172" s="1077">
        <f>D172-F172</f>
        <v>-0.41649174983557291</v>
      </c>
      <c r="I172" s="1076"/>
      <c r="J172" s="1079"/>
      <c r="K172" s="1076"/>
      <c r="L172" s="1080">
        <f>AVERAGE(L168:L171)</f>
        <v>717.5</v>
      </c>
      <c r="M172" s="1076"/>
      <c r="N172" s="1077">
        <f>(L172/L165-1)*100</f>
        <v>-1.8971116048538739</v>
      </c>
      <c r="O172" s="1081"/>
      <c r="P172" s="1082">
        <f>H172/N172*100</f>
        <v>21.953993047639042</v>
      </c>
      <c r="Q172" s="1083"/>
      <c r="R172" s="1076"/>
      <c r="S172" s="1084">
        <f>SUM(S168:S171)</f>
        <v>1285.83</v>
      </c>
      <c r="T172" s="1076"/>
      <c r="U172" s="1085">
        <f>SUM(U168:U171)</f>
        <v>1.7915039246213547</v>
      </c>
      <c r="V172" s="1076"/>
      <c r="W172" s="1086">
        <f>(U172/U165-1)*100</f>
        <v>-3.9029113362309409</v>
      </c>
      <c r="X172" s="1081"/>
      <c r="Y172" s="1076"/>
      <c r="Z172" s="1076"/>
      <c r="AA172" s="1076"/>
      <c r="AB172" s="1087">
        <f>AVERAGE(AB168:AB171)</f>
        <v>2.4179626562500003</v>
      </c>
      <c r="AC172" s="1076"/>
      <c r="AD172" s="1077">
        <f>(AB172/AB165-1)*100</f>
        <v>-3.2815300194262265</v>
      </c>
      <c r="AE172" s="1081"/>
      <c r="AF172" s="1082">
        <f>+H172/AD172*100</f>
        <v>12.691998774047363</v>
      </c>
      <c r="AG172" s="1083"/>
      <c r="AH172" s="1076"/>
      <c r="AI172" s="1084">
        <f>SUM(AI168:AI171)</f>
        <v>1285.83</v>
      </c>
      <c r="AJ172" s="1076"/>
      <c r="AK172" s="1088">
        <f>SUM(AK168:AK171)</f>
        <v>531.61573726901099</v>
      </c>
      <c r="AL172" s="1076"/>
      <c r="AM172" s="1086">
        <f>(AK172/AK165-1)*100</f>
        <v>-2.5076041224491696</v>
      </c>
      <c r="AN172" s="1081"/>
      <c r="AO172" s="137"/>
      <c r="AP172" s="726"/>
      <c r="AQ172" s="310"/>
      <c r="AR172" s="220"/>
      <c r="AS172" s="137"/>
      <c r="AT172" s="137"/>
      <c r="AU172" s="137"/>
      <c r="AV172" s="137"/>
      <c r="AW172" s="137"/>
    </row>
    <row r="173" spans="1:50" s="1076" customFormat="1">
      <c r="B173" s="1089"/>
      <c r="D173" s="1077"/>
      <c r="F173" s="1078"/>
      <c r="H173" s="1077"/>
      <c r="J173" s="1079"/>
      <c r="L173" s="1080"/>
      <c r="N173" s="1077"/>
      <c r="O173" s="1081"/>
      <c r="P173" s="1082"/>
      <c r="Q173" s="1083"/>
      <c r="S173" s="1084"/>
      <c r="U173" s="1085"/>
      <c r="W173" s="1086"/>
      <c r="X173" s="1081"/>
      <c r="AB173" s="1087"/>
      <c r="AD173" s="1077"/>
      <c r="AE173" s="1081"/>
      <c r="AF173" s="1082"/>
      <c r="AG173" s="1083"/>
      <c r="AI173" s="1084"/>
      <c r="AK173" s="1088"/>
      <c r="AM173" s="1086"/>
      <c r="AN173" s="1081"/>
      <c r="AP173" s="1299"/>
      <c r="AQ173" s="1237"/>
      <c r="AR173" s="1083"/>
    </row>
    <row r="174" spans="1:50">
      <c r="A174" s="1074"/>
      <c r="B174" s="1106">
        <v>2017</v>
      </c>
      <c r="C174" s="1076"/>
      <c r="D174" s="1112" t="s">
        <v>721</v>
      </c>
      <c r="E174" s="1076"/>
      <c r="F174" s="1078"/>
      <c r="G174" s="1076"/>
      <c r="H174" s="1077"/>
      <c r="I174" s="1076"/>
      <c r="J174" s="1079"/>
      <c r="K174" s="1076"/>
      <c r="L174" s="1077"/>
      <c r="M174" s="1076"/>
      <c r="N174" s="1077"/>
      <c r="O174" s="1081"/>
      <c r="P174" s="1082"/>
      <c r="Q174" s="1083"/>
      <c r="R174" s="1076"/>
      <c r="S174" s="1084"/>
      <c r="T174" s="1076"/>
      <c r="U174" s="1107"/>
      <c r="V174" s="1076"/>
      <c r="W174" s="1086"/>
      <c r="X174" s="1081"/>
      <c r="Y174" s="1076"/>
      <c r="Z174" s="1076"/>
      <c r="AA174" s="1076"/>
      <c r="AB174" s="1087"/>
      <c r="AC174" s="1076"/>
      <c r="AD174" s="1077"/>
      <c r="AE174" s="1081"/>
      <c r="AF174" s="1082"/>
      <c r="AG174" s="1083"/>
      <c r="AH174" s="1076"/>
      <c r="AI174" s="1084"/>
      <c r="AJ174" s="1076"/>
      <c r="AK174" s="1088"/>
      <c r="AL174" s="1076"/>
      <c r="AM174" s="1086"/>
      <c r="AN174" s="1081"/>
      <c r="AO174" s="137"/>
      <c r="AP174" s="726"/>
      <c r="AQ174" s="310"/>
      <c r="AR174" s="220"/>
      <c r="AS174" s="137"/>
      <c r="AT174" s="137"/>
      <c r="AU174" s="137"/>
      <c r="AV174" s="137"/>
      <c r="AW174" s="137"/>
    </row>
    <row r="175" spans="1:50">
      <c r="A175" s="1076" t="str">
        <f>$A$14</f>
        <v>1Q</v>
      </c>
      <c r="B175" s="1089" t="str">
        <f>$B$14</f>
        <v>Apr</v>
      </c>
      <c r="C175" s="1076"/>
      <c r="D175" s="1077">
        <f>(S175/S168-1)*100</f>
        <v>-11.062964577406619</v>
      </c>
      <c r="E175" s="1083"/>
      <c r="F175" s="1090">
        <v>-10</v>
      </c>
      <c r="G175" s="1083"/>
      <c r="H175" s="1077">
        <f>D175-F175</f>
        <v>-1.0629645774066194</v>
      </c>
      <c r="I175" s="1083"/>
      <c r="J175" s="1294">
        <f>582+117+4</f>
        <v>703</v>
      </c>
      <c r="K175" s="1076">
        <f>J175-J171</f>
        <v>-4</v>
      </c>
      <c r="L175" s="1082">
        <f>AVERAGE(J175,J174)</f>
        <v>703</v>
      </c>
      <c r="M175" s="1083"/>
      <c r="N175" s="1108">
        <f>(L175/L168-1)*100</f>
        <v>-2.4965325936199712</v>
      </c>
      <c r="O175" s="1184"/>
      <c r="P175" s="1082">
        <f>H175/N175*100</f>
        <v>42.577636683898497</v>
      </c>
      <c r="Q175" s="1083"/>
      <c r="R175" s="1083"/>
      <c r="S175" s="1093">
        <v>310.12700000000001</v>
      </c>
      <c r="T175" s="1083"/>
      <c r="U175" s="1185">
        <f>S175/L175</f>
        <v>0.44114793741109531</v>
      </c>
      <c r="V175" s="1083"/>
      <c r="W175" s="1086">
        <f>(U175/U168-1)*100</f>
        <v>-8.7857716362875991</v>
      </c>
      <c r="X175" s="1184"/>
      <c r="Y175" s="1083"/>
      <c r="Z175" s="1092">
        <f>qtrSales!Z173-segQtrSales!Z328-Z220</f>
        <v>2.3722574999999999</v>
      </c>
      <c r="AA175" s="1083"/>
      <c r="AB175" s="1187">
        <f>AVERAGE(Z175,Z171)</f>
        <v>2.37855375</v>
      </c>
      <c r="AC175" s="1083"/>
      <c r="AD175" s="1108">
        <f>(AB175/AB168-1)*100</f>
        <v>-2.0686173243226746</v>
      </c>
      <c r="AE175" s="1184"/>
      <c r="AF175" s="1082">
        <f>+H175/AD175*100</f>
        <v>51.385269034941729</v>
      </c>
      <c r="AG175" s="1083"/>
      <c r="AH175" s="1083"/>
      <c r="AI175" s="1188">
        <f>+S175</f>
        <v>310.12700000000001</v>
      </c>
      <c r="AJ175" s="1083"/>
      <c r="AK175" s="1189">
        <f>AI175/AB175</f>
        <v>130.38469279914318</v>
      </c>
      <c r="AL175" s="1083"/>
      <c r="AM175" s="1086">
        <f>(AK175/AK168-1)*100</f>
        <v>-9.1843360190990264</v>
      </c>
      <c r="AN175" s="1081" t="s">
        <v>576</v>
      </c>
      <c r="AO175" s="733">
        <f>F175+F168</f>
        <v>-15.4</v>
      </c>
      <c r="AP175" s="291">
        <f>+F175</f>
        <v>-10</v>
      </c>
      <c r="AQ175" s="291">
        <f>+F363</f>
        <v>0</v>
      </c>
      <c r="AR175" s="291">
        <f>+'qtrP&amp;L'!CD38</f>
        <v>0</v>
      </c>
      <c r="AS175" s="137"/>
      <c r="AT175" s="753">
        <f>+S168/(S168+S321)</f>
        <v>0.61860183751199671</v>
      </c>
      <c r="AU175" s="754">
        <f>+S321/(S168+S321)</f>
        <v>0.38139816248800329</v>
      </c>
      <c r="AV175" s="291">
        <f>+AT175*AP175+AU175*AQ175</f>
        <v>-6.1860183751199669</v>
      </c>
      <c r="AW175" s="735" t="str">
        <f>+(IF(ROUND(AR175,0)=ROUND(AV175,0),"y","n"))</f>
        <v>n</v>
      </c>
      <c r="AX175" s="716">
        <f>F175+F168</f>
        <v>-15.4</v>
      </c>
    </row>
    <row r="176" spans="1:50">
      <c r="A176" s="1076" t="str">
        <f>$A$15</f>
        <v>2Q</v>
      </c>
      <c r="B176" s="1089" t="str">
        <f>$B$15</f>
        <v>Jul</v>
      </c>
      <c r="C176" s="1076"/>
      <c r="D176" s="1077">
        <f>(S176/S169-1)*100</f>
        <v>-9.5591932008618699</v>
      </c>
      <c r="E176" s="1083"/>
      <c r="F176" s="1090">
        <v>-9</v>
      </c>
      <c r="G176" s="1083"/>
      <c r="H176" s="1077">
        <f>D176-F176</f>
        <v>-0.55919320086186985</v>
      </c>
      <c r="I176" s="1083"/>
      <c r="J176" s="1294">
        <f>578+117+4</f>
        <v>699</v>
      </c>
      <c r="K176" s="1076">
        <f>J176-J175</f>
        <v>-4</v>
      </c>
      <c r="L176" s="1082">
        <f>AVERAGE(J176,J175)</f>
        <v>701</v>
      </c>
      <c r="M176" s="1083"/>
      <c r="N176" s="1108">
        <f>(L176/L169-1)*100</f>
        <v>-2.7064538514920189</v>
      </c>
      <c r="O176" s="1184"/>
      <c r="P176" s="1082">
        <f>H176/N176*100</f>
        <v>20.661471857486017</v>
      </c>
      <c r="Q176" s="1083"/>
      <c r="R176" s="1083"/>
      <c r="S176" s="1093">
        <v>302.21699999999998</v>
      </c>
      <c r="T176" s="1083"/>
      <c r="U176" s="1185">
        <f>S176/L176</f>
        <v>0.43112268188302422</v>
      </c>
      <c r="V176" s="1083"/>
      <c r="W176" s="1086">
        <f>(U176/U169-1)*100</f>
        <v>-7.0433647663637462</v>
      </c>
      <c r="X176" s="1184"/>
      <c r="Y176" s="1083"/>
      <c r="Z176" s="1092">
        <f>qtrSales!Z174-segQtrSales!Z329-Z221</f>
        <v>2.3566750000000001</v>
      </c>
      <c r="AA176" s="1083"/>
      <c r="AB176" s="1187">
        <f>AVERAGE(Z176,Z175)</f>
        <v>2.36446625</v>
      </c>
      <c r="AC176" s="1083"/>
      <c r="AD176" s="1108">
        <f>(AB176/AB169-1)*100</f>
        <v>-2.6079117012477226</v>
      </c>
      <c r="AE176" s="1184"/>
      <c r="AF176" s="1082">
        <f>+H176/AD176*100</f>
        <v>21.442183053756416</v>
      </c>
      <c r="AG176" s="1083"/>
      <c r="AH176" s="1083"/>
      <c r="AI176" s="1188">
        <f>+S176</f>
        <v>302.21699999999998</v>
      </c>
      <c r="AJ176" s="1083"/>
      <c r="AK176" s="1189">
        <f>AI176/AB176</f>
        <v>127.81616146984545</v>
      </c>
      <c r="AL176" s="1083"/>
      <c r="AM176" s="1086">
        <f>(AK176/AK169-1)*100</f>
        <v>-7.1374190871551724</v>
      </c>
      <c r="AN176" s="1081"/>
      <c r="AO176" s="733">
        <f t="shared" ref="AO176:AO178" si="0">F176+F169</f>
        <v>-14.1</v>
      </c>
      <c r="AP176" s="291">
        <f>+F176</f>
        <v>-9</v>
      </c>
      <c r="AQ176" s="291">
        <f>+F364</f>
        <v>0</v>
      </c>
      <c r="AR176" s="291">
        <f>+'qtrP&amp;L'!CD39</f>
        <v>0</v>
      </c>
      <c r="AS176" s="137"/>
      <c r="AT176" s="753">
        <f>+S169/(S169+S322)</f>
        <v>0.61630622023688753</v>
      </c>
      <c r="AU176" s="754">
        <f>+S322/(S169+S322)</f>
        <v>0.38369377976311231</v>
      </c>
      <c r="AV176" s="291">
        <f>+AT176*AP176+AU176*AQ176</f>
        <v>-5.5467559821319874</v>
      </c>
      <c r="AW176" s="735" t="str">
        <f>+(IF(ROUND(AR176,0)=ROUND(AV176,0),"y","n"))</f>
        <v>n</v>
      </c>
      <c r="AX176" s="716">
        <f>F176+F169</f>
        <v>-14.1</v>
      </c>
    </row>
    <row r="177" spans="1:50">
      <c r="A177" s="1076" t="str">
        <f>$A$16</f>
        <v>3Q</v>
      </c>
      <c r="B177" s="1089" t="str">
        <f>$B$16</f>
        <v>Oct</v>
      </c>
      <c r="C177" s="1076"/>
      <c r="D177" s="1077">
        <f>(S177/S170-1)*100</f>
        <v>-8.8541750079275232</v>
      </c>
      <c r="E177" s="1083"/>
      <c r="F177" s="1632">
        <v>-5.8</v>
      </c>
      <c r="G177" s="1083"/>
      <c r="H177" s="1077">
        <f>D177-F177</f>
        <v>-3.0541750079275234</v>
      </c>
      <c r="I177" s="1083"/>
      <c r="J177" s="1635">
        <f>576+117+4</f>
        <v>697</v>
      </c>
      <c r="K177" s="1076">
        <f>J177-J176</f>
        <v>-2</v>
      </c>
      <c r="L177" s="1082">
        <f>AVERAGE(J177,J176)</f>
        <v>698</v>
      </c>
      <c r="M177" s="1083"/>
      <c r="N177" s="1108">
        <f>(L177/L170-1)*100</f>
        <v>-2.7177700348432032</v>
      </c>
      <c r="O177" s="1184"/>
      <c r="P177" s="1082">
        <f>H177/N177*100</f>
        <v>112.37797785579487</v>
      </c>
      <c r="Q177" s="1083"/>
      <c r="R177" s="1083"/>
      <c r="S177" s="1631">
        <v>284.56</v>
      </c>
      <c r="T177" s="1083"/>
      <c r="U177" s="1185">
        <f>S177/L177</f>
        <v>0.40767908309455586</v>
      </c>
      <c r="V177" s="1083"/>
      <c r="W177" s="1086">
        <f>(U177/U170-1)*100</f>
        <v>-6.3078374902406864</v>
      </c>
      <c r="X177" s="1184"/>
      <c r="Y177" s="1083"/>
      <c r="Z177" s="1092">
        <f>qtrSales!Z175-segQtrSales!Z330-Z222</f>
        <v>2.3522512499999992</v>
      </c>
      <c r="AA177" s="1083"/>
      <c r="AB177" s="1187">
        <f>AVERAGE(Z177,Z176)</f>
        <v>2.3544631249999997</v>
      </c>
      <c r="AC177" s="1083"/>
      <c r="AD177" s="1108">
        <f>(AB177/AB170-1)*100</f>
        <v>-2.6323182953669089</v>
      </c>
      <c r="AE177" s="1184"/>
      <c r="AF177" s="1082">
        <f>+H177/AD177*100</f>
        <v>116.02605252195816</v>
      </c>
      <c r="AG177" s="1083"/>
      <c r="AH177" s="1083"/>
      <c r="AI177" s="1188">
        <f>+S177</f>
        <v>284.56</v>
      </c>
      <c r="AJ177" s="1083"/>
      <c r="AK177" s="1189">
        <f>AI177/AB177</f>
        <v>120.85982446635262</v>
      </c>
      <c r="AL177" s="1083"/>
      <c r="AM177" s="1086">
        <f>(AK177/AK170-1)*100</f>
        <v>-6.3900635237827181</v>
      </c>
      <c r="AN177" s="1081"/>
      <c r="AO177" s="733">
        <f t="shared" si="0"/>
        <v>-11.399999999999999</v>
      </c>
      <c r="AP177" s="291">
        <f>+F177</f>
        <v>-5.8</v>
      </c>
      <c r="AQ177" s="291">
        <f>+F365</f>
        <v>0</v>
      </c>
      <c r="AR177" s="291">
        <f>+'qtrP&amp;L'!CD40</f>
        <v>2.2210962937543766</v>
      </c>
      <c r="AS177" s="137"/>
      <c r="AT177" s="753">
        <f>+S170/(S170+S323)</f>
        <v>0.59741251301206288</v>
      </c>
      <c r="AU177" s="754">
        <f>+S323/(S170+S323)</f>
        <v>0.40258748698793706</v>
      </c>
      <c r="AV177" s="291">
        <f>+AT177*AP177+AU177*AQ177</f>
        <v>-3.4649925754699646</v>
      </c>
      <c r="AW177" s="735" t="str">
        <f>+(IF(ROUND(AR177,0)=ROUND(AV177,0),"y","n"))</f>
        <v>n</v>
      </c>
      <c r="AX177" s="716">
        <f>F177+F170</f>
        <v>-11.399999999999999</v>
      </c>
    </row>
    <row r="178" spans="1:50">
      <c r="A178" s="1076" t="str">
        <f>$A$17</f>
        <v>4Q</v>
      </c>
      <c r="B178" s="1089" t="str">
        <f>$B$17</f>
        <v>Jan</v>
      </c>
      <c r="C178" s="1076"/>
      <c r="D178" s="1097">
        <f>F178+H178</f>
        <v>2.6016877637130928</v>
      </c>
      <c r="E178" s="1076"/>
      <c r="F178" s="1652">
        <v>-3.2</v>
      </c>
      <c r="G178" s="1076"/>
      <c r="H178" s="1097">
        <f>+N178*P178/100</f>
        <v>5.801687763713093</v>
      </c>
      <c r="I178" s="1076"/>
      <c r="J178" s="1635">
        <f>568+120+4</f>
        <v>692</v>
      </c>
      <c r="K178" s="1076">
        <f>J178-J177</f>
        <v>-5</v>
      </c>
      <c r="L178" s="1099">
        <f>AVERAGE(J178,J177)</f>
        <v>694.5</v>
      </c>
      <c r="M178" s="1076"/>
      <c r="N178" s="1097">
        <f>(L178/L171-1)*100</f>
        <v>-2.320675105485237</v>
      </c>
      <c r="O178" s="1081"/>
      <c r="P178" s="1109">
        <v>-250</v>
      </c>
      <c r="Q178" s="1083"/>
      <c r="R178" s="1076"/>
      <c r="S178" s="1655">
        <v>290.69900000000001</v>
      </c>
      <c r="T178" s="1076"/>
      <c r="U178" s="1101">
        <f>S178/L178</f>
        <v>0.41857307415406769</v>
      </c>
      <c r="V178" s="1076"/>
      <c r="W178" s="1102">
        <f>(U178/U171-1)*100</f>
        <v>2.3532759407290937</v>
      </c>
      <c r="X178" s="1081"/>
      <c r="Y178" s="1076"/>
      <c r="Z178" s="737">
        <f>qtrSales!Z176-segQtrSales!Z331-Z223</f>
        <v>2.3330424999999999</v>
      </c>
      <c r="AA178" s="1076"/>
      <c r="AB178" s="1103">
        <f>AVERAGE(Z178,Z177)</f>
        <v>2.3426468749999998</v>
      </c>
      <c r="AC178" s="1076"/>
      <c r="AD178" s="1097">
        <f>(AB178/AB171-1)*100</f>
        <v>-2.2739947536835947</v>
      </c>
      <c r="AE178" s="1081"/>
      <c r="AF178" s="1099">
        <f>+H178/AD178*100</f>
        <v>-255.13197663781173</v>
      </c>
      <c r="AG178" s="1083"/>
      <c r="AH178" s="1076"/>
      <c r="AI178" s="1104">
        <f>+S178</f>
        <v>290.69900000000001</v>
      </c>
      <c r="AJ178" s="1076"/>
      <c r="AK178" s="1105">
        <f>AI178/AB178</f>
        <v>124.08997834981</v>
      </c>
      <c r="AL178" s="1076"/>
      <c r="AM178" s="1102">
        <f>(AK178/AK171-1)*100</f>
        <v>2.3043853008536619</v>
      </c>
      <c r="AN178" s="1081"/>
      <c r="AO178" s="733">
        <f t="shared" si="0"/>
        <v>-8</v>
      </c>
      <c r="AP178" s="291">
        <f>+F178</f>
        <v>-3.2</v>
      </c>
      <c r="AQ178" s="291">
        <f>+F366</f>
        <v>0</v>
      </c>
      <c r="AR178" s="291">
        <f>+'qtrP&amp;L'!CD41</f>
        <v>-4.6734634315785062</v>
      </c>
      <c r="AS178" s="137"/>
      <c r="AT178" s="753">
        <f>+S171/(S171+S324)</f>
        <v>0.57762357512644569</v>
      </c>
      <c r="AU178" s="754">
        <f>+S324/(S171+S324)</f>
        <v>0.42237642487355431</v>
      </c>
      <c r="AV178" s="291">
        <f>+AT178*AP178+AU178*AQ178</f>
        <v>-1.8483954404046263</v>
      </c>
      <c r="AW178" s="735" t="str">
        <f>+(IF(ROUND(AR178,0)=ROUND(AV178,0),"y","n"))</f>
        <v>n</v>
      </c>
      <c r="AX178" s="716">
        <f>F178+F171</f>
        <v>-8</v>
      </c>
    </row>
    <row r="179" spans="1:50">
      <c r="A179" s="1076"/>
      <c r="B179" s="1089" t="str">
        <f>$B$18</f>
        <v>Year</v>
      </c>
      <c r="C179" s="1076"/>
      <c r="D179" s="1077">
        <f>(S179/S172-1)*100</f>
        <v>-7.6391902506552034</v>
      </c>
      <c r="E179" s="1076"/>
      <c r="F179" s="1078">
        <v>-7.2</v>
      </c>
      <c r="G179" s="1076"/>
      <c r="H179" s="1077">
        <f>D179-F179</f>
        <v>-0.43919025065520323</v>
      </c>
      <c r="I179" s="1076"/>
      <c r="J179" s="1079"/>
      <c r="K179" s="1076"/>
      <c r="L179" s="1080">
        <f>AVERAGE(L175:L178)</f>
        <v>699.125</v>
      </c>
      <c r="M179" s="1076"/>
      <c r="N179" s="1077">
        <f>(L179/L172-1)*100</f>
        <v>-2.5609756097560998</v>
      </c>
      <c r="O179" s="1081"/>
      <c r="P179" s="1082">
        <f>H179/N179*100</f>
        <v>17.149333597012685</v>
      </c>
      <c r="Q179" s="1083"/>
      <c r="R179" s="1076"/>
      <c r="S179" s="1084">
        <f>SUM(S175:S178)</f>
        <v>1187.6030000000001</v>
      </c>
      <c r="T179" s="1076"/>
      <c r="U179" s="1085">
        <f>SUM(U175:U178)</f>
        <v>1.6985227765427431</v>
      </c>
      <c r="V179" s="1076"/>
      <c r="W179" s="1086">
        <f>(U179/U172-1)*100</f>
        <v>-5.1901169068476189</v>
      </c>
      <c r="X179" s="1081"/>
      <c r="Y179" s="1076"/>
      <c r="Z179" s="1076"/>
      <c r="AA179" s="1076"/>
      <c r="AB179" s="1087">
        <f>AVERAGE(AB175:AB178)</f>
        <v>2.3600325</v>
      </c>
      <c r="AC179" s="1076"/>
      <c r="AD179" s="1077">
        <f>(AB179/AB172-1)*100</f>
        <v>-2.3958251009485676</v>
      </c>
      <c r="AE179" s="1081"/>
      <c r="AF179" s="1082">
        <f>+H179/AD179*100</f>
        <v>18.331482147061433</v>
      </c>
      <c r="AG179" s="1083"/>
      <c r="AH179" s="1076"/>
      <c r="AI179" s="1084">
        <f>SUM(AI175:AI178)</f>
        <v>1187.6030000000001</v>
      </c>
      <c r="AJ179" s="1076"/>
      <c r="AK179" s="1088">
        <f>SUM(AK175:AK178)</f>
        <v>503.15065708515124</v>
      </c>
      <c r="AL179" s="1076"/>
      <c r="AM179" s="1086">
        <f>(AK179/AK172-1)*100</f>
        <v>-5.3544464898817923</v>
      </c>
      <c r="AN179" s="1081"/>
      <c r="AO179" s="137"/>
      <c r="AP179" s="726"/>
      <c r="AQ179" s="310"/>
      <c r="AR179" s="220"/>
      <c r="AS179" s="137"/>
      <c r="AT179" s="137"/>
      <c r="AU179" s="137"/>
      <c r="AV179" s="137"/>
      <c r="AW179" s="137"/>
    </row>
    <row r="180" spans="1:50">
      <c r="A180" s="1573"/>
      <c r="B180" s="1574"/>
      <c r="C180" s="1573"/>
      <c r="D180" s="1575"/>
      <c r="E180" s="1573"/>
      <c r="F180" s="1576"/>
      <c r="G180" s="1573"/>
      <c r="H180" s="1575"/>
      <c r="I180" s="1573"/>
      <c r="J180" s="1577"/>
      <c r="K180" s="1573"/>
      <c r="L180" s="1578"/>
      <c r="M180" s="1573"/>
      <c r="N180" s="1575"/>
      <c r="O180" s="1579"/>
      <c r="P180" s="1580"/>
      <c r="Q180" s="1581"/>
      <c r="R180" s="1573"/>
      <c r="S180" s="1582"/>
      <c r="T180" s="1573"/>
      <c r="U180" s="1583"/>
      <c r="V180" s="1573"/>
      <c r="W180" s="1584"/>
      <c r="X180" s="1579"/>
      <c r="Y180" s="1573"/>
      <c r="Z180" s="1573"/>
      <c r="AA180" s="1573"/>
      <c r="AB180" s="1585"/>
      <c r="AC180" s="1573"/>
      <c r="AD180" s="1575"/>
      <c r="AE180" s="1579"/>
      <c r="AF180" s="1580"/>
      <c r="AG180" s="1581"/>
      <c r="AH180" s="1573"/>
      <c r="AI180" s="1582"/>
      <c r="AJ180" s="1573"/>
      <c r="AK180" s="1586"/>
      <c r="AL180" s="1573"/>
      <c r="AM180" s="1584"/>
      <c r="AN180" s="1579"/>
      <c r="AO180" s="137"/>
      <c r="AP180" s="726"/>
      <c r="AQ180" s="310"/>
      <c r="AR180" s="220"/>
      <c r="AS180" s="137"/>
      <c r="AT180" s="137"/>
      <c r="AU180" s="137"/>
      <c r="AV180" s="137"/>
      <c r="AW180" s="137"/>
    </row>
    <row r="181" spans="1:50">
      <c r="A181" s="1074"/>
      <c r="B181" s="1106">
        <v>2018</v>
      </c>
      <c r="C181" s="1076"/>
      <c r="D181" s="1112" t="s">
        <v>721</v>
      </c>
      <c r="E181" s="1076"/>
      <c r="F181" s="1078"/>
      <c r="G181" s="1076"/>
      <c r="H181" s="1077"/>
      <c r="I181" s="1076"/>
      <c r="J181" s="1079"/>
      <c r="K181" s="1076"/>
      <c r="L181" s="1077"/>
      <c r="M181" s="1076"/>
      <c r="N181" s="1077"/>
      <c r="O181" s="1081"/>
      <c r="P181" s="1082"/>
      <c r="Q181" s="1083"/>
      <c r="R181" s="1076"/>
      <c r="S181" s="1084"/>
      <c r="T181" s="1076"/>
      <c r="U181" s="1107"/>
      <c r="V181" s="1076"/>
      <c r="W181" s="1086"/>
      <c r="X181" s="1081"/>
      <c r="Y181" s="1076"/>
      <c r="Z181" s="1076"/>
      <c r="AA181" s="1076"/>
      <c r="AB181" s="1087"/>
      <c r="AC181" s="1076"/>
      <c r="AD181" s="1077"/>
      <c r="AE181" s="1081"/>
      <c r="AF181" s="1082"/>
      <c r="AG181" s="1083"/>
      <c r="AH181" s="1076"/>
      <c r="AI181" s="1084"/>
      <c r="AJ181" s="1076"/>
      <c r="AK181" s="1088"/>
      <c r="AL181" s="1076"/>
      <c r="AM181" s="1086"/>
      <c r="AN181" s="1081"/>
      <c r="AO181" s="137"/>
      <c r="AP181" s="726"/>
      <c r="AQ181" s="310"/>
      <c r="AR181" s="220"/>
      <c r="AS181" s="137"/>
      <c r="AT181" s="137"/>
      <c r="AU181" s="137"/>
      <c r="AV181" s="137"/>
      <c r="AW181" s="137"/>
    </row>
    <row r="182" spans="1:50">
      <c r="A182" s="1076" t="str">
        <f>$A$14</f>
        <v>1Q</v>
      </c>
      <c r="B182" s="1089" t="str">
        <f>$B$14</f>
        <v>Apr</v>
      </c>
      <c r="C182" s="1076"/>
      <c r="D182" s="1108">
        <f t="shared" ref="D182:D183" si="1">F182+H182</f>
        <v>-3.2681365576102417</v>
      </c>
      <c r="E182" s="1083"/>
      <c r="F182" s="1306">
        <v>-2.5</v>
      </c>
      <c r="G182" s="1083"/>
      <c r="H182" s="1108">
        <f t="shared" ref="H182:H183" si="2">+N182*P182/100</f>
        <v>-0.76813655761024169</v>
      </c>
      <c r="I182" s="1083"/>
      <c r="J182" s="1190">
        <v>687</v>
      </c>
      <c r="K182" s="1076">
        <f>J182-J178</f>
        <v>-5</v>
      </c>
      <c r="L182" s="1082">
        <f>AVERAGE(J182,J178)</f>
        <v>689.5</v>
      </c>
      <c r="M182" s="1083"/>
      <c r="N182" s="1108">
        <f>(L182/L175-1)*100</f>
        <v>-1.9203413940256042</v>
      </c>
      <c r="O182" s="1184"/>
      <c r="P182" s="1598">
        <v>40</v>
      </c>
      <c r="Q182" s="1083"/>
      <c r="R182" s="1083"/>
      <c r="S182" s="1301">
        <f t="shared" ref="S182:S183" si="3">+S175*(1+D182/100)</f>
        <v>299.99162613798006</v>
      </c>
      <c r="T182" s="1083"/>
      <c r="U182" s="1185">
        <f>S182/L182</f>
        <v>0.43508575219431483</v>
      </c>
      <c r="V182" s="1083"/>
      <c r="W182" s="1086">
        <f>(U182/U175-1)*100</f>
        <v>-1.3741841914430841</v>
      </c>
      <c r="X182" s="1184"/>
      <c r="Y182" s="1083"/>
      <c r="Z182" s="1186">
        <f>+Z178+((J182-J178)*(yrSales!$Y$78/1000000))</f>
        <v>2.3155424999999998</v>
      </c>
      <c r="AA182" s="1083"/>
      <c r="AB182" s="1187">
        <f>AVERAGE(Z182,Z178)</f>
        <v>2.3242924999999999</v>
      </c>
      <c r="AC182" s="1083"/>
      <c r="AD182" s="1108">
        <f>(AB182/AB175-1)*100</f>
        <v>-2.2812707091441675</v>
      </c>
      <c r="AE182" s="1184"/>
      <c r="AF182" s="1082">
        <f>+H182/AD182*100</f>
        <v>33.671433843044987</v>
      </c>
      <c r="AG182" s="1083"/>
      <c r="AH182" s="1083"/>
      <c r="AI182" s="1188">
        <f>+S182</f>
        <v>299.99162613798006</v>
      </c>
      <c r="AJ182" s="1083"/>
      <c r="AK182" s="1189">
        <f>AI182/AB182</f>
        <v>129.06793191389642</v>
      </c>
      <c r="AL182" s="1083"/>
      <c r="AM182" s="1086">
        <f>(AK182/AK175-1)*100</f>
        <v>-1.0099045041086385</v>
      </c>
      <c r="AN182" s="1081" t="s">
        <v>576</v>
      </c>
      <c r="AO182" s="733">
        <f>F182+F175</f>
        <v>-12.5</v>
      </c>
      <c r="AP182" s="291">
        <f>+F182</f>
        <v>-2.5</v>
      </c>
      <c r="AQ182" s="291">
        <f>+F370</f>
        <v>0</v>
      </c>
      <c r="AR182" s="291">
        <f>+'qtrP&amp;L'!CD45</f>
        <v>0</v>
      </c>
      <c r="AS182" s="137"/>
      <c r="AT182" s="753">
        <f>+S175/(S175+S328)</f>
        <v>0.61599256344608</v>
      </c>
      <c r="AU182" s="754">
        <f>+S328/(S175+S328)</f>
        <v>0.38400743655391995</v>
      </c>
      <c r="AV182" s="291">
        <f>+AT182*AP182+AU182*AQ182</f>
        <v>-1.5399814086151999</v>
      </c>
      <c r="AW182" s="735" t="str">
        <f>+(IF(ROUND(AR182,0)=ROUND(AV182,0),"y","n"))</f>
        <v>n</v>
      </c>
      <c r="AX182" s="716">
        <f>F182+F175</f>
        <v>-12.5</v>
      </c>
    </row>
    <row r="183" spans="1:50">
      <c r="A183" s="1076" t="str">
        <f>$A$15</f>
        <v>2Q</v>
      </c>
      <c r="B183" s="1089" t="str">
        <f>$B$15</f>
        <v>Jul</v>
      </c>
      <c r="C183" s="1076"/>
      <c r="D183" s="1108">
        <f t="shared" si="1"/>
        <v>-1.9564907275320973</v>
      </c>
      <c r="E183" s="1083"/>
      <c r="F183" s="1306">
        <v>-1.5</v>
      </c>
      <c r="G183" s="1083"/>
      <c r="H183" s="1108">
        <f t="shared" si="2"/>
        <v>-0.4564907275320973</v>
      </c>
      <c r="I183" s="1083"/>
      <c r="J183" s="1190">
        <v>683</v>
      </c>
      <c r="K183" s="1076">
        <f>J183-J182</f>
        <v>-4</v>
      </c>
      <c r="L183" s="1082">
        <f>AVERAGE(J183,J182)</f>
        <v>685</v>
      </c>
      <c r="M183" s="1083"/>
      <c r="N183" s="1108">
        <f>(L183/L176-1)*100</f>
        <v>-2.2824536376604865</v>
      </c>
      <c r="O183" s="1184"/>
      <c r="P183" s="1598">
        <v>20</v>
      </c>
      <c r="Q183" s="1083"/>
      <c r="R183" s="1083"/>
      <c r="S183" s="1301">
        <f t="shared" si="3"/>
        <v>296.30415241797431</v>
      </c>
      <c r="T183" s="1083"/>
      <c r="U183" s="1185">
        <f>S183/L183</f>
        <v>0.43256080644959755</v>
      </c>
      <c r="V183" s="1083"/>
      <c r="W183" s="1086">
        <f>(U183/U176-1)*100</f>
        <v>0.33357664233577555</v>
      </c>
      <c r="X183" s="1184"/>
      <c r="Y183" s="1083"/>
      <c r="Z183" s="1186">
        <f>+Z182+((J183-J182)*(yrSales!$Y$78/1000000))</f>
        <v>2.3015425</v>
      </c>
      <c r="AA183" s="1083"/>
      <c r="AB183" s="1187">
        <f>AVERAGE(Z183,Z182)</f>
        <v>2.3085424999999997</v>
      </c>
      <c r="AC183" s="1083"/>
      <c r="AD183" s="1108">
        <f>(AB183/AB176-1)*100</f>
        <v>-2.3651743813217996</v>
      </c>
      <c r="AE183" s="1184"/>
      <c r="AF183" s="1082">
        <f>+H183/AD183*100</f>
        <v>19.300510403676167</v>
      </c>
      <c r="AG183" s="1083"/>
      <c r="AH183" s="1083"/>
      <c r="AI183" s="1188">
        <f>+S183</f>
        <v>296.30415241797431</v>
      </c>
      <c r="AJ183" s="1083"/>
      <c r="AK183" s="1189">
        <f>AI183/AB183</f>
        <v>128.35117933413588</v>
      </c>
      <c r="AL183" s="1083"/>
      <c r="AM183" s="1086">
        <f>(AK183/AK176-1)*100</f>
        <v>0.41858389278623953</v>
      </c>
      <c r="AN183" s="1081"/>
      <c r="AO183" s="733">
        <f t="shared" ref="AO183:AO185" si="4">F183+F176</f>
        <v>-10.5</v>
      </c>
      <c r="AP183" s="291">
        <f>+F183</f>
        <v>-1.5</v>
      </c>
      <c r="AQ183" s="291">
        <f>+F371</f>
        <v>0</v>
      </c>
      <c r="AR183" s="291">
        <f>+'qtrP&amp;L'!CD46</f>
        <v>0</v>
      </c>
      <c r="AS183" s="137"/>
      <c r="AT183" s="753">
        <f>+S176/(S176+S329)</f>
        <v>0.62106232262598826</v>
      </c>
      <c r="AU183" s="754">
        <f>+S329/(S176+S329)</f>
        <v>0.37893767737401179</v>
      </c>
      <c r="AV183" s="291">
        <f>+AT183*AP183+AU183*AQ183</f>
        <v>-0.93159348393898234</v>
      </c>
      <c r="AW183" s="735" t="str">
        <f>+(IF(ROUND(AR183,0)=ROUND(AV183,0),"y","n"))</f>
        <v>n</v>
      </c>
      <c r="AX183" s="716">
        <f>F183+F176</f>
        <v>-10.5</v>
      </c>
    </row>
    <row r="184" spans="1:50">
      <c r="A184" s="1076" t="str">
        <f>$A$16</f>
        <v>3Q</v>
      </c>
      <c r="B184" s="1089" t="str">
        <f>$B$16</f>
        <v>Oct</v>
      </c>
      <c r="C184" s="1076"/>
      <c r="D184" s="1589">
        <f>F184+H184</f>
        <v>-0.97277936962750733</v>
      </c>
      <c r="E184" s="1581"/>
      <c r="F184" s="1590">
        <v>-0.5</v>
      </c>
      <c r="G184" s="1581"/>
      <c r="H184" s="1589">
        <f>+N184*P184/100</f>
        <v>-0.47277936962750727</v>
      </c>
      <c r="I184" s="1581"/>
      <c r="J184" s="1591">
        <v>680</v>
      </c>
      <c r="K184" s="1573">
        <f>J184-J183</f>
        <v>-3</v>
      </c>
      <c r="L184" s="1580">
        <f>AVERAGE(J184,J183)</f>
        <v>681.5</v>
      </c>
      <c r="M184" s="1581"/>
      <c r="N184" s="1589">
        <f>(L184/L177-1)*100</f>
        <v>-2.3638968481375366</v>
      </c>
      <c r="O184" s="1592"/>
      <c r="P184" s="1593">
        <v>20</v>
      </c>
      <c r="Q184" s="1581"/>
      <c r="R184" s="1083"/>
      <c r="S184" s="1301">
        <f>+S177*(1+D184/100)</f>
        <v>281.79185902578797</v>
      </c>
      <c r="T184" s="1083"/>
      <c r="U184" s="1185">
        <f>S184/L184</f>
        <v>0.41348768749198528</v>
      </c>
      <c r="V184" s="1083"/>
      <c r="W184" s="1086">
        <f>(U184/U177-1)*100</f>
        <v>1.4247982391782932</v>
      </c>
      <c r="X184" s="1184"/>
      <c r="Y184" s="1083"/>
      <c r="Z184" s="1186">
        <f>+Z183+((J184-J183)*(yrSales!$Y$78/1000000))</f>
        <v>2.2910425000000001</v>
      </c>
      <c r="AA184" s="1083"/>
      <c r="AB184" s="1187">
        <f>AVERAGE(Z184,Z183)</f>
        <v>2.2962924999999998</v>
      </c>
      <c r="AC184" s="1083"/>
      <c r="AD184" s="1108">
        <f>(AB184/AB177-1)*100</f>
        <v>-2.4706534743456521</v>
      </c>
      <c r="AE184" s="1184"/>
      <c r="AF184" s="1082">
        <f>+H184/AD184*100</f>
        <v>19.135802512844176</v>
      </c>
      <c r="AG184" s="1083"/>
      <c r="AH184" s="1083"/>
      <c r="AI184" s="1188">
        <f>+S184</f>
        <v>281.79185902578797</v>
      </c>
      <c r="AJ184" s="1083"/>
      <c r="AK184" s="1189">
        <f>AI184/AB184</f>
        <v>122.71601245302503</v>
      </c>
      <c r="AL184" s="1083"/>
      <c r="AM184" s="1086">
        <f>(AK184/AK177-1)*100</f>
        <v>1.5358188669131856</v>
      </c>
      <c r="AN184" s="1081"/>
      <c r="AO184" s="733">
        <f t="shared" si="4"/>
        <v>-6.3</v>
      </c>
      <c r="AP184" s="291">
        <f>+F184</f>
        <v>-0.5</v>
      </c>
      <c r="AQ184" s="291">
        <f>+F372</f>
        <v>0</v>
      </c>
      <c r="AR184" s="291">
        <f>+'qtrP&amp;L'!CD47</f>
        <v>0</v>
      </c>
      <c r="AS184" s="137"/>
      <c r="AT184" s="753">
        <f>+S177/(S177+S330)</f>
        <v>0.61884412548252055</v>
      </c>
      <c r="AU184" s="754">
        <f>+S330/(S177+S330)</f>
        <v>0.38115587451747945</v>
      </c>
      <c r="AV184" s="291">
        <f>+AT184*AP184+AU184*AQ184</f>
        <v>-0.30942206274126027</v>
      </c>
      <c r="AW184" s="735" t="str">
        <f>+(IF(ROUND(AR184,0)=ROUND(AV184,0),"y","n"))</f>
        <v>y</v>
      </c>
      <c r="AX184" s="716">
        <f>F184+F177</f>
        <v>-6.3</v>
      </c>
    </row>
    <row r="185" spans="1:50">
      <c r="A185" s="1076" t="str">
        <f>$A$17</f>
        <v>4Q</v>
      </c>
      <c r="B185" s="1089" t="str">
        <f>$B$17</f>
        <v>Jan</v>
      </c>
      <c r="C185" s="137"/>
      <c r="D185" s="1594">
        <f>F185+H185</f>
        <v>-9.5032397408207459</v>
      </c>
      <c r="E185" s="1573"/>
      <c r="F185" s="1595">
        <v>0</v>
      </c>
      <c r="G185" s="1573"/>
      <c r="H185" s="1594">
        <f>+N185*P185/100</f>
        <v>-9.5032397408207459</v>
      </c>
      <c r="I185" s="1573"/>
      <c r="J185" s="1591">
        <f>qtrSales!J183-segQtrSales!J338-J230</f>
        <v>676</v>
      </c>
      <c r="K185" s="1573">
        <f>J185-J184</f>
        <v>-4</v>
      </c>
      <c r="L185" s="1596">
        <f>AVERAGE(J185,J184)</f>
        <v>678</v>
      </c>
      <c r="M185" s="1573"/>
      <c r="N185" s="1594">
        <f>(L185/L178-1)*100</f>
        <v>-2.3758099352051865</v>
      </c>
      <c r="O185" s="1579"/>
      <c r="P185" s="1597">
        <v>400</v>
      </c>
      <c r="Q185" s="1581"/>
      <c r="R185" s="1573"/>
      <c r="S185" s="1110">
        <f>+S178*(1+D185/100)</f>
        <v>263.07317710583152</v>
      </c>
      <c r="T185" s="1076"/>
      <c r="U185" s="1101">
        <f>S185/L185</f>
        <v>0.38801353555432377</v>
      </c>
      <c r="V185" s="1076"/>
      <c r="W185" s="1102">
        <f>(U185/U178-1)*100</f>
        <v>-7.3008849557522186</v>
      </c>
      <c r="X185" s="1081"/>
      <c r="Y185" s="1076"/>
      <c r="Z185" s="1186">
        <f>+Z184+((J185-J184)*(yrSales!$Y$78/1000000))</f>
        <v>2.2770425000000003</v>
      </c>
      <c r="AA185" s="1076"/>
      <c r="AB185" s="1103">
        <f>AVERAGE(Z185,Z184)</f>
        <v>2.2840425</v>
      </c>
      <c r="AC185" s="1076"/>
      <c r="AD185" s="1097">
        <f>(AB185/AB178-1)*100</f>
        <v>-2.5016307675479132</v>
      </c>
      <c r="AE185" s="1081"/>
      <c r="AF185" s="1099">
        <f>+H185/AD185*100</f>
        <v>379.88179007471103</v>
      </c>
      <c r="AG185" s="1083"/>
      <c r="AH185" s="1076"/>
      <c r="AI185" s="1104">
        <f>+S185</f>
        <v>263.07317710583152</v>
      </c>
      <c r="AJ185" s="1076"/>
      <c r="AK185" s="1105">
        <f>AI185/AB185</f>
        <v>115.17875744686516</v>
      </c>
      <c r="AL185" s="1076"/>
      <c r="AM185" s="1102">
        <f>(AK185/AK178-1)*100</f>
        <v>-7.1812575209128315</v>
      </c>
      <c r="AN185" s="1081"/>
      <c r="AO185" s="733">
        <f t="shared" si="4"/>
        <v>-3.2</v>
      </c>
      <c r="AP185" s="291">
        <f>+F185</f>
        <v>0</v>
      </c>
      <c r="AQ185" s="291">
        <f>+F373</f>
        <v>0</v>
      </c>
      <c r="AR185" s="291">
        <f>+'qtrP&amp;L'!CD48</f>
        <v>3.4969913047896428</v>
      </c>
      <c r="AS185" s="137"/>
      <c r="AT185" s="753">
        <f>+S178/(S178+S331)</f>
        <v>0.59494124244297175</v>
      </c>
      <c r="AU185" s="754">
        <f>+S331/(S178+S331)</f>
        <v>0.40505875755702819</v>
      </c>
      <c r="AV185" s="291">
        <f>+AT185*AP185+AU185*AQ185</f>
        <v>0</v>
      </c>
      <c r="AW185" s="735" t="str">
        <f>+(IF(ROUND(AR185,0)=ROUND(AV185,0),"y","n"))</f>
        <v>n</v>
      </c>
      <c r="AX185" s="716">
        <f>F185+F178</f>
        <v>-3.2</v>
      </c>
    </row>
    <row r="186" spans="1:50">
      <c r="A186" s="1076"/>
      <c r="B186" s="1089" t="str">
        <f>$B$18</f>
        <v>Year</v>
      </c>
      <c r="C186" s="1076"/>
      <c r="D186" s="1077">
        <f>(S186/S179-1)*100</f>
        <v>-3.9105816769093971</v>
      </c>
      <c r="E186" s="1076"/>
      <c r="F186" s="1078">
        <f>F182*S182/S186+F183*S183/S186+F184*S184/S186+F185*S185/S186</f>
        <v>-1.1701516616221979</v>
      </c>
      <c r="G186" s="1076"/>
      <c r="H186" s="1077">
        <f>D186-F186</f>
        <v>-2.740430015287199</v>
      </c>
      <c r="I186" s="1076"/>
      <c r="J186" s="1079"/>
      <c r="K186" s="1076"/>
      <c r="L186" s="1080">
        <f>AVERAGE(L182:L185)</f>
        <v>683.5</v>
      </c>
      <c r="M186" s="1076"/>
      <c r="N186" s="1077">
        <f>(L186/L179-1)*100</f>
        <v>-2.2349365278026112</v>
      </c>
      <c r="O186" s="1081"/>
      <c r="P186" s="1082">
        <f>H186/N186*100</f>
        <v>122.6178006040104</v>
      </c>
      <c r="Q186" s="1083"/>
      <c r="R186" s="1076"/>
      <c r="S186" s="1084">
        <f>SUM(S182:S185)</f>
        <v>1141.1608146875737</v>
      </c>
      <c r="T186" s="1076"/>
      <c r="U186" s="1085">
        <f>SUM(U182:U185)</f>
        <v>1.6691477816902214</v>
      </c>
      <c r="V186" s="1076"/>
      <c r="W186" s="1086">
        <f>(U186/U179-1)*100</f>
        <v>-1.7294436823692805</v>
      </c>
      <c r="X186" s="1081"/>
      <c r="Y186" s="1076"/>
      <c r="Z186" s="1076"/>
      <c r="AA186" s="1076"/>
      <c r="AB186" s="1087">
        <f>AVERAGE(AB182:AB185)</f>
        <v>2.3032925</v>
      </c>
      <c r="AC186" s="1076"/>
      <c r="AD186" s="1077">
        <f>(AB186/AB179-1)*100</f>
        <v>-2.4042041793916002</v>
      </c>
      <c r="AE186" s="1081"/>
      <c r="AF186" s="1082">
        <f>+H186/AD186*100</f>
        <v>113.98491187968416</v>
      </c>
      <c r="AG186" s="1083"/>
      <c r="AH186" s="1076"/>
      <c r="AI186" s="1084">
        <f>SUM(AI182:AI185)</f>
        <v>1141.1608146875737</v>
      </c>
      <c r="AJ186" s="1076"/>
      <c r="AK186" s="1088">
        <f>SUM(AK182:AK185)</f>
        <v>495.31388114792253</v>
      </c>
      <c r="AL186" s="1076"/>
      <c r="AM186" s="1086">
        <f>(AK186/AK179-1)*100</f>
        <v>-1.5575406345742726</v>
      </c>
      <c r="AN186" s="1081"/>
      <c r="AO186" s="137"/>
      <c r="AP186" s="726"/>
      <c r="AQ186" s="310"/>
      <c r="AR186" s="220"/>
      <c r="AS186" s="137"/>
      <c r="AT186" s="137"/>
      <c r="AU186" s="137"/>
      <c r="AV186" s="137"/>
      <c r="AW186" s="137"/>
    </row>
    <row r="187" spans="1:50">
      <c r="A187" s="137"/>
      <c r="B187" s="749"/>
      <c r="C187" s="137"/>
      <c r="D187" s="728"/>
      <c r="E187" s="137"/>
      <c r="F187" s="762"/>
      <c r="G187" s="137"/>
      <c r="H187" s="728"/>
      <c r="I187" s="137"/>
      <c r="J187" s="733"/>
      <c r="K187" s="137"/>
      <c r="L187" s="734"/>
      <c r="M187" s="137"/>
      <c r="N187" s="728"/>
      <c r="O187" s="735"/>
      <c r="P187" s="731"/>
      <c r="Q187" s="220"/>
      <c r="R187" s="137"/>
      <c r="S187" s="725"/>
      <c r="T187" s="137"/>
      <c r="U187" s="751"/>
      <c r="V187" s="137"/>
      <c r="W187" s="708"/>
      <c r="X187" s="735"/>
      <c r="Y187" s="137"/>
      <c r="Z187" s="137"/>
      <c r="AA187" s="137"/>
      <c r="AB187" s="732"/>
      <c r="AC187" s="137"/>
      <c r="AD187" s="728"/>
      <c r="AE187" s="735"/>
      <c r="AF187" s="731"/>
      <c r="AG187" s="220"/>
      <c r="AH187" s="137"/>
      <c r="AI187" s="725"/>
      <c r="AJ187" s="137"/>
      <c r="AK187" s="752"/>
      <c r="AL187" s="137"/>
      <c r="AM187" s="708"/>
      <c r="AN187" s="735"/>
      <c r="AO187" s="137"/>
      <c r="AP187" s="726"/>
      <c r="AQ187" s="310"/>
      <c r="AR187" s="220"/>
      <c r="AS187" s="137"/>
      <c r="AT187" s="137"/>
      <c r="AU187" s="137"/>
      <c r="AV187" s="137"/>
      <c r="AW187" s="137"/>
    </row>
    <row r="188" spans="1:50" ht="12" customHeight="1">
      <c r="A188" s="28" t="s">
        <v>461</v>
      </c>
      <c r="B188" s="1073"/>
      <c r="C188" s="137"/>
      <c r="D188" s="728"/>
      <c r="E188" s="137"/>
      <c r="F188" s="762"/>
      <c r="G188" s="137"/>
      <c r="H188" s="728"/>
      <c r="I188" s="137"/>
      <c r="J188" s="733"/>
      <c r="K188" s="137"/>
      <c r="L188" s="734"/>
      <c r="M188" s="137"/>
      <c r="N188" s="728"/>
      <c r="O188" s="735"/>
      <c r="P188" s="731"/>
      <c r="Q188" s="220"/>
      <c r="R188" s="137"/>
      <c r="S188" s="768">
        <f>S178*(1-0.079-0.005)</f>
        <v>266.28028399999999</v>
      </c>
      <c r="T188" s="137"/>
      <c r="U188" s="751"/>
      <c r="V188" s="137"/>
      <c r="W188" s="708"/>
      <c r="X188" s="735"/>
      <c r="Y188" s="137"/>
      <c r="Z188" s="137"/>
      <c r="AA188" s="137"/>
      <c r="AB188" s="732"/>
      <c r="AC188" s="137"/>
      <c r="AD188" s="728"/>
      <c r="AE188" s="735"/>
      <c r="AF188" s="731"/>
      <c r="AG188" s="220"/>
      <c r="AH188" s="137"/>
      <c r="AI188" s="725"/>
      <c r="AJ188" s="137"/>
      <c r="AK188" s="752"/>
      <c r="AL188" s="137"/>
      <c r="AM188" s="708"/>
      <c r="AN188" s="735"/>
      <c r="AO188" s="137"/>
      <c r="AP188" s="726"/>
      <c r="AQ188" s="310"/>
      <c r="AR188" s="220"/>
      <c r="AS188" s="137"/>
      <c r="AT188" s="137"/>
      <c r="AU188" s="137"/>
      <c r="AV188" s="137"/>
      <c r="AW188" s="137"/>
    </row>
    <row r="189" spans="1:50" ht="12.75" customHeight="1">
      <c r="A189" s="147" t="s">
        <v>722</v>
      </c>
      <c r="B189" s="1116"/>
      <c r="C189" s="642"/>
      <c r="D189" s="744"/>
      <c r="E189" s="642"/>
      <c r="F189" s="759"/>
      <c r="G189" s="642"/>
      <c r="H189" s="744"/>
      <c r="I189" s="642"/>
      <c r="J189" s="738"/>
      <c r="K189" s="642"/>
      <c r="L189" s="736"/>
      <c r="M189" s="642"/>
      <c r="N189" s="744"/>
      <c r="O189" s="1117"/>
      <c r="P189" s="736"/>
      <c r="Q189" s="642"/>
      <c r="R189" s="642"/>
      <c r="S189" s="777"/>
      <c r="T189" s="642"/>
      <c r="U189" s="1118"/>
      <c r="V189" s="642"/>
      <c r="W189" s="759"/>
      <c r="X189" s="1117"/>
      <c r="Y189" s="642"/>
      <c r="Z189" s="642"/>
      <c r="AA189" s="642"/>
      <c r="AB189" s="760"/>
      <c r="AC189" s="642"/>
      <c r="AD189" s="744"/>
      <c r="AE189" s="1117"/>
      <c r="AF189" s="736"/>
      <c r="AG189" s="642"/>
      <c r="AH189" s="642"/>
      <c r="AI189" s="777"/>
      <c r="AJ189" s="642"/>
      <c r="AK189" s="1119"/>
      <c r="AL189" s="642"/>
      <c r="AM189" s="759"/>
      <c r="AN189" s="1117"/>
      <c r="AO189" s="137"/>
      <c r="AP189" s="726"/>
      <c r="AQ189" s="310"/>
      <c r="AR189" s="220"/>
      <c r="AS189" s="137"/>
      <c r="AT189" s="137"/>
      <c r="AU189" s="137"/>
      <c r="AV189" s="137"/>
      <c r="AW189" s="137"/>
    </row>
    <row r="190" spans="1:50" hidden="1" outlineLevel="1">
      <c r="A190" s="137"/>
      <c r="B190" s="749"/>
      <c r="C190" s="137"/>
      <c r="D190" s="728"/>
      <c r="E190" s="137"/>
      <c r="F190" s="762"/>
      <c r="G190" s="137"/>
      <c r="H190" s="728"/>
      <c r="I190" s="137"/>
      <c r="J190" s="733"/>
      <c r="K190" s="137"/>
      <c r="L190" s="734"/>
      <c r="M190" s="137"/>
      <c r="N190" s="728"/>
      <c r="O190" s="735"/>
      <c r="P190" s="731"/>
      <c r="Q190" s="220"/>
      <c r="R190" s="137"/>
      <c r="S190" s="725"/>
      <c r="T190" s="137"/>
      <c r="U190" s="751"/>
      <c r="V190" s="137"/>
      <c r="W190" s="708"/>
      <c r="X190" s="735"/>
      <c r="Y190" s="137"/>
      <c r="Z190" s="137"/>
      <c r="AA190" s="137"/>
      <c r="AB190" s="732"/>
      <c r="AC190" s="137"/>
      <c r="AD190" s="728"/>
      <c r="AE190" s="735"/>
      <c r="AF190" s="731"/>
      <c r="AG190" s="220"/>
      <c r="AH190" s="137"/>
      <c r="AI190" s="725"/>
      <c r="AJ190" s="137"/>
      <c r="AK190" s="752"/>
      <c r="AL190" s="137"/>
      <c r="AM190" s="708"/>
      <c r="AN190" s="735"/>
      <c r="AO190" s="137"/>
      <c r="AP190" s="726"/>
      <c r="AQ190" s="310"/>
      <c r="AR190" s="220"/>
      <c r="AS190" s="137"/>
      <c r="AT190" s="137"/>
      <c r="AU190" s="137"/>
      <c r="AV190" s="137"/>
      <c r="AW190" s="137"/>
    </row>
    <row r="191" spans="1:50" hidden="1" outlineLevel="1">
      <c r="A191" s="746"/>
      <c r="B191" s="747">
        <v>2013</v>
      </c>
      <c r="C191" s="137"/>
      <c r="D191" s="728"/>
      <c r="E191" s="137"/>
      <c r="F191" s="762"/>
      <c r="G191" s="137"/>
      <c r="H191" s="728"/>
      <c r="I191" s="137"/>
      <c r="J191" s="733"/>
      <c r="K191" s="137"/>
      <c r="L191" s="734"/>
      <c r="M191" s="137"/>
      <c r="N191" s="728"/>
      <c r="O191" s="735"/>
      <c r="P191" s="731"/>
      <c r="Q191" s="220"/>
      <c r="R191" s="137"/>
      <c r="S191" s="725"/>
      <c r="T191" s="137"/>
      <c r="U191" s="751"/>
      <c r="V191" s="137"/>
      <c r="W191" s="708"/>
      <c r="X191" s="735"/>
      <c r="Y191" s="137"/>
      <c r="Z191" s="137"/>
      <c r="AA191" s="137"/>
      <c r="AB191" s="732"/>
      <c r="AC191" s="137"/>
      <c r="AD191" s="728"/>
      <c r="AE191" s="735"/>
      <c r="AF191" s="731"/>
      <c r="AG191" s="220"/>
      <c r="AH191" s="137"/>
      <c r="AI191" s="725"/>
      <c r="AJ191" s="137"/>
      <c r="AK191" s="752"/>
      <c r="AL191" s="137"/>
      <c r="AM191" s="708"/>
      <c r="AN191" s="735"/>
      <c r="AO191" s="137"/>
      <c r="AP191" s="726"/>
      <c r="AQ191" s="310"/>
      <c r="AR191" s="220"/>
      <c r="AS191" s="137"/>
      <c r="AT191" s="137"/>
      <c r="AU191" s="137"/>
      <c r="AV191" s="137"/>
      <c r="AW191" s="137"/>
    </row>
    <row r="192" spans="1:50" hidden="1" outlineLevel="1">
      <c r="A192" s="137" t="str">
        <f>$A$14</f>
        <v>1Q</v>
      </c>
      <c r="B192" s="749" t="str">
        <f>$B$14</f>
        <v>Apr</v>
      </c>
      <c r="C192" s="137"/>
      <c r="D192" s="689" t="s">
        <v>371</v>
      </c>
      <c r="E192" s="137" t="s">
        <v>576</v>
      </c>
      <c r="F192" s="750">
        <v>3.7</v>
      </c>
      <c r="G192" s="137" t="s">
        <v>576</v>
      </c>
      <c r="H192" s="728" t="s">
        <v>371</v>
      </c>
      <c r="I192" s="137" t="s">
        <v>576</v>
      </c>
      <c r="J192" s="137">
        <f>209+16</f>
        <v>225</v>
      </c>
      <c r="K192" s="1029"/>
      <c r="L192" s="734">
        <f>AVERAGE(J192,J173)</f>
        <v>225</v>
      </c>
      <c r="M192" s="137"/>
      <c r="N192" s="728" t="s">
        <v>371</v>
      </c>
      <c r="O192" s="735" t="s">
        <v>576</v>
      </c>
      <c r="P192" s="731"/>
      <c r="Q192" s="220" t="s">
        <v>576</v>
      </c>
      <c r="R192" s="137"/>
      <c r="S192" s="1091">
        <f>S196-S195-S194-S193</f>
        <v>59.121999999999957</v>
      </c>
      <c r="T192" s="137"/>
      <c r="U192" s="751">
        <f>S192/L192</f>
        <v>0.26276444444444425</v>
      </c>
      <c r="V192" s="137"/>
      <c r="W192" s="708"/>
      <c r="X192" s="735" t="s">
        <v>576</v>
      </c>
      <c r="Y192" s="137"/>
      <c r="Z192" s="737">
        <f>0.42949/0.8</f>
        <v>0.53686249999999991</v>
      </c>
      <c r="AA192" s="137"/>
      <c r="AB192" s="732">
        <f>Z192</f>
        <v>0.53686249999999991</v>
      </c>
      <c r="AC192" s="137"/>
      <c r="AD192" s="728"/>
      <c r="AE192" s="735"/>
      <c r="AF192" s="731"/>
      <c r="AG192" s="220"/>
      <c r="AH192" s="137"/>
      <c r="AI192" s="725">
        <f>+S192</f>
        <v>59.121999999999957</v>
      </c>
      <c r="AJ192" s="137"/>
      <c r="AK192" s="1111">
        <f>AI192/AB192</f>
        <v>110.12503201471506</v>
      </c>
      <c r="AL192" s="137"/>
      <c r="AM192" s="708"/>
      <c r="AN192" s="735" t="s">
        <v>576</v>
      </c>
      <c r="AO192" s="137"/>
      <c r="AP192" s="291">
        <f>+F192</f>
        <v>3.7</v>
      </c>
      <c r="AQ192" s="291">
        <f>+F344</f>
        <v>0</v>
      </c>
      <c r="AR192" s="291">
        <f>+'qtrP&amp;L'!CD33</f>
        <v>2.1140221128063796</v>
      </c>
      <c r="AS192" s="137"/>
      <c r="AT192" s="753">
        <f>+S163/(S163+S316)</f>
        <v>0.60142391763139769</v>
      </c>
      <c r="AU192" s="754">
        <f>+S316/(S163+S316)</f>
        <v>0.39857608236860242</v>
      </c>
      <c r="AV192" s="291">
        <f>+AT192*AP192+AU192*AQ192</f>
        <v>2.2252684952361714</v>
      </c>
      <c r="AW192" s="735" t="str">
        <f>+(IF(ROUND(AR192,0)=ROUND(AV192,0),"y","n"))</f>
        <v>y</v>
      </c>
    </row>
    <row r="193" spans="1:49" hidden="1" outlineLevel="1">
      <c r="A193" s="137" t="str">
        <f>$A$15</f>
        <v>2Q</v>
      </c>
      <c r="B193" s="749" t="str">
        <f>$B$15</f>
        <v>Jul</v>
      </c>
      <c r="C193" s="137"/>
      <c r="D193" s="689" t="s">
        <v>371</v>
      </c>
      <c r="E193" s="137"/>
      <c r="F193" s="750">
        <v>7.1</v>
      </c>
      <c r="G193" s="137"/>
      <c r="H193" s="728" t="s">
        <v>371</v>
      </c>
      <c r="I193" s="137"/>
      <c r="J193" s="137">
        <f>218+17</f>
        <v>235</v>
      </c>
      <c r="K193" s="137"/>
      <c r="L193" s="734">
        <f>AVERAGE(J193,J192)</f>
        <v>230</v>
      </c>
      <c r="M193" s="137"/>
      <c r="N193" s="728" t="s">
        <v>371</v>
      </c>
      <c r="O193" s="735"/>
      <c r="P193" s="731"/>
      <c r="Q193" s="220"/>
      <c r="R193" s="137"/>
      <c r="S193" s="1091">
        <v>71</v>
      </c>
      <c r="T193" s="137"/>
      <c r="U193" s="755">
        <f>S193/L193</f>
        <v>0.30869565217391304</v>
      </c>
      <c r="V193" s="137"/>
      <c r="W193" s="708"/>
      <c r="X193" s="735"/>
      <c r="Y193" s="137"/>
      <c r="Z193" s="737">
        <f>0.446181/0.8</f>
        <v>0.55772624999999998</v>
      </c>
      <c r="AA193" s="137"/>
      <c r="AB193" s="732">
        <f>AVERAGE(Z193,Z192)</f>
        <v>0.54729437499999989</v>
      </c>
      <c r="AC193" s="137"/>
      <c r="AD193" s="728"/>
      <c r="AE193" s="735"/>
      <c r="AF193" s="731"/>
      <c r="AG193" s="220"/>
      <c r="AH193" s="137"/>
      <c r="AI193" s="727">
        <f>+S193</f>
        <v>71</v>
      </c>
      <c r="AJ193" s="137"/>
      <c r="AK193" s="756">
        <f>AI193/AB193</f>
        <v>129.72908775099327</v>
      </c>
      <c r="AL193" s="137"/>
      <c r="AM193" s="708"/>
      <c r="AN193" s="735"/>
      <c r="AO193" s="137"/>
      <c r="AP193" s="291">
        <f>+F193</f>
        <v>7.1</v>
      </c>
      <c r="AQ193" s="291">
        <f>+F345</f>
        <v>0</v>
      </c>
      <c r="AR193" s="291">
        <f>+'qtrP&amp;L'!CD34</f>
        <v>3.4888242348330101</v>
      </c>
      <c r="AS193" s="137"/>
      <c r="AT193" s="753">
        <f>+S164/(S164+S317)</f>
        <v>0.58639107730097206</v>
      </c>
      <c r="AU193" s="754">
        <f>+S317/(S164+S317)</f>
        <v>0.4136089226990281</v>
      </c>
      <c r="AV193" s="291">
        <f>+AT193*AP193+AU193*AQ193</f>
        <v>4.1633766488369011</v>
      </c>
      <c r="AW193" s="735" t="str">
        <f>+(IF(ROUND(AR193,0)=ROUND(AV193,0),"y","n"))</f>
        <v>n</v>
      </c>
    </row>
    <row r="194" spans="1:49" hidden="1" outlineLevel="1">
      <c r="A194" s="137" t="str">
        <f>$A$16</f>
        <v>3Q</v>
      </c>
      <c r="B194" s="749" t="str">
        <f>$B$16</f>
        <v>Oct</v>
      </c>
      <c r="C194" s="137"/>
      <c r="D194" s="689" t="s">
        <v>371</v>
      </c>
      <c r="E194" s="137"/>
      <c r="F194" s="750">
        <v>7</v>
      </c>
      <c r="G194" s="137"/>
      <c r="H194" s="728" t="s">
        <v>371</v>
      </c>
      <c r="I194" s="137"/>
      <c r="J194" s="137">
        <f>232+17</f>
        <v>249</v>
      </c>
      <c r="K194" s="137"/>
      <c r="L194" s="734">
        <f>AVERAGE(J194,J193)</f>
        <v>242</v>
      </c>
      <c r="M194" s="137"/>
      <c r="N194" s="728" t="s">
        <v>371</v>
      </c>
      <c r="O194" s="735"/>
      <c r="P194" s="731"/>
      <c r="Q194" s="220"/>
      <c r="R194" s="137"/>
      <c r="S194" s="1091">
        <v>62</v>
      </c>
      <c r="T194" s="137"/>
      <c r="U194" s="755">
        <f>S194/L194</f>
        <v>0.256198347107438</v>
      </c>
      <c r="V194" s="137"/>
      <c r="W194" s="708"/>
      <c r="X194" s="735"/>
      <c r="Y194" s="137"/>
      <c r="Z194" s="737">
        <f>0.472619/0.8</f>
        <v>0.59077374999999999</v>
      </c>
      <c r="AA194" s="137"/>
      <c r="AB194" s="732">
        <f>AVERAGE(Z194,Z193)</f>
        <v>0.57424999999999993</v>
      </c>
      <c r="AC194" s="137"/>
      <c r="AD194" s="728"/>
      <c r="AE194" s="735"/>
      <c r="AF194" s="731"/>
      <c r="AG194" s="220"/>
      <c r="AH194" s="137"/>
      <c r="AI194" s="727">
        <f>+S194</f>
        <v>62</v>
      </c>
      <c r="AJ194" s="137"/>
      <c r="AK194" s="756">
        <f>AI194/AB194</f>
        <v>107.96691336525905</v>
      </c>
      <c r="AL194" s="137"/>
      <c r="AM194" s="708"/>
      <c r="AN194" s="735"/>
      <c r="AO194" s="137"/>
      <c r="AP194" s="291">
        <f>+F194</f>
        <v>7</v>
      </c>
      <c r="AQ194" s="291">
        <f>+F346</f>
        <v>0</v>
      </c>
      <c r="AR194" s="291">
        <f>+'qtrP&amp;L'!CD35</f>
        <v>4.1216028475058231</v>
      </c>
      <c r="AS194" s="137"/>
      <c r="AT194" s="753">
        <f>+S165/(S165+S318)</f>
        <v>0.60919697856316468</v>
      </c>
      <c r="AU194" s="754">
        <f>+S318/(S165+S318)</f>
        <v>0.39080302143683526</v>
      </c>
      <c r="AV194" s="291">
        <f>+AT194*AP194+AU194*AQ194</f>
        <v>4.2643788499421529</v>
      </c>
      <c r="AW194" s="735" t="str">
        <f>+(IF(ROUND(AR194,0)=ROUND(AV194,0),"y","n"))</f>
        <v>y</v>
      </c>
    </row>
    <row r="195" spans="1:49" hidden="1" outlineLevel="1">
      <c r="A195" s="137" t="str">
        <f>$A$17</f>
        <v>4Q</v>
      </c>
      <c r="B195" s="749" t="str">
        <f>$B$17</f>
        <v>Jan</v>
      </c>
      <c r="C195" s="137"/>
      <c r="D195" s="643" t="s">
        <v>371</v>
      </c>
      <c r="E195" s="137"/>
      <c r="F195" s="738">
        <v>5.3</v>
      </c>
      <c r="G195" s="137"/>
      <c r="H195" s="744" t="s">
        <v>371</v>
      </c>
      <c r="I195" s="137"/>
      <c r="J195" s="137">
        <f>232+17</f>
        <v>249</v>
      </c>
      <c r="K195" s="137"/>
      <c r="L195" s="736">
        <f>AVERAGE(J195,J194)</f>
        <v>249</v>
      </c>
      <c r="M195" s="137"/>
      <c r="N195" s="728" t="s">
        <v>371</v>
      </c>
      <c r="O195" s="735"/>
      <c r="P195" s="736"/>
      <c r="Q195" s="220"/>
      <c r="R195" s="137"/>
      <c r="S195" s="757">
        <v>75.384</v>
      </c>
      <c r="T195" s="137"/>
      <c r="U195" s="758">
        <f>S195/L195</f>
        <v>0.30274698795180721</v>
      </c>
      <c r="V195" s="137"/>
      <c r="W195" s="759"/>
      <c r="X195" s="735"/>
      <c r="Y195" s="137"/>
      <c r="Z195" s="737">
        <f>0.474069/0.8</f>
        <v>0.59258624999999998</v>
      </c>
      <c r="AA195" s="137"/>
      <c r="AB195" s="760">
        <f>AVERAGE(Z195,Z194)</f>
        <v>0.59167999999999998</v>
      </c>
      <c r="AC195" s="137"/>
      <c r="AD195" s="744"/>
      <c r="AE195" s="735"/>
      <c r="AF195" s="736"/>
      <c r="AG195" s="220"/>
      <c r="AH195" s="137"/>
      <c r="AI195" s="729">
        <f>+S195</f>
        <v>75.384</v>
      </c>
      <c r="AJ195" s="137"/>
      <c r="AK195" s="761">
        <f>AI195/AB195</f>
        <v>127.40670632774473</v>
      </c>
      <c r="AL195" s="137"/>
      <c r="AM195" s="759"/>
      <c r="AN195" s="735"/>
      <c r="AO195" s="137"/>
      <c r="AP195" s="291">
        <f>+F195</f>
        <v>5.3</v>
      </c>
      <c r="AQ195" s="291">
        <f>+F347</f>
        <v>0</v>
      </c>
      <c r="AR195" s="291">
        <f>+'qtrP&amp;L'!CD36</f>
        <v>3.9587536996080086</v>
      </c>
      <c r="AS195" s="137"/>
      <c r="AT195" s="753" t="e">
        <f>+S173/(S173+S333)</f>
        <v>#DIV/0!</v>
      </c>
      <c r="AU195" s="754" t="e">
        <f>+S333/(S173+S333)</f>
        <v>#DIV/0!</v>
      </c>
      <c r="AV195" s="291" t="e">
        <f>+AT195*AP195+AU195*AQ195</f>
        <v>#DIV/0!</v>
      </c>
      <c r="AW195" s="735" t="e">
        <f>+(IF(ROUND(AR195,0)=ROUND(AV195,0),"y","n"))</f>
        <v>#DIV/0!</v>
      </c>
    </row>
    <row r="196" spans="1:49" hidden="1" outlineLevel="1">
      <c r="A196" s="137"/>
      <c r="B196" s="749" t="str">
        <f>$B$18</f>
        <v>Year</v>
      </c>
      <c r="C196" s="137"/>
      <c r="D196" s="728" t="s">
        <v>371</v>
      </c>
      <c r="E196" s="137"/>
      <c r="F196" s="762">
        <f>F192*S192/S196+F193*S193/S196+F194*S194/S196+F195*S195/S196</f>
        <v>5.8181371632785801</v>
      </c>
      <c r="G196" s="137"/>
      <c r="H196" s="728" t="s">
        <v>371</v>
      </c>
      <c r="I196" s="137"/>
      <c r="J196" s="733"/>
      <c r="K196" s="137"/>
      <c r="L196" s="734">
        <f>AVERAGE(L192:L195)</f>
        <v>236.5</v>
      </c>
      <c r="M196" s="137"/>
      <c r="N196" s="728" t="s">
        <v>371</v>
      </c>
      <c r="O196" s="735"/>
      <c r="P196" s="731"/>
      <c r="Q196" s="220"/>
      <c r="R196" s="137"/>
      <c r="S196" s="725">
        <v>267.50599999999997</v>
      </c>
      <c r="T196" s="137"/>
      <c r="U196" s="751">
        <f>SUM(U192:U195)</f>
        <v>1.1304054316776024</v>
      </c>
      <c r="V196" s="137"/>
      <c r="W196" s="708"/>
      <c r="X196" s="735"/>
      <c r="Y196" s="137"/>
      <c r="Z196" s="137"/>
      <c r="AA196" s="137"/>
      <c r="AB196" s="732">
        <f>AVERAGE(AB192:AB195)</f>
        <v>0.5625217187499999</v>
      </c>
      <c r="AC196" s="137"/>
      <c r="AD196" s="728"/>
      <c r="AE196" s="735"/>
      <c r="AF196" s="731"/>
      <c r="AG196" s="220"/>
      <c r="AH196" s="137"/>
      <c r="AI196" s="725">
        <f>SUM(AI192:AI195)</f>
        <v>267.50599999999997</v>
      </c>
      <c r="AJ196" s="137"/>
      <c r="AK196" s="752">
        <f>SUM(AK192:AK195)</f>
        <v>475.22773945871211</v>
      </c>
      <c r="AL196" s="137"/>
      <c r="AM196" s="708"/>
      <c r="AN196" s="735"/>
      <c r="AO196" s="137"/>
      <c r="AP196" s="726"/>
      <c r="AQ196" s="310"/>
      <c r="AR196" s="220"/>
      <c r="AS196" s="137"/>
      <c r="AT196" s="137"/>
      <c r="AU196" s="137"/>
      <c r="AV196" s="137"/>
      <c r="AW196" s="137"/>
    </row>
    <row r="197" spans="1:49" collapsed="1">
      <c r="A197" s="137"/>
      <c r="B197" s="749"/>
      <c r="C197" s="137"/>
      <c r="D197" s="728"/>
      <c r="E197" s="137"/>
      <c r="F197" s="762"/>
      <c r="G197" s="137"/>
      <c r="H197" s="728"/>
      <c r="I197" s="137"/>
      <c r="J197" s="733"/>
      <c r="K197" s="137"/>
      <c r="L197" s="734"/>
      <c r="M197" s="137"/>
      <c r="N197" s="728"/>
      <c r="O197" s="735"/>
      <c r="P197" s="731"/>
      <c r="Q197" s="220"/>
      <c r="R197" s="137"/>
      <c r="S197" s="725"/>
      <c r="T197" s="137"/>
      <c r="U197" s="751"/>
      <c r="V197" s="137"/>
      <c r="W197" s="708"/>
      <c r="X197" s="735"/>
      <c r="Y197" s="137"/>
      <c r="Z197" s="137"/>
      <c r="AA197" s="137"/>
      <c r="AB197" s="732"/>
      <c r="AC197" s="137"/>
      <c r="AD197" s="728"/>
      <c r="AE197" s="735"/>
      <c r="AF197" s="731"/>
      <c r="AG197" s="220"/>
      <c r="AH197" s="137"/>
      <c r="AI197" s="725"/>
      <c r="AJ197" s="137"/>
      <c r="AK197" s="752"/>
      <c r="AL197" s="137"/>
      <c r="AM197" s="708"/>
      <c r="AN197" s="735"/>
      <c r="AO197" s="137"/>
      <c r="AP197" s="726"/>
      <c r="AQ197" s="310"/>
      <c r="AR197" s="220"/>
      <c r="AS197" s="137"/>
      <c r="AT197" s="137"/>
      <c r="AU197" s="137"/>
      <c r="AV197" s="137"/>
      <c r="AW197" s="137"/>
    </row>
    <row r="198" spans="1:49">
      <c r="A198" s="746"/>
      <c r="B198" s="747">
        <v>2014</v>
      </c>
      <c r="C198" s="137"/>
      <c r="D198" s="728"/>
      <c r="E198" s="137"/>
      <c r="F198" s="762"/>
      <c r="G198" s="137"/>
      <c r="H198" s="728"/>
      <c r="I198" s="137"/>
      <c r="J198" s="733"/>
      <c r="K198" s="137"/>
      <c r="L198" s="734"/>
      <c r="M198" s="137"/>
      <c r="N198" s="728"/>
      <c r="O198" s="735"/>
      <c r="P198" s="731"/>
      <c r="Q198" s="220"/>
      <c r="R198" s="137"/>
      <c r="S198" s="725"/>
      <c r="T198" s="137"/>
      <c r="U198" s="751"/>
      <c r="V198" s="137"/>
      <c r="W198" s="708"/>
      <c r="X198" s="735"/>
      <c r="Y198" s="137"/>
      <c r="Z198" s="137"/>
      <c r="AA198" s="137"/>
      <c r="AB198" s="732"/>
      <c r="AC198" s="137"/>
      <c r="AD198" s="728"/>
      <c r="AE198" s="735"/>
      <c r="AF198" s="731"/>
      <c r="AG198" s="220"/>
      <c r="AH198" s="137"/>
      <c r="AI198" s="725"/>
      <c r="AJ198" s="137"/>
      <c r="AK198" s="752"/>
      <c r="AL198" s="137"/>
      <c r="AM198" s="708"/>
      <c r="AN198" s="735"/>
      <c r="AO198" s="137"/>
      <c r="AP198" s="726"/>
      <c r="AQ198" s="310"/>
      <c r="AR198" s="220"/>
      <c r="AS198" s="137"/>
      <c r="AT198" s="137"/>
      <c r="AU198" s="137"/>
      <c r="AV198" s="137"/>
      <c r="AW198" s="137"/>
    </row>
    <row r="199" spans="1:49">
      <c r="A199" s="137" t="str">
        <f>$A$14</f>
        <v>1Q</v>
      </c>
      <c r="B199" s="749" t="str">
        <f>$B$14</f>
        <v>Apr</v>
      </c>
      <c r="C199" s="137"/>
      <c r="D199" s="689">
        <f>(S199/S192-1)*100</f>
        <v>14.733939988498435</v>
      </c>
      <c r="E199" s="137" t="s">
        <v>576</v>
      </c>
      <c r="F199" s="750">
        <v>9.3000000000000007</v>
      </c>
      <c r="G199" s="137" t="s">
        <v>576</v>
      </c>
      <c r="H199" s="728">
        <f>D199-F199</f>
        <v>5.4339399884984338</v>
      </c>
      <c r="I199" s="137" t="s">
        <v>576</v>
      </c>
      <c r="J199" s="137">
        <f>243+16</f>
        <v>259</v>
      </c>
      <c r="K199" s="137">
        <f>J199-J195</f>
        <v>10</v>
      </c>
      <c r="L199" s="734">
        <f>AVERAGE(J199,J195)</f>
        <v>254</v>
      </c>
      <c r="M199" s="137"/>
      <c r="N199" s="728">
        <f>(L199/L192-1)*100</f>
        <v>12.888888888888882</v>
      </c>
      <c r="O199" s="735" t="s">
        <v>576</v>
      </c>
      <c r="P199" s="731">
        <f>H199/N199*100</f>
        <v>42.159879221108561</v>
      </c>
      <c r="Q199" s="220" t="s">
        <v>576</v>
      </c>
      <c r="R199" s="137"/>
      <c r="S199" s="717">
        <v>67.832999999999998</v>
      </c>
      <c r="T199" s="137"/>
      <c r="U199" s="751">
        <f>S199/L199</f>
        <v>0.26705905511811023</v>
      </c>
      <c r="V199" s="137"/>
      <c r="W199" s="708">
        <f>(U199/U192-1)*100</f>
        <v>1.6343956591029496</v>
      </c>
      <c r="X199" s="735" t="s">
        <v>576</v>
      </c>
      <c r="Y199" s="137"/>
      <c r="Z199" s="737">
        <f>0.491106/0.8</f>
        <v>0.6138825</v>
      </c>
      <c r="AA199" s="137"/>
      <c r="AB199" s="732">
        <f>AVERAGE(Z199,Z195)</f>
        <v>0.60323437499999999</v>
      </c>
      <c r="AC199" s="137"/>
      <c r="AD199" s="728">
        <f>(AB199/AB192-1)*100</f>
        <v>12.362918810682455</v>
      </c>
      <c r="AE199" s="735" t="s">
        <v>576</v>
      </c>
      <c r="AF199" s="731">
        <f>+H199/AD199*100</f>
        <v>43.953536148786462</v>
      </c>
      <c r="AG199" s="220" t="s">
        <v>576</v>
      </c>
      <c r="AH199" s="137"/>
      <c r="AI199" s="725">
        <f>+S199</f>
        <v>67.832999999999998</v>
      </c>
      <c r="AJ199" s="137"/>
      <c r="AK199" s="752">
        <f>AI199/AB199</f>
        <v>112.44883052296215</v>
      </c>
      <c r="AL199" s="137"/>
      <c r="AM199" s="708">
        <f>(AK199/AK192-1)*100</f>
        <v>2.1101455915459644</v>
      </c>
      <c r="AN199" s="735" t="s">
        <v>576</v>
      </c>
      <c r="AO199" s="137"/>
      <c r="AP199" s="291">
        <f>+F199</f>
        <v>9.3000000000000007</v>
      </c>
      <c r="AQ199" s="291">
        <f>+F365</f>
        <v>0</v>
      </c>
      <c r="AR199" s="291">
        <f>+'qtrP&amp;L'!CD40</f>
        <v>2.2210962937543766</v>
      </c>
      <c r="AS199" s="137"/>
      <c r="AT199" s="753">
        <f>+S192/(S192+S344)</f>
        <v>1</v>
      </c>
      <c r="AU199" s="754">
        <f>+S344/(S192+S344)</f>
        <v>0</v>
      </c>
      <c r="AV199" s="291">
        <f>+AT199*AP199+AU199*AQ199</f>
        <v>9.3000000000000007</v>
      </c>
      <c r="AW199" s="735" t="str">
        <f>+(IF(ROUND(AR199,0)=ROUND(AV199,0),"y","n"))</f>
        <v>n</v>
      </c>
    </row>
    <row r="200" spans="1:49">
      <c r="A200" s="137" t="str">
        <f>$A$15</f>
        <v>2Q</v>
      </c>
      <c r="B200" s="749" t="str">
        <f>$B$15</f>
        <v>Jul</v>
      </c>
      <c r="C200" s="137"/>
      <c r="D200" s="689">
        <f>(S200/S193-1)*100</f>
        <v>15.359154929577468</v>
      </c>
      <c r="E200" s="137"/>
      <c r="F200" s="750">
        <v>4.7</v>
      </c>
      <c r="G200" s="137"/>
      <c r="H200" s="728">
        <f>D200-F200</f>
        <v>10.659154929577468</v>
      </c>
      <c r="I200" s="137"/>
      <c r="J200" s="137">
        <f>254+17</f>
        <v>271</v>
      </c>
      <c r="K200" s="137">
        <f>J200-J199</f>
        <v>12</v>
      </c>
      <c r="L200" s="734">
        <f>AVERAGE(J200,J199)</f>
        <v>265</v>
      </c>
      <c r="M200" s="137"/>
      <c r="N200" s="728">
        <f>(L200/L193-1)*100</f>
        <v>15.217391304347828</v>
      </c>
      <c r="O200" s="735"/>
      <c r="P200" s="731">
        <f>H200/N200*100</f>
        <v>70.045875251509074</v>
      </c>
      <c r="Q200" s="220"/>
      <c r="R200" s="137"/>
      <c r="S200" s="717">
        <v>81.905000000000001</v>
      </c>
      <c r="T200" s="137"/>
      <c r="U200" s="755">
        <f>S200/L200</f>
        <v>0.30907547169811322</v>
      </c>
      <c r="V200" s="137"/>
      <c r="W200" s="708">
        <f>(U200/U193-1)*100</f>
        <v>0.12304012755781635</v>
      </c>
      <c r="X200" s="735"/>
      <c r="Y200" s="137"/>
      <c r="Z200" s="737">
        <f>0.5100857/0.8</f>
        <v>0.63760712499999994</v>
      </c>
      <c r="AA200" s="137"/>
      <c r="AB200" s="732">
        <f>AVERAGE(Z200,Z199)</f>
        <v>0.62574481250000002</v>
      </c>
      <c r="AC200" s="137"/>
      <c r="AD200" s="728">
        <f>(AB200/AB193-1)*100</f>
        <v>14.334230550058201</v>
      </c>
      <c r="AE200" s="735"/>
      <c r="AF200" s="731">
        <f>+H200/AD200*100</f>
        <v>74.361542409642553</v>
      </c>
      <c r="AG200" s="220"/>
      <c r="AH200" s="137"/>
      <c r="AI200" s="727">
        <f>+S200</f>
        <v>81.905000000000001</v>
      </c>
      <c r="AJ200" s="137"/>
      <c r="AK200" s="756">
        <f>AI200/AB200</f>
        <v>130.89201598455119</v>
      </c>
      <c r="AL200" s="137"/>
      <c r="AM200" s="708">
        <f>(AK200/AK193-1)*100</f>
        <v>0.89642828275342534</v>
      </c>
      <c r="AN200" s="735"/>
      <c r="AO200" s="137"/>
      <c r="AP200" s="291">
        <f>+F200</f>
        <v>4.7</v>
      </c>
      <c r="AQ200" s="291">
        <f>+F366</f>
        <v>0</v>
      </c>
      <c r="AR200" s="291">
        <f>+'qtrP&amp;L'!CD41</f>
        <v>-4.6734634315785062</v>
      </c>
      <c r="AS200" s="137"/>
      <c r="AT200" s="753">
        <f>+S193/(S193+S345)</f>
        <v>1</v>
      </c>
      <c r="AU200" s="754">
        <f>+S345/(S193+S345)</f>
        <v>0</v>
      </c>
      <c r="AV200" s="291">
        <f>+AT200*AP200+AU200*AQ200</f>
        <v>4.7</v>
      </c>
      <c r="AW200" s="735" t="str">
        <f>+(IF(ROUND(AR200,0)=ROUND(AV200,0),"y","n"))</f>
        <v>n</v>
      </c>
    </row>
    <row r="201" spans="1:49">
      <c r="A201" s="137" t="str">
        <f>$A$16</f>
        <v>3Q</v>
      </c>
      <c r="B201" s="749" t="str">
        <f>$B$16</f>
        <v>Oct</v>
      </c>
      <c r="C201" s="137"/>
      <c r="D201" s="689">
        <f>(S201/S194-1)*100</f>
        <v>13.98064516129034</v>
      </c>
      <c r="E201" s="137"/>
      <c r="F201" s="750">
        <v>3.7</v>
      </c>
      <c r="G201" s="137"/>
      <c r="H201" s="728">
        <f>D201-F201</f>
        <v>10.280645161290341</v>
      </c>
      <c r="I201" s="137"/>
      <c r="J201" s="137">
        <f>263+17</f>
        <v>280</v>
      </c>
      <c r="K201" s="137">
        <f>J201-J200</f>
        <v>9</v>
      </c>
      <c r="L201" s="734">
        <f>AVERAGE(J201,J200)</f>
        <v>275.5</v>
      </c>
      <c r="M201" s="137"/>
      <c r="N201" s="728">
        <f>(L201/L194-1)*100</f>
        <v>13.842975206611573</v>
      </c>
      <c r="O201" s="735"/>
      <c r="P201" s="731">
        <f>H201/N201*100</f>
        <v>74.266153105440651</v>
      </c>
      <c r="Q201" s="220"/>
      <c r="R201" s="137"/>
      <c r="S201" s="717">
        <v>70.668000000000006</v>
      </c>
      <c r="T201" s="137"/>
      <c r="U201" s="755">
        <f>S201/L201</f>
        <v>0.25650816696914702</v>
      </c>
      <c r="V201" s="137"/>
      <c r="W201" s="708">
        <f>(U201/U194-1)*100</f>
        <v>0.12092968795740511</v>
      </c>
      <c r="X201" s="735"/>
      <c r="Y201" s="137"/>
      <c r="Z201" s="737">
        <f>0.528781/0.8</f>
        <v>0.66097624999999993</v>
      </c>
      <c r="AA201" s="137"/>
      <c r="AB201" s="732">
        <f>AVERAGE(Z201,Z200)</f>
        <v>0.64929168749999988</v>
      </c>
      <c r="AC201" s="137"/>
      <c r="AD201" s="728">
        <f>(AB201/AB194-1)*100</f>
        <v>13.067773182411834</v>
      </c>
      <c r="AE201" s="735"/>
      <c r="AF201" s="731">
        <f>+H201/AD201*100</f>
        <v>78.671744740161685</v>
      </c>
      <c r="AG201" s="220"/>
      <c r="AH201" s="137"/>
      <c r="AI201" s="727">
        <f>+S201</f>
        <v>70.668000000000006</v>
      </c>
      <c r="AJ201" s="137"/>
      <c r="AK201" s="756">
        <f>AI201/AB201</f>
        <v>108.83860268117174</v>
      </c>
      <c r="AL201" s="137"/>
      <c r="AM201" s="708">
        <f>(AK201/AK194-1)*100</f>
        <v>0.80736708010138436</v>
      </c>
      <c r="AN201" s="735"/>
      <c r="AO201" s="137"/>
      <c r="AP201" s="291">
        <f>+F201</f>
        <v>3.7</v>
      </c>
      <c r="AQ201" s="291">
        <f>+F367</f>
        <v>0</v>
      </c>
      <c r="AR201" s="291">
        <f>+'qtrP&amp;L'!CD42</f>
        <v>6.6240249917503213</v>
      </c>
      <c r="AS201" s="137"/>
      <c r="AT201" s="753">
        <f>+S194/(S194+S346)</f>
        <v>1</v>
      </c>
      <c r="AU201" s="754">
        <f>+S346/(S194+S346)</f>
        <v>0</v>
      </c>
      <c r="AV201" s="291">
        <f>+AT201*AP201+AU201*AQ201</f>
        <v>3.7</v>
      </c>
      <c r="AW201" s="735" t="str">
        <f>+(IF(ROUND(AR201,0)=ROUND(AV201,0),"y","n"))</f>
        <v>n</v>
      </c>
    </row>
    <row r="202" spans="1:49">
      <c r="A202" s="137" t="str">
        <f>$A$17</f>
        <v>4Q</v>
      </c>
      <c r="B202" s="749" t="str">
        <f>$B$17</f>
        <v>Jan</v>
      </c>
      <c r="C202" s="137"/>
      <c r="D202" s="643">
        <f>(S202/S195-1)*100</f>
        <v>20.407513530722699</v>
      </c>
      <c r="E202" s="137"/>
      <c r="F202" s="738">
        <v>13.7</v>
      </c>
      <c r="G202" s="137"/>
      <c r="H202" s="643">
        <f>D202-F202</f>
        <v>6.7075135307227001</v>
      </c>
      <c r="I202" s="137"/>
      <c r="J202" s="137">
        <f>263+17</f>
        <v>280</v>
      </c>
      <c r="K202" s="137">
        <f>J202-J201</f>
        <v>0</v>
      </c>
      <c r="L202" s="736">
        <f>AVERAGE(J202,J201)</f>
        <v>280</v>
      </c>
      <c r="M202" s="137"/>
      <c r="N202" s="744">
        <f>(L202/L195-1)*100</f>
        <v>12.449799196787147</v>
      </c>
      <c r="O202" s="735"/>
      <c r="P202" s="736">
        <f>H202/N202*100</f>
        <v>53.876479649998466</v>
      </c>
      <c r="Q202" s="220"/>
      <c r="R202" s="137"/>
      <c r="S202" s="757">
        <v>90.768000000000001</v>
      </c>
      <c r="T202" s="137"/>
      <c r="U202" s="758">
        <f>S202/L202</f>
        <v>0.32417142857142855</v>
      </c>
      <c r="V202" s="137"/>
      <c r="W202" s="759">
        <f>(U202/U195-1)*100</f>
        <v>7.0766816755355455</v>
      </c>
      <c r="X202" s="735"/>
      <c r="Y202" s="137"/>
      <c r="Z202" s="737">
        <f>0.530314/0.8</f>
        <v>0.66289249999999988</v>
      </c>
      <c r="AA202" s="137"/>
      <c r="AB202" s="760">
        <f>AVERAGE(Z202,Z201)</f>
        <v>0.66193437499999996</v>
      </c>
      <c r="AC202" s="137"/>
      <c r="AD202" s="744">
        <f>(AB202/AB195-1)*100</f>
        <v>11.873711296646828</v>
      </c>
      <c r="AE202" s="735"/>
      <c r="AF202" s="736">
        <f>+H202/AD202*100</f>
        <v>56.490454948293397</v>
      </c>
      <c r="AG202" s="220"/>
      <c r="AH202" s="137"/>
      <c r="AI202" s="729">
        <f>+S202</f>
        <v>90.768000000000001</v>
      </c>
      <c r="AJ202" s="137"/>
      <c r="AK202" s="761">
        <f>AI202/AB202</f>
        <v>137.12537591056517</v>
      </c>
      <c r="AL202" s="137"/>
      <c r="AM202" s="759">
        <f>(AK202/AK195-1)*100</f>
        <v>7.628067519318682</v>
      </c>
      <c r="AN202" s="735"/>
      <c r="AO202" s="137"/>
      <c r="AP202" s="291">
        <f>+F202</f>
        <v>13.7</v>
      </c>
      <c r="AQ202" s="291">
        <f>+F368</f>
        <v>0</v>
      </c>
      <c r="AR202" s="291">
        <f>+'qtrP&amp;L'!CD43</f>
        <v>-1.4237517274226064</v>
      </c>
      <c r="AS202" s="137"/>
      <c r="AT202" s="753">
        <f>+S195/(S195+S347)</f>
        <v>1</v>
      </c>
      <c r="AU202" s="754">
        <f>+S347/(S195+S347)</f>
        <v>0</v>
      </c>
      <c r="AV202" s="291">
        <f>+AT202*AP202+AU202*AQ202</f>
        <v>13.7</v>
      </c>
      <c r="AW202" s="735" t="str">
        <f>+(IF(ROUND(AR202,0)=ROUND(AV202,0),"y","n"))</f>
        <v>n</v>
      </c>
    </row>
    <row r="203" spans="1:49">
      <c r="A203" s="137"/>
      <c r="B203" s="749" t="str">
        <f>$B$18</f>
        <v>Year</v>
      </c>
      <c r="C203" s="137"/>
      <c r="D203" s="728">
        <f>(S203/S196-1)*100</f>
        <v>16.324119832826177</v>
      </c>
      <c r="E203" s="137"/>
      <c r="F203" s="762">
        <f>F199*S199/S203+F200*S200/S203+F201*S201/S203+F202*S202/S203</f>
        <v>8.1009133153798203</v>
      </c>
      <c r="G203" s="137"/>
      <c r="H203" s="728">
        <f>D203-F203</f>
        <v>8.2232065174463571</v>
      </c>
      <c r="I203" s="137"/>
      <c r="J203" s="733"/>
      <c r="K203" s="137"/>
      <c r="L203" s="734">
        <f>AVERAGE(L199:L202)</f>
        <v>268.625</v>
      </c>
      <c r="M203" s="137"/>
      <c r="N203" s="728">
        <f>(L203/L196-1)*100</f>
        <v>13.583509513742076</v>
      </c>
      <c r="O203" s="735"/>
      <c r="P203" s="731">
        <f>H203/N203*100</f>
        <v>60.538158486414403</v>
      </c>
      <c r="Q203" s="220"/>
      <c r="R203" s="137"/>
      <c r="S203" s="725">
        <v>311.17399999999998</v>
      </c>
      <c r="T203" s="137"/>
      <c r="U203" s="751">
        <f>SUM(U199:U202)</f>
        <v>1.1568141223567991</v>
      </c>
      <c r="V203" s="137"/>
      <c r="W203" s="708">
        <f>(U203/U196-1)*100</f>
        <v>2.3362140643648832</v>
      </c>
      <c r="X203" s="735"/>
      <c r="Y203" s="137"/>
      <c r="Z203" s="137"/>
      <c r="AA203" s="137"/>
      <c r="AB203" s="732">
        <f>AVERAGE(AB199:AB202)</f>
        <v>0.63505131249999991</v>
      </c>
      <c r="AC203" s="137"/>
      <c r="AD203" s="728">
        <f>(AB203/AB196-1)*100</f>
        <v>12.893652161763768</v>
      </c>
      <c r="AE203" s="735"/>
      <c r="AF203" s="731">
        <f>+H203/AD203*100</f>
        <v>63.777170457819111</v>
      </c>
      <c r="AG203" s="220"/>
      <c r="AH203" s="137"/>
      <c r="AI203" s="725">
        <f>SUM(AI199:AI202)</f>
        <v>311.17399999999998</v>
      </c>
      <c r="AJ203" s="137"/>
      <c r="AK203" s="752">
        <f>SUM(AK199:AK202)</f>
        <v>489.30482509925025</v>
      </c>
      <c r="AL203" s="137"/>
      <c r="AM203" s="708">
        <f>(AK203/AK196-1)*100</f>
        <v>2.9621767568896562</v>
      </c>
      <c r="AN203" s="735"/>
      <c r="AO203" s="137"/>
      <c r="AP203" s="726"/>
      <c r="AQ203" s="310"/>
      <c r="AR203" s="220"/>
      <c r="AS203" s="137"/>
      <c r="AT203" s="137"/>
      <c r="AU203" s="137"/>
      <c r="AV203" s="137"/>
      <c r="AW203" s="137"/>
    </row>
    <row r="204" spans="1:49">
      <c r="A204" s="137"/>
      <c r="B204" s="749"/>
      <c r="C204" s="137"/>
      <c r="D204" s="728"/>
      <c r="E204" s="137"/>
      <c r="F204" s="762"/>
      <c r="G204" s="137"/>
      <c r="H204" s="728"/>
      <c r="I204" s="137"/>
      <c r="J204" s="733"/>
      <c r="K204" s="137"/>
      <c r="L204" s="728"/>
      <c r="M204" s="137"/>
      <c r="N204" s="728"/>
      <c r="O204" s="735"/>
      <c r="P204" s="731"/>
      <c r="Q204" s="220"/>
      <c r="R204" s="137"/>
      <c r="S204" s="725"/>
      <c r="T204" s="137"/>
      <c r="U204" s="751"/>
      <c r="V204" s="137"/>
      <c r="W204" s="708"/>
      <c r="X204" s="735"/>
      <c r="Y204" s="137"/>
      <c r="Z204" s="137"/>
      <c r="AA204" s="137"/>
      <c r="AB204" s="732"/>
      <c r="AC204" s="137"/>
      <c r="AD204" s="728"/>
      <c r="AE204" s="735"/>
      <c r="AF204" s="731"/>
      <c r="AG204" s="220"/>
      <c r="AH204" s="137"/>
      <c r="AI204" s="725"/>
      <c r="AJ204" s="137"/>
      <c r="AK204" s="752"/>
      <c r="AL204" s="137"/>
      <c r="AM204" s="708"/>
      <c r="AN204" s="735"/>
      <c r="AO204" s="137"/>
      <c r="AP204" s="726"/>
      <c r="AQ204" s="310"/>
      <c r="AR204" s="220"/>
      <c r="AS204" s="137"/>
      <c r="AT204" s="137"/>
      <c r="AU204" s="137"/>
      <c r="AV204" s="137"/>
      <c r="AW204" s="137"/>
    </row>
    <row r="205" spans="1:49">
      <c r="A205" s="746"/>
      <c r="B205" s="747">
        <v>2015</v>
      </c>
      <c r="C205" s="137"/>
      <c r="D205" s="728"/>
      <c r="E205" s="137"/>
      <c r="F205" s="762"/>
      <c r="G205" s="137"/>
      <c r="H205" s="728"/>
      <c r="I205" s="137"/>
      <c r="J205" s="733"/>
      <c r="K205" s="137"/>
      <c r="L205" s="728"/>
      <c r="M205" s="137"/>
      <c r="N205" s="728"/>
      <c r="O205" s="735"/>
      <c r="P205" s="731"/>
      <c r="Q205" s="220"/>
      <c r="R205" s="137"/>
      <c r="S205" s="725"/>
      <c r="T205" s="137"/>
      <c r="U205" s="768"/>
      <c r="V205" s="137"/>
      <c r="W205" s="708"/>
      <c r="X205" s="735"/>
      <c r="Y205" s="137"/>
      <c r="Z205" s="137"/>
      <c r="AA205" s="137"/>
      <c r="AB205" s="732"/>
      <c r="AC205" s="137"/>
      <c r="AD205" s="728"/>
      <c r="AE205" s="735"/>
      <c r="AF205" s="731"/>
      <c r="AG205" s="220"/>
      <c r="AH205" s="137"/>
      <c r="AI205" s="725"/>
      <c r="AJ205" s="137"/>
      <c r="AK205" s="752"/>
      <c r="AL205" s="137"/>
      <c r="AM205" s="708"/>
      <c r="AN205" s="735"/>
      <c r="AO205" s="137"/>
      <c r="AP205" s="726"/>
      <c r="AQ205" s="310"/>
      <c r="AR205" s="220"/>
      <c r="AS205" s="137"/>
      <c r="AT205" s="137"/>
      <c r="AU205" s="137"/>
      <c r="AV205" s="137"/>
      <c r="AW205" s="137"/>
    </row>
    <row r="206" spans="1:49">
      <c r="A206" s="137" t="str">
        <f>$A$14</f>
        <v>1Q</v>
      </c>
      <c r="B206" s="749" t="str">
        <f>$B$14</f>
        <v>Apr</v>
      </c>
      <c r="C206" s="137"/>
      <c r="D206" s="689">
        <f>(S206/S199-1)*100</f>
        <v>13.760264178202352</v>
      </c>
      <c r="E206" s="137" t="s">
        <v>576</v>
      </c>
      <c r="F206" s="750">
        <v>6.5</v>
      </c>
      <c r="G206" s="137" t="s">
        <v>576</v>
      </c>
      <c r="H206" s="728">
        <f>D206-F206</f>
        <v>7.2602641782023518</v>
      </c>
      <c r="I206" s="137" t="s">
        <v>576</v>
      </c>
      <c r="J206" s="137">
        <f>266+17</f>
        <v>283</v>
      </c>
      <c r="K206" s="137">
        <f>J206-J202</f>
        <v>3</v>
      </c>
      <c r="L206" s="734">
        <f>AVERAGE(J206,J202)</f>
        <v>281.5</v>
      </c>
      <c r="M206" s="137"/>
      <c r="N206" s="728">
        <f>(L206/L199-1)*100</f>
        <v>10.826771653543311</v>
      </c>
      <c r="O206" s="735" t="s">
        <v>576</v>
      </c>
      <c r="P206" s="731">
        <f>H206/N206*100</f>
        <v>67.058440045941708</v>
      </c>
      <c r="Q206" s="220" t="s">
        <v>576</v>
      </c>
      <c r="R206" s="137"/>
      <c r="S206" s="717">
        <v>77.167000000000002</v>
      </c>
      <c r="T206" s="137"/>
      <c r="U206" s="751">
        <f>S206/L206</f>
        <v>0.27412788632326823</v>
      </c>
      <c r="V206" s="137"/>
      <c r="W206" s="708">
        <f>(U206/U199-1)*100</f>
        <v>2.6469168783779695</v>
      </c>
      <c r="X206" s="735" t="s">
        <v>576</v>
      </c>
      <c r="Y206" s="137"/>
      <c r="Z206" s="737">
        <f>0.534392/0.8</f>
        <v>0.66798999999999997</v>
      </c>
      <c r="AA206" s="137"/>
      <c r="AB206" s="732">
        <f>AVERAGE(Z206,Z202)</f>
        <v>0.66544124999999998</v>
      </c>
      <c r="AC206" s="137"/>
      <c r="AD206" s="728">
        <f>(AB206/AB199-1)*100</f>
        <v>10.31222317196363</v>
      </c>
      <c r="AE206" s="735" t="s">
        <v>576</v>
      </c>
      <c r="AF206" s="731">
        <f>+H206/AD206*100</f>
        <v>70.404451660251141</v>
      </c>
      <c r="AG206" s="220" t="s">
        <v>576</v>
      </c>
      <c r="AH206" s="137"/>
      <c r="AI206" s="725">
        <f>+S206</f>
        <v>77.167000000000002</v>
      </c>
      <c r="AJ206" s="137"/>
      <c r="AK206" s="752">
        <f>AI206/AB206</f>
        <v>115.96365569462368</v>
      </c>
      <c r="AL206" s="137"/>
      <c r="AM206" s="708">
        <f>(AK206/AK199-1)*100</f>
        <v>3.125710739111498</v>
      </c>
      <c r="AN206" s="735" t="s">
        <v>576</v>
      </c>
      <c r="AO206" s="137"/>
      <c r="AP206" s="291">
        <f>+F206</f>
        <v>6.5</v>
      </c>
      <c r="AQ206" s="291">
        <f>+F372</f>
        <v>0</v>
      </c>
      <c r="AR206" s="291">
        <f>+'qtrP&amp;L'!CD47</f>
        <v>0</v>
      </c>
      <c r="AS206" s="137"/>
      <c r="AT206" s="753">
        <f>+S199/(S199+S351)</f>
        <v>1</v>
      </c>
      <c r="AU206" s="754">
        <f>+S351/(S199+S351)</f>
        <v>0</v>
      </c>
      <c r="AV206" s="291">
        <f>+AT206*AP206+AU206*AQ206</f>
        <v>6.5</v>
      </c>
      <c r="AW206" s="735" t="str">
        <f>+(IF(ROUND(AR206,0)=ROUND(AV206,0),"y","n"))</f>
        <v>n</v>
      </c>
    </row>
    <row r="207" spans="1:49">
      <c r="A207" s="137" t="str">
        <f>$A$15</f>
        <v>2Q</v>
      </c>
      <c r="B207" s="749" t="str">
        <f>$B$15</f>
        <v>Jul</v>
      </c>
      <c r="C207" s="137"/>
      <c r="D207" s="689">
        <f>(S207/S200-1)*100</f>
        <v>10.897991575605893</v>
      </c>
      <c r="E207" s="137"/>
      <c r="F207" s="750">
        <v>5.0999999999999996</v>
      </c>
      <c r="G207" s="137"/>
      <c r="H207" s="728">
        <f>D207-F207</f>
        <v>5.7979915756058933</v>
      </c>
      <c r="I207" s="137"/>
      <c r="J207" s="137">
        <f>267+17</f>
        <v>284</v>
      </c>
      <c r="K207" s="137">
        <f>J207-J206</f>
        <v>1</v>
      </c>
      <c r="L207" s="734">
        <f>AVERAGE(J207,J206)</f>
        <v>283.5</v>
      </c>
      <c r="M207" s="137"/>
      <c r="N207" s="728">
        <f>(L207/L200-1)*100</f>
        <v>6.9811320754717077</v>
      </c>
      <c r="O207" s="735"/>
      <c r="P207" s="731">
        <f>H207/N207*100</f>
        <v>83.052311758678897</v>
      </c>
      <c r="Q207" s="220"/>
      <c r="R207" s="137"/>
      <c r="S207" s="717">
        <v>90.831000000000003</v>
      </c>
      <c r="T207" s="137"/>
      <c r="U207" s="755">
        <f>S207/L207</f>
        <v>0.32039153439153439</v>
      </c>
      <c r="V207" s="137"/>
      <c r="W207" s="708">
        <f>(U207/U200-1)*100</f>
        <v>3.6612619666157142</v>
      </c>
      <c r="X207" s="735"/>
      <c r="Y207" s="137"/>
      <c r="Z207" s="737">
        <f>0.535416/0.8</f>
        <v>0.66926999999999992</v>
      </c>
      <c r="AA207" s="137"/>
      <c r="AB207" s="732">
        <f>AVERAGE(Z207,Z206)</f>
        <v>0.66862999999999995</v>
      </c>
      <c r="AC207" s="137"/>
      <c r="AD207" s="728">
        <f>(AB207/AB200-1)*100</f>
        <v>6.8534627284664751</v>
      </c>
      <c r="AE207" s="735"/>
      <c r="AF207" s="731">
        <f>+H207/AD207*100</f>
        <v>84.599447101731698</v>
      </c>
      <c r="AG207" s="220"/>
      <c r="AH207" s="137"/>
      <c r="AI207" s="727">
        <f>+S207</f>
        <v>90.831000000000003</v>
      </c>
      <c r="AJ207" s="137"/>
      <c r="AK207" s="756">
        <f>AI207/AB207</f>
        <v>135.84643225700313</v>
      </c>
      <c r="AL207" s="137"/>
      <c r="AM207" s="708">
        <f>(AK207/AK200-1)*100</f>
        <v>3.7851172473626571</v>
      </c>
      <c r="AN207" s="735"/>
      <c r="AO207" s="137"/>
      <c r="AP207" s="291">
        <f>+F207</f>
        <v>5.0999999999999996</v>
      </c>
      <c r="AQ207" s="291">
        <f>+F373</f>
        <v>0</v>
      </c>
      <c r="AR207" s="291">
        <f>+'qtrP&amp;L'!CD48</f>
        <v>3.4969913047896428</v>
      </c>
      <c r="AS207" s="137"/>
      <c r="AT207" s="753">
        <f>+S200/(S200+S352)</f>
        <v>1</v>
      </c>
      <c r="AU207" s="754">
        <f>+S352/(S200+S352)</f>
        <v>0</v>
      </c>
      <c r="AV207" s="291">
        <f>+AT207*AP207+AU207*AQ207</f>
        <v>5.0999999999999996</v>
      </c>
      <c r="AW207" s="735" t="str">
        <f>+(IF(ROUND(AR207,0)=ROUND(AV207,0),"y","n"))</f>
        <v>n</v>
      </c>
    </row>
    <row r="208" spans="1:49">
      <c r="A208" s="137" t="str">
        <f>$A$16</f>
        <v>3Q</v>
      </c>
      <c r="B208" s="749" t="str">
        <f>$B$16</f>
        <v>Oct</v>
      </c>
      <c r="C208" s="137"/>
      <c r="D208" s="769">
        <f>(S208/S201-1)*100</f>
        <v>2.3787287032320137</v>
      </c>
      <c r="E208" s="137"/>
      <c r="F208" s="750">
        <v>-0.9</v>
      </c>
      <c r="G208" s="137"/>
      <c r="H208" s="769">
        <f>D208-F208</f>
        <v>3.2787287032320136</v>
      </c>
      <c r="I208" s="137"/>
      <c r="J208" s="137">
        <f>271+17</f>
        <v>288</v>
      </c>
      <c r="K208" s="137">
        <f>J208-J207</f>
        <v>4</v>
      </c>
      <c r="L208" s="734">
        <f>AVERAGE(J208,J207)</f>
        <v>286</v>
      </c>
      <c r="M208" s="137"/>
      <c r="N208" s="728">
        <f>(L208/L201-1)*100</f>
        <v>3.8112522686025496</v>
      </c>
      <c r="O208" s="735"/>
      <c r="P208" s="731">
        <f>H208/N208*100</f>
        <v>86.027595975277876</v>
      </c>
      <c r="Q208" s="220"/>
      <c r="R208" s="137"/>
      <c r="S208" s="717">
        <v>72.349000000000004</v>
      </c>
      <c r="T208" s="137"/>
      <c r="U208" s="755">
        <f>S208/L208</f>
        <v>0.25296853146853149</v>
      </c>
      <c r="V208" s="137"/>
      <c r="W208" s="708">
        <f>(U208/U201-1)*100</f>
        <v>-1.3799309169915341</v>
      </c>
      <c r="X208" s="735"/>
      <c r="Y208" s="137"/>
      <c r="Z208" s="737">
        <f>0.543214/0.8</f>
        <v>0.67901749999999994</v>
      </c>
      <c r="AA208" s="137"/>
      <c r="AB208" s="732">
        <f>AVERAGE(Z208,Z207)</f>
        <v>0.67414374999999993</v>
      </c>
      <c r="AC208" s="137"/>
      <c r="AD208" s="728">
        <f>(AB208/AB201-1)*100</f>
        <v>3.827565172702152</v>
      </c>
      <c r="AE208" s="735"/>
      <c r="AF208" s="731">
        <f>+H208/AD208*100</f>
        <v>85.660950376903045</v>
      </c>
      <c r="AG208" s="220"/>
      <c r="AH208" s="137"/>
      <c r="AI208" s="727">
        <f>+S208</f>
        <v>72.349000000000004</v>
      </c>
      <c r="AJ208" s="137"/>
      <c r="AK208" s="756">
        <f>AI208/AB208</f>
        <v>107.31984090930163</v>
      </c>
      <c r="AL208" s="137"/>
      <c r="AM208" s="708">
        <f>(AK208/AK201-1)*100</f>
        <v>-1.3954256435275258</v>
      </c>
      <c r="AN208" s="735"/>
      <c r="AO208" s="137"/>
      <c r="AP208" s="291">
        <f>+F208</f>
        <v>-0.9</v>
      </c>
      <c r="AQ208" s="291">
        <f>+F374</f>
        <v>0</v>
      </c>
      <c r="AR208" s="291">
        <f>+'qtrP&amp;L'!CD49</f>
        <v>36.264472082848862</v>
      </c>
      <c r="AS208" s="137"/>
      <c r="AT208" s="753">
        <f>+S201/(S201+S353)</f>
        <v>1</v>
      </c>
      <c r="AU208" s="754">
        <f>+S353/(S201+S353)</f>
        <v>0</v>
      </c>
      <c r="AV208" s="291">
        <f>+AT208*AP208+AU208*AQ208</f>
        <v>-0.9</v>
      </c>
      <c r="AW208" s="735" t="str">
        <f>+(IF(ROUND(AR208,0)=ROUND(AV208,0),"y","n"))</f>
        <v>n</v>
      </c>
    </row>
    <row r="209" spans="1:49">
      <c r="A209" s="137" t="str">
        <f>$A$17</f>
        <v>4Q</v>
      </c>
      <c r="B209" s="749" t="str">
        <f>$B$17</f>
        <v>Jan</v>
      </c>
      <c r="C209" s="137"/>
      <c r="D209" s="744">
        <f>(S209/S202-1)*100</f>
        <v>4.1875991538868451</v>
      </c>
      <c r="E209" s="137"/>
      <c r="F209" s="738">
        <v>2.1</v>
      </c>
      <c r="G209" s="137"/>
      <c r="H209" s="744">
        <f>D209-F209</f>
        <v>2.087599153886845</v>
      </c>
      <c r="I209" s="137"/>
      <c r="J209" s="1197">
        <f>269+18</f>
        <v>287</v>
      </c>
      <c r="K209" s="137">
        <f>J209-J208</f>
        <v>-1</v>
      </c>
      <c r="L209" s="736">
        <f>AVERAGE(J209,J208)</f>
        <v>287.5</v>
      </c>
      <c r="M209" s="137"/>
      <c r="N209" s="744">
        <f>(L209/L202-1)*100</f>
        <v>2.6785714285714191</v>
      </c>
      <c r="O209" s="735"/>
      <c r="P209" s="736">
        <f>H209/N209*100</f>
        <v>77.937035078442491</v>
      </c>
      <c r="Q209" s="220"/>
      <c r="R209" s="137"/>
      <c r="S209" s="1196">
        <v>94.569000000000003</v>
      </c>
      <c r="T209" s="137"/>
      <c r="U209" s="758">
        <f>S209/L209</f>
        <v>0.32893565217391307</v>
      </c>
      <c r="V209" s="137"/>
      <c r="W209" s="759">
        <f>(U209/U202-1)*100</f>
        <v>1.4696617846550186</v>
      </c>
      <c r="X209" s="735"/>
      <c r="Y209" s="137"/>
      <c r="Z209" s="737">
        <f>0.541597/0.8</f>
        <v>0.67699624999999997</v>
      </c>
      <c r="AA209" s="137"/>
      <c r="AB209" s="760">
        <f>AVERAGE(Z209,Z208)</f>
        <v>0.6780068749999999</v>
      </c>
      <c r="AC209" s="137"/>
      <c r="AD209" s="744">
        <f>(AB209/AB202-1)*100</f>
        <v>2.4281107927050849</v>
      </c>
      <c r="AE209" s="735"/>
      <c r="AF209" s="736">
        <f>+H209/AD209*100</f>
        <v>85.976272588497238</v>
      </c>
      <c r="AG209" s="220"/>
      <c r="AH209" s="137"/>
      <c r="AI209" s="729">
        <f>+S209</f>
        <v>94.569000000000003</v>
      </c>
      <c r="AJ209" s="137"/>
      <c r="AK209" s="761">
        <f>AI209/AB209</f>
        <v>139.48088653230843</v>
      </c>
      <c r="AL209" s="137"/>
      <c r="AM209" s="759">
        <f>(AK209/AK202-1)*100</f>
        <v>1.7177787890109819</v>
      </c>
      <c r="AN209" s="735"/>
      <c r="AO209" s="137"/>
      <c r="AP209" s="291">
        <f>+F209</f>
        <v>2.1</v>
      </c>
      <c r="AQ209" s="291">
        <f>+F375</f>
        <v>0</v>
      </c>
      <c r="AR209" s="291">
        <f>+'qtrP&amp;L'!CD50</f>
        <v>-12.52027336565037</v>
      </c>
      <c r="AS209" s="137"/>
      <c r="AT209" s="753">
        <f>+S202/(S202+S354)</f>
        <v>1</v>
      </c>
      <c r="AU209" s="754">
        <f>+S354/(S202+S354)</f>
        <v>0</v>
      </c>
      <c r="AV209" s="291">
        <f>+AT209*AP209+AU209*AQ209</f>
        <v>2.1</v>
      </c>
      <c r="AW209" s="735" t="str">
        <f>+(IF(ROUND(AR209,0)=ROUND(AV209,0),"y","n"))</f>
        <v>n</v>
      </c>
    </row>
    <row r="210" spans="1:49">
      <c r="A210" s="137"/>
      <c r="B210" s="749" t="str">
        <f>$B$18</f>
        <v>Year</v>
      </c>
      <c r="C210" s="137"/>
      <c r="D210" s="728">
        <f>(S210/S203-1)*100</f>
        <v>7.6298148302878843</v>
      </c>
      <c r="E210" s="137"/>
      <c r="F210" s="762">
        <v>3.1</v>
      </c>
      <c r="G210" s="137"/>
      <c r="H210" s="728">
        <f>D210-F210</f>
        <v>4.5298148302878847</v>
      </c>
      <c r="I210" s="137"/>
      <c r="J210" s="733"/>
      <c r="K210" s="137"/>
      <c r="L210" s="734">
        <f>AVERAGE(L206:L209)</f>
        <v>284.625</v>
      </c>
      <c r="M210" s="137"/>
      <c r="N210" s="728">
        <f>(L210/L203-1)*100</f>
        <v>5.9562587249883725</v>
      </c>
      <c r="O210" s="735"/>
      <c r="P210" s="731">
        <f>H210/N210*100</f>
        <v>76.051344299130122</v>
      </c>
      <c r="Q210" s="220"/>
      <c r="R210" s="137"/>
      <c r="S210" s="725">
        <f>SUM(S206:S209)</f>
        <v>334.916</v>
      </c>
      <c r="T210" s="137"/>
      <c r="U210" s="751">
        <f>SUM(U206:U209)</f>
        <v>1.1764236043572471</v>
      </c>
      <c r="V210" s="137"/>
      <c r="W210" s="708">
        <f>(U210/U203-1)*100</f>
        <v>1.6951281646265803</v>
      </c>
      <c r="X210" s="735"/>
      <c r="Y210" s="137"/>
      <c r="Z210" s="137"/>
      <c r="AA210" s="137"/>
      <c r="AB210" s="732">
        <f>AVERAGE(AB206:AB209)</f>
        <v>0.67155546874999994</v>
      </c>
      <c r="AC210" s="137"/>
      <c r="AD210" s="728">
        <f>(AB210/AB203-1)*100</f>
        <v>5.7482215265872716</v>
      </c>
      <c r="AE210" s="735"/>
      <c r="AF210" s="731">
        <f>+H210/AD210*100</f>
        <v>78.80376233476936</v>
      </c>
      <c r="AG210" s="220"/>
      <c r="AH210" s="137"/>
      <c r="AI210" s="725">
        <f>SUM(AI206:AI209)</f>
        <v>334.916</v>
      </c>
      <c r="AJ210" s="137"/>
      <c r="AK210" s="752">
        <f>SUM(AK206:AK209)</f>
        <v>498.61081539323686</v>
      </c>
      <c r="AL210" s="137"/>
      <c r="AM210" s="708">
        <f>(AK210/AK203-1)*100</f>
        <v>1.901879935906825</v>
      </c>
      <c r="AN210" s="735"/>
      <c r="AO210" s="137"/>
      <c r="AP210" s="726"/>
      <c r="AQ210" s="310"/>
      <c r="AR210" s="220"/>
      <c r="AS210" s="137"/>
      <c r="AT210" s="137"/>
      <c r="AU210" s="137"/>
      <c r="AV210" s="137"/>
      <c r="AW210" s="137"/>
    </row>
    <row r="211" spans="1:49">
      <c r="A211" s="137"/>
      <c r="B211" s="749"/>
      <c r="C211" s="137"/>
      <c r="D211" s="728"/>
      <c r="E211" s="137"/>
      <c r="F211" s="762"/>
      <c r="G211" s="137"/>
      <c r="H211" s="728"/>
      <c r="I211" s="137"/>
      <c r="J211" s="733"/>
      <c r="K211" s="137"/>
      <c r="L211" s="728"/>
      <c r="M211" s="137"/>
      <c r="N211" s="728"/>
      <c r="O211" s="735"/>
      <c r="P211" s="731"/>
      <c r="Q211" s="220"/>
      <c r="R211" s="137"/>
      <c r="S211" s="725"/>
      <c r="T211" s="137"/>
      <c r="U211" s="751"/>
      <c r="V211" s="137"/>
      <c r="W211" s="708"/>
      <c r="X211" s="735"/>
      <c r="Y211" s="137"/>
      <c r="Z211" s="137"/>
      <c r="AA211" s="137"/>
      <c r="AB211" s="732"/>
      <c r="AC211" s="137"/>
      <c r="AD211" s="728"/>
      <c r="AE211" s="735"/>
      <c r="AF211" s="731"/>
      <c r="AG211" s="220"/>
      <c r="AH211" s="137"/>
      <c r="AI211" s="725"/>
      <c r="AJ211" s="137"/>
      <c r="AK211" s="752"/>
      <c r="AL211" s="137"/>
      <c r="AM211" s="708"/>
      <c r="AN211" s="735"/>
      <c r="AO211" s="137"/>
      <c r="AP211" s="726"/>
      <c r="AQ211" s="310"/>
      <c r="AR211" s="220"/>
      <c r="AS211" s="137"/>
      <c r="AT211" s="137"/>
      <c r="AU211" s="137"/>
      <c r="AV211" s="137"/>
      <c r="AW211" s="137"/>
    </row>
    <row r="212" spans="1:49">
      <c r="A212" s="746"/>
      <c r="B212" s="747">
        <v>2016</v>
      </c>
      <c r="C212" s="137"/>
      <c r="D212" s="728"/>
      <c r="E212" s="137"/>
      <c r="F212" s="762"/>
      <c r="G212" s="137"/>
      <c r="H212" s="728"/>
      <c r="I212" s="137"/>
      <c r="J212" s="733"/>
      <c r="K212" s="137"/>
      <c r="L212" s="728"/>
      <c r="M212" s="137"/>
      <c r="N212" s="728"/>
      <c r="O212" s="735"/>
      <c r="P212" s="731"/>
      <c r="Q212" s="220"/>
      <c r="R212" s="137"/>
      <c r="S212" s="725"/>
      <c r="T212" s="137"/>
      <c r="U212" s="768"/>
      <c r="V212" s="137"/>
      <c r="W212" s="708"/>
      <c r="X212" s="735"/>
      <c r="Y212" s="137"/>
      <c r="Z212" s="137"/>
      <c r="AA212" s="137"/>
      <c r="AB212" s="732"/>
      <c r="AC212" s="137"/>
      <c r="AD212" s="728"/>
      <c r="AE212" s="735"/>
      <c r="AF212" s="731"/>
      <c r="AG212" s="220"/>
      <c r="AH212" s="137"/>
      <c r="AI212" s="725"/>
      <c r="AJ212" s="137"/>
      <c r="AK212" s="752"/>
      <c r="AL212" s="137"/>
      <c r="AM212" s="708"/>
      <c r="AN212" s="735"/>
      <c r="AO212" s="137"/>
      <c r="AP212" s="726"/>
      <c r="AQ212" s="310"/>
      <c r="AR212" s="220"/>
      <c r="AS212" s="137"/>
      <c r="AT212" s="137"/>
      <c r="AU212" s="137"/>
      <c r="AV212" s="137"/>
      <c r="AW212" s="137"/>
    </row>
    <row r="213" spans="1:49">
      <c r="A213" s="137" t="str">
        <f>$A$14</f>
        <v>1Q</v>
      </c>
      <c r="B213" s="749" t="str">
        <f>$B$14</f>
        <v>Apr</v>
      </c>
      <c r="C213" s="137"/>
      <c r="D213" s="689">
        <f>(S213/S206-1)*100</f>
        <v>2.7382171135329925</v>
      </c>
      <c r="E213" s="220" t="s">
        <v>576</v>
      </c>
      <c r="F213" s="750">
        <v>0.5</v>
      </c>
      <c r="G213" s="220" t="s">
        <v>576</v>
      </c>
      <c r="H213" s="728">
        <f>D213-F213</f>
        <v>2.2382171135329925</v>
      </c>
      <c r="I213" s="220" t="s">
        <v>576</v>
      </c>
      <c r="J213" s="220">
        <f>272+19</f>
        <v>291</v>
      </c>
      <c r="K213" s="220">
        <f>J213-J209</f>
        <v>4</v>
      </c>
      <c r="L213" s="731">
        <f>AVERAGE(J213,J209)</f>
        <v>289</v>
      </c>
      <c r="M213" s="220"/>
      <c r="N213" s="769">
        <f>(L213/L206-1)*100</f>
        <v>2.6642984014209503</v>
      </c>
      <c r="O213" s="1180" t="s">
        <v>576</v>
      </c>
      <c r="P213" s="731">
        <f>H213/N213*100</f>
        <v>84.007748994605265</v>
      </c>
      <c r="Q213" s="220" t="s">
        <v>576</v>
      </c>
      <c r="R213" s="137"/>
      <c r="S213" s="764">
        <v>79.28</v>
      </c>
      <c r="T213" s="137"/>
      <c r="U213" s="751">
        <f>S213/L213</f>
        <v>0.27432525951557096</v>
      </c>
      <c r="V213" s="137"/>
      <c r="W213" s="708">
        <f>(U213/U206-1)*100</f>
        <v>7.2000406434380437E-2</v>
      </c>
      <c r="X213" s="735" t="s">
        <v>576</v>
      </c>
      <c r="Y213" s="137"/>
      <c r="Z213" s="737">
        <f>(0.514518+0.035637)/0.8</f>
        <v>0.68769374999999999</v>
      </c>
      <c r="AA213" s="137"/>
      <c r="AB213" s="732">
        <f>AVERAGE(Z213,Z209)</f>
        <v>0.68234499999999998</v>
      </c>
      <c r="AC213" s="137"/>
      <c r="AD213" s="728">
        <f>(AB213/AB206-1)*100</f>
        <v>2.5402317635103033</v>
      </c>
      <c r="AE213" s="735" t="s">
        <v>576</v>
      </c>
      <c r="AF213" s="731">
        <f>+H213/AD213*100</f>
        <v>88.110744290514589</v>
      </c>
      <c r="AG213" s="220" t="s">
        <v>576</v>
      </c>
      <c r="AH213" s="137"/>
      <c r="AI213" s="725">
        <f>+S213</f>
        <v>79.28</v>
      </c>
      <c r="AJ213" s="137"/>
      <c r="AK213" s="752">
        <f>AI213/AB213</f>
        <v>116.18755907935136</v>
      </c>
      <c r="AL213" s="137"/>
      <c r="AM213" s="708">
        <f>(AK213/AK206-1)*100</f>
        <v>0.19308065392256157</v>
      </c>
      <c r="AN213" s="735" t="s">
        <v>576</v>
      </c>
      <c r="AO213" s="137"/>
      <c r="AP213" s="291">
        <f>+F213</f>
        <v>0.5</v>
      </c>
      <c r="AQ213" s="291">
        <f>+F379</f>
        <v>0</v>
      </c>
      <c r="AR213" s="291">
        <f>+'qtrP&amp;L'!CD54</f>
        <v>0</v>
      </c>
      <c r="AS213" s="137"/>
      <c r="AT213" s="753">
        <f>+S206/(S206+S358)</f>
        <v>1</v>
      </c>
      <c r="AU213" s="754">
        <f>+S358/(S206+S358)</f>
        <v>0</v>
      </c>
      <c r="AV213" s="291">
        <f>+AT213*AP213+AU213*AQ213</f>
        <v>0.5</v>
      </c>
      <c r="AW213" s="735" t="str">
        <f>+(IF(ROUND(AR213,0)=ROUND(AV213,0),"y","n"))</f>
        <v>n</v>
      </c>
    </row>
    <row r="214" spans="1:49">
      <c r="A214" s="137" t="str">
        <f>$A$15</f>
        <v>2Q</v>
      </c>
      <c r="B214" s="749" t="str">
        <f>$B$15</f>
        <v>Jul</v>
      </c>
      <c r="C214" s="137"/>
      <c r="D214" s="689">
        <f>(S214/S207-1)*100</f>
        <v>2.9758562605277872</v>
      </c>
      <c r="E214" s="220"/>
      <c r="F214" s="750">
        <v>0.7</v>
      </c>
      <c r="G214" s="220"/>
      <c r="H214" s="728">
        <f>D214-F214</f>
        <v>2.275856260527787</v>
      </c>
      <c r="I214" s="220"/>
      <c r="J214" s="220">
        <f>274+19</f>
        <v>293</v>
      </c>
      <c r="K214" s="220">
        <f>J214-J213</f>
        <v>2</v>
      </c>
      <c r="L214" s="731">
        <f>AVERAGE(J214,J213)</f>
        <v>292</v>
      </c>
      <c r="M214" s="220"/>
      <c r="N214" s="769">
        <f>(L214/L207-1)*100</f>
        <v>2.9982363315696592</v>
      </c>
      <c r="O214" s="1180"/>
      <c r="P214" s="731">
        <f>H214/N214*100</f>
        <v>75.906499983485745</v>
      </c>
      <c r="Q214" s="220"/>
      <c r="R214" s="137"/>
      <c r="S214" s="764">
        <v>93.534000000000006</v>
      </c>
      <c r="T214" s="137"/>
      <c r="U214" s="755">
        <f>S214/L214</f>
        <v>0.32032191780821923</v>
      </c>
      <c r="V214" s="137"/>
      <c r="W214" s="708">
        <f>(U214/U207-1)*100</f>
        <v>-2.1728596371117792E-2</v>
      </c>
      <c r="X214" s="735"/>
      <c r="Y214" s="137"/>
      <c r="Z214" s="737">
        <f>(0.517994+0.035637)/0.8</f>
        <v>0.69203874999999992</v>
      </c>
      <c r="AA214" s="137"/>
      <c r="AB214" s="732">
        <f>AVERAGE(Z214,Z213)</f>
        <v>0.6898662499999999</v>
      </c>
      <c r="AC214" s="137"/>
      <c r="AD214" s="728">
        <f>(AB214/AB207-1)*100</f>
        <v>3.1760839328178525</v>
      </c>
      <c r="AE214" s="735"/>
      <c r="AF214" s="731">
        <f>+H214/AD214*100</f>
        <v>71.656049042401264</v>
      </c>
      <c r="AG214" s="220"/>
      <c r="AH214" s="137"/>
      <c r="AI214" s="727">
        <f>+S214</f>
        <v>93.534000000000006</v>
      </c>
      <c r="AJ214" s="137"/>
      <c r="AK214" s="756">
        <f>AI214/AB214</f>
        <v>135.58280318829921</v>
      </c>
      <c r="AL214" s="137"/>
      <c r="AM214" s="708">
        <f>(AK214/AK207-1)*100</f>
        <v>-0.19406403563486663</v>
      </c>
      <c r="AN214" s="735"/>
      <c r="AO214" s="137"/>
      <c r="AP214" s="291">
        <f>+F214</f>
        <v>0.7</v>
      </c>
      <c r="AQ214" s="291">
        <f>+F380</f>
        <v>0</v>
      </c>
      <c r="AR214" s="291">
        <f>+'qtrP&amp;L'!CD55</f>
        <v>0</v>
      </c>
      <c r="AS214" s="137"/>
      <c r="AT214" s="753">
        <f>+S207/(S207+S359)</f>
        <v>1</v>
      </c>
      <c r="AU214" s="754">
        <f>+S359/(S207+S359)</f>
        <v>0</v>
      </c>
      <c r="AV214" s="291">
        <f>+AT214*AP214+AU214*AQ214</f>
        <v>0.7</v>
      </c>
      <c r="AW214" s="735" t="str">
        <f>+(IF(ROUND(AR214,0)=ROUND(AV214,0),"y","n"))</f>
        <v>n</v>
      </c>
    </row>
    <row r="215" spans="1:49">
      <c r="A215" s="137" t="str">
        <f>$A$16</f>
        <v>3Q</v>
      </c>
      <c r="B215" s="749" t="str">
        <f>$B$16</f>
        <v>Oct</v>
      </c>
      <c r="C215" s="137"/>
      <c r="D215" s="689">
        <f>(S215/S208-1)*100</f>
        <v>2.7242947380060389</v>
      </c>
      <c r="E215" s="220"/>
      <c r="F215" s="750">
        <v>0.4</v>
      </c>
      <c r="G215" s="220"/>
      <c r="H215" s="728">
        <f>D215-F215</f>
        <v>2.324294738006039</v>
      </c>
      <c r="I215" s="220"/>
      <c r="J215" s="220">
        <f>274+19</f>
        <v>293</v>
      </c>
      <c r="K215" s="220">
        <f>J215-J214</f>
        <v>0</v>
      </c>
      <c r="L215" s="731">
        <f>AVERAGE(J215,J214)</f>
        <v>293</v>
      </c>
      <c r="M215" s="220"/>
      <c r="N215" s="769">
        <f>(L215/L208-1)*100</f>
        <v>2.4475524475524368</v>
      </c>
      <c r="O215" s="1180"/>
      <c r="P215" s="731">
        <f>H215/N215*100</f>
        <v>94.964042152818578</v>
      </c>
      <c r="Q215" s="220"/>
      <c r="R215" s="137"/>
      <c r="S215" s="764">
        <v>74.319999999999993</v>
      </c>
      <c r="T215" s="137"/>
      <c r="U215" s="755">
        <f>S215/L215</f>
        <v>0.25365187713310577</v>
      </c>
      <c r="V215" s="137"/>
      <c r="W215" s="708">
        <f>(U215/U208-1)*100</f>
        <v>0.27013069989667571</v>
      </c>
      <c r="X215" s="735"/>
      <c r="Y215" s="137"/>
      <c r="Z215" s="737">
        <f>(0.517994+0.035637)/0.8</f>
        <v>0.69203874999999992</v>
      </c>
      <c r="AA215" s="137"/>
      <c r="AB215" s="732">
        <f>AVERAGE(Z215,Z214)</f>
        <v>0.69203874999999992</v>
      </c>
      <c r="AC215" s="137"/>
      <c r="AD215" s="728">
        <f>(AB215/AB208-1)*100</f>
        <v>2.6544783660754856</v>
      </c>
      <c r="AE215" s="735"/>
      <c r="AF215" s="731">
        <f>+H215/AD215*100</f>
        <v>87.561261290006044</v>
      </c>
      <c r="AG215" s="220"/>
      <c r="AH215" s="137"/>
      <c r="AI215" s="727">
        <f>+S215</f>
        <v>74.319999999999993</v>
      </c>
      <c r="AJ215" s="137"/>
      <c r="AK215" s="756">
        <f>AI215/AB215</f>
        <v>107.39283024252616</v>
      </c>
      <c r="AL215" s="137"/>
      <c r="AM215" s="708">
        <f>(AK215/AK208-1)*100</f>
        <v>6.8011033753023753E-2</v>
      </c>
      <c r="AN215" s="735"/>
      <c r="AO215" s="137"/>
      <c r="AP215" s="291">
        <f>+F215</f>
        <v>0.4</v>
      </c>
      <c r="AQ215" s="291">
        <f>+F381</f>
        <v>0</v>
      </c>
      <c r="AR215" s="291">
        <f>+'qtrP&amp;L'!CD56</f>
        <v>18.999999999999993</v>
      </c>
      <c r="AS215" s="137"/>
      <c r="AT215" s="753">
        <f>+S208/(S208+S360)</f>
        <v>1</v>
      </c>
      <c r="AU215" s="754">
        <f>+S360/(S208+S360)</f>
        <v>0</v>
      </c>
      <c r="AV215" s="291">
        <f>+AT215*AP215+AU215*AQ215</f>
        <v>0.4</v>
      </c>
      <c r="AW215" s="735" t="str">
        <f>+(IF(ROUND(AR215,0)=ROUND(AV215,0),"y","n"))</f>
        <v>n</v>
      </c>
    </row>
    <row r="216" spans="1:49">
      <c r="A216" s="137" t="str">
        <f>$A$17</f>
        <v>4Q</v>
      </c>
      <c r="B216" s="749" t="str">
        <f>$B$17</f>
        <v>Jan</v>
      </c>
      <c r="C216" s="137"/>
      <c r="D216" s="643">
        <f>(S216/S209-1)*100</f>
        <v>3.005213124808348</v>
      </c>
      <c r="E216" s="137"/>
      <c r="F216" s="738">
        <v>0.4</v>
      </c>
      <c r="G216" s="137"/>
      <c r="H216" s="744">
        <f>D216-F216</f>
        <v>2.6052131248083481</v>
      </c>
      <c r="I216" s="137"/>
      <c r="J216" s="220">
        <f>275+19</f>
        <v>294</v>
      </c>
      <c r="K216" s="137">
        <f>J216-J215</f>
        <v>1</v>
      </c>
      <c r="L216" s="736">
        <f>AVERAGE(J216,J215)</f>
        <v>293.5</v>
      </c>
      <c r="M216" s="137"/>
      <c r="N216" s="744">
        <f>(L216/L209-1)*100</f>
        <v>2.0869565217391362</v>
      </c>
      <c r="O216" s="735"/>
      <c r="P216" s="736">
        <f>H216/N216*100</f>
        <v>124.83312889706635</v>
      </c>
      <c r="Q216" s="220"/>
      <c r="R216" s="137"/>
      <c r="S216" s="1196">
        <v>97.411000000000001</v>
      </c>
      <c r="T216" s="137"/>
      <c r="U216" s="758">
        <f>S216/L216</f>
        <v>0.33189437819420786</v>
      </c>
      <c r="V216" s="137"/>
      <c r="W216" s="759">
        <f>(U216/U209-1)*100</f>
        <v>0.89948474746983642</v>
      </c>
      <c r="X216" s="735"/>
      <c r="Y216" s="137"/>
      <c r="Z216" s="737">
        <f>(0.519945+0.035637)/0.8</f>
        <v>0.69447749999999997</v>
      </c>
      <c r="AA216" s="137"/>
      <c r="AB216" s="760">
        <f>AVERAGE(Z216,Z215)</f>
        <v>0.69325812499999995</v>
      </c>
      <c r="AC216" s="137"/>
      <c r="AD216" s="744">
        <f>(AB216/AB209-1)*100</f>
        <v>2.2494240932291465</v>
      </c>
      <c r="AE216" s="735"/>
      <c r="AF216" s="736">
        <f>+H216/AD216*100</f>
        <v>115.81689431753399</v>
      </c>
      <c r="AG216" s="220"/>
      <c r="AH216" s="137"/>
      <c r="AI216" s="729">
        <f>+S216</f>
        <v>97.411000000000001</v>
      </c>
      <c r="AJ216" s="137"/>
      <c r="AK216" s="761">
        <f>AI216/AB216</f>
        <v>140.51187643851995</v>
      </c>
      <c r="AL216" s="137"/>
      <c r="AM216" s="759">
        <f>(AK216/AK209-1)*100</f>
        <v>0.73916214030709249</v>
      </c>
      <c r="AN216" s="735"/>
      <c r="AO216" s="137"/>
      <c r="AP216" s="291">
        <f>+F216</f>
        <v>0.4</v>
      </c>
      <c r="AQ216" s="291">
        <f>+F382</f>
        <v>0</v>
      </c>
      <c r="AR216" s="291">
        <f>+'qtrP&amp;L'!CD57</f>
        <v>15.399999999999991</v>
      </c>
      <c r="AS216" s="137"/>
      <c r="AT216" s="753">
        <f>+S209/(S209+S361)</f>
        <v>1</v>
      </c>
      <c r="AU216" s="754">
        <f>+S361/(S209+S361)</f>
        <v>0</v>
      </c>
      <c r="AV216" s="291">
        <f>+AT216*AP216+AU216*AQ216</f>
        <v>0.4</v>
      </c>
      <c r="AW216" s="735" t="str">
        <f>+(IF(ROUND(AR216,0)=ROUND(AV216,0),"y","n"))</f>
        <v>n</v>
      </c>
    </row>
    <row r="217" spans="1:49">
      <c r="A217" s="137"/>
      <c r="B217" s="749" t="str">
        <f>$B$18</f>
        <v>Year</v>
      </c>
      <c r="C217" s="137"/>
      <c r="D217" s="728">
        <f>(S217/S210-1)*100</f>
        <v>2.8750492660846394</v>
      </c>
      <c r="E217" s="137"/>
      <c r="F217" s="762">
        <v>0.5</v>
      </c>
      <c r="G217" s="137"/>
      <c r="H217" s="728">
        <f>D217-F217</f>
        <v>2.3750492660846394</v>
      </c>
      <c r="I217" s="137"/>
      <c r="J217" s="733"/>
      <c r="K217" s="137"/>
      <c r="L217" s="734">
        <f>AVERAGE(L213:L216)</f>
        <v>291.875</v>
      </c>
      <c r="M217" s="137"/>
      <c r="N217" s="728">
        <f>(L217/L210-1)*100</f>
        <v>2.5472112428634119</v>
      </c>
      <c r="O217" s="735"/>
      <c r="P217" s="731">
        <f>H217/N217*100</f>
        <v>93.241158256460935</v>
      </c>
      <c r="Q217" s="220"/>
      <c r="R217" s="137"/>
      <c r="S217" s="725">
        <f>SUM(S213:S216)</f>
        <v>344.54500000000002</v>
      </c>
      <c r="T217" s="137"/>
      <c r="U217" s="751">
        <f>SUM(U213:U216)</f>
        <v>1.1801934326511039</v>
      </c>
      <c r="V217" s="137"/>
      <c r="W217" s="708">
        <f>(U217/U210-1)*100</f>
        <v>0.32044820249219619</v>
      </c>
      <c r="X217" s="735"/>
      <c r="Y217" s="137"/>
      <c r="Z217" s="137"/>
      <c r="AA217" s="137"/>
      <c r="AB217" s="732">
        <f>AVERAGE(AB213:AB216)</f>
        <v>0.68937703124999994</v>
      </c>
      <c r="AC217" s="137"/>
      <c r="AD217" s="728">
        <f>(AB217/AB210-1)*100</f>
        <v>2.6537737133125017</v>
      </c>
      <c r="AE217" s="735"/>
      <c r="AF217" s="731">
        <f>+H217/AD217*100</f>
        <v>89.497052976685339</v>
      </c>
      <c r="AG217" s="220"/>
      <c r="AH217" s="137"/>
      <c r="AI217" s="725">
        <f>SUM(AI213:AI216)</f>
        <v>344.54500000000002</v>
      </c>
      <c r="AJ217" s="137"/>
      <c r="AK217" s="752">
        <f>SUM(AK213:AK216)</f>
        <v>499.67506894869666</v>
      </c>
      <c r="AL217" s="137"/>
      <c r="AM217" s="708">
        <f>(AK217/AK210-1)*100</f>
        <v>0.21344373659855087</v>
      </c>
      <c r="AN217" s="735"/>
      <c r="AO217" s="137"/>
      <c r="AP217" s="726"/>
      <c r="AQ217" s="310"/>
      <c r="AR217" s="220"/>
      <c r="AS217" s="137"/>
      <c r="AT217" s="137"/>
      <c r="AU217" s="137"/>
      <c r="AV217" s="137"/>
      <c r="AW217" s="137"/>
    </row>
    <row r="218" spans="1:49">
      <c r="A218" s="137"/>
      <c r="B218" s="749"/>
      <c r="C218" s="137"/>
      <c r="D218" s="728"/>
      <c r="E218" s="137"/>
      <c r="F218" s="762"/>
      <c r="G218" s="137"/>
      <c r="H218" s="728"/>
      <c r="I218" s="137"/>
      <c r="J218" s="733"/>
      <c r="K218" s="137"/>
      <c r="L218" s="734"/>
      <c r="M218" s="137"/>
      <c r="N218" s="728"/>
      <c r="O218" s="735"/>
      <c r="P218" s="731"/>
      <c r="Q218" s="220"/>
      <c r="R218" s="137"/>
      <c r="S218" s="725"/>
      <c r="T218" s="137"/>
      <c r="U218" s="751"/>
      <c r="V218" s="137"/>
      <c r="W218" s="708"/>
      <c r="X218" s="735"/>
      <c r="Y218" s="137"/>
      <c r="Z218" s="137"/>
      <c r="AA218" s="137"/>
      <c r="AB218" s="732"/>
      <c r="AC218" s="137"/>
      <c r="AD218" s="728"/>
      <c r="AE218" s="735"/>
      <c r="AF218" s="731"/>
      <c r="AG218" s="220"/>
      <c r="AH218" s="137"/>
      <c r="AI218" s="725"/>
      <c r="AJ218" s="137"/>
      <c r="AK218" s="752"/>
      <c r="AL218" s="137"/>
      <c r="AM218" s="708"/>
      <c r="AN218" s="735"/>
      <c r="AO218" s="137"/>
      <c r="AP218" s="726"/>
      <c r="AQ218" s="310"/>
      <c r="AR218" s="220"/>
      <c r="AS218" s="137"/>
      <c r="AT218" s="137"/>
      <c r="AU218" s="137"/>
      <c r="AV218" s="137"/>
      <c r="AW218" s="137"/>
    </row>
    <row r="219" spans="1:49">
      <c r="A219" s="746"/>
      <c r="B219" s="763">
        <v>2017</v>
      </c>
      <c r="C219" s="137"/>
      <c r="D219" s="728"/>
      <c r="E219" s="137"/>
      <c r="F219" s="762"/>
      <c r="G219" s="137"/>
      <c r="H219" s="728"/>
      <c r="I219" s="137"/>
      <c r="J219" s="1114"/>
      <c r="K219" s="137"/>
      <c r="L219" s="728"/>
      <c r="M219" s="137"/>
      <c r="N219" s="728"/>
      <c r="O219" s="735"/>
      <c r="P219" s="731"/>
      <c r="Q219" s="220"/>
      <c r="R219" s="137"/>
      <c r="S219" s="725"/>
      <c r="T219" s="137"/>
      <c r="U219" s="768"/>
      <c r="V219" s="137"/>
      <c r="W219" s="708"/>
      <c r="X219" s="735"/>
      <c r="Y219" s="137"/>
      <c r="Z219" s="137"/>
      <c r="AA219" s="137"/>
      <c r="AB219" s="732"/>
      <c r="AC219" s="137"/>
      <c r="AD219" s="728"/>
      <c r="AE219" s="735"/>
      <c r="AF219" s="731"/>
      <c r="AG219" s="220"/>
      <c r="AH219" s="137"/>
      <c r="AI219" s="725"/>
      <c r="AJ219" s="137"/>
      <c r="AK219" s="752"/>
      <c r="AL219" s="137"/>
      <c r="AM219" s="708"/>
      <c r="AN219" s="735"/>
      <c r="AO219" s="137"/>
      <c r="AP219" s="726"/>
      <c r="AQ219" s="310"/>
      <c r="AR219" s="220"/>
      <c r="AS219" s="137"/>
      <c r="AT219" s="137"/>
      <c r="AU219" s="137"/>
      <c r="AV219" s="137"/>
      <c r="AW219" s="137"/>
    </row>
    <row r="220" spans="1:49">
      <c r="A220" s="137" t="str">
        <f>$A$14</f>
        <v>1Q</v>
      </c>
      <c r="B220" s="749" t="str">
        <f>$B$14</f>
        <v>Apr</v>
      </c>
      <c r="C220" s="137"/>
      <c r="D220" s="689">
        <f>(S220/S213-1)*100</f>
        <v>1.2474772956609481</v>
      </c>
      <c r="E220" s="220" t="s">
        <v>576</v>
      </c>
      <c r="F220" s="750">
        <v>0.2</v>
      </c>
      <c r="G220" s="220" t="s">
        <v>576</v>
      </c>
      <c r="H220" s="728">
        <f>D220-F220</f>
        <v>1.0474772956609482</v>
      </c>
      <c r="I220" s="220" t="s">
        <v>576</v>
      </c>
      <c r="J220" s="137">
        <f>274+19</f>
        <v>293</v>
      </c>
      <c r="K220" s="220">
        <f>J220-J216</f>
        <v>-1</v>
      </c>
      <c r="L220" s="731">
        <f>AVERAGE(J220,J215)</f>
        <v>293</v>
      </c>
      <c r="M220" s="220"/>
      <c r="N220" s="769">
        <f>(L220/L213-1)*100</f>
        <v>1.384083044982698</v>
      </c>
      <c r="O220" s="1180" t="s">
        <v>576</v>
      </c>
      <c r="P220" s="731">
        <f>H220/N220*100</f>
        <v>75.680234611503565</v>
      </c>
      <c r="Q220" s="220" t="s">
        <v>576</v>
      </c>
      <c r="R220" s="137"/>
      <c r="S220" s="764">
        <v>80.269000000000005</v>
      </c>
      <c r="T220" s="137"/>
      <c r="U220" s="751">
        <f>S220/L220</f>
        <v>0.27395563139931745</v>
      </c>
      <c r="V220" s="137"/>
      <c r="W220" s="708">
        <f>(U220/U213-1)*100</f>
        <v>-0.13474082441633506</v>
      </c>
      <c r="X220" s="735" t="s">
        <v>576</v>
      </c>
      <c r="Y220" s="137"/>
      <c r="Z220" s="737">
        <f>(0.519178+0.035637)/0.8</f>
        <v>0.69351875000000007</v>
      </c>
      <c r="AA220" s="137"/>
      <c r="AB220" s="732">
        <f>AVERAGE(Z220,Z216)</f>
        <v>0.69399812500000002</v>
      </c>
      <c r="AC220" s="137"/>
      <c r="AD220" s="769">
        <f>(AB220/AB213-1)*100</f>
        <v>1.7078054356667094</v>
      </c>
      <c r="AE220" s="735" t="s">
        <v>576</v>
      </c>
      <c r="AF220" s="731">
        <f>+H220/AD220*100</f>
        <v>61.334697371543612</v>
      </c>
      <c r="AG220" s="220" t="s">
        <v>576</v>
      </c>
      <c r="AH220" s="137"/>
      <c r="AI220" s="725">
        <f>+S220</f>
        <v>80.269000000000005</v>
      </c>
      <c r="AJ220" s="137"/>
      <c r="AK220" s="752">
        <f>AI220/AB220</f>
        <v>115.66169577187259</v>
      </c>
      <c r="AL220" s="137"/>
      <c r="AM220" s="708">
        <f>(AK220/AK213-1)*100</f>
        <v>-0.4525986359001033</v>
      </c>
      <c r="AN220" s="735" t="s">
        <v>576</v>
      </c>
      <c r="AO220" s="137"/>
      <c r="AP220" s="291">
        <f>+F220</f>
        <v>0.2</v>
      </c>
      <c r="AQ220" s="291">
        <f>+F385</f>
        <v>0</v>
      </c>
      <c r="AR220" s="291">
        <f>+'qtrP&amp;L'!CD60</f>
        <v>15.43519775303186</v>
      </c>
      <c r="AS220" s="137"/>
      <c r="AT220" s="753">
        <f>+S213/(S213+S364)</f>
        <v>1</v>
      </c>
      <c r="AU220" s="754">
        <f>+S364/(S213+S364)</f>
        <v>0</v>
      </c>
      <c r="AV220" s="291">
        <f>+AT220*AP220+AU220*AQ220</f>
        <v>0.2</v>
      </c>
      <c r="AW220" s="735" t="str">
        <f>+(IF(ROUND(AR220,0)=ROUND(AV220,0),"y","n"))</f>
        <v>n</v>
      </c>
    </row>
    <row r="221" spans="1:49">
      <c r="A221" s="137" t="str">
        <f>$A$15</f>
        <v>2Q</v>
      </c>
      <c r="B221" s="749" t="str">
        <f>$B$15</f>
        <v>Jul</v>
      </c>
      <c r="C221" s="137"/>
      <c r="D221" s="689">
        <f>(S221/S214-1)*100</f>
        <v>-1.6742574892552486</v>
      </c>
      <c r="E221" s="220"/>
      <c r="F221" s="750">
        <v>-1.8</v>
      </c>
      <c r="G221" s="220"/>
      <c r="H221" s="728">
        <f>D221-F221</f>
        <v>0.1257425107447514</v>
      </c>
      <c r="I221" s="220"/>
      <c r="J221" s="137">
        <f>273+19</f>
        <v>292</v>
      </c>
      <c r="K221" s="220">
        <f>J221-J220</f>
        <v>-1</v>
      </c>
      <c r="L221" s="731">
        <f>AVERAGE(J221,J220)</f>
        <v>292.5</v>
      </c>
      <c r="M221" s="220"/>
      <c r="N221" s="769">
        <f>(L221/L214-1)*100</f>
        <v>0.1712328767123239</v>
      </c>
      <c r="O221" s="1180"/>
      <c r="P221" s="731">
        <f>H221/N221*100</f>
        <v>73.433626274936898</v>
      </c>
      <c r="Q221" s="220"/>
      <c r="R221" s="137"/>
      <c r="S221" s="764">
        <v>91.968000000000004</v>
      </c>
      <c r="T221" s="137"/>
      <c r="U221" s="755">
        <f>S221/L221</f>
        <v>0.31442051282051281</v>
      </c>
      <c r="V221" s="137"/>
      <c r="W221" s="708">
        <f>(U221/U214-1)*100</f>
        <v>-1.8423356815813197</v>
      </c>
      <c r="X221" s="735"/>
      <c r="Y221" s="137"/>
      <c r="Z221" s="737">
        <f>(0.517254+0.035637)/0.8</f>
        <v>0.69111374999999997</v>
      </c>
      <c r="AA221" s="137"/>
      <c r="AB221" s="732">
        <f>AVERAGE(Z221,Z220)</f>
        <v>0.69231624999999997</v>
      </c>
      <c r="AC221" s="137"/>
      <c r="AD221" s="769">
        <f>(AB221/AB214-1)*100</f>
        <v>0.355141304564488</v>
      </c>
      <c r="AE221" s="735"/>
      <c r="AF221" s="731">
        <f>+H221/AD221*100</f>
        <v>35.406332389005051</v>
      </c>
      <c r="AG221" s="220"/>
      <c r="AH221" s="137"/>
      <c r="AI221" s="727">
        <f>+S221</f>
        <v>91.968000000000004</v>
      </c>
      <c r="AJ221" s="137"/>
      <c r="AK221" s="756">
        <f>AI221/AB221</f>
        <v>132.84102460400143</v>
      </c>
      <c r="AL221" s="137"/>
      <c r="AM221" s="708">
        <f>(AK221/AK214-1)*100</f>
        <v>-2.0222170657512972</v>
      </c>
      <c r="AN221" s="735"/>
      <c r="AO221" s="137"/>
      <c r="AP221" s="291">
        <f>+F221</f>
        <v>-1.8</v>
      </c>
      <c r="AQ221" s="291">
        <f>+F386</f>
        <v>0</v>
      </c>
      <c r="AR221" s="291">
        <f>+'qtrP&amp;L'!CD61</f>
        <v>0</v>
      </c>
      <c r="AS221" s="137"/>
      <c r="AT221" s="753">
        <f>+S213/(S213+S365)</f>
        <v>1</v>
      </c>
      <c r="AU221" s="754">
        <f>+S365/(S213+S365)</f>
        <v>0</v>
      </c>
      <c r="AV221" s="291">
        <f>+AT221*AP221+AU221*AQ221</f>
        <v>-1.8</v>
      </c>
      <c r="AW221" s="735" t="str">
        <f>+(IF(ROUND(AR221,0)=ROUND(AV221,0),"y","n"))</f>
        <v>n</v>
      </c>
    </row>
    <row r="222" spans="1:49">
      <c r="A222" s="137" t="str">
        <f>$A$16</f>
        <v>3Q</v>
      </c>
      <c r="B222" s="749" t="str">
        <f>$B$16</f>
        <v>Oct</v>
      </c>
      <c r="C222" s="137"/>
      <c r="D222" s="689">
        <f>(S222/S215-1)*100</f>
        <v>-2.4999999999999911</v>
      </c>
      <c r="E222" s="220"/>
      <c r="F222" s="1632">
        <v>-1.7</v>
      </c>
      <c r="G222" s="220"/>
      <c r="H222" s="728">
        <f>D222-F222</f>
        <v>-0.79999999999999116</v>
      </c>
      <c r="I222" s="220"/>
      <c r="J222" s="1613">
        <f>271+19</f>
        <v>290</v>
      </c>
      <c r="K222" s="220">
        <f>J222-J221</f>
        <v>-2</v>
      </c>
      <c r="L222" s="731">
        <f>AVERAGE(J222,J221)</f>
        <v>291</v>
      </c>
      <c r="M222" s="220"/>
      <c r="N222" s="769">
        <f>(L222/L215-1)*100</f>
        <v>-0.68259385665528916</v>
      </c>
      <c r="O222" s="1180"/>
      <c r="P222" s="731">
        <f>H222/N222*100</f>
        <v>117.19999999999887</v>
      </c>
      <c r="Q222" s="220"/>
      <c r="R222" s="137"/>
      <c r="S222" s="1633">
        <v>72.462000000000003</v>
      </c>
      <c r="T222" s="137"/>
      <c r="U222" s="755">
        <f>S222/L222</f>
        <v>0.24901030927835052</v>
      </c>
      <c r="V222" s="137"/>
      <c r="W222" s="708">
        <f>(U222/U215-1)*100</f>
        <v>-1.8298969072164772</v>
      </c>
      <c r="X222" s="735"/>
      <c r="Y222" s="137"/>
      <c r="Z222" s="737">
        <f>(0.513548+0.035541)/0.8</f>
        <v>0.68636125000000003</v>
      </c>
      <c r="AA222" s="137"/>
      <c r="AB222" s="732">
        <f>AVERAGE(Z222,Z221)</f>
        <v>0.6887375</v>
      </c>
      <c r="AC222" s="137"/>
      <c r="AD222" s="769">
        <f>(AB222/AB215-1)*100</f>
        <v>-0.47703253611158791</v>
      </c>
      <c r="AE222" s="735"/>
      <c r="AF222" s="731">
        <f>+H222/AD222*100</f>
        <v>167.70344566452263</v>
      </c>
      <c r="AG222" s="220"/>
      <c r="AH222" s="137"/>
      <c r="AI222" s="727">
        <f>+S222</f>
        <v>72.462000000000003</v>
      </c>
      <c r="AJ222" s="137"/>
      <c r="AK222" s="756">
        <f>AI222/AB222</f>
        <v>105.20989491642317</v>
      </c>
      <c r="AL222" s="137"/>
      <c r="AM222" s="708">
        <f>(AK222/AK215-1)*100</f>
        <v>-2.0326639321947781</v>
      </c>
      <c r="AN222" s="735"/>
      <c r="AO222" s="137"/>
      <c r="AP222" s="291">
        <f>+F222</f>
        <v>-1.7</v>
      </c>
      <c r="AQ222" s="291">
        <f>+F387</f>
        <v>0</v>
      </c>
      <c r="AR222" s="291">
        <f>+'qtrP&amp;L'!CD62</f>
        <v>0</v>
      </c>
      <c r="AS222" s="137"/>
      <c r="AT222" s="753">
        <f>+S214/(S214+S366)</f>
        <v>1</v>
      </c>
      <c r="AU222" s="754">
        <f>+S366/(S214+S366)</f>
        <v>0</v>
      </c>
      <c r="AV222" s="291">
        <f>+AT222*AP222+AU222*AQ222</f>
        <v>-1.7</v>
      </c>
      <c r="AW222" s="735" t="str">
        <f>+(IF(ROUND(AR222,0)=ROUND(AV222,0),"y","n"))</f>
        <v>n</v>
      </c>
    </row>
    <row r="223" spans="1:49">
      <c r="A223" s="137" t="str">
        <f>$A$17</f>
        <v>4Q</v>
      </c>
      <c r="B223" s="749" t="str">
        <f>$B$17</f>
        <v>Jan</v>
      </c>
      <c r="C223" s="137"/>
      <c r="D223" s="744">
        <f>+F223+H223</f>
        <v>-4.4805792163543456</v>
      </c>
      <c r="E223" s="137"/>
      <c r="F223" s="1652">
        <v>-2.2999999999999998</v>
      </c>
      <c r="G223" s="137"/>
      <c r="H223" s="744">
        <f>+N223*P223/100</f>
        <v>-2.1805792163543458</v>
      </c>
      <c r="I223" s="137"/>
      <c r="J223" s="1613">
        <f>270+19</f>
        <v>289</v>
      </c>
      <c r="K223" s="137">
        <f>J223-J222</f>
        <v>-1</v>
      </c>
      <c r="L223" s="736">
        <f>AVERAGE(J223,J222)</f>
        <v>289.5</v>
      </c>
      <c r="M223" s="137"/>
      <c r="N223" s="744">
        <f>(L223/L216-1)*100</f>
        <v>-1.3628620102214661</v>
      </c>
      <c r="O223" s="735"/>
      <c r="P223" s="765">
        <v>160</v>
      </c>
      <c r="Q223" s="220"/>
      <c r="R223" s="137"/>
      <c r="S223" s="1656">
        <v>99.165000000000006</v>
      </c>
      <c r="T223" s="137"/>
      <c r="U223" s="758">
        <f>S223/L223</f>
        <v>0.34253886010362694</v>
      </c>
      <c r="V223" s="137"/>
      <c r="W223" s="759">
        <f>(U223/U216-1)*100</f>
        <v>3.2071895786045745</v>
      </c>
      <c r="X223" s="735"/>
      <c r="Y223" s="137"/>
      <c r="Z223" s="737">
        <f>+(0.511989+0.035541)/0.8</f>
        <v>0.68441250000000009</v>
      </c>
      <c r="AA223" s="137"/>
      <c r="AB223" s="760">
        <f>AVERAGE(Z223,Z222)</f>
        <v>0.68538687500000006</v>
      </c>
      <c r="AC223" s="137"/>
      <c r="AD223" s="744">
        <f>(AB223/AB216-1)*100</f>
        <v>-1.1353996031420288</v>
      </c>
      <c r="AE223" s="735"/>
      <c r="AF223" s="736">
        <f>+H223/AD223*100</f>
        <v>192.05389981817476</v>
      </c>
      <c r="AG223" s="220"/>
      <c r="AH223" s="137"/>
      <c r="AI223" s="729">
        <f>+S223</f>
        <v>99.165000000000006</v>
      </c>
      <c r="AJ223" s="137"/>
      <c r="AK223" s="761">
        <f>AI223/AB223</f>
        <v>144.68470818032515</v>
      </c>
      <c r="AL223" s="137"/>
      <c r="AM223" s="759">
        <f>(AK223/AK216-1)*100</f>
        <v>2.9697359736214235</v>
      </c>
      <c r="AN223" s="735"/>
      <c r="AO223" s="137"/>
      <c r="AP223" s="291">
        <f>+F223</f>
        <v>-2.2999999999999998</v>
      </c>
      <c r="AQ223" s="291">
        <f>+F388</f>
        <v>0</v>
      </c>
      <c r="AR223" s="291">
        <f>+'qtrP&amp;L'!CD63</f>
        <v>0</v>
      </c>
      <c r="AS223" s="137"/>
      <c r="AT223" s="753">
        <f>+S215/(S215+S367)</f>
        <v>1</v>
      </c>
      <c r="AU223" s="754">
        <f>+S367/(S215+S367)</f>
        <v>0</v>
      </c>
      <c r="AV223" s="291">
        <f>+AT223*AP223+AU223*AQ223</f>
        <v>-2.2999999999999998</v>
      </c>
      <c r="AW223" s="735" t="str">
        <f>+(IF(ROUND(AR223,0)=ROUND(AV223,0),"y","n"))</f>
        <v>n</v>
      </c>
    </row>
    <row r="224" spans="1:49">
      <c r="A224" s="137"/>
      <c r="B224" s="749" t="str">
        <f>$B$18</f>
        <v>Year</v>
      </c>
      <c r="C224" s="137"/>
      <c r="D224" s="728">
        <f>(S224/S217-1)*100</f>
        <v>-0.19765197579415528</v>
      </c>
      <c r="E224" s="137"/>
      <c r="F224" s="762">
        <v>-1.5</v>
      </c>
      <c r="G224" s="137"/>
      <c r="H224" s="728">
        <f>D224-F224</f>
        <v>1.3023480242058447</v>
      </c>
      <c r="I224" s="137"/>
      <c r="J224" s="733"/>
      <c r="K224" s="137"/>
      <c r="L224" s="734">
        <f>AVERAGE(L220:L223)</f>
        <v>291.5</v>
      </c>
      <c r="M224" s="137"/>
      <c r="N224" s="728">
        <f>(L224/L216-1)*100</f>
        <v>-0.68143100511073307</v>
      </c>
      <c r="O224" s="735"/>
      <c r="P224" s="731">
        <f>H224/N224*100</f>
        <v>-191.11957255220759</v>
      </c>
      <c r="Q224" s="220"/>
      <c r="R224" s="137"/>
      <c r="S224" s="725">
        <f>SUM(S220:S223)</f>
        <v>343.86400000000003</v>
      </c>
      <c r="T224" s="137"/>
      <c r="U224" s="751">
        <f>SUM(U220:U223)</f>
        <v>1.1799253136018077</v>
      </c>
      <c r="V224" s="137"/>
      <c r="W224" s="708">
        <f>(U224/U216-1)*100</f>
        <v>255.51229280279492</v>
      </c>
      <c r="X224" s="735"/>
      <c r="Y224" s="137"/>
      <c r="Z224" s="137"/>
      <c r="AA224" s="137"/>
      <c r="AB224" s="732">
        <f>AVERAGE(AB220:AB223)</f>
        <v>0.6901096874999999</v>
      </c>
      <c r="AC224" s="137"/>
      <c r="AD224" s="728">
        <f>(AB224/AB216-1)*100</f>
        <v>-0.45415082585581468</v>
      </c>
      <c r="AE224" s="735"/>
      <c r="AF224" s="731">
        <f>+H224/AD224*100</f>
        <v>-286.76553031730447</v>
      </c>
      <c r="AG224" s="220"/>
      <c r="AH224" s="137"/>
      <c r="AI224" s="725">
        <f>SUM(AI220:AI223)</f>
        <v>343.86400000000003</v>
      </c>
      <c r="AJ224" s="137"/>
      <c r="AK224" s="752">
        <f>SUM(AK220:AK223)</f>
        <v>498.39732347262236</v>
      </c>
      <c r="AL224" s="137"/>
      <c r="AM224" s="708">
        <f>(AK224/AK216-1)*100</f>
        <v>254.70120825743354</v>
      </c>
      <c r="AN224" s="735"/>
      <c r="AO224" s="137"/>
      <c r="AP224" s="726"/>
      <c r="AQ224" s="310"/>
      <c r="AR224" s="220"/>
      <c r="AS224" s="137"/>
      <c r="AT224" s="137"/>
      <c r="AU224" s="137"/>
      <c r="AV224" s="137"/>
      <c r="AW224" s="137"/>
    </row>
    <row r="225" spans="1:49">
      <c r="A225" s="137"/>
      <c r="B225" s="749"/>
      <c r="C225" s="137"/>
      <c r="D225" s="728"/>
      <c r="E225" s="137"/>
      <c r="F225" s="762"/>
      <c r="G225" s="137"/>
      <c r="H225" s="728"/>
      <c r="I225" s="137"/>
      <c r="J225" s="733"/>
      <c r="K225" s="137"/>
      <c r="L225" s="734"/>
      <c r="M225" s="137"/>
      <c r="N225" s="728"/>
      <c r="O225" s="735"/>
      <c r="P225" s="731"/>
      <c r="Q225" s="220"/>
      <c r="R225" s="137"/>
      <c r="S225" s="725"/>
      <c r="T225" s="137"/>
      <c r="U225" s="751"/>
      <c r="V225" s="137"/>
      <c r="W225" s="708"/>
      <c r="X225" s="735"/>
      <c r="Y225" s="137"/>
      <c r="Z225" s="137"/>
      <c r="AA225" s="137"/>
      <c r="AB225" s="732"/>
      <c r="AC225" s="137"/>
      <c r="AD225" s="728"/>
      <c r="AE225" s="735"/>
      <c r="AF225" s="731"/>
      <c r="AG225" s="220"/>
      <c r="AH225" s="137"/>
      <c r="AI225" s="725"/>
      <c r="AJ225" s="137"/>
      <c r="AK225" s="752"/>
      <c r="AL225" s="137"/>
      <c r="AM225" s="708"/>
      <c r="AN225" s="735"/>
      <c r="AO225" s="137"/>
      <c r="AP225" s="726"/>
      <c r="AQ225" s="310"/>
      <c r="AR225" s="220"/>
      <c r="AS225" s="137"/>
      <c r="AT225" s="137"/>
      <c r="AU225" s="137"/>
      <c r="AV225" s="137"/>
      <c r="AW225" s="137"/>
    </row>
    <row r="226" spans="1:49">
      <c r="A226" s="746"/>
      <c r="B226" s="763">
        <v>2018</v>
      </c>
      <c r="C226" s="137"/>
      <c r="D226" s="728"/>
      <c r="E226" s="137"/>
      <c r="F226" s="762"/>
      <c r="G226" s="137"/>
      <c r="H226" s="728"/>
      <c r="I226" s="137"/>
      <c r="J226" s="1114"/>
      <c r="K226" s="137"/>
      <c r="L226" s="728"/>
      <c r="M226" s="137"/>
      <c r="N226" s="728"/>
      <c r="O226" s="735"/>
      <c r="P226" s="731"/>
      <c r="Q226" s="220"/>
      <c r="R226" s="137"/>
      <c r="S226" s="725"/>
      <c r="T226" s="137"/>
      <c r="U226" s="768"/>
      <c r="V226" s="137"/>
      <c r="W226" s="708"/>
      <c r="X226" s="735"/>
      <c r="Y226" s="137"/>
      <c r="Z226" s="137"/>
      <c r="AA226" s="137"/>
      <c r="AB226" s="732"/>
      <c r="AC226" s="137"/>
      <c r="AD226" s="728"/>
      <c r="AE226" s="735"/>
      <c r="AF226" s="731"/>
      <c r="AG226" s="220"/>
      <c r="AH226" s="137"/>
      <c r="AI226" s="725"/>
      <c r="AJ226" s="137"/>
      <c r="AK226" s="752"/>
      <c r="AL226" s="137"/>
      <c r="AM226" s="708"/>
      <c r="AN226" s="735"/>
      <c r="AO226" s="137"/>
      <c r="AP226" s="726"/>
      <c r="AQ226" s="310"/>
      <c r="AR226" s="220"/>
      <c r="AS226" s="137"/>
      <c r="AT226" s="137"/>
      <c r="AU226" s="137"/>
      <c r="AV226" s="137"/>
      <c r="AW226" s="137"/>
    </row>
    <row r="227" spans="1:49">
      <c r="A227" s="137" t="str">
        <f>$A$14</f>
        <v>1Q</v>
      </c>
      <c r="B227" s="749" t="str">
        <f>$B$14</f>
        <v>Apr</v>
      </c>
      <c r="C227" s="137"/>
      <c r="D227" s="769">
        <f t="shared" ref="D227:D228" si="5">+F227+H227</f>
        <v>-3.1518771331058026</v>
      </c>
      <c r="E227" s="220" t="s">
        <v>576</v>
      </c>
      <c r="F227" s="1307">
        <v>-2</v>
      </c>
      <c r="G227" s="220" t="s">
        <v>576</v>
      </c>
      <c r="H227" s="769">
        <f t="shared" ref="H227:H228" si="6">+N227*P227/100</f>
        <v>-1.1518771331058024</v>
      </c>
      <c r="I227" s="220" t="s">
        <v>576</v>
      </c>
      <c r="J227" s="1587">
        <v>287</v>
      </c>
      <c r="K227" s="220">
        <f>J227-J223</f>
        <v>-2</v>
      </c>
      <c r="L227" s="731">
        <f>AVERAGE(J227,J222)</f>
        <v>288.5</v>
      </c>
      <c r="M227" s="220"/>
      <c r="N227" s="769">
        <f>(L227/L220-1)*100</f>
        <v>-1.5358361774744034</v>
      </c>
      <c r="O227" s="1180" t="s">
        <v>576</v>
      </c>
      <c r="P227" s="1588">
        <v>75</v>
      </c>
      <c r="Q227" s="220" t="s">
        <v>576</v>
      </c>
      <c r="R227" s="137"/>
      <c r="S227" s="1300">
        <f t="shared" ref="S227:S228" si="7">+S220*(1+D227/100)</f>
        <v>77.739019744027303</v>
      </c>
      <c r="T227" s="137"/>
      <c r="U227" s="751">
        <f>S227/L227</f>
        <v>0.26945934053389015</v>
      </c>
      <c r="V227" s="137"/>
      <c r="W227" s="708">
        <f>(U227/U220-1)*100</f>
        <v>-1.6412478336221947</v>
      </c>
      <c r="X227" s="735" t="s">
        <v>576</v>
      </c>
      <c r="Y227" s="137"/>
      <c r="Z227" s="767">
        <f>+Z223+((J227-J223)*(yrSales!$X$81/1000000))</f>
        <v>0.68001250000000013</v>
      </c>
      <c r="AA227" s="137"/>
      <c r="AB227" s="732">
        <f>AVERAGE(Z227,Z223)</f>
        <v>0.68221250000000011</v>
      </c>
      <c r="AC227" s="137"/>
      <c r="AD227" s="769">
        <f>(AB227/AB220-1)*100</f>
        <v>-1.6982214469239199</v>
      </c>
      <c r="AE227" s="735" t="s">
        <v>576</v>
      </c>
      <c r="AF227" s="731">
        <f>+H227/AD227*100</f>
        <v>67.828441054743465</v>
      </c>
      <c r="AG227" s="220" t="s">
        <v>576</v>
      </c>
      <c r="AH227" s="137"/>
      <c r="AI227" s="725">
        <f>+S227</f>
        <v>77.739019744027303</v>
      </c>
      <c r="AJ227" s="137"/>
      <c r="AK227" s="752">
        <f>AI227/AB227</f>
        <v>113.95132710706311</v>
      </c>
      <c r="AL227" s="137"/>
      <c r="AM227" s="708">
        <f>(AK227/AK220-1)*100</f>
        <v>-1.478768449135448</v>
      </c>
      <c r="AN227" s="735" t="s">
        <v>576</v>
      </c>
      <c r="AO227" s="137"/>
      <c r="AP227" s="291">
        <f>+F227</f>
        <v>-2</v>
      </c>
      <c r="AQ227" s="291">
        <f>+F392</f>
        <v>0</v>
      </c>
      <c r="AR227" s="291">
        <f>+'qtrP&amp;L'!CD67</f>
        <v>0</v>
      </c>
      <c r="AS227" s="137"/>
      <c r="AT227" s="753">
        <f>+S220/(S220+S371)</f>
        <v>1</v>
      </c>
      <c r="AU227" s="754">
        <f>+S371/(S220+S371)</f>
        <v>0</v>
      </c>
      <c r="AV227" s="291">
        <f>+AT227*AP227+AU227*AQ227</f>
        <v>-2</v>
      </c>
      <c r="AW227" s="735" t="str">
        <f>+(IF(ROUND(AR227,0)=ROUND(AV227,0),"y","n"))</f>
        <v>n</v>
      </c>
    </row>
    <row r="228" spans="1:49">
      <c r="A228" s="137" t="str">
        <f>$A$15</f>
        <v>2Q</v>
      </c>
      <c r="B228" s="749" t="str">
        <f>$B$15</f>
        <v>Jul</v>
      </c>
      <c r="C228" s="137"/>
      <c r="D228" s="769">
        <f t="shared" si="5"/>
        <v>-2.7948717948717965</v>
      </c>
      <c r="E228" s="220"/>
      <c r="F228" s="1307">
        <v>-1</v>
      </c>
      <c r="G228" s="220"/>
      <c r="H228" s="769">
        <f t="shared" si="6"/>
        <v>-1.7948717948717967</v>
      </c>
      <c r="I228" s="220"/>
      <c r="J228" s="1587">
        <v>284</v>
      </c>
      <c r="K228" s="220">
        <f>J228-J227</f>
        <v>-3</v>
      </c>
      <c r="L228" s="731">
        <f>AVERAGE(J228,J227)</f>
        <v>285.5</v>
      </c>
      <c r="M228" s="220"/>
      <c r="N228" s="769">
        <f>(L228/L221-1)*100</f>
        <v>-2.3931623931623958</v>
      </c>
      <c r="O228" s="1180"/>
      <c r="P228" s="1588">
        <v>75</v>
      </c>
      <c r="Q228" s="220"/>
      <c r="R228" s="137"/>
      <c r="S228" s="1300">
        <f t="shared" si="7"/>
        <v>89.397612307692313</v>
      </c>
      <c r="T228" s="137"/>
      <c r="U228" s="755">
        <f>S228/L228</f>
        <v>0.31312648794288028</v>
      </c>
      <c r="V228" s="137"/>
      <c r="W228" s="708">
        <f>(U228/U221-1)*100</f>
        <v>-0.41155866900173255</v>
      </c>
      <c r="X228" s="735"/>
      <c r="Y228" s="137"/>
      <c r="Z228" s="767">
        <f>+Z227+((J228-J227)*(yrSales!$X$81/1000000))</f>
        <v>0.67341250000000008</v>
      </c>
      <c r="AA228" s="137"/>
      <c r="AB228" s="732">
        <f>AVERAGE(Z228,Z227)</f>
        <v>0.67671250000000005</v>
      </c>
      <c r="AC228" s="137"/>
      <c r="AD228" s="769">
        <f>(AB228/AB221-1)*100</f>
        <v>-2.2538471399450644</v>
      </c>
      <c r="AE228" s="735"/>
      <c r="AF228" s="731">
        <f>+H228/AD228*100</f>
        <v>79.635915100948026</v>
      </c>
      <c r="AG228" s="220"/>
      <c r="AH228" s="137"/>
      <c r="AI228" s="727">
        <f>+S228</f>
        <v>89.397612307692313</v>
      </c>
      <c r="AJ228" s="137"/>
      <c r="AK228" s="756">
        <f>AI228/AB228</f>
        <v>132.10574994209847</v>
      </c>
      <c r="AL228" s="137"/>
      <c r="AM228" s="708">
        <f>(AK228/AK221-1)*100</f>
        <v>-0.55349969190227055</v>
      </c>
      <c r="AN228" s="735"/>
      <c r="AO228" s="137"/>
      <c r="AP228" s="291">
        <f>+F228</f>
        <v>-1</v>
      </c>
      <c r="AQ228" s="291">
        <f>+F393</f>
        <v>0</v>
      </c>
      <c r="AR228" s="291">
        <f>+'qtrP&amp;L'!CD68</f>
        <v>0</v>
      </c>
      <c r="AS228" s="137"/>
      <c r="AT228" s="753">
        <f>+S220/(S220+S372)</f>
        <v>1</v>
      </c>
      <c r="AU228" s="754">
        <f>+S372/(S220+S372)</f>
        <v>0</v>
      </c>
      <c r="AV228" s="291">
        <f>+AT228*AP228+AU228*AQ228</f>
        <v>-1</v>
      </c>
      <c r="AW228" s="735" t="str">
        <f>+(IF(ROUND(AR228,0)=ROUND(AV228,0),"y","n"))</f>
        <v>n</v>
      </c>
    </row>
    <row r="229" spans="1:49">
      <c r="A229" s="137" t="str">
        <f>$A$16</f>
        <v>3Q</v>
      </c>
      <c r="B229" s="749" t="str">
        <f>$B$16</f>
        <v>Oct</v>
      </c>
      <c r="C229" s="137"/>
      <c r="D229" s="769">
        <f>+F229+H229</f>
        <v>-1.5618556701030939</v>
      </c>
      <c r="E229" s="220"/>
      <c r="F229" s="1307">
        <v>0.5</v>
      </c>
      <c r="G229" s="220"/>
      <c r="H229" s="769">
        <f>+N229*P229/100</f>
        <v>-2.0618556701030939</v>
      </c>
      <c r="I229" s="220"/>
      <c r="J229" s="1114">
        <v>282</v>
      </c>
      <c r="K229" s="220">
        <f>J229-J228</f>
        <v>-2</v>
      </c>
      <c r="L229" s="731">
        <f>AVERAGE(J229,J228)</f>
        <v>283</v>
      </c>
      <c r="M229" s="220"/>
      <c r="N229" s="769">
        <f>(L229/L222-1)*100</f>
        <v>-2.7491408934707917</v>
      </c>
      <c r="O229" s="1180"/>
      <c r="P229" s="1305">
        <v>75</v>
      </c>
      <c r="Q229" s="220"/>
      <c r="R229" s="137"/>
      <c r="S229" s="1300">
        <f>+S222*(1+D229/100)</f>
        <v>71.3302481443299</v>
      </c>
      <c r="T229" s="137"/>
      <c r="U229" s="755">
        <f>S229/L229</f>
        <v>0.2520503467997523</v>
      </c>
      <c r="V229" s="137"/>
      <c r="W229" s="708">
        <f>(U229/U222-1)*100</f>
        <v>1.2208480565371049</v>
      </c>
      <c r="X229" s="735"/>
      <c r="Y229" s="137"/>
      <c r="Z229" s="767">
        <f>+Z228+((J229-J228)*(yrSales!$X$81/1000000))</f>
        <v>0.66901250000000012</v>
      </c>
      <c r="AA229" s="137"/>
      <c r="AB229" s="732">
        <f>AVERAGE(Z229,Z228)</f>
        <v>0.6712125000000001</v>
      </c>
      <c r="AC229" s="137"/>
      <c r="AD229" s="769">
        <f>(AB229/AB222-1)*100</f>
        <v>-2.5445107896694852</v>
      </c>
      <c r="AE229" s="735"/>
      <c r="AF229" s="731">
        <f>+H229/AD229*100</f>
        <v>81.031516096299001</v>
      </c>
      <c r="AG229" s="220"/>
      <c r="AH229" s="137"/>
      <c r="AI229" s="727">
        <f>+S229</f>
        <v>71.3302481443299</v>
      </c>
      <c r="AJ229" s="137"/>
      <c r="AK229" s="756">
        <f>AI229/AB229</f>
        <v>106.27073861754644</v>
      </c>
      <c r="AL229" s="137"/>
      <c r="AM229" s="708">
        <f>(AK229/AK222-1)*100</f>
        <v>1.0083117200772707</v>
      </c>
      <c r="AN229" s="735"/>
      <c r="AO229" s="137"/>
      <c r="AP229" s="291">
        <f>+F229</f>
        <v>0.5</v>
      </c>
      <c r="AQ229" s="291">
        <f>+F394</f>
        <v>0</v>
      </c>
      <c r="AR229" s="291">
        <f>+'qtrP&amp;L'!CD69</f>
        <v>0</v>
      </c>
      <c r="AS229" s="137"/>
      <c r="AT229" s="753">
        <f>+S221/(S221+S373)</f>
        <v>1</v>
      </c>
      <c r="AU229" s="754">
        <f>+S373/(S221+S373)</f>
        <v>0</v>
      </c>
      <c r="AV229" s="291">
        <f>+AT229*AP229+AU229*AQ229</f>
        <v>0.5</v>
      </c>
      <c r="AW229" s="735" t="str">
        <f>+(IF(ROUND(AR229,0)=ROUND(AV229,0),"y","n"))</f>
        <v>n</v>
      </c>
    </row>
    <row r="230" spans="1:49">
      <c r="A230" s="137" t="str">
        <f>$A$17</f>
        <v>4Q</v>
      </c>
      <c r="B230" s="749" t="str">
        <f>$B$17</f>
        <v>Jan</v>
      </c>
      <c r="C230" s="137"/>
      <c r="D230" s="1612">
        <f>+F230+H230</f>
        <v>21.965457685664958</v>
      </c>
      <c r="E230" s="1599"/>
      <c r="F230" s="1600">
        <v>2</v>
      </c>
      <c r="G230" s="1599"/>
      <c r="H230" s="1612">
        <f>+N230*P230/100</f>
        <v>19.965457685664958</v>
      </c>
      <c r="I230" s="1599"/>
      <c r="J230" s="1114">
        <v>280</v>
      </c>
      <c r="K230" s="1613">
        <f>J230-J229</f>
        <v>-2</v>
      </c>
      <c r="L230" s="1614">
        <f>AVERAGE(J230,J229)</f>
        <v>281</v>
      </c>
      <c r="M230" s="1613"/>
      <c r="N230" s="1612">
        <f>(L230/L223-1)*100</f>
        <v>-2.9360967184801412</v>
      </c>
      <c r="O230" s="1615"/>
      <c r="P230" s="1601">
        <v>-680</v>
      </c>
      <c r="Q230" s="220"/>
      <c r="R230" s="137"/>
      <c r="S230" s="1115">
        <f>+S223*(1+D230/100)</f>
        <v>120.94704611398966</v>
      </c>
      <c r="T230" s="137"/>
      <c r="U230" s="758">
        <f>S230/L230</f>
        <v>0.4304165342134863</v>
      </c>
      <c r="V230" s="137"/>
      <c r="W230" s="759">
        <f>(U230/U223-1)*100</f>
        <v>25.654804270462648</v>
      </c>
      <c r="X230" s="735"/>
      <c r="Y230" s="137"/>
      <c r="Z230" s="767">
        <f>+Z229+((J230-J229)*(yrSales!$X$81/1000000))</f>
        <v>0.66461250000000016</v>
      </c>
      <c r="AA230" s="137"/>
      <c r="AB230" s="760">
        <f>AVERAGE(Z230,Z229)</f>
        <v>0.66681250000000014</v>
      </c>
      <c r="AC230" s="137"/>
      <c r="AD230" s="744">
        <f>(AB230/AB223-1)*100</f>
        <v>-2.7100570024776061</v>
      </c>
      <c r="AE230" s="735"/>
      <c r="AF230" s="736">
        <f>+H230/AD230*100</f>
        <v>-736.71725972597653</v>
      </c>
      <c r="AG230" s="220"/>
      <c r="AH230" s="137"/>
      <c r="AI230" s="729">
        <f>+S230</f>
        <v>120.94704611398966</v>
      </c>
      <c r="AJ230" s="137"/>
      <c r="AK230" s="761">
        <f>AI230/AB230</f>
        <v>181.3808921008374</v>
      </c>
      <c r="AL230" s="137"/>
      <c r="AM230" s="759">
        <f>(AK230/AK223-1)*100</f>
        <v>25.362862725462755</v>
      </c>
      <c r="AN230" s="735"/>
      <c r="AO230" s="137"/>
      <c r="AP230" s="291">
        <f>+F230</f>
        <v>2</v>
      </c>
      <c r="AQ230" s="291">
        <f>+F395</f>
        <v>0</v>
      </c>
      <c r="AR230" s="291">
        <f>+'qtrP&amp;L'!CD70</f>
        <v>0</v>
      </c>
      <c r="AS230" s="137"/>
      <c r="AT230" s="753">
        <f>+S222/(S222+S374)</f>
        <v>1</v>
      </c>
      <c r="AU230" s="754">
        <f>+S374/(S222+S374)</f>
        <v>0</v>
      </c>
      <c r="AV230" s="291">
        <f>+AT230*AP230+AU230*AQ230</f>
        <v>2</v>
      </c>
      <c r="AW230" s="735" t="str">
        <f>+(IF(ROUND(AR230,0)=ROUND(AV230,0),"y","n"))</f>
        <v>n</v>
      </c>
    </row>
    <row r="231" spans="1:49">
      <c r="A231" s="137"/>
      <c r="B231" s="749" t="str">
        <f>$B$18</f>
        <v>Year</v>
      </c>
      <c r="C231" s="137"/>
      <c r="D231" s="728">
        <f>(S231/S224-1)*100</f>
        <v>4.522115228706447</v>
      </c>
      <c r="E231" s="137"/>
      <c r="F231" s="762">
        <f>F227*S227/S231+F228*S228/S231+F229*S229/S231+F230*S230/S231</f>
        <v>9.0935720938658648E-2</v>
      </c>
      <c r="G231" s="137"/>
      <c r="H231" s="728">
        <f>D231-F231</f>
        <v>4.431179507767788</v>
      </c>
      <c r="I231" s="137"/>
      <c r="J231" s="733"/>
      <c r="K231" s="137"/>
      <c r="L231" s="734">
        <f>AVERAGE(L227:L230)</f>
        <v>284.5</v>
      </c>
      <c r="M231" s="137"/>
      <c r="N231" s="728">
        <f>(L231/L223-1)*100</f>
        <v>-1.7271157167530249</v>
      </c>
      <c r="O231" s="735"/>
      <c r="P231" s="731">
        <f>H231/N231*100</f>
        <v>-256.56529349975455</v>
      </c>
      <c r="Q231" s="220"/>
      <c r="R231" s="137"/>
      <c r="S231" s="725">
        <f>SUM(S227:S230)</f>
        <v>359.41392631003919</v>
      </c>
      <c r="T231" s="137"/>
      <c r="U231" s="751">
        <f>SUM(U227:U230)</f>
        <v>1.265052709490009</v>
      </c>
      <c r="V231" s="137"/>
      <c r="W231" s="708">
        <f>(U231/U223-1)*100</f>
        <v>269.31655261166503</v>
      </c>
      <c r="X231" s="735"/>
      <c r="Y231" s="137"/>
      <c r="Z231" s="137"/>
      <c r="AA231" s="137"/>
      <c r="AB231" s="732">
        <f>AVERAGE(AB227:AB230)</f>
        <v>0.67423750000000016</v>
      </c>
      <c r="AC231" s="137"/>
      <c r="AD231" s="728">
        <f>(AB231/AB223-1)*100</f>
        <v>-1.6267272407280764</v>
      </c>
      <c r="AE231" s="735"/>
      <c r="AF231" s="731">
        <f>+H231/AD231*100</f>
        <v>-272.39843268282146</v>
      </c>
      <c r="AG231" s="220"/>
      <c r="AH231" s="137"/>
      <c r="AI231" s="725">
        <f>SUM(AI227:AI230)</f>
        <v>359.41392631003919</v>
      </c>
      <c r="AJ231" s="137"/>
      <c r="AK231" s="752">
        <f>SUM(AK227:AK230)</f>
        <v>533.70870776754543</v>
      </c>
      <c r="AL231" s="137"/>
      <c r="AM231" s="708">
        <f>(AK231/AK224-1)*100</f>
        <v>7.0849867428838254</v>
      </c>
      <c r="AN231" s="735"/>
      <c r="AO231" s="137"/>
      <c r="AP231" s="726"/>
      <c r="AQ231" s="310"/>
      <c r="AR231" s="220"/>
      <c r="AS231" s="137"/>
      <c r="AT231" s="137"/>
      <c r="AU231" s="137"/>
      <c r="AV231" s="137"/>
      <c r="AW231" s="137"/>
    </row>
    <row r="232" spans="1:49">
      <c r="A232" s="137"/>
      <c r="B232" s="749"/>
      <c r="C232" s="137"/>
      <c r="D232" s="728"/>
      <c r="E232" s="137"/>
      <c r="F232" s="762"/>
      <c r="G232" s="137"/>
      <c r="H232" s="728"/>
      <c r="I232" s="137"/>
      <c r="J232" s="733"/>
      <c r="K232" s="137"/>
      <c r="L232" s="734"/>
      <c r="M232" s="137"/>
      <c r="N232" s="728"/>
      <c r="O232" s="735"/>
      <c r="P232" s="731"/>
      <c r="Q232" s="220"/>
      <c r="R232" s="137"/>
      <c r="S232" s="725"/>
      <c r="T232" s="137"/>
      <c r="U232" s="751"/>
      <c r="V232" s="137"/>
      <c r="W232" s="708"/>
      <c r="X232" s="735"/>
      <c r="Y232" s="137"/>
      <c r="Z232" s="137"/>
      <c r="AA232" s="137"/>
      <c r="AB232" s="732"/>
      <c r="AC232" s="137"/>
      <c r="AD232" s="728"/>
      <c r="AE232" s="735"/>
      <c r="AF232" s="731"/>
      <c r="AG232" s="220"/>
      <c r="AH232" s="137"/>
      <c r="AI232" s="725"/>
      <c r="AJ232" s="137"/>
      <c r="AK232" s="752"/>
      <c r="AL232" s="137"/>
      <c r="AM232" s="708"/>
      <c r="AN232" s="735"/>
      <c r="AO232" s="137"/>
      <c r="AP232" s="726"/>
      <c r="AQ232" s="310"/>
      <c r="AR232" s="220"/>
      <c r="AS232" s="137"/>
      <c r="AT232" s="137"/>
      <c r="AU232" s="137"/>
      <c r="AV232" s="137"/>
      <c r="AW232" s="137"/>
    </row>
    <row r="233" spans="1:49">
      <c r="A233" s="28" t="s">
        <v>692</v>
      </c>
      <c r="B233" s="218"/>
      <c r="D233" s="689"/>
      <c r="F233" s="690"/>
      <c r="H233" s="689"/>
      <c r="J233" s="770"/>
      <c r="L233" s="699"/>
      <c r="N233" s="689"/>
      <c r="O233" s="107"/>
      <c r="P233" s="771"/>
      <c r="Q233" s="122"/>
      <c r="S233" s="768"/>
      <c r="U233" s="693"/>
      <c r="W233" s="709"/>
      <c r="X233" s="107"/>
      <c r="AB233" s="694"/>
      <c r="AD233" s="689"/>
      <c r="AE233" s="107"/>
      <c r="AF233" s="655"/>
      <c r="AG233" s="122"/>
      <c r="AI233" s="692"/>
      <c r="AK233" s="695"/>
      <c r="AM233" s="709"/>
      <c r="AN233" s="107"/>
      <c r="AP233" s="726"/>
      <c r="AQ233" s="721"/>
      <c r="AR233" s="122"/>
    </row>
    <row r="234" spans="1:49">
      <c r="A234" s="147" t="s">
        <v>710</v>
      </c>
      <c r="B234" s="772"/>
      <c r="C234" s="120"/>
      <c r="D234" s="643"/>
      <c r="E234" s="120"/>
      <c r="F234" s="700"/>
      <c r="G234" s="120"/>
      <c r="H234" s="643"/>
      <c r="I234" s="120"/>
      <c r="J234" s="722"/>
      <c r="K234" s="120"/>
      <c r="L234" s="662"/>
      <c r="M234" s="120"/>
      <c r="N234" s="643"/>
      <c r="O234" s="773"/>
      <c r="P234" s="662"/>
      <c r="Q234" s="120"/>
      <c r="R234" s="120"/>
      <c r="S234" s="768">
        <f>S223*(1-0.079-0.005)</f>
        <v>90.83514000000001</v>
      </c>
      <c r="T234" s="120"/>
      <c r="U234" s="775"/>
      <c r="V234" s="120"/>
      <c r="W234" s="700"/>
      <c r="X234" s="773"/>
      <c r="Y234" s="120"/>
      <c r="Z234" s="120"/>
      <c r="AA234" s="120"/>
      <c r="AB234" s="703"/>
      <c r="AC234" s="120"/>
      <c r="AD234" s="643"/>
      <c r="AE234" s="773"/>
      <c r="AF234" s="662"/>
      <c r="AG234" s="120"/>
      <c r="AH234" s="120"/>
      <c r="AI234" s="774"/>
      <c r="AJ234" s="120"/>
      <c r="AK234" s="776"/>
      <c r="AL234" s="120"/>
      <c r="AM234" s="700"/>
      <c r="AN234" s="773"/>
      <c r="AO234" s="120"/>
      <c r="AP234" s="777"/>
      <c r="AQ234" s="778"/>
      <c r="AR234" s="120"/>
      <c r="AS234" s="120"/>
      <c r="AT234" s="120"/>
    </row>
    <row r="235" spans="1:49" hidden="1" outlineLevel="1">
      <c r="A235" s="211"/>
      <c r="B235" s="218"/>
      <c r="D235" s="689"/>
      <c r="F235" s="690"/>
      <c r="H235" s="689"/>
      <c r="L235" s="699"/>
      <c r="N235" s="689"/>
      <c r="O235" s="107"/>
      <c r="P235" s="655"/>
      <c r="Q235" s="122"/>
      <c r="S235" s="692"/>
      <c r="U235" s="693"/>
      <c r="W235" s="709"/>
      <c r="X235" s="107"/>
      <c r="AB235" s="694"/>
      <c r="AD235" s="689"/>
      <c r="AE235" s="107"/>
      <c r="AF235" s="655"/>
      <c r="AG235" s="122"/>
      <c r="AI235" s="692"/>
      <c r="AK235" s="695"/>
      <c r="AM235" s="709"/>
      <c r="AN235" s="107"/>
      <c r="AP235" s="726"/>
      <c r="AQ235" s="721"/>
      <c r="AR235" s="122"/>
    </row>
    <row r="236" spans="1:49" hidden="1" outlineLevel="1">
      <c r="A236" s="705"/>
      <c r="B236" s="706">
        <v>2004</v>
      </c>
      <c r="E236" s="107"/>
      <c r="F236" s="779" t="s">
        <v>11</v>
      </c>
      <c r="G236" s="107"/>
      <c r="I236" s="107"/>
      <c r="O236" s="107"/>
      <c r="P236" s="122"/>
      <c r="Q236" s="122"/>
      <c r="S236" s="780" t="s">
        <v>218</v>
      </c>
      <c r="T236" s="174"/>
      <c r="U236" s="174"/>
      <c r="V236" s="174"/>
      <c r="W236" s="174"/>
      <c r="X236" s="781"/>
      <c r="Y236" s="174"/>
      <c r="Z236" s="677"/>
      <c r="AE236" s="107"/>
      <c r="AF236" s="122"/>
      <c r="AG236" s="122"/>
      <c r="AN236" s="107"/>
      <c r="AP236" s="726"/>
      <c r="AQ236" s="122"/>
      <c r="AR236" s="122"/>
    </row>
    <row r="237" spans="1:49" hidden="1" outlineLevel="1">
      <c r="A237" s="26" t="str">
        <f>$A$14</f>
        <v>1Q</v>
      </c>
      <c r="B237" s="218" t="str">
        <f>$B$14</f>
        <v>Apr</v>
      </c>
      <c r="C237" s="107"/>
      <c r="D237" s="689"/>
      <c r="E237" s="107" t="s">
        <v>576</v>
      </c>
      <c r="F237" s="779" t="s">
        <v>12</v>
      </c>
      <c r="G237" s="107" t="s">
        <v>576</v>
      </c>
      <c r="H237" s="689"/>
      <c r="I237" s="107" t="s">
        <v>576</v>
      </c>
      <c r="J237" s="137">
        <v>126</v>
      </c>
      <c r="L237" s="699">
        <f>+J237</f>
        <v>126</v>
      </c>
      <c r="N237" s="689">
        <f>(L237/L101-1)*100</f>
        <v>-80.3125</v>
      </c>
      <c r="O237" s="107" t="s">
        <v>576</v>
      </c>
      <c r="P237" s="731">
        <f>H237/N237*100</f>
        <v>0</v>
      </c>
      <c r="Q237" s="122" t="s">
        <v>576</v>
      </c>
      <c r="S237" s="782">
        <v>0</v>
      </c>
      <c r="U237" s="693">
        <f>S237/L237</f>
        <v>0</v>
      </c>
      <c r="W237" s="783" t="s">
        <v>371</v>
      </c>
      <c r="X237" s="107" t="s">
        <v>576</v>
      </c>
      <c r="Z237" s="737">
        <f>0.157/0.8</f>
        <v>0.19624999999999998</v>
      </c>
      <c r="AB237" s="694">
        <f>AVERAGE(Z237,Z233)</f>
        <v>0.19624999999999998</v>
      </c>
      <c r="AD237" s="689"/>
      <c r="AE237" s="107" t="s">
        <v>576</v>
      </c>
      <c r="AF237" s="784" t="s">
        <v>371</v>
      </c>
      <c r="AG237" s="122" t="s">
        <v>576</v>
      </c>
      <c r="AI237" s="692">
        <f>+S237</f>
        <v>0</v>
      </c>
      <c r="AJ237" s="107"/>
      <c r="AK237" s="695">
        <f>AI237/AB237</f>
        <v>0</v>
      </c>
      <c r="AM237" s="784" t="s">
        <v>371</v>
      </c>
      <c r="AN237" s="107" t="s">
        <v>576</v>
      </c>
      <c r="AP237" s="291"/>
      <c r="AQ237" s="721"/>
      <c r="AR237" s="721"/>
    </row>
    <row r="238" spans="1:49" hidden="1" outlineLevel="1">
      <c r="A238" s="26" t="str">
        <f>$A$15</f>
        <v>2Q</v>
      </c>
      <c r="B238" s="218" t="str">
        <f>$B$15</f>
        <v>Jul</v>
      </c>
      <c r="D238" s="689"/>
      <c r="F238" s="779" t="s">
        <v>153</v>
      </c>
      <c r="H238" s="689"/>
      <c r="J238" s="137">
        <v>137</v>
      </c>
      <c r="K238" s="137"/>
      <c r="L238" s="699">
        <f>AVERAGE(J238,J237)</f>
        <v>131.5</v>
      </c>
      <c r="N238" s="689">
        <f>(L238/L102-1)*100</f>
        <v>-78.078766409668688</v>
      </c>
      <c r="O238" s="107"/>
      <c r="P238" s="731">
        <f>H238/N238*100</f>
        <v>0</v>
      </c>
      <c r="Q238" s="122"/>
      <c r="S238" s="785">
        <v>0</v>
      </c>
      <c r="U238" s="697">
        <f>S238/L238</f>
        <v>0</v>
      </c>
      <c r="W238" s="783" t="s">
        <v>371</v>
      </c>
      <c r="X238" s="107"/>
      <c r="Z238" s="737">
        <f>0.179/0.8</f>
        <v>0.22374999999999998</v>
      </c>
      <c r="AA238" s="713"/>
      <c r="AB238" s="694">
        <f>AVERAGE(Z238,Z237)</f>
        <v>0.20999999999999996</v>
      </c>
      <c r="AD238" s="689"/>
      <c r="AE238" s="107"/>
      <c r="AF238" s="784" t="s">
        <v>371</v>
      </c>
      <c r="AG238" s="122"/>
      <c r="AI238" s="696">
        <f>+S238</f>
        <v>0</v>
      </c>
      <c r="AK238" s="698">
        <f>AI238/AB238</f>
        <v>0</v>
      </c>
      <c r="AM238" s="784" t="s">
        <v>371</v>
      </c>
      <c r="AN238" s="107"/>
      <c r="AP238" s="291"/>
      <c r="AQ238" s="721"/>
      <c r="AR238" s="721"/>
    </row>
    <row r="239" spans="1:49" hidden="1" outlineLevel="1">
      <c r="A239" s="26" t="str">
        <f>$A$16</f>
        <v>3Q</v>
      </c>
      <c r="B239" s="218" t="str">
        <f>$B$16</f>
        <v>Oct</v>
      </c>
      <c r="D239" s="689"/>
      <c r="E239" s="137"/>
      <c r="F239" s="733">
        <v>8</v>
      </c>
      <c r="G239" s="137"/>
      <c r="H239" s="689"/>
      <c r="I239" s="137"/>
      <c r="J239" s="137">
        <v>151</v>
      </c>
      <c r="K239" s="137"/>
      <c r="L239" s="734">
        <f>AVERAGE(J239,J238)</f>
        <v>144</v>
      </c>
      <c r="M239" s="137"/>
      <c r="N239" s="728"/>
      <c r="O239" s="735"/>
      <c r="P239" s="731"/>
      <c r="Q239" s="220"/>
      <c r="R239" s="137"/>
      <c r="S239" s="785">
        <v>0</v>
      </c>
      <c r="T239" s="137"/>
      <c r="U239" s="697">
        <f>S239/L239</f>
        <v>0</v>
      </c>
      <c r="W239" s="783" t="s">
        <v>371</v>
      </c>
      <c r="X239" s="107"/>
      <c r="Z239" s="737">
        <f>0.202/0.8</f>
        <v>0.2525</v>
      </c>
      <c r="AA239" s="713"/>
      <c r="AB239" s="694">
        <f>AVERAGE(Z239,Z238)</f>
        <v>0.23812499999999998</v>
      </c>
      <c r="AD239" s="689"/>
      <c r="AE239" s="107"/>
      <c r="AF239" s="784" t="s">
        <v>371</v>
      </c>
      <c r="AG239" s="122"/>
      <c r="AI239" s="696">
        <f>+S239</f>
        <v>0</v>
      </c>
      <c r="AK239" s="698">
        <f>AI239/AB239</f>
        <v>0</v>
      </c>
      <c r="AM239" s="784" t="s">
        <v>371</v>
      </c>
      <c r="AN239" s="107"/>
      <c r="AQ239" s="721"/>
      <c r="AR239" s="721"/>
    </row>
    <row r="240" spans="1:49" hidden="1" outlineLevel="1">
      <c r="A240" s="26" t="str">
        <f>$A$17</f>
        <v>4Q</v>
      </c>
      <c r="B240" s="218" t="str">
        <f>$B$17</f>
        <v>Jan</v>
      </c>
      <c r="D240" s="643"/>
      <c r="F240" s="738">
        <v>18</v>
      </c>
      <c r="H240" s="643"/>
      <c r="J240" s="26">
        <f>+yrSales!L44+yrSales!L45</f>
        <v>160</v>
      </c>
      <c r="L240" s="662">
        <f>AVERAGE(J240,J239)</f>
        <v>155.5</v>
      </c>
      <c r="N240" s="643"/>
      <c r="O240" s="107"/>
      <c r="P240" s="736"/>
      <c r="Q240" s="122"/>
      <c r="S240" s="786">
        <v>0</v>
      </c>
      <c r="U240" s="702">
        <f>S240/L240</f>
        <v>0</v>
      </c>
      <c r="W240" s="787" t="s">
        <v>371</v>
      </c>
      <c r="X240" s="107"/>
      <c r="Z240" s="737">
        <f>0.216/0.8</f>
        <v>0.26999999999999996</v>
      </c>
      <c r="AA240" s="45"/>
      <c r="AB240" s="703">
        <f>AVERAGE(Z240,Z239)</f>
        <v>0.26124999999999998</v>
      </c>
      <c r="AD240" s="643"/>
      <c r="AE240" s="107"/>
      <c r="AF240" s="788" t="s">
        <v>371</v>
      </c>
      <c r="AG240" s="122"/>
      <c r="AI240" s="701">
        <f>+S240</f>
        <v>0</v>
      </c>
      <c r="AK240" s="704">
        <f>AI240/AB240</f>
        <v>0</v>
      </c>
      <c r="AM240" s="788" t="s">
        <v>371</v>
      </c>
      <c r="AN240" s="107"/>
      <c r="AQ240" s="721"/>
      <c r="AR240" s="721"/>
    </row>
    <row r="241" spans="1:44" hidden="1" outlineLevel="1">
      <c r="B241" s="218" t="str">
        <f>$B$18</f>
        <v>Year</v>
      </c>
      <c r="D241" s="689"/>
      <c r="F241" s="690">
        <f>'qtrP&amp;L'!AT62</f>
        <v>0</v>
      </c>
      <c r="H241" s="689"/>
      <c r="L241" s="699">
        <f>AVERAGE(L237:L240)</f>
        <v>139.25</v>
      </c>
      <c r="N241" s="689"/>
      <c r="O241" s="107"/>
      <c r="P241" s="655"/>
      <c r="Q241" s="122"/>
      <c r="S241" s="692">
        <v>142.09200000000001</v>
      </c>
      <c r="U241" s="693">
        <f>SUM(U237:U240)</f>
        <v>0</v>
      </c>
      <c r="W241" s="783" t="s">
        <v>371</v>
      </c>
      <c r="X241" s="107"/>
      <c r="Z241" s="137"/>
      <c r="AB241" s="694">
        <f>AVERAGE(AB237:AB240)</f>
        <v>0.22640624999999998</v>
      </c>
      <c r="AD241" s="689"/>
      <c r="AE241" s="107"/>
      <c r="AF241" s="784" t="s">
        <v>371</v>
      </c>
      <c r="AG241" s="122"/>
      <c r="AI241" s="692">
        <f>SUM(AI237:AI240)</f>
        <v>0</v>
      </c>
      <c r="AK241" s="695">
        <f>SUM(AK237:AK240)</f>
        <v>0</v>
      </c>
      <c r="AM241" s="784" t="s">
        <v>371</v>
      </c>
      <c r="AN241" s="107"/>
      <c r="AQ241" s="721"/>
      <c r="AR241" s="122"/>
    </row>
    <row r="242" spans="1:44" hidden="1" outlineLevel="1">
      <c r="B242" s="218"/>
      <c r="F242" s="716"/>
      <c r="L242" s="699"/>
      <c r="O242" s="107"/>
      <c r="Z242" s="754"/>
      <c r="AE242" s="107"/>
    </row>
    <row r="243" spans="1:44" hidden="1" outlineLevel="1">
      <c r="A243" s="705"/>
      <c r="B243" s="706">
        <v>2005</v>
      </c>
      <c r="E243" s="107"/>
      <c r="G243" s="107"/>
      <c r="I243" s="107"/>
      <c r="O243" s="107"/>
      <c r="P243" s="122"/>
      <c r="Q243" s="122"/>
      <c r="X243" s="107"/>
      <c r="Z243" s="737"/>
      <c r="AE243" s="107"/>
      <c r="AF243" s="122"/>
      <c r="AG243" s="122"/>
      <c r="AN243" s="107"/>
      <c r="AQ243" s="122"/>
      <c r="AR243" s="122"/>
    </row>
    <row r="244" spans="1:44" hidden="1" outlineLevel="1">
      <c r="A244" s="26" t="str">
        <f>$A$14</f>
        <v>1Q</v>
      </c>
      <c r="B244" s="218" t="str">
        <f>$B$14</f>
        <v>Apr</v>
      </c>
      <c r="C244" s="107"/>
      <c r="D244" s="689"/>
      <c r="E244" s="107" t="s">
        <v>576</v>
      </c>
      <c r="F244" s="733">
        <v>15</v>
      </c>
      <c r="G244" s="107" t="s">
        <v>576</v>
      </c>
      <c r="H244" s="689"/>
      <c r="I244" s="107" t="s">
        <v>576</v>
      </c>
      <c r="J244" s="137">
        <f>169+5</f>
        <v>174</v>
      </c>
      <c r="L244" s="699">
        <f>AVERAGE(J244,J240)</f>
        <v>167</v>
      </c>
      <c r="N244" s="689">
        <f>(L244/L237-1)*100</f>
        <v>32.539682539682538</v>
      </c>
      <c r="O244" s="107" t="s">
        <v>576</v>
      </c>
      <c r="P244" s="731">
        <f>H244/N244*100</f>
        <v>0</v>
      </c>
      <c r="Q244" s="122" t="s">
        <v>576</v>
      </c>
      <c r="S244" s="725">
        <v>49.162999999999997</v>
      </c>
      <c r="U244" s="693">
        <f>S244/L244</f>
        <v>0.29438922155688618</v>
      </c>
      <c r="W244" s="783" t="s">
        <v>371</v>
      </c>
      <c r="X244" s="107" t="s">
        <v>576</v>
      </c>
      <c r="Z244" s="737">
        <f>0.24/0.8</f>
        <v>0.3</v>
      </c>
      <c r="AB244" s="694">
        <f>AVERAGE(Z244,Z240)</f>
        <v>0.28499999999999998</v>
      </c>
      <c r="AD244" s="689">
        <f>(AB244/AB237-1)*100</f>
        <v>45.222929936305746</v>
      </c>
      <c r="AE244" s="107" t="s">
        <v>576</v>
      </c>
      <c r="AF244" s="784" t="s">
        <v>371</v>
      </c>
      <c r="AG244" s="122" t="s">
        <v>576</v>
      </c>
      <c r="AI244" s="692">
        <f>+S244</f>
        <v>49.162999999999997</v>
      </c>
      <c r="AJ244" s="107"/>
      <c r="AK244" s="695">
        <f>AI244/AB244</f>
        <v>172.50175438596492</v>
      </c>
      <c r="AM244" s="784" t="s">
        <v>371</v>
      </c>
      <c r="AN244" s="107" t="s">
        <v>576</v>
      </c>
      <c r="AQ244" s="721"/>
      <c r="AR244" s="721"/>
    </row>
    <row r="245" spans="1:44" hidden="1" outlineLevel="1">
      <c r="A245" s="26" t="str">
        <f>$A$15</f>
        <v>2Q</v>
      </c>
      <c r="B245" s="218" t="str">
        <f>$B$15</f>
        <v>Jul</v>
      </c>
      <c r="D245" s="689"/>
      <c r="F245" s="733">
        <v>35</v>
      </c>
      <c r="H245" s="689"/>
      <c r="J245" s="137">
        <f>180+5</f>
        <v>185</v>
      </c>
      <c r="K245" s="137"/>
      <c r="L245" s="699">
        <f>AVERAGE(J245,J244)</f>
        <v>179.5</v>
      </c>
      <c r="N245" s="689">
        <f>(L245/L238-1)*100</f>
        <v>36.50190114068441</v>
      </c>
      <c r="O245" s="107"/>
      <c r="P245" s="731">
        <f>H245/N245*100</f>
        <v>0</v>
      </c>
      <c r="Q245" s="122"/>
      <c r="S245" s="689">
        <v>61.932000000000002</v>
      </c>
      <c r="U245" s="697">
        <f>S245/L245</f>
        <v>0.34502506963788304</v>
      </c>
      <c r="W245" s="783" t="s">
        <v>371</v>
      </c>
      <c r="X245" s="107"/>
      <c r="Z245" s="737">
        <f>0.26/0.8</f>
        <v>0.32500000000000001</v>
      </c>
      <c r="AA245" s="713"/>
      <c r="AB245" s="694">
        <f>AVERAGE(Z245,Z244)</f>
        <v>0.3125</v>
      </c>
      <c r="AD245" s="689">
        <f>(AB245/AB238-1)*100</f>
        <v>48.809523809523839</v>
      </c>
      <c r="AE245" s="107"/>
      <c r="AF245" s="784" t="s">
        <v>371</v>
      </c>
      <c r="AG245" s="122"/>
      <c r="AI245" s="696">
        <f>+S245</f>
        <v>61.932000000000002</v>
      </c>
      <c r="AK245" s="698">
        <f>AI245/AB245</f>
        <v>198.1824</v>
      </c>
      <c r="AM245" s="784" t="s">
        <v>371</v>
      </c>
      <c r="AN245" s="107"/>
      <c r="AQ245" s="721"/>
      <c r="AR245" s="721"/>
    </row>
    <row r="246" spans="1:44" hidden="1" outlineLevel="1">
      <c r="A246" s="26" t="str">
        <f>$A$16</f>
        <v>3Q</v>
      </c>
      <c r="B246" s="218" t="str">
        <f>$B$16</f>
        <v>Oct</v>
      </c>
      <c r="D246" s="689"/>
      <c r="E246" s="137"/>
      <c r="F246" s="733">
        <v>52</v>
      </c>
      <c r="G246" s="137"/>
      <c r="H246" s="689"/>
      <c r="I246" s="137"/>
      <c r="J246" s="137">
        <f>191+6</f>
        <v>197</v>
      </c>
      <c r="K246" s="137"/>
      <c r="L246" s="734">
        <f>AVERAGE(J246,J245)</f>
        <v>191</v>
      </c>
      <c r="M246" s="137"/>
      <c r="N246" s="728">
        <f>(L246/L239-1)*100</f>
        <v>32.638888888888886</v>
      </c>
      <c r="O246" s="735"/>
      <c r="P246" s="731">
        <f>H246/N246*100</f>
        <v>0</v>
      </c>
      <c r="Q246" s="220"/>
      <c r="R246" s="137"/>
      <c r="S246" s="689">
        <v>68.45</v>
      </c>
      <c r="T246" s="137"/>
      <c r="U246" s="697">
        <f>S246/L246</f>
        <v>0.35837696335078534</v>
      </c>
      <c r="W246" s="783" t="s">
        <v>371</v>
      </c>
      <c r="X246" s="107"/>
      <c r="Z246" s="737">
        <f>0.282/0.8</f>
        <v>0.35249999999999992</v>
      </c>
      <c r="AA246" s="713"/>
      <c r="AB246" s="694">
        <f>AVERAGE(Z246,Z245)</f>
        <v>0.33875</v>
      </c>
      <c r="AD246" s="689">
        <f>(AB246/AB239-1)*100</f>
        <v>42.257217847769034</v>
      </c>
      <c r="AE246" s="107"/>
      <c r="AF246" s="784" t="s">
        <v>371</v>
      </c>
      <c r="AG246" s="122"/>
      <c r="AI246" s="696">
        <f>+S246</f>
        <v>68.45</v>
      </c>
      <c r="AK246" s="698">
        <f>AI246/AB246</f>
        <v>202.06642066420665</v>
      </c>
      <c r="AM246" s="784" t="s">
        <v>371</v>
      </c>
      <c r="AN246" s="107"/>
      <c r="AQ246" s="721"/>
      <c r="AR246" s="721"/>
    </row>
    <row r="247" spans="1:44" hidden="1" outlineLevel="1">
      <c r="A247" s="26" t="str">
        <f>$A$17</f>
        <v>4Q</v>
      </c>
      <c r="B247" s="218" t="str">
        <f>$B$17</f>
        <v>Jan</v>
      </c>
      <c r="D247" s="643"/>
      <c r="F247" s="738">
        <v>41</v>
      </c>
      <c r="H247" s="643"/>
      <c r="J247" s="26">
        <f>+yrSales!M44+yrSales!M45</f>
        <v>204</v>
      </c>
      <c r="L247" s="662">
        <f>AVERAGE(J247,J246)</f>
        <v>200.5</v>
      </c>
      <c r="N247" s="643">
        <f>(L247/L240-1)*100</f>
        <v>28.938906752411576</v>
      </c>
      <c r="O247" s="107"/>
      <c r="P247" s="736">
        <f>H247/N247*100</f>
        <v>0</v>
      </c>
      <c r="Q247" s="122"/>
      <c r="S247" s="643">
        <v>82.057000000000002</v>
      </c>
      <c r="U247" s="702">
        <f>S247/L247</f>
        <v>0.40926184538653365</v>
      </c>
      <c r="W247" s="787" t="s">
        <v>371</v>
      </c>
      <c r="X247" s="107"/>
      <c r="Z247" s="737">
        <f>0.303/0.8</f>
        <v>0.37874999999999998</v>
      </c>
      <c r="AA247" s="45"/>
      <c r="AB247" s="703">
        <f>AVERAGE(Z247,Z246)</f>
        <v>0.36562499999999998</v>
      </c>
      <c r="AD247" s="643">
        <f>(AB247/AB240-1)*100</f>
        <v>39.952153110047853</v>
      </c>
      <c r="AE247" s="107"/>
      <c r="AF247" s="788" t="s">
        <v>371</v>
      </c>
      <c r="AG247" s="122"/>
      <c r="AI247" s="701">
        <f>+S247</f>
        <v>82.057000000000002</v>
      </c>
      <c r="AK247" s="704">
        <f>AI247/AB247</f>
        <v>224.42940170940173</v>
      </c>
      <c r="AM247" s="788" t="s">
        <v>371</v>
      </c>
      <c r="AN247" s="107"/>
      <c r="AQ247" s="721"/>
      <c r="AR247" s="721"/>
    </row>
    <row r="248" spans="1:44" hidden="1" outlineLevel="1">
      <c r="B248" s="218" t="str">
        <f>$B$18</f>
        <v>Year</v>
      </c>
      <c r="D248" s="689"/>
      <c r="F248" s="690">
        <v>37</v>
      </c>
      <c r="H248" s="689"/>
      <c r="L248" s="699">
        <f>AVERAGE(L244:L247)</f>
        <v>184.5</v>
      </c>
      <c r="N248" s="689"/>
      <c r="O248" s="107"/>
      <c r="P248" s="655"/>
      <c r="Q248" s="122"/>
      <c r="S248" s="692">
        <f>SUM(S244:S247)</f>
        <v>261.60200000000003</v>
      </c>
      <c r="U248" s="693">
        <f>SUM(U244:U247)</f>
        <v>1.4070530999320883</v>
      </c>
      <c r="W248" s="783" t="s">
        <v>371</v>
      </c>
      <c r="X248" s="107"/>
      <c r="Z248" s="137"/>
      <c r="AB248" s="694">
        <f>AVERAGE(AB244:AB247)</f>
        <v>0.32546874999999997</v>
      </c>
      <c r="AD248" s="689"/>
      <c r="AE248" s="107"/>
      <c r="AF248" s="784" t="s">
        <v>371</v>
      </c>
      <c r="AG248" s="122"/>
      <c r="AI248" s="692">
        <f>SUM(AI244:AI247)</f>
        <v>261.60200000000003</v>
      </c>
      <c r="AK248" s="695">
        <f>SUM(AK244:AK247)</f>
        <v>797.17997675957338</v>
      </c>
      <c r="AM248" s="784" t="s">
        <v>371</v>
      </c>
      <c r="AN248" s="107"/>
      <c r="AQ248" s="721"/>
      <c r="AR248" s="122"/>
    </row>
    <row r="249" spans="1:44" hidden="1" outlineLevel="1">
      <c r="B249" s="218"/>
      <c r="F249" s="716"/>
      <c r="O249" s="107"/>
      <c r="P249" s="122"/>
      <c r="Q249" s="122"/>
      <c r="X249" s="107"/>
      <c r="Z249" s="673"/>
      <c r="AE249" s="107"/>
      <c r="AF249" s="122"/>
      <c r="AG249" s="122"/>
    </row>
    <row r="250" spans="1:44" hidden="1" outlineLevel="1">
      <c r="A250" s="705"/>
      <c r="B250" s="706">
        <v>2006</v>
      </c>
      <c r="E250" s="107"/>
      <c r="G250" s="107"/>
      <c r="I250" s="107"/>
      <c r="O250" s="107"/>
      <c r="P250" s="122"/>
      <c r="Q250" s="122"/>
      <c r="X250" s="107"/>
      <c r="Z250" s="737"/>
      <c r="AE250" s="107"/>
      <c r="AF250" s="122"/>
      <c r="AG250" s="122"/>
      <c r="AN250" s="107"/>
      <c r="AQ250" s="122"/>
      <c r="AR250" s="122"/>
    </row>
    <row r="251" spans="1:44" hidden="1" outlineLevel="1">
      <c r="A251" s="26" t="str">
        <f>$A$14</f>
        <v>1Q</v>
      </c>
      <c r="B251" s="218" t="str">
        <f>$B$14</f>
        <v>Apr</v>
      </c>
      <c r="C251" s="107"/>
      <c r="D251" s="728">
        <f>(S251/S244-1)*100</f>
        <v>61.54221670768667</v>
      </c>
      <c r="E251" s="107" t="s">
        <v>576</v>
      </c>
      <c r="F251" s="733">
        <v>34</v>
      </c>
      <c r="G251" s="107" t="s">
        <v>576</v>
      </c>
      <c r="H251" s="728">
        <f>D251-F251</f>
        <v>27.54221670768667</v>
      </c>
      <c r="I251" s="107" t="s">
        <v>576</v>
      </c>
      <c r="J251" s="137">
        <v>211</v>
      </c>
      <c r="L251" s="699">
        <f>AVERAGE(J251,J247)</f>
        <v>207.5</v>
      </c>
      <c r="N251" s="689">
        <f>(L251/L244-1)*100</f>
        <v>24.251497005988032</v>
      </c>
      <c r="O251" s="107" t="s">
        <v>576</v>
      </c>
      <c r="P251" s="731">
        <f>H251/N251*100</f>
        <v>113.56914049836229</v>
      </c>
      <c r="Q251" s="122" t="s">
        <v>576</v>
      </c>
      <c r="S251" s="725">
        <v>79.418999999999997</v>
      </c>
      <c r="U251" s="693">
        <f>S251/L251</f>
        <v>0.38274216867469879</v>
      </c>
      <c r="W251" s="709">
        <f>(U251/U244-1)*100</f>
        <v>30.012290073174363</v>
      </c>
      <c r="X251" s="107" t="s">
        <v>576</v>
      </c>
      <c r="Z251" s="737">
        <f>0.319/0.8</f>
        <v>0.39874999999999999</v>
      </c>
      <c r="AB251" s="694">
        <f>AVERAGE(Z251,Z247)</f>
        <v>0.38874999999999998</v>
      </c>
      <c r="AD251" s="689">
        <f>(AB251/AB244-1)*100</f>
        <v>36.403508771929836</v>
      </c>
      <c r="AE251" s="107" t="s">
        <v>576</v>
      </c>
      <c r="AF251" s="655">
        <f>+H251/AD251*100</f>
        <v>75.658137462079026</v>
      </c>
      <c r="AG251" s="122" t="s">
        <v>576</v>
      </c>
      <c r="AI251" s="692">
        <f>+S251</f>
        <v>79.418999999999997</v>
      </c>
      <c r="AJ251" s="107"/>
      <c r="AK251" s="695">
        <f>AI251/AB251</f>
        <v>204.29324758842444</v>
      </c>
      <c r="AM251" s="709">
        <f>(AK251/AK244-1)*100</f>
        <v>18.429663695667408</v>
      </c>
      <c r="AN251" s="107" t="s">
        <v>576</v>
      </c>
      <c r="AQ251" s="721"/>
      <c r="AR251" s="721"/>
    </row>
    <row r="252" spans="1:44" hidden="1" outlineLevel="1">
      <c r="A252" s="26" t="str">
        <f>$A$15</f>
        <v>2Q</v>
      </c>
      <c r="B252" s="218" t="str">
        <f>$B$15</f>
        <v>Jul</v>
      </c>
      <c r="D252" s="728">
        <f>(S252/S245-1)*100</f>
        <v>42.033197700703994</v>
      </c>
      <c r="F252" s="716">
        <v>19</v>
      </c>
      <c r="H252" s="728">
        <f>D252-F252</f>
        <v>23.033197700703994</v>
      </c>
      <c r="J252" s="137">
        <f>+J251+10</f>
        <v>221</v>
      </c>
      <c r="K252" s="137"/>
      <c r="L252" s="699">
        <f>AVERAGE(J252,J251)</f>
        <v>216</v>
      </c>
      <c r="N252" s="689">
        <f>(L252/L245-1)*100</f>
        <v>20.334261838440113</v>
      </c>
      <c r="O252" s="107"/>
      <c r="P252" s="731">
        <f>H252/N252*100</f>
        <v>113.27284896647581</v>
      </c>
      <c r="Q252" s="122"/>
      <c r="S252" s="727">
        <v>87.963999999999999</v>
      </c>
      <c r="U252" s="697">
        <f>S252/L252</f>
        <v>0.40724074074074074</v>
      </c>
      <c r="W252" s="709">
        <f>(U252/U245-1)*100</f>
        <v>18.032217533686868</v>
      </c>
      <c r="X252" s="107"/>
      <c r="Z252" s="737">
        <f>0.342/0.8</f>
        <v>0.42749999999999999</v>
      </c>
      <c r="AA252" s="713"/>
      <c r="AB252" s="694">
        <f>AVERAGE(Z252,Z251)</f>
        <v>0.41312499999999996</v>
      </c>
      <c r="AD252" s="689">
        <f>(AB252/AB245-1)*100</f>
        <v>32.199999999999982</v>
      </c>
      <c r="AE252" s="107"/>
      <c r="AF252" s="655">
        <f>+H252/AD252*100</f>
        <v>71.531669877962756</v>
      </c>
      <c r="AG252" s="122"/>
      <c r="AI252" s="696">
        <f>+S252</f>
        <v>87.963999999999999</v>
      </c>
      <c r="AK252" s="698">
        <f>AI252/AB252</f>
        <v>212.92344931921332</v>
      </c>
      <c r="AM252" s="709">
        <f>(AK252/AK245-1)*100</f>
        <v>7.4381223152072629</v>
      </c>
      <c r="AN252" s="107"/>
      <c r="AQ252" s="721"/>
      <c r="AR252" s="721"/>
    </row>
    <row r="253" spans="1:44" hidden="1" outlineLevel="1">
      <c r="A253" s="26" t="str">
        <f>$A$16</f>
        <v>3Q</v>
      </c>
      <c r="B253" s="218" t="str">
        <f>$B$16</f>
        <v>Oct</v>
      </c>
      <c r="D253" s="728">
        <f>(S253/S246-1)*100</f>
        <v>31.173119065010944</v>
      </c>
      <c r="E253" s="137"/>
      <c r="F253" s="716">
        <v>5</v>
      </c>
      <c r="G253" s="137"/>
      <c r="H253" s="728">
        <f>D253-F253</f>
        <v>26.173119065010944</v>
      </c>
      <c r="I253" s="137"/>
      <c r="J253" s="137">
        <v>241</v>
      </c>
      <c r="K253" s="137"/>
      <c r="L253" s="734">
        <f>AVERAGE(J253,J252)</f>
        <v>231</v>
      </c>
      <c r="M253" s="137"/>
      <c r="N253" s="728">
        <f>(L253/L246-1)*100</f>
        <v>20.94240837696335</v>
      </c>
      <c r="O253" s="735"/>
      <c r="P253" s="731">
        <f>H253/N253*100</f>
        <v>124.97664353542726</v>
      </c>
      <c r="Q253" s="220"/>
      <c r="R253" s="137"/>
      <c r="S253" s="727">
        <v>89.787999999999997</v>
      </c>
      <c r="T253" s="137"/>
      <c r="U253" s="697">
        <f>S253/L253</f>
        <v>0.3886926406926407</v>
      </c>
      <c r="W253" s="709">
        <f>(U253/U246-1)*100</f>
        <v>8.4591590537536518</v>
      </c>
      <c r="X253" s="107"/>
      <c r="Z253" s="737">
        <f>0.41/0.8</f>
        <v>0.51249999999999996</v>
      </c>
      <c r="AA253" s="713"/>
      <c r="AB253" s="694">
        <f>AVERAGE(Z253,Z252)</f>
        <v>0.47</v>
      </c>
      <c r="AD253" s="689">
        <f>(AB253/AB246-1)*100</f>
        <v>38.745387453874528</v>
      </c>
      <c r="AE253" s="107"/>
      <c r="AF253" s="655">
        <f>+H253/AD253*100</f>
        <v>67.551573967790162</v>
      </c>
      <c r="AG253" s="122"/>
      <c r="AI253" s="696">
        <f>+S253</f>
        <v>89.787999999999997</v>
      </c>
      <c r="AK253" s="698">
        <f>AI253/AB253</f>
        <v>191.03829787234042</v>
      </c>
      <c r="AM253" s="709">
        <f>(AK253/AK246-1)*100</f>
        <v>-5.4576721632500824</v>
      </c>
      <c r="AN253" s="107"/>
      <c r="AQ253" s="721"/>
      <c r="AR253" s="721"/>
    </row>
    <row r="254" spans="1:44" hidden="1" outlineLevel="1">
      <c r="A254" s="26" t="str">
        <f>$A$17</f>
        <v>4Q</v>
      </c>
      <c r="B254" s="218" t="str">
        <f>$B$17</f>
        <v>Jan</v>
      </c>
      <c r="D254" s="643">
        <f>(S254/S247-1)*100</f>
        <v>33.923979672666562</v>
      </c>
      <c r="F254" s="722">
        <v>-2</v>
      </c>
      <c r="H254" s="643">
        <f>D254-F254</f>
        <v>35.923979672666562</v>
      </c>
      <c r="J254" s="26">
        <f>+yrSales!N44+yrSales!N45</f>
        <v>270</v>
      </c>
      <c r="L254" s="662">
        <f>AVERAGE(J254,J253)</f>
        <v>255.5</v>
      </c>
      <c r="N254" s="643">
        <f>(L254/L247-1)*100</f>
        <v>27.431421446384043</v>
      </c>
      <c r="O254" s="107"/>
      <c r="P254" s="662">
        <f>H254/N254*100</f>
        <v>130.95923498853898</v>
      </c>
      <c r="Q254" s="122"/>
      <c r="S254" s="701">
        <v>109.89400000000001</v>
      </c>
      <c r="U254" s="702">
        <f>S254/L254</f>
        <v>0.43011350293542078</v>
      </c>
      <c r="W254" s="700">
        <f>(U254/U247-1)*100</f>
        <v>5.0949429525230849</v>
      </c>
      <c r="X254" s="107"/>
      <c r="Z254" s="737">
        <f>0.466/0.8</f>
        <v>0.58250000000000002</v>
      </c>
      <c r="AA254" s="45"/>
      <c r="AB254" s="703">
        <f>AVERAGE(Z254,Z253)</f>
        <v>0.54749999999999999</v>
      </c>
      <c r="AD254" s="643">
        <f>(AB254/AB247-1)*100</f>
        <v>49.743589743589745</v>
      </c>
      <c r="AE254" s="107"/>
      <c r="AF254" s="662">
        <f>+H254/AD254*100</f>
        <v>72.218309651236893</v>
      </c>
      <c r="AG254" s="122"/>
      <c r="AI254" s="701">
        <f>+S254</f>
        <v>109.89400000000001</v>
      </c>
      <c r="AK254" s="704">
        <f>AI254/AB254</f>
        <v>200.71963470319636</v>
      </c>
      <c r="AM254" s="700">
        <f>(AK254/AK247-1)*100</f>
        <v>-10.564465629554864</v>
      </c>
      <c r="AN254" s="107"/>
      <c r="AQ254" s="721"/>
      <c r="AR254" s="721"/>
    </row>
    <row r="255" spans="1:44" hidden="1" outlineLevel="1">
      <c r="B255" s="218" t="str">
        <f>$B$18</f>
        <v>Year</v>
      </c>
      <c r="D255" s="689">
        <f>(S255/S248-1)*100</f>
        <v>40.314294233224501</v>
      </c>
      <c r="F255" s="690">
        <v>11</v>
      </c>
      <c r="H255" s="689">
        <f>D255-F255</f>
        <v>29.314294233224501</v>
      </c>
      <c r="L255" s="699">
        <f>AVERAGE(L251:L254)</f>
        <v>227.5</v>
      </c>
      <c r="N255" s="689">
        <f>(L255/L248-1)*100</f>
        <v>23.306233062330616</v>
      </c>
      <c r="O255" s="107"/>
      <c r="P255" s="655">
        <f>H255/N255*100</f>
        <v>125.77877409371911</v>
      </c>
      <c r="Q255" s="122"/>
      <c r="S255" s="692">
        <f>SUM(S251:S254)</f>
        <v>367.065</v>
      </c>
      <c r="U255" s="693">
        <f>SUM(U251:U254)</f>
        <v>1.6087890530435012</v>
      </c>
      <c r="W255" s="709">
        <f>(U255/U248-1)*100</f>
        <v>14.337479738408575</v>
      </c>
      <c r="X255" s="107"/>
      <c r="Z255" s="137"/>
      <c r="AB255" s="694">
        <f>AVERAGE(AB251:AB254)</f>
        <v>0.45484374999999999</v>
      </c>
      <c r="AD255" s="689">
        <f>(AB255/AB248-1)*100</f>
        <v>39.750360057609235</v>
      </c>
      <c r="AE255" s="107"/>
      <c r="AF255" s="655">
        <f>+H255/AD255*100</f>
        <v>73.745984164017642</v>
      </c>
      <c r="AG255" s="122"/>
      <c r="AI255" s="692">
        <f>SUM(AI251:AI254)</f>
        <v>367.065</v>
      </c>
      <c r="AK255" s="695">
        <f>SUM(AK251:AK254)</f>
        <v>808.97462948317457</v>
      </c>
      <c r="AM255" s="709">
        <f>(AK255/AK248-1)*100</f>
        <v>1.4795470367362729</v>
      </c>
      <c r="AN255" s="107"/>
      <c r="AQ255" s="721"/>
      <c r="AR255" s="122"/>
    </row>
    <row r="256" spans="1:44" hidden="1" outlineLevel="1">
      <c r="B256" s="218"/>
      <c r="D256" s="689"/>
      <c r="F256" s="690"/>
      <c r="H256" s="689"/>
      <c r="L256" s="699"/>
      <c r="N256" s="689"/>
      <c r="O256" s="107"/>
      <c r="P256" s="655"/>
      <c r="Q256" s="122"/>
      <c r="S256" s="692"/>
      <c r="U256" s="693"/>
      <c r="W256" s="709"/>
      <c r="X256" s="107"/>
      <c r="Z256" s="137"/>
      <c r="AB256" s="694"/>
      <c r="AD256" s="689"/>
      <c r="AE256" s="107"/>
      <c r="AF256" s="655"/>
      <c r="AG256" s="122"/>
      <c r="AI256" s="692"/>
      <c r="AK256" s="695"/>
      <c r="AM256" s="709"/>
      <c r="AN256" s="107"/>
      <c r="AQ256" s="721"/>
      <c r="AR256" s="122"/>
    </row>
    <row r="257" spans="1:44" hidden="1" outlineLevel="1">
      <c r="A257" s="705"/>
      <c r="B257" s="706">
        <v>2007</v>
      </c>
      <c r="E257" s="107"/>
      <c r="G257" s="107"/>
      <c r="I257" s="107"/>
      <c r="O257" s="107"/>
      <c r="P257" s="122"/>
      <c r="Q257" s="122"/>
      <c r="X257" s="107"/>
      <c r="Z257" s="737"/>
      <c r="AE257" s="107"/>
      <c r="AF257" s="122"/>
      <c r="AG257" s="122"/>
      <c r="AN257" s="107"/>
      <c r="AQ257" s="122"/>
      <c r="AR257" s="122"/>
    </row>
    <row r="258" spans="1:44" hidden="1" outlineLevel="1">
      <c r="A258" s="26" t="str">
        <f>$A$14</f>
        <v>1Q</v>
      </c>
      <c r="B258" s="218" t="str">
        <f>$B$14</f>
        <v>Apr</v>
      </c>
      <c r="C258" s="107"/>
      <c r="D258" s="728">
        <f>(S258/S251-1)*100</f>
        <v>30.279907830619891</v>
      </c>
      <c r="E258" s="107" t="s">
        <v>576</v>
      </c>
      <c r="F258" s="733">
        <v>-2</v>
      </c>
      <c r="G258" s="107" t="s">
        <v>576</v>
      </c>
      <c r="H258" s="728">
        <f>D258-F258</f>
        <v>32.279907830619891</v>
      </c>
      <c r="I258" s="107" t="s">
        <v>576</v>
      </c>
      <c r="J258" s="137">
        <v>285</v>
      </c>
      <c r="K258" s="26">
        <f>J258-J254</f>
        <v>15</v>
      </c>
      <c r="L258" s="699">
        <f>AVERAGE(J258,J254)</f>
        <v>277.5</v>
      </c>
      <c r="N258" s="689">
        <f>(L258/L251-1)*100</f>
        <v>33.734939759036145</v>
      </c>
      <c r="O258" s="107" t="s">
        <v>576</v>
      </c>
      <c r="P258" s="731">
        <f>H258/N258*100</f>
        <v>95.686869640766105</v>
      </c>
      <c r="Q258" s="122" t="s">
        <v>576</v>
      </c>
      <c r="S258" s="725">
        <v>103.467</v>
      </c>
      <c r="U258" s="693">
        <f>S258/L258</f>
        <v>0.37285405405405403</v>
      </c>
      <c r="W258" s="709">
        <f>(U258/U251-1)*100</f>
        <v>-2.5834923428698309</v>
      </c>
      <c r="X258" s="107" t="s">
        <v>576</v>
      </c>
      <c r="Z258" s="737">
        <f>0.508/0.8</f>
        <v>0.63500000000000001</v>
      </c>
      <c r="AB258" s="694">
        <f>AVERAGE(Z258,Z254)</f>
        <v>0.60875000000000001</v>
      </c>
      <c r="AD258" s="689">
        <f>(AB258/AB251-1)*100</f>
        <v>56.591639871382647</v>
      </c>
      <c r="AE258" s="107" t="s">
        <v>576</v>
      </c>
      <c r="AF258" s="655">
        <f>+H258/AD258*100</f>
        <v>57.040064405243093</v>
      </c>
      <c r="AG258" s="122" t="s">
        <v>576</v>
      </c>
      <c r="AI258" s="692">
        <f>+S258</f>
        <v>103.467</v>
      </c>
      <c r="AJ258" s="107"/>
      <c r="AK258" s="695">
        <f>AI258/AB258</f>
        <v>169.96632443531826</v>
      </c>
      <c r="AM258" s="709">
        <f>(AK258/AK251-1)*100</f>
        <v>-16.802769331986077</v>
      </c>
      <c r="AN258" s="107" t="s">
        <v>576</v>
      </c>
      <c r="AQ258" s="721"/>
      <c r="AR258" s="721"/>
    </row>
    <row r="259" spans="1:44" hidden="1" outlineLevel="1">
      <c r="A259" s="26" t="str">
        <f>$A$15</f>
        <v>2Q</v>
      </c>
      <c r="B259" s="218" t="str">
        <f>$B$15</f>
        <v>Jul</v>
      </c>
      <c r="D259" s="728">
        <f>(S259/S252-1)*100</f>
        <v>25.192124050748021</v>
      </c>
      <c r="F259" s="716">
        <v>-3</v>
      </c>
      <c r="H259" s="728">
        <f>D259-F259</f>
        <v>28.192124050748021</v>
      </c>
      <c r="J259" s="137">
        <v>289</v>
      </c>
      <c r="K259" s="137">
        <f>J259-J258</f>
        <v>4</v>
      </c>
      <c r="L259" s="699">
        <f>AVERAGE(J259,J258)</f>
        <v>287</v>
      </c>
      <c r="N259" s="689">
        <f>(L259/L252-1)*100</f>
        <v>32.870370370370374</v>
      </c>
      <c r="O259" s="107"/>
      <c r="P259" s="731">
        <f>H259/N259*100</f>
        <v>85.767588661430594</v>
      </c>
      <c r="Q259" s="122"/>
      <c r="S259" s="727">
        <v>110.124</v>
      </c>
      <c r="U259" s="697">
        <f>S259/L259</f>
        <v>0.38370731707317074</v>
      </c>
      <c r="W259" s="709">
        <f>(U259/U252-1)*100</f>
        <v>-5.7787498433394591</v>
      </c>
      <c r="X259" s="107"/>
      <c r="Z259" s="737">
        <f>0.523/0.8</f>
        <v>0.65374999999999994</v>
      </c>
      <c r="AA259" s="713"/>
      <c r="AB259" s="694">
        <f>AVERAGE(Z259,Z258)</f>
        <v>0.64437499999999992</v>
      </c>
      <c r="AD259" s="689">
        <f>(AB259/AB252-1)*100</f>
        <v>55.975794251134637</v>
      </c>
      <c r="AE259" s="107"/>
      <c r="AF259" s="655">
        <f>+H259/AD259*100</f>
        <v>50.364848642012007</v>
      </c>
      <c r="AG259" s="122"/>
      <c r="AI259" s="696">
        <f>+S259</f>
        <v>110.124</v>
      </c>
      <c r="AK259" s="698">
        <f>AI259/AB259</f>
        <v>170.9004849660524</v>
      </c>
      <c r="AM259" s="709">
        <f>(AK259/AK252-1)*100</f>
        <v>-19.736184289481606</v>
      </c>
      <c r="AN259" s="107"/>
      <c r="AQ259" s="721"/>
      <c r="AR259" s="721"/>
    </row>
    <row r="260" spans="1:44" hidden="1" outlineLevel="1">
      <c r="A260" s="26" t="str">
        <f>$A$16</f>
        <v>3Q</v>
      </c>
      <c r="B260" s="218" t="str">
        <f>$B$16</f>
        <v>Oct</v>
      </c>
      <c r="D260" s="728">
        <f>(S260/S253-1)*100</f>
        <v>8.407582304985084</v>
      </c>
      <c r="E260" s="137"/>
      <c r="F260" s="716">
        <v>-13</v>
      </c>
      <c r="G260" s="137"/>
      <c r="H260" s="728">
        <f>D260-F260</f>
        <v>21.407582304985084</v>
      </c>
      <c r="I260" s="137"/>
      <c r="J260" s="137">
        <v>309</v>
      </c>
      <c r="K260" s="137">
        <f>J260-J259</f>
        <v>20</v>
      </c>
      <c r="L260" s="734">
        <f>AVERAGE(J260,J259)</f>
        <v>299</v>
      </c>
      <c r="M260" s="137"/>
      <c r="N260" s="728">
        <f>(L260/L253-1)*100</f>
        <v>29.437229437229441</v>
      </c>
      <c r="O260" s="735"/>
      <c r="P260" s="731">
        <f>H260/N260*100</f>
        <v>72.722816359581671</v>
      </c>
      <c r="Q260" s="220"/>
      <c r="R260" s="137"/>
      <c r="S260" s="727">
        <v>97.337000000000003</v>
      </c>
      <c r="T260" s="137"/>
      <c r="U260" s="697">
        <f>S260/L260</f>
        <v>0.32554180602006688</v>
      </c>
      <c r="W260" s="709">
        <f>(U260/U253-1)*100</f>
        <v>-16.246984908188789</v>
      </c>
      <c r="X260" s="107"/>
      <c r="Z260" s="737">
        <f>0.585/0.8</f>
        <v>0.73124999999999996</v>
      </c>
      <c r="AA260" s="713"/>
      <c r="AB260" s="694">
        <f>AVERAGE(Z260,Z259)</f>
        <v>0.69249999999999989</v>
      </c>
      <c r="AD260" s="689">
        <f>(AB260/AB253-1)*100</f>
        <v>47.340425531914889</v>
      </c>
      <c r="AE260" s="107"/>
      <c r="AF260" s="655">
        <f>+H260/AD260*100</f>
        <v>45.220510936372996</v>
      </c>
      <c r="AG260" s="122"/>
      <c r="AI260" s="696">
        <f>+S260</f>
        <v>97.337000000000003</v>
      </c>
      <c r="AK260" s="698">
        <f>AI260/AB260</f>
        <v>140.558844765343</v>
      </c>
      <c r="AM260" s="709">
        <f>(AK260/AK253-1)*100</f>
        <v>-26.423734753295303</v>
      </c>
      <c r="AN260" s="107"/>
      <c r="AQ260" s="721"/>
      <c r="AR260" s="721"/>
    </row>
    <row r="261" spans="1:44" hidden="1" outlineLevel="1">
      <c r="A261" s="26" t="str">
        <f>$A$17</f>
        <v>4Q</v>
      </c>
      <c r="B261" s="218" t="str">
        <f>$B$17</f>
        <v>Jan</v>
      </c>
      <c r="D261" s="643">
        <f>(S261/S254-1)*100</f>
        <v>-1.7480481190965902</v>
      </c>
      <c r="F261" s="722">
        <v>-17.399999999999999</v>
      </c>
      <c r="H261" s="643">
        <f>D261-F261</f>
        <v>15.651951880903407</v>
      </c>
      <c r="J261" s="26">
        <f>+yrSales!O44+yrSales!O45</f>
        <v>328</v>
      </c>
      <c r="K261" s="137">
        <f>J261-J260</f>
        <v>19</v>
      </c>
      <c r="L261" s="662">
        <f>AVERAGE(J261,J260)</f>
        <v>318.5</v>
      </c>
      <c r="N261" s="643">
        <f>(L261/L254-1)*100</f>
        <v>24.657534246575352</v>
      </c>
      <c r="O261" s="107"/>
      <c r="P261" s="662">
        <f>H261/N261*100</f>
        <v>63.477360405886017</v>
      </c>
      <c r="Q261" s="122"/>
      <c r="S261" s="701">
        <v>107.973</v>
      </c>
      <c r="U261" s="702">
        <f>S261/L261</f>
        <v>0.33900470957613815</v>
      </c>
      <c r="W261" s="700">
        <f>(U261/U254-1)*100</f>
        <v>-21.182500139495065</v>
      </c>
      <c r="X261" s="107"/>
      <c r="Z261" s="737">
        <f>+turn!AB105*0.26</f>
        <v>0.78065000000000007</v>
      </c>
      <c r="AA261" s="45"/>
      <c r="AB261" s="703">
        <f>AVERAGE(Z261,Z260)</f>
        <v>0.75595000000000001</v>
      </c>
      <c r="AD261" s="643">
        <f>(AB261/AB254-1)*100</f>
        <v>38.073059360730596</v>
      </c>
      <c r="AE261" s="107"/>
      <c r="AF261" s="662">
        <f>+H261/AD261*100</f>
        <v>41.11030777066258</v>
      </c>
      <c r="AG261" s="122"/>
      <c r="AI261" s="701">
        <f>+S261</f>
        <v>107.973</v>
      </c>
      <c r="AK261" s="704">
        <f>AI261/AB261</f>
        <v>142.83087505787418</v>
      </c>
      <c r="AM261" s="700">
        <f>(AK261/AK254-1)*100</f>
        <v>-28.840606316827021</v>
      </c>
      <c r="AN261" s="107"/>
      <c r="AQ261" s="721"/>
      <c r="AR261" s="721"/>
    </row>
    <row r="262" spans="1:44" hidden="1" outlineLevel="1">
      <c r="B262" s="218" t="str">
        <f>$B$18</f>
        <v>Year</v>
      </c>
      <c r="D262" s="689">
        <f>(S262/S255-1)*100</f>
        <v>14.121749553893736</v>
      </c>
      <c r="F262" s="690">
        <f>F258*S258/S262+F259*S259/S262+F260*S260/S262+F261*S261/S262</f>
        <v>-8.7882750339579019</v>
      </c>
      <c r="H262" s="689">
        <f>D262-F262</f>
        <v>22.910024587851638</v>
      </c>
      <c r="L262" s="699">
        <f>AVERAGE(L258:L261)</f>
        <v>295.5</v>
      </c>
      <c r="N262" s="689">
        <f>(L262/L255-1)*100</f>
        <v>29.890109890109894</v>
      </c>
      <c r="O262" s="107"/>
      <c r="P262" s="655">
        <f>H262/N262*100</f>
        <v>76.6475087314154</v>
      </c>
      <c r="Q262" s="122"/>
      <c r="S262" s="692">
        <f>SUM(S258:S261)</f>
        <v>418.90100000000001</v>
      </c>
      <c r="U262" s="693">
        <f>SUM(U258:U261)</f>
        <v>1.4211078867234297</v>
      </c>
      <c r="W262" s="709">
        <f>(U262/U255-1)*100</f>
        <v>-11.665989768205897</v>
      </c>
      <c r="X262" s="107"/>
      <c r="AB262" s="694">
        <f>AVERAGE(AB258:AB261)</f>
        <v>0.6753937499999999</v>
      </c>
      <c r="AD262" s="689">
        <f>(AB262/AB255-1)*100</f>
        <v>48.489178976296785</v>
      </c>
      <c r="AE262" s="107"/>
      <c r="AF262" s="655">
        <f>+H262/AD262*100</f>
        <v>47.247705718116748</v>
      </c>
      <c r="AG262" s="122"/>
      <c r="AI262" s="692">
        <f>SUM(AI258:AI261)</f>
        <v>418.90100000000001</v>
      </c>
      <c r="AK262" s="695">
        <f>SUM(AK258:AK261)</f>
        <v>624.25652922458789</v>
      </c>
      <c r="AM262" s="709">
        <f>(AK262/AK255-1)*100</f>
        <v>-22.833608561568429</v>
      </c>
      <c r="AN262" s="107"/>
      <c r="AQ262" s="721"/>
      <c r="AR262" s="122"/>
    </row>
    <row r="263" spans="1:44" hidden="1" outlineLevel="1">
      <c r="B263" s="218"/>
      <c r="D263" s="689"/>
      <c r="F263" s="690"/>
      <c r="H263" s="689"/>
      <c r="L263" s="699"/>
      <c r="N263" s="689"/>
      <c r="O263" s="107"/>
      <c r="P263" s="655"/>
      <c r="Q263" s="122"/>
      <c r="S263" s="692"/>
      <c r="U263" s="693"/>
      <c r="W263" s="709"/>
      <c r="X263" s="107"/>
      <c r="AB263" s="694"/>
      <c r="AD263" s="689"/>
      <c r="AE263" s="107"/>
      <c r="AF263" s="655"/>
      <c r="AG263" s="122"/>
      <c r="AI263" s="692"/>
      <c r="AK263" s="695"/>
      <c r="AM263" s="709"/>
      <c r="AN263" s="107"/>
      <c r="AQ263" s="721"/>
      <c r="AR263" s="122"/>
    </row>
    <row r="264" spans="1:44" hidden="1" outlineLevel="1">
      <c r="A264" s="705"/>
      <c r="B264" s="706">
        <v>2008</v>
      </c>
      <c r="E264" s="107"/>
      <c r="G264" s="107"/>
      <c r="I264" s="107"/>
      <c r="O264" s="107"/>
      <c r="P264" s="122"/>
      <c r="Q264" s="122"/>
      <c r="X264" s="107"/>
      <c r="Z264" s="737"/>
      <c r="AE264" s="107"/>
      <c r="AF264" s="122"/>
      <c r="AG264" s="122"/>
      <c r="AN264" s="107"/>
      <c r="AQ264" s="122"/>
      <c r="AR264" s="122"/>
    </row>
    <row r="265" spans="1:44" hidden="1" outlineLevel="1">
      <c r="A265" s="26" t="str">
        <f>$A$14</f>
        <v>1Q</v>
      </c>
      <c r="B265" s="218" t="str">
        <f>$B$14</f>
        <v>Apr</v>
      </c>
      <c r="C265" s="107"/>
      <c r="D265" s="728">
        <f>(S265/S258-1)*100</f>
        <v>4.2351667681483018</v>
      </c>
      <c r="E265" s="107" t="s">
        <v>576</v>
      </c>
      <c r="F265" s="733">
        <v>-10</v>
      </c>
      <c r="G265" s="107" t="s">
        <v>576</v>
      </c>
      <c r="H265" s="728">
        <f>D265-F265</f>
        <v>14.235166768148302</v>
      </c>
      <c r="I265" s="107" t="s">
        <v>576</v>
      </c>
      <c r="J265" s="137">
        <v>336</v>
      </c>
      <c r="K265" s="26">
        <f>J265-J261</f>
        <v>8</v>
      </c>
      <c r="L265" s="699">
        <f>AVERAGE(J265,J261)</f>
        <v>332</v>
      </c>
      <c r="N265" s="689">
        <f>(L265/L258-1)*100</f>
        <v>19.63963963963964</v>
      </c>
      <c r="O265" s="107" t="s">
        <v>576</v>
      </c>
      <c r="P265" s="731">
        <f>H265/N265*100</f>
        <v>72.481812443323918</v>
      </c>
      <c r="Q265" s="122" t="s">
        <v>576</v>
      </c>
      <c r="S265" s="725">
        <v>107.849</v>
      </c>
      <c r="U265" s="693">
        <f>S265/L265</f>
        <v>0.32484638554216866</v>
      </c>
      <c r="W265" s="709">
        <f>(U265/U258-1)*100</f>
        <v>-12.875726571803758</v>
      </c>
      <c r="X265" s="107" t="s">
        <v>576</v>
      </c>
      <c r="Z265" s="737">
        <f>0.658/0.8</f>
        <v>0.82250000000000001</v>
      </c>
      <c r="AB265" s="694">
        <f>AVERAGE(Z265,Z261)</f>
        <v>0.80157500000000004</v>
      </c>
      <c r="AD265" s="689">
        <f>(AB265/AB258-1)*100</f>
        <v>31.675564681724854</v>
      </c>
      <c r="AE265" s="107" t="s">
        <v>576</v>
      </c>
      <c r="AF265" s="655">
        <f>+H265/AD265*100</f>
        <v>44.940530377857002</v>
      </c>
      <c r="AG265" s="122" t="s">
        <v>576</v>
      </c>
      <c r="AI265" s="692">
        <f>+S265</f>
        <v>107.849</v>
      </c>
      <c r="AJ265" s="107"/>
      <c r="AK265" s="695">
        <f>AI265/AB265</f>
        <v>134.54636185010759</v>
      </c>
      <c r="AM265" s="709">
        <f>(AK265/AK258-1)*100</f>
        <v>-20.839400218182604</v>
      </c>
      <c r="AN265" s="107" t="s">
        <v>576</v>
      </c>
      <c r="AQ265" s="721"/>
      <c r="AR265" s="721"/>
    </row>
    <row r="266" spans="1:44" hidden="1" outlineLevel="1">
      <c r="A266" s="26" t="str">
        <f>$A$15</f>
        <v>2Q</v>
      </c>
      <c r="B266" s="218" t="str">
        <f>$B$15</f>
        <v>Jul</v>
      </c>
      <c r="D266" s="728">
        <f>(S266/S259-1)*100</f>
        <v>3.6059351276742646</v>
      </c>
      <c r="F266" s="716">
        <v>-12</v>
      </c>
      <c r="H266" s="728">
        <f>D266-F266</f>
        <v>15.605935127674265</v>
      </c>
      <c r="J266" s="137">
        <v>347</v>
      </c>
      <c r="K266" s="137">
        <f>J266-J265</f>
        <v>11</v>
      </c>
      <c r="L266" s="699">
        <f>AVERAGE(J266,J265)</f>
        <v>341.5</v>
      </c>
      <c r="N266" s="689">
        <f>(L266/L259-1)*100</f>
        <v>18.989547038327537</v>
      </c>
      <c r="O266" s="107"/>
      <c r="P266" s="731">
        <f>H266/N266*100</f>
        <v>82.181713424633244</v>
      </c>
      <c r="Q266" s="122"/>
      <c r="S266" s="727">
        <v>114.095</v>
      </c>
      <c r="U266" s="697">
        <f>S266/L266</f>
        <v>0.334099560761347</v>
      </c>
      <c r="W266" s="709">
        <f>(U266/U259-1)*100</f>
        <v>-12.928540610124417</v>
      </c>
      <c r="X266" s="107"/>
      <c r="Z266" s="737">
        <f>0.688/0.8</f>
        <v>0.85999999999999988</v>
      </c>
      <c r="AA266" s="713"/>
      <c r="AB266" s="694">
        <f>AVERAGE(Z266,Z265)</f>
        <v>0.84124999999999994</v>
      </c>
      <c r="AD266" s="689">
        <f>(AB266/AB259-1)*100</f>
        <v>30.552861299709022</v>
      </c>
      <c r="AE266" s="107"/>
      <c r="AF266" s="655">
        <f>+H266/AD266*100</f>
        <v>51.078473386133858</v>
      </c>
      <c r="AG266" s="122"/>
      <c r="AI266" s="696">
        <f>+S266</f>
        <v>114.095</v>
      </c>
      <c r="AK266" s="698">
        <f>AI266/AB266</f>
        <v>135.62555720653791</v>
      </c>
      <c r="AM266" s="709">
        <f>(AK266/AK259-1)*100</f>
        <v>-20.640624727613556</v>
      </c>
      <c r="AN266" s="107"/>
      <c r="AQ266" s="721"/>
      <c r="AR266" s="721"/>
    </row>
    <row r="267" spans="1:44" hidden="1" outlineLevel="1">
      <c r="A267" s="26" t="str">
        <f>$A$16</f>
        <v>3Q</v>
      </c>
      <c r="B267" s="218" t="str">
        <f>$B$16</f>
        <v>Oct</v>
      </c>
      <c r="D267" s="728">
        <f>(S267/S260-1)*100</f>
        <v>9.6715534688761817</v>
      </c>
      <c r="E267" s="137"/>
      <c r="F267" s="716">
        <v>-5</v>
      </c>
      <c r="G267" s="137"/>
      <c r="H267" s="728">
        <f>D267-F267</f>
        <v>14.671553468876182</v>
      </c>
      <c r="I267" s="137"/>
      <c r="J267" s="137">
        <v>348</v>
      </c>
      <c r="K267" s="137">
        <f>J267-J266</f>
        <v>1</v>
      </c>
      <c r="L267" s="734">
        <f>AVERAGE(J267,J266)</f>
        <v>347.5</v>
      </c>
      <c r="M267" s="137"/>
      <c r="N267" s="728">
        <f>(L267/L260-1)*100</f>
        <v>16.220735785953178</v>
      </c>
      <c r="O267" s="735"/>
      <c r="P267" s="731">
        <f>H267/N267*100</f>
        <v>90.449370869978935</v>
      </c>
      <c r="Q267" s="220"/>
      <c r="R267" s="137"/>
      <c r="S267" s="727">
        <v>106.751</v>
      </c>
      <c r="T267" s="137"/>
      <c r="U267" s="697">
        <f>S267/L267</f>
        <v>0.30719712230215829</v>
      </c>
      <c r="W267" s="709">
        <f>(U267/U260-1)*100</f>
        <v>-5.6351237778590519</v>
      </c>
      <c r="X267" s="107"/>
      <c r="Z267" s="737">
        <f>0.698/0.8</f>
        <v>0.87249999999999994</v>
      </c>
      <c r="AA267" s="713"/>
      <c r="AB267" s="694">
        <f>AVERAGE(Z267,Z266)</f>
        <v>0.86624999999999996</v>
      </c>
      <c r="AD267" s="689">
        <f>(AB267/AB260-1)*100</f>
        <v>25.09025270758125</v>
      </c>
      <c r="AE267" s="107"/>
      <c r="AF267" s="655">
        <f>+H267/AD267*100</f>
        <v>58.475112386743866</v>
      </c>
      <c r="AG267" s="122"/>
      <c r="AI267" s="696">
        <f>+S267</f>
        <v>106.751</v>
      </c>
      <c r="AK267" s="698">
        <f>AI267/AB267</f>
        <v>123.23347763347765</v>
      </c>
      <c r="AM267" s="709">
        <f>(AK267/AK260-1)*100</f>
        <v>-12.32605970886379</v>
      </c>
      <c r="AN267" s="107"/>
      <c r="AQ267" s="721"/>
      <c r="AR267" s="721"/>
    </row>
    <row r="268" spans="1:44" hidden="1" outlineLevel="1">
      <c r="A268" s="26" t="str">
        <f>$A$17</f>
        <v>4Q</v>
      </c>
      <c r="B268" s="218" t="str">
        <f>$B$17</f>
        <v>Jan</v>
      </c>
      <c r="D268" s="643">
        <f>(S268/S261-1)*100</f>
        <v>0.19078843785020894</v>
      </c>
      <c r="F268" s="722">
        <v>-5</v>
      </c>
      <c r="H268" s="643">
        <f>D268-F268</f>
        <v>5.1907884378502089</v>
      </c>
      <c r="J268" s="26">
        <f>+yrSales!P44+yrSales!P45</f>
        <v>345</v>
      </c>
      <c r="K268" s="137">
        <f>J268-J267</f>
        <v>-3</v>
      </c>
      <c r="L268" s="662">
        <f>AVERAGE(J268,J267)</f>
        <v>346.5</v>
      </c>
      <c r="N268" s="643">
        <f>(L268/L261-1)*100</f>
        <v>8.7912087912087813</v>
      </c>
      <c r="O268" s="107"/>
      <c r="P268" s="662">
        <f>H268/N268*100</f>
        <v>59.04521848054619</v>
      </c>
      <c r="Q268" s="122"/>
      <c r="S268" s="701">
        <v>108.179</v>
      </c>
      <c r="U268" s="702">
        <f>S268/L268</f>
        <v>0.31220490620490621</v>
      </c>
      <c r="W268" s="700">
        <f>(U268/U261-1)*100</f>
        <v>-7.9054368904609262</v>
      </c>
      <c r="X268" s="107"/>
      <c r="Z268" s="737">
        <f>0.697632/0.8</f>
        <v>0.87204000000000004</v>
      </c>
      <c r="AA268" s="45"/>
      <c r="AB268" s="703">
        <f>AVERAGE(Z268,Z267)</f>
        <v>0.87226999999999999</v>
      </c>
      <c r="AD268" s="643">
        <f>(AB268/AB261-1)*100</f>
        <v>15.387261062239554</v>
      </c>
      <c r="AE268" s="107"/>
      <c r="AF268" s="662">
        <f>+H268/AD268*100</f>
        <v>33.73432358659619</v>
      </c>
      <c r="AG268" s="122"/>
      <c r="AI268" s="701">
        <f>+S268</f>
        <v>108.179</v>
      </c>
      <c r="AK268" s="704">
        <f>AI268/AB268</f>
        <v>124.02008552397767</v>
      </c>
      <c r="AM268" s="700">
        <f>(AK268/AK261-1)*100</f>
        <v>-13.169974297416086</v>
      </c>
      <c r="AN268" s="107"/>
      <c r="AQ268" s="721"/>
      <c r="AR268" s="721"/>
    </row>
    <row r="269" spans="1:44" hidden="1" outlineLevel="1">
      <c r="B269" s="218" t="str">
        <f>$B$18</f>
        <v>Year</v>
      </c>
      <c r="D269" s="689">
        <f>(S269/S262-1)*100</f>
        <v>4.2905125554725476</v>
      </c>
      <c r="F269" s="690">
        <v>-8</v>
      </c>
      <c r="H269" s="689">
        <f>D269-F269</f>
        <v>12.290512555472548</v>
      </c>
      <c r="L269" s="699">
        <f>AVERAGE(L265:L268)</f>
        <v>341.875</v>
      </c>
      <c r="N269" s="689">
        <f>(L269/L262-1)*100</f>
        <v>15.693739424703889</v>
      </c>
      <c r="O269" s="107"/>
      <c r="P269" s="655">
        <f>H269/N269*100</f>
        <v>78.314748466676846</v>
      </c>
      <c r="Q269" s="122"/>
      <c r="S269" s="692">
        <f>SUM(S265:S268)</f>
        <v>436.87400000000002</v>
      </c>
      <c r="U269" s="693">
        <f>SUM(U265:U268)</f>
        <v>1.2783479748105802</v>
      </c>
      <c r="W269" s="709">
        <f>(U269/U262-1)*100</f>
        <v>-10.045677266769893</v>
      </c>
      <c r="X269" s="107"/>
      <c r="AB269" s="694">
        <f>AVERAGE(AB265:AB268)</f>
        <v>0.84533625000000001</v>
      </c>
      <c r="AD269" s="689">
        <f>(AB269/AB262-1)*100</f>
        <v>25.161988839843442</v>
      </c>
      <c r="AE269" s="107"/>
      <c r="AF269" s="655">
        <f>+H269/AD269*100</f>
        <v>48.845552844419032</v>
      </c>
      <c r="AG269" s="122"/>
      <c r="AI269" s="692">
        <f>SUM(AI265:AI268)</f>
        <v>436.87400000000002</v>
      </c>
      <c r="AK269" s="695">
        <f>SUM(AK265:AK268)</f>
        <v>517.42548221410084</v>
      </c>
      <c r="AM269" s="709">
        <f>(AK269/AK262-1)*100</f>
        <v>-17.113324732572011</v>
      </c>
      <c r="AN269" s="107"/>
      <c r="AQ269" s="721"/>
      <c r="AR269" s="122"/>
    </row>
    <row r="270" spans="1:44" hidden="1" outlineLevel="1">
      <c r="B270" s="218"/>
      <c r="D270" s="689"/>
      <c r="F270" s="690"/>
      <c r="H270" s="689"/>
      <c r="L270" s="699"/>
      <c r="N270" s="689"/>
      <c r="O270" s="107"/>
      <c r="P270" s="655"/>
      <c r="Q270" s="122"/>
      <c r="S270" s="236"/>
      <c r="U270" s="693"/>
      <c r="W270" s="709"/>
      <c r="X270" s="107"/>
      <c r="AB270" s="694"/>
      <c r="AD270" s="689"/>
      <c r="AE270" s="107"/>
      <c r="AF270" s="655"/>
      <c r="AG270" s="122"/>
      <c r="AI270" s="692"/>
      <c r="AK270" s="695"/>
      <c r="AM270" s="709"/>
      <c r="AN270" s="107"/>
      <c r="AQ270" s="721"/>
      <c r="AR270" s="122"/>
    </row>
    <row r="271" spans="1:44" hidden="1" outlineLevel="1">
      <c r="A271" s="705"/>
      <c r="B271" s="706">
        <v>2009</v>
      </c>
      <c r="E271" s="107"/>
      <c r="G271" s="107"/>
      <c r="I271" s="107"/>
      <c r="O271" s="107"/>
      <c r="P271" s="122"/>
      <c r="Q271" s="122"/>
      <c r="X271" s="107"/>
      <c r="Z271" s="737"/>
      <c r="AE271" s="107"/>
      <c r="AF271" s="122"/>
      <c r="AG271" s="122"/>
      <c r="AN271" s="107"/>
      <c r="AQ271" s="122"/>
      <c r="AR271" s="122"/>
    </row>
    <row r="272" spans="1:44" hidden="1" outlineLevel="1">
      <c r="A272" s="26" t="str">
        <f>$A$14</f>
        <v>1Q</v>
      </c>
      <c r="B272" s="218" t="str">
        <f>$B$14</f>
        <v>Apr</v>
      </c>
      <c r="C272" s="107"/>
      <c r="D272" s="728">
        <f>(S272/S265-1)*100</f>
        <v>7.7135624808760461</v>
      </c>
      <c r="E272" s="107" t="s">
        <v>576</v>
      </c>
      <c r="F272" s="733">
        <v>6.7</v>
      </c>
      <c r="G272" s="107" t="s">
        <v>576</v>
      </c>
      <c r="H272" s="728">
        <f>D272-F272</f>
        <v>1.0135624808760459</v>
      </c>
      <c r="I272" s="107" t="s">
        <v>576</v>
      </c>
      <c r="J272" s="137">
        <f>J268+1-2</f>
        <v>344</v>
      </c>
      <c r="K272" s="26">
        <f>J272-J268</f>
        <v>-1</v>
      </c>
      <c r="L272" s="699">
        <f>AVERAGE(J272,J268)</f>
        <v>344.5</v>
      </c>
      <c r="N272" s="689">
        <f>(L272/L265-1)*100</f>
        <v>3.7650602409638578</v>
      </c>
      <c r="O272" s="107" t="s">
        <v>576</v>
      </c>
      <c r="P272" s="731">
        <f>H272/N272*100</f>
        <v>26.920219492067766</v>
      </c>
      <c r="Q272" s="122" t="s">
        <v>576</v>
      </c>
      <c r="S272" s="725">
        <v>116.16800000000001</v>
      </c>
      <c r="U272" s="693">
        <f>S272/L272</f>
        <v>0.33720754716981133</v>
      </c>
      <c r="W272" s="709">
        <f>(U272/U265-1)*100</f>
        <v>3.8052329278689401</v>
      </c>
      <c r="X272" s="107" t="s">
        <v>576</v>
      </c>
      <c r="Z272" s="737">
        <f>0.699122/0.8</f>
        <v>0.87390250000000003</v>
      </c>
      <c r="AB272" s="694">
        <f>AVERAGE(Z272,Z268)</f>
        <v>0.87297124999999998</v>
      </c>
      <c r="AD272" s="689">
        <f>(AB272/AB265-1)*100</f>
        <v>8.9069956024077523</v>
      </c>
      <c r="AE272" s="107" t="s">
        <v>576</v>
      </c>
      <c r="AF272" s="655">
        <f>+H272/AD272*100</f>
        <v>11.379398016117333</v>
      </c>
      <c r="AG272" s="122" t="s">
        <v>576</v>
      </c>
      <c r="AI272" s="692">
        <f>+S272</f>
        <v>116.16800000000001</v>
      </c>
      <c r="AJ272" s="107"/>
      <c r="AK272" s="695">
        <f>AI272/AB272</f>
        <v>133.07196542841476</v>
      </c>
      <c r="AM272" s="709">
        <f>(AK272/AK265-1)*100</f>
        <v>-1.0958277885918521</v>
      </c>
      <c r="AN272" s="107" t="s">
        <v>576</v>
      </c>
      <c r="AQ272" s="721"/>
      <c r="AR272" s="721"/>
    </row>
    <row r="273" spans="1:44" hidden="1" outlineLevel="1">
      <c r="A273" s="26" t="str">
        <f>$A$15</f>
        <v>2Q</v>
      </c>
      <c r="B273" s="218" t="str">
        <f>$B$15</f>
        <v>Jul</v>
      </c>
      <c r="D273" s="728">
        <f>(S273/S266-1)*100</f>
        <v>4.9511372102195583</v>
      </c>
      <c r="F273" s="716">
        <v>5.5</v>
      </c>
      <c r="H273" s="728">
        <f>D273-F273</f>
        <v>-0.54886278978044167</v>
      </c>
      <c r="J273" s="137">
        <v>343</v>
      </c>
      <c r="K273" s="137">
        <f>J273-J272</f>
        <v>-1</v>
      </c>
      <c r="L273" s="699">
        <f>AVERAGE(J273,J272)</f>
        <v>343.5</v>
      </c>
      <c r="N273" s="689">
        <f>(L273/L266-1)*100</f>
        <v>0.58565153733527442</v>
      </c>
      <c r="O273" s="107"/>
      <c r="P273" s="742" t="s">
        <v>371</v>
      </c>
      <c r="Q273" s="122"/>
      <c r="S273" s="727">
        <v>119.744</v>
      </c>
      <c r="U273" s="697">
        <f>S273/L273</f>
        <v>0.34859970887918484</v>
      </c>
      <c r="W273" s="709">
        <f>(U273/U266-1)*100</f>
        <v>4.3400679979329615</v>
      </c>
      <c r="X273" s="107"/>
      <c r="Z273" s="737">
        <f>0.699/0.8</f>
        <v>0.87374999999999992</v>
      </c>
      <c r="AA273" s="713"/>
      <c r="AB273" s="694">
        <f>AVERAGE(Z273,Z272)</f>
        <v>0.87382625000000003</v>
      </c>
      <c r="AD273" s="689">
        <f>(AB273/AB266-1)*100</f>
        <v>3.8723625557206542</v>
      </c>
      <c r="AE273" s="107"/>
      <c r="AF273" s="655">
        <f>+H273/AD273*100</f>
        <v>-14.173848183962134</v>
      </c>
      <c r="AG273" s="122"/>
      <c r="AI273" s="696">
        <f>+S273</f>
        <v>119.744</v>
      </c>
      <c r="AK273" s="698">
        <f>AI273/AB273</f>
        <v>137.0341071809184</v>
      </c>
      <c r="AM273" s="709">
        <f>(AK273/AK266-1)*100</f>
        <v>1.0385579262435662</v>
      </c>
      <c r="AN273" s="107"/>
      <c r="AQ273" s="721"/>
      <c r="AR273" s="721"/>
    </row>
    <row r="274" spans="1:44" hidden="1" outlineLevel="1">
      <c r="A274" s="26" t="str">
        <f>$A$16</f>
        <v>3Q</v>
      </c>
      <c r="B274" s="218" t="str">
        <f>$B$16</f>
        <v>Oct</v>
      </c>
      <c r="D274" s="728">
        <f>(S274/S267-1)*100</f>
        <v>13.730082153797142</v>
      </c>
      <c r="E274" s="137"/>
      <c r="F274" s="716">
        <v>14.8</v>
      </c>
      <c r="G274" s="137"/>
      <c r="H274" s="728">
        <f>D274-F274</f>
        <v>-1.0699178462028591</v>
      </c>
      <c r="I274" s="137"/>
      <c r="J274" s="137">
        <f>331+16</f>
        <v>347</v>
      </c>
      <c r="K274" s="137">
        <f>J274-J273</f>
        <v>4</v>
      </c>
      <c r="L274" s="734">
        <f>AVERAGE(J274,J273)</f>
        <v>345</v>
      </c>
      <c r="M274" s="137"/>
      <c r="N274" s="728">
        <f>(L274/L267-1)*100</f>
        <v>-0.7194244604316502</v>
      </c>
      <c r="O274" s="735"/>
      <c r="P274" s="731">
        <f>H274/N274*100</f>
        <v>148.71858062219835</v>
      </c>
      <c r="Q274" s="220"/>
      <c r="R274" s="137"/>
      <c r="S274" s="727">
        <v>121.408</v>
      </c>
      <c r="T274" s="137"/>
      <c r="U274" s="697">
        <f>S274/L274</f>
        <v>0.35190724637681159</v>
      </c>
      <c r="W274" s="709">
        <f>(U274/U267-1)*100</f>
        <v>14.554213183897136</v>
      </c>
      <c r="X274" s="107"/>
      <c r="Z274" s="737">
        <f>Z273*1.005</f>
        <v>0.87811874999999984</v>
      </c>
      <c r="AA274" s="713"/>
      <c r="AB274" s="694">
        <f>AVERAGE(Z274,Z273)</f>
        <v>0.87593437499999993</v>
      </c>
      <c r="AD274" s="689">
        <f>(AB274/AB267-1)*100</f>
        <v>1.1179653679653567</v>
      </c>
      <c r="AE274" s="107"/>
      <c r="AF274" s="655">
        <f>+H274/AD274*100</f>
        <v>-95.702235226665223</v>
      </c>
      <c r="AG274" s="122"/>
      <c r="AI274" s="696">
        <f>+S274</f>
        <v>121.408</v>
      </c>
      <c r="AK274" s="698">
        <f>AI274/AB274</f>
        <v>138.60399073846145</v>
      </c>
      <c r="AM274" s="709">
        <f>(AK274/AK267-1)*100</f>
        <v>12.472676581195685</v>
      </c>
      <c r="AN274" s="107"/>
      <c r="AQ274" s="721"/>
      <c r="AR274" s="721"/>
    </row>
    <row r="275" spans="1:44" hidden="1" outlineLevel="1">
      <c r="A275" s="26" t="str">
        <f>$A$17</f>
        <v>4Q</v>
      </c>
      <c r="B275" s="218" t="str">
        <f>$B$17</f>
        <v>Jan</v>
      </c>
      <c r="D275" s="744">
        <f>(S275/S268-1)*100</f>
        <v>22.308396269146513</v>
      </c>
      <c r="F275" s="722">
        <v>23</v>
      </c>
      <c r="H275" s="744">
        <f>D275-F275</f>
        <v>-0.69160373085348681</v>
      </c>
      <c r="J275" s="26">
        <f>yrSales!$Q$44+yrSales!$Q$45</f>
        <v>350</v>
      </c>
      <c r="K275" s="137">
        <f>J275-J274</f>
        <v>3</v>
      </c>
      <c r="L275" s="662">
        <f>AVERAGE(J275,J274)</f>
        <v>348.5</v>
      </c>
      <c r="N275" s="643">
        <f>(L275/L268-1)*100</f>
        <v>0.57720057720058726</v>
      </c>
      <c r="O275" s="107"/>
      <c r="P275" s="736">
        <f>H275/N275*100</f>
        <v>-119.82034637036449</v>
      </c>
      <c r="Q275" s="122"/>
      <c r="S275" s="701">
        <v>132.31200000000001</v>
      </c>
      <c r="U275" s="702">
        <f>S275/L275</f>
        <v>0.37966140602582499</v>
      </c>
      <c r="W275" s="700">
        <f>(U275/U268-1)*100</f>
        <v>21.606482947659302</v>
      </c>
      <c r="X275" s="107"/>
      <c r="Z275" s="737">
        <f>0.718/0.8</f>
        <v>0.89749999999999996</v>
      </c>
      <c r="AA275" s="45"/>
      <c r="AB275" s="703">
        <f>AVERAGE(Z275,Z274)</f>
        <v>0.8878093749999999</v>
      </c>
      <c r="AD275" s="643">
        <f>(AB275/AB268-1)*100</f>
        <v>1.7814868102766335</v>
      </c>
      <c r="AE275" s="107"/>
      <c r="AF275" s="662">
        <f>+H275/AD275*100</f>
        <v>-38.821714921711539</v>
      </c>
      <c r="AG275" s="122"/>
      <c r="AI275" s="701">
        <f>+S275</f>
        <v>132.31200000000001</v>
      </c>
      <c r="AK275" s="704">
        <f>AI275/AB275</f>
        <v>149.03199236885737</v>
      </c>
      <c r="AM275" s="700">
        <f>(AK275/AK268-1)*100</f>
        <v>20.167625864154061</v>
      </c>
      <c r="AN275" s="107"/>
      <c r="AQ275" s="721"/>
      <c r="AR275" s="721"/>
    </row>
    <row r="276" spans="1:44" hidden="1" outlineLevel="1">
      <c r="B276" s="218" t="str">
        <f>$B$18</f>
        <v>Year</v>
      </c>
      <c r="D276" s="689">
        <f>(S276/S269-1)*100</f>
        <v>12.076250818313738</v>
      </c>
      <c r="F276" s="690">
        <v>12.4</v>
      </c>
      <c r="H276" s="689">
        <f>D276-F276</f>
        <v>-0.32374918168626188</v>
      </c>
      <c r="L276" s="699">
        <f>AVERAGE(L272:L275)</f>
        <v>345.375</v>
      </c>
      <c r="N276" s="689">
        <f>(L276/L269-1)*100</f>
        <v>1.023765996343684</v>
      </c>
      <c r="O276" s="107"/>
      <c r="P276" s="655">
        <f>H276/N276*100</f>
        <v>-31.62335756828335</v>
      </c>
      <c r="Q276" s="122"/>
      <c r="S276" s="692">
        <f>SUM(S272:S275)</f>
        <v>489.63200000000001</v>
      </c>
      <c r="U276" s="693">
        <f>SUM(U272:U275)</f>
        <v>1.4173759084516329</v>
      </c>
      <c r="W276" s="709">
        <f>(U276/U269-1)*100</f>
        <v>10.87559384303427</v>
      </c>
      <c r="X276" s="107"/>
      <c r="AB276" s="694">
        <f>AVERAGE(AB272:AB275)</f>
        <v>0.87763531249999993</v>
      </c>
      <c r="AD276" s="689">
        <f>(AB276/AB269-1)*100</f>
        <v>3.8208538318331708</v>
      </c>
      <c r="AE276" s="107"/>
      <c r="AF276" s="655">
        <f>+H276/AD276*100</f>
        <v>-8.4732155673940905</v>
      </c>
      <c r="AG276" s="122"/>
      <c r="AI276" s="692">
        <f>SUM(AI272:AI275)</f>
        <v>489.63200000000001</v>
      </c>
      <c r="AK276" s="695">
        <f>SUM(AK272:AK275)</f>
        <v>557.74205571665198</v>
      </c>
      <c r="AM276" s="709">
        <f>(AK276/AK269-1)*100</f>
        <v>7.7917642034237788</v>
      </c>
      <c r="AN276" s="107"/>
      <c r="AQ276" s="721"/>
      <c r="AR276" s="122"/>
    </row>
    <row r="277" spans="1:44" hidden="1" outlineLevel="1">
      <c r="B277" s="218"/>
      <c r="D277" s="689"/>
      <c r="F277" s="690"/>
      <c r="H277" s="689"/>
      <c r="L277" s="699"/>
      <c r="N277" s="689"/>
      <c r="O277" s="107"/>
      <c r="P277" s="655"/>
      <c r="Q277" s="122"/>
      <c r="S277" s="692"/>
      <c r="U277" s="236"/>
      <c r="W277" s="709"/>
      <c r="X277" s="107"/>
      <c r="AB277" s="694"/>
      <c r="AD277" s="236"/>
      <c r="AE277" s="107"/>
      <c r="AF277" s="655"/>
      <c r="AG277" s="122"/>
      <c r="AI277" s="692"/>
      <c r="AK277" s="695"/>
      <c r="AM277" s="709"/>
      <c r="AN277" s="107"/>
      <c r="AQ277" s="721"/>
      <c r="AR277" s="122"/>
    </row>
    <row r="278" spans="1:44" hidden="1" outlineLevel="1">
      <c r="A278" s="705"/>
      <c r="B278" s="706">
        <v>2010</v>
      </c>
      <c r="D278" s="137"/>
      <c r="E278" s="137"/>
      <c r="F278" s="716"/>
      <c r="G278" s="137"/>
      <c r="L278" s="699"/>
      <c r="O278" s="107"/>
      <c r="S278" s="692"/>
      <c r="U278" s="236"/>
      <c r="Z278" s="247"/>
      <c r="AD278" s="236"/>
      <c r="AE278" s="107"/>
      <c r="AF278" s="236"/>
    </row>
    <row r="279" spans="1:44" hidden="1" outlineLevel="1">
      <c r="A279" s="26" t="str">
        <f>$A$14</f>
        <v>1Q</v>
      </c>
      <c r="B279" s="218" t="str">
        <f>$B$14</f>
        <v>Apr</v>
      </c>
      <c r="D279" s="728">
        <f>(S279/S272-1)*100</f>
        <v>24.722815233110662</v>
      </c>
      <c r="E279" s="107" t="s">
        <v>576</v>
      </c>
      <c r="F279" s="733">
        <v>15.7</v>
      </c>
      <c r="G279" s="107" t="s">
        <v>576</v>
      </c>
      <c r="H279" s="728">
        <f>D279-F279</f>
        <v>9.0228152331106628</v>
      </c>
      <c r="J279" s="26">
        <f>334+17</f>
        <v>351</v>
      </c>
      <c r="K279" s="26">
        <f>J279-J275</f>
        <v>1</v>
      </c>
      <c r="L279" s="699">
        <f>AVERAGE(J279,J275)</f>
        <v>350.5</v>
      </c>
      <c r="N279" s="689">
        <f>(L279/L272-1)*100</f>
        <v>1.7416545718432541</v>
      </c>
      <c r="O279" s="107" t="s">
        <v>576</v>
      </c>
      <c r="P279" s="731">
        <f>H279/N279*100</f>
        <v>518.05997463443634</v>
      </c>
      <c r="Q279" s="122" t="s">
        <v>576</v>
      </c>
      <c r="S279" s="727">
        <f>144.888</f>
        <v>144.88800000000001</v>
      </c>
      <c r="U279" s="693">
        <f>S279/L279</f>
        <v>0.41337517831669046</v>
      </c>
      <c r="W279" s="709">
        <f>(U279/U272-1)*100</f>
        <v>22.58775990815014</v>
      </c>
      <c r="X279" s="107" t="s">
        <v>576</v>
      </c>
      <c r="Z279" s="737">
        <f>0.720197/0.8</f>
        <v>0.90024624999999991</v>
      </c>
      <c r="AB279" s="694">
        <f>AVERAGE(Z279,Z275)</f>
        <v>0.89887312499999994</v>
      </c>
      <c r="AD279" s="689">
        <f>(AB279/AB272-1)*100</f>
        <v>2.9670937044032009</v>
      </c>
      <c r="AE279" s="107" t="s">
        <v>576</v>
      </c>
      <c r="AF279" s="655">
        <f>+H279/AD279*100</f>
        <v>304.09606611751769</v>
      </c>
      <c r="AG279" s="122" t="s">
        <v>576</v>
      </c>
      <c r="AI279" s="692">
        <f>+S279</f>
        <v>144.88800000000001</v>
      </c>
      <c r="AJ279" s="107"/>
      <c r="AK279" s="695">
        <f>AI279/AB279</f>
        <v>161.18848808612452</v>
      </c>
      <c r="AM279" s="709">
        <f>(AK279/AK272-1)*100</f>
        <v>21.128809939186532</v>
      </c>
      <c r="AN279" s="107" t="s">
        <v>576</v>
      </c>
    </row>
    <row r="280" spans="1:44" hidden="1" outlineLevel="1">
      <c r="A280" s="26" t="str">
        <f>$A$15</f>
        <v>2Q</v>
      </c>
      <c r="B280" s="218" t="str">
        <f>$B$15</f>
        <v>Jul</v>
      </c>
      <c r="D280" s="728">
        <f>(S280/S273-1)*100</f>
        <v>21.685428915018722</v>
      </c>
      <c r="F280" s="716">
        <v>12.5</v>
      </c>
      <c r="H280" s="728">
        <f>D280-F280</f>
        <v>9.1854289150187221</v>
      </c>
      <c r="J280" s="137">
        <f>337+18</f>
        <v>355</v>
      </c>
      <c r="K280" s="137">
        <f>J280-J279</f>
        <v>4</v>
      </c>
      <c r="L280" s="699">
        <f>AVERAGE(J280,J279)</f>
        <v>353</v>
      </c>
      <c r="N280" s="689">
        <f>(L280/L273-1)*100</f>
        <v>2.7656477438136928</v>
      </c>
      <c r="O280" s="107"/>
      <c r="P280" s="731">
        <f>H280/N280*100</f>
        <v>332.12577182199152</v>
      </c>
      <c r="Q280" s="122"/>
      <c r="S280" s="727">
        <f>145.711</f>
        <v>145.71100000000001</v>
      </c>
      <c r="U280" s="697">
        <f>S280/L280</f>
        <v>0.41277903682719552</v>
      </c>
      <c r="W280" s="709">
        <f>(U280/U273-1)*100</f>
        <v>18.4106085901103</v>
      </c>
      <c r="X280" s="107"/>
      <c r="Z280" s="737">
        <f>(0.696018+0.034691)/0.8</f>
        <v>0.91338625000000007</v>
      </c>
      <c r="AA280" s="713"/>
      <c r="AB280" s="694">
        <f>AVERAGE(Z280,Z279)</f>
        <v>0.90681624999999999</v>
      </c>
      <c r="AD280" s="689">
        <f>(AB280/AB273-1)*100</f>
        <v>3.7753500767458092</v>
      </c>
      <c r="AE280" s="107"/>
      <c r="AF280" s="655">
        <f>+H280/AD280*100</f>
        <v>243.3000576978591</v>
      </c>
      <c r="AG280" s="122"/>
      <c r="AI280" s="696">
        <f>+S280</f>
        <v>145.71100000000001</v>
      </c>
      <c r="AK280" s="698">
        <f>AI280/AB280</f>
        <v>160.68415183340619</v>
      </c>
      <c r="AM280" s="709">
        <f>(AK280/AK273-1)*100</f>
        <v>17.258509679830269</v>
      </c>
      <c r="AN280" s="107"/>
    </row>
    <row r="281" spans="1:44" hidden="1" outlineLevel="1">
      <c r="A281" s="26" t="str">
        <f>$A$16</f>
        <v>3Q</v>
      </c>
      <c r="B281" s="218" t="str">
        <f>$B$16</f>
        <v>Oct</v>
      </c>
      <c r="D281" s="728">
        <f>(S281/S274-1)*100</f>
        <v>19.755699789140756</v>
      </c>
      <c r="E281" s="137"/>
      <c r="F281" s="716">
        <v>10.199999999999999</v>
      </c>
      <c r="G281" s="137"/>
      <c r="H281" s="728">
        <f>D281-F281</f>
        <v>9.5556997891407569</v>
      </c>
      <c r="J281" s="26">
        <f>344+20</f>
        <v>364</v>
      </c>
      <c r="K281" s="137">
        <f>J281-J280</f>
        <v>9</v>
      </c>
      <c r="L281" s="734">
        <f>AVERAGE(J281,J280)</f>
        <v>359.5</v>
      </c>
      <c r="M281" s="137"/>
      <c r="N281" s="728">
        <f>(L281/L274-1)*100</f>
        <v>4.202898550724643</v>
      </c>
      <c r="O281" s="735"/>
      <c r="P281" s="731">
        <f>H281/N281*100</f>
        <v>227.35975360369358</v>
      </c>
      <c r="Q281" s="220"/>
      <c r="R281" s="137"/>
      <c r="S281" s="727">
        <v>145.393</v>
      </c>
      <c r="T281" s="137"/>
      <c r="U281" s="697">
        <f>S281/L281</f>
        <v>0.40443115438108485</v>
      </c>
      <c r="W281" s="709">
        <f>(U281/U274-1)*100</f>
        <v>14.925497711414625</v>
      </c>
      <c r="X281" s="107"/>
      <c r="Z281" s="737">
        <f>(0.712081+0.038454)/0.8</f>
        <v>0.93816874999999988</v>
      </c>
      <c r="AA281" s="713"/>
      <c r="AB281" s="694">
        <f>AVERAGE(Z281,Z280)</f>
        <v>0.92577749999999992</v>
      </c>
      <c r="AD281" s="689">
        <f>(AB281/AB274-1)*100</f>
        <v>5.6902807359284102</v>
      </c>
      <c r="AE281" s="107"/>
      <c r="AF281" s="655">
        <f>+H281/AD281*100</f>
        <v>167.9301994505492</v>
      </c>
      <c r="AG281" s="122"/>
      <c r="AI281" s="696">
        <f>+S281</f>
        <v>145.393</v>
      </c>
      <c r="AK281" s="698">
        <f>AI281/AB281</f>
        <v>157.04961505329305</v>
      </c>
      <c r="AM281" s="709">
        <f>(AK281/AK274-1)*100</f>
        <v>13.30814806742293</v>
      </c>
      <c r="AN281" s="107"/>
    </row>
    <row r="282" spans="1:44" hidden="1" outlineLevel="1">
      <c r="A282" s="26" t="str">
        <f>$A$17</f>
        <v>4Q</v>
      </c>
      <c r="B282" s="218" t="str">
        <f>$B$17</f>
        <v>Jan</v>
      </c>
      <c r="D282" s="643">
        <f>(S282/S275-1)*100</f>
        <v>16.628877199346981</v>
      </c>
      <c r="F282" s="722">
        <v>4.7</v>
      </c>
      <c r="H282" s="643">
        <f>D282-F282</f>
        <v>11.928877199346982</v>
      </c>
      <c r="J282" s="26">
        <f>yrSales!R44+yrSales!R45</f>
        <v>363</v>
      </c>
      <c r="K282" s="137">
        <f>J282-J281</f>
        <v>-1</v>
      </c>
      <c r="L282" s="662">
        <f>AVERAGE(J282,J281)</f>
        <v>363.5</v>
      </c>
      <c r="N282" s="643">
        <f>(L282/L275-1)*100</f>
        <v>4.3041606886657036</v>
      </c>
      <c r="O282" s="107"/>
      <c r="P282" s="662">
        <f>H282/N282*100</f>
        <v>277.1475802648286</v>
      </c>
      <c r="Q282" s="122"/>
      <c r="S282" s="701">
        <v>154.31399999999999</v>
      </c>
      <c r="U282" s="702">
        <f>S282/L282</f>
        <v>0.42452269601100412</v>
      </c>
      <c r="W282" s="700">
        <f>(U282/U275-1)*100</f>
        <v>11.816131235137339</v>
      </c>
      <c r="X282" s="107"/>
      <c r="Z282" s="737">
        <f>+(0.71048+0.040421)/0.8</f>
        <v>0.93862625</v>
      </c>
      <c r="AA282" s="45"/>
      <c r="AB282" s="703">
        <f>AVERAGE(Z282,Z281)</f>
        <v>0.9383975</v>
      </c>
      <c r="AD282" s="643">
        <f>(AB282/AB275-1)*100</f>
        <v>5.6980841185643172</v>
      </c>
      <c r="AE282" s="107"/>
      <c r="AF282" s="662">
        <f>+H282/AD282*100</f>
        <v>209.34891361962849</v>
      </c>
      <c r="AG282" s="122"/>
      <c r="AI282" s="701">
        <f>+S282</f>
        <v>154.31399999999999</v>
      </c>
      <c r="AK282" s="704">
        <f>AI282/AB282</f>
        <v>164.44417211256425</v>
      </c>
      <c r="AM282" s="700">
        <f>(AK282/AK275-1)*100</f>
        <v>10.341524325569917</v>
      </c>
      <c r="AN282" s="107"/>
    </row>
    <row r="283" spans="1:44" hidden="1" outlineLevel="1">
      <c r="B283" s="218" t="str">
        <f>$B$18</f>
        <v>Year</v>
      </c>
      <c r="D283" s="689">
        <f>(S283/S276-1)*100</f>
        <v>20.561156133586046</v>
      </c>
      <c r="F283" s="690">
        <v>10.6</v>
      </c>
      <c r="H283" s="689">
        <f>D283-F283</f>
        <v>9.9611561335860461</v>
      </c>
      <c r="L283" s="699">
        <f>AVERAGE(L279:L282)</f>
        <v>356.625</v>
      </c>
      <c r="N283" s="689">
        <f>(L283/L276-1)*100</f>
        <v>3.2573289902280145</v>
      </c>
      <c r="O283" s="107"/>
      <c r="P283" s="655">
        <f>H283/N283*100</f>
        <v>305.80749330109148</v>
      </c>
      <c r="Q283" s="122"/>
      <c r="S283" s="692">
        <f>SUM(S279:S282)</f>
        <v>590.30600000000004</v>
      </c>
      <c r="U283" s="693">
        <f>SUM(U279:U282)</f>
        <v>1.6551080655359751</v>
      </c>
      <c r="W283" s="709">
        <f>(U283/U276-1)*100</f>
        <v>16.772696337420136</v>
      </c>
      <c r="X283" s="107"/>
      <c r="AB283" s="694">
        <f>AVERAGE(AB279:AB282)</f>
        <v>0.91746609374999988</v>
      </c>
      <c r="AD283" s="689">
        <f>(AB283/AB276-1)*100</f>
        <v>4.5384205355798013</v>
      </c>
      <c r="AE283" s="107"/>
      <c r="AF283" s="655">
        <f>+H283/AD283*100</f>
        <v>219.48508419380022</v>
      </c>
      <c r="AG283" s="122"/>
      <c r="AI283" s="692">
        <f>SUM(AI279:AI282)</f>
        <v>590.30600000000004</v>
      </c>
      <c r="AK283" s="695">
        <f>SUM(AK279:AK282)</f>
        <v>643.36642708538795</v>
      </c>
      <c r="AM283" s="709">
        <f>(AK283/AK276-1)*100</f>
        <v>15.351966108905991</v>
      </c>
      <c r="AN283" s="107"/>
    </row>
    <row r="284" spans="1:44" collapsed="1">
      <c r="B284" s="218"/>
      <c r="D284" s="137"/>
      <c r="E284" s="137"/>
      <c r="F284" s="716"/>
      <c r="G284" s="137"/>
      <c r="L284" s="699"/>
      <c r="O284" s="107"/>
      <c r="P284" s="224"/>
      <c r="Q284" s="224"/>
      <c r="S284" s="789"/>
      <c r="T284" s="789"/>
      <c r="U284" s="790"/>
      <c r="Z284" s="791"/>
      <c r="AD284" s="236"/>
      <c r="AE284" s="107"/>
      <c r="AF284" s="236"/>
    </row>
    <row r="285" spans="1:44" hidden="1" outlineLevel="1">
      <c r="A285" s="705"/>
      <c r="B285" s="706">
        <v>2011</v>
      </c>
      <c r="D285" s="137"/>
      <c r="E285" s="137"/>
      <c r="F285" s="716"/>
      <c r="G285" s="137"/>
      <c r="L285" s="699"/>
      <c r="O285" s="107"/>
      <c r="S285" s="692"/>
      <c r="U285" s="236"/>
      <c r="Z285" s="247"/>
      <c r="AD285" s="236"/>
      <c r="AE285" s="107"/>
      <c r="AF285" s="236"/>
    </row>
    <row r="286" spans="1:44" hidden="1" outlineLevel="1">
      <c r="A286" s="26" t="str">
        <f>$A$14</f>
        <v>1Q</v>
      </c>
      <c r="B286" s="218" t="str">
        <f>$B$14</f>
        <v>Apr</v>
      </c>
      <c r="D286" s="728">
        <f>(S286/S279-1)*100</f>
        <v>11.965104080393129</v>
      </c>
      <c r="E286" s="107" t="s">
        <v>576</v>
      </c>
      <c r="F286" s="733">
        <v>7.4</v>
      </c>
      <c r="G286" s="107" t="s">
        <v>576</v>
      </c>
      <c r="H286" s="728">
        <f>D286-F286</f>
        <v>4.5651040803931284</v>
      </c>
      <c r="J286" s="26">
        <f>350+24</f>
        <v>374</v>
      </c>
      <c r="K286" s="26">
        <f>J286-J282</f>
        <v>11</v>
      </c>
      <c r="L286" s="699">
        <f>AVERAGE(J286,J282)</f>
        <v>368.5</v>
      </c>
      <c r="N286" s="689">
        <f>(L286/L279-1)*100</f>
        <v>5.1355206847360835</v>
      </c>
      <c r="O286" s="107" t="s">
        <v>576</v>
      </c>
      <c r="P286" s="731">
        <f>H286/N286*100</f>
        <v>88.892721120988554</v>
      </c>
      <c r="Q286" s="122" t="s">
        <v>576</v>
      </c>
      <c r="S286" s="743">
        <v>162.22399999999999</v>
      </c>
      <c r="U286" s="693">
        <f>S286/L286</f>
        <v>0.44022795115332425</v>
      </c>
      <c r="W286" s="709">
        <f>(U286/U279-1)*100</f>
        <v>6.4959809502789234</v>
      </c>
      <c r="X286" s="107" t="s">
        <v>576</v>
      </c>
      <c r="Z286" s="737">
        <f>+(0.730625+0.046346)/0.8</f>
        <v>0.97121374999999988</v>
      </c>
      <c r="AB286" s="694">
        <f>AVERAGE(Z286,Z282)</f>
        <v>0.95491999999999999</v>
      </c>
      <c r="AD286" s="689">
        <f>(AB286/AB279-1)*100</f>
        <v>6.2352375926246539</v>
      </c>
      <c r="AE286" s="107" t="s">
        <v>576</v>
      </c>
      <c r="AF286" s="655">
        <f>+H286/AD286*100</f>
        <v>73.214597079555688</v>
      </c>
      <c r="AG286" s="122" t="s">
        <v>576</v>
      </c>
      <c r="AI286" s="692">
        <f>+S286</f>
        <v>162.22399999999999</v>
      </c>
      <c r="AJ286" s="107"/>
      <c r="AK286" s="695">
        <f>AI286/AB286</f>
        <v>169.88229380471662</v>
      </c>
      <c r="AM286" s="709">
        <f>(AK286/AK279-1)*100</f>
        <v>5.3935649014505982</v>
      </c>
      <c r="AN286" s="107" t="s">
        <v>576</v>
      </c>
    </row>
    <row r="287" spans="1:44" hidden="1" outlineLevel="1">
      <c r="A287" s="26" t="str">
        <f>$A$15</f>
        <v>2Q</v>
      </c>
      <c r="B287" s="218" t="str">
        <f>$B$15</f>
        <v>Jul</v>
      </c>
      <c r="D287" s="728">
        <f>(S287/S280-1)*100</f>
        <v>21.559113587855407</v>
      </c>
      <c r="F287" s="716">
        <v>14.9</v>
      </c>
      <c r="H287" s="728">
        <f>D287-F287</f>
        <v>6.6591135878554066</v>
      </c>
      <c r="J287" s="137">
        <f>356+25</f>
        <v>381</v>
      </c>
      <c r="K287" s="137">
        <f>J287-J286</f>
        <v>7</v>
      </c>
      <c r="L287" s="699">
        <f>AVERAGE(J287,J286)</f>
        <v>377.5</v>
      </c>
      <c r="N287" s="689">
        <f>(L287/L280-1)*100</f>
        <v>6.9405099150141591</v>
      </c>
      <c r="O287" s="107"/>
      <c r="P287" s="731">
        <f>H287/N287*100</f>
        <v>95.945595776039198</v>
      </c>
      <c r="Q287" s="122"/>
      <c r="S287" s="743">
        <v>177.125</v>
      </c>
      <c r="U287" s="697">
        <f>S287/L287</f>
        <v>0.46920529801324501</v>
      </c>
      <c r="W287" s="709">
        <f>(U287/U280-1)*100</f>
        <v>13.669846613279347</v>
      </c>
      <c r="X287" s="107"/>
      <c r="Z287" s="737">
        <f>+(0.745774+0.048238)/0.8</f>
        <v>0.99251500000000004</v>
      </c>
      <c r="AA287" s="713"/>
      <c r="AB287" s="694">
        <f>AVERAGE(Z287,Z286)</f>
        <v>0.98186437500000001</v>
      </c>
      <c r="AD287" s="689">
        <f>(AB287/AB280-1)*100</f>
        <v>8.2760013398524901</v>
      </c>
      <c r="AE287" s="107"/>
      <c r="AF287" s="655">
        <f>+H287/AD287*100</f>
        <v>80.462935110811586</v>
      </c>
      <c r="AG287" s="122"/>
      <c r="AI287" s="696">
        <f>+S287</f>
        <v>177.125</v>
      </c>
      <c r="AK287" s="698">
        <f>AI287/AB287</f>
        <v>180.39660518286956</v>
      </c>
      <c r="AM287" s="709">
        <f>(AK287/AK280-1)*100</f>
        <v>12.267826742428722</v>
      </c>
      <c r="AN287" s="107"/>
    </row>
    <row r="288" spans="1:44" hidden="1" outlineLevel="1">
      <c r="A288" s="26" t="str">
        <f>$A$16</f>
        <v>3Q</v>
      </c>
      <c r="B288" s="218" t="str">
        <f>$B$16</f>
        <v>Oct</v>
      </c>
      <c r="D288" s="728">
        <f>(S288/S281-1)*100</f>
        <v>17.150069122997678</v>
      </c>
      <c r="E288" s="137"/>
      <c r="F288" s="716">
        <v>11</v>
      </c>
      <c r="G288" s="137"/>
      <c r="H288" s="728">
        <f>D288-F288</f>
        <v>6.1500691229976781</v>
      </c>
      <c r="J288" s="26">
        <f>358+25</f>
        <v>383</v>
      </c>
      <c r="K288" s="137">
        <f>J288-J287</f>
        <v>2</v>
      </c>
      <c r="L288" s="734">
        <f>AVERAGE(J288,J287)</f>
        <v>382</v>
      </c>
      <c r="M288" s="137"/>
      <c r="N288" s="728">
        <f>(L288/L281-1)*100</f>
        <v>6.2586926286509081</v>
      </c>
      <c r="O288" s="735"/>
      <c r="P288" s="731">
        <f>H288/N288*100</f>
        <v>98.264437765229502</v>
      </c>
      <c r="Q288" s="220"/>
      <c r="R288" s="137"/>
      <c r="S288" s="743">
        <v>170.328</v>
      </c>
      <c r="T288" s="137"/>
      <c r="U288" s="697">
        <f>S288/L288</f>
        <v>0.44588481675392672</v>
      </c>
      <c r="W288" s="709">
        <f>(U288/U281-1)*100</f>
        <v>10.249868716538391</v>
      </c>
      <c r="X288" s="107"/>
      <c r="Z288" s="737">
        <f>+(0.752271+0.048238)/0.8</f>
        <v>1.0006362499999999</v>
      </c>
      <c r="AA288" s="713"/>
      <c r="AB288" s="694">
        <f>AVERAGE(Z288,Z287)</f>
        <v>0.99657562499999996</v>
      </c>
      <c r="AD288" s="689">
        <f>(AB288/AB281-1)*100</f>
        <v>7.6474233819681325</v>
      </c>
      <c r="AE288" s="107"/>
      <c r="AF288" s="655">
        <f>+H288/AD288*100</f>
        <v>80.4201469673947</v>
      </c>
      <c r="AG288" s="122"/>
      <c r="AI288" s="696">
        <f>+S288</f>
        <v>170.328</v>
      </c>
      <c r="AK288" s="698">
        <f>AI288/AB288</f>
        <v>170.91327113283552</v>
      </c>
      <c r="AM288" s="709">
        <f>(AK288/AK281-1)*100</f>
        <v>8.8275645087305676</v>
      </c>
      <c r="AN288" s="107"/>
    </row>
    <row r="289" spans="1:49" hidden="1" outlineLevel="1">
      <c r="A289" s="26" t="str">
        <f>$A$17</f>
        <v>4Q</v>
      </c>
      <c r="B289" s="218" t="str">
        <f>$B$17</f>
        <v>Jan</v>
      </c>
      <c r="D289" s="643">
        <f>(S289/S282-1)*100</f>
        <v>20.974765737392609</v>
      </c>
      <c r="F289" s="722">
        <v>15.4</v>
      </c>
      <c r="H289" s="643">
        <f>D289-F289</f>
        <v>5.5747657373926085</v>
      </c>
      <c r="J289" s="26">
        <f>yrSales!S44+yrSales!S45</f>
        <v>391</v>
      </c>
      <c r="K289" s="137">
        <f>J289-J288</f>
        <v>8</v>
      </c>
      <c r="L289" s="662">
        <f>AVERAGE(J289,J288)</f>
        <v>387</v>
      </c>
      <c r="N289" s="643">
        <f>(L289/L282-1)*100</f>
        <v>6.4649243466299966</v>
      </c>
      <c r="O289" s="107"/>
      <c r="P289" s="662">
        <f>H289/N289*100</f>
        <v>86.230950874136596</v>
      </c>
      <c r="Q289" s="122"/>
      <c r="S289" s="745">
        <v>186.68100000000001</v>
      </c>
      <c r="U289" s="702">
        <f>S289/L289</f>
        <v>0.48237984496124037</v>
      </c>
      <c r="W289" s="700">
        <f>(U289/U282-1)*100</f>
        <v>13.628752830858426</v>
      </c>
      <c r="X289" s="107"/>
      <c r="Z289" s="737">
        <f>+(0.768442+0.053263)/0.8</f>
        <v>1.0271312499999998</v>
      </c>
      <c r="AA289" s="45"/>
      <c r="AB289" s="703">
        <f>AVERAGE(Z289,Z288)</f>
        <v>1.0138837499999998</v>
      </c>
      <c r="AD289" s="643">
        <f>(AB289/AB282-1)*100</f>
        <v>8.0441657186852922</v>
      </c>
      <c r="AE289" s="107"/>
      <c r="AF289" s="662">
        <f>+H289/AD289*100</f>
        <v>69.301975274369738</v>
      </c>
      <c r="AG289" s="122"/>
      <c r="AI289" s="701">
        <f>+S289</f>
        <v>186.68100000000001</v>
      </c>
      <c r="AK289" s="704">
        <f>AI289/AB289</f>
        <v>184.12465926197166</v>
      </c>
      <c r="AM289" s="700">
        <f>(AK289/AK282-1)*100</f>
        <v>11.967883626751984</v>
      </c>
      <c r="AN289" s="107"/>
    </row>
    <row r="290" spans="1:49" hidden="1" outlineLevel="1">
      <c r="B290" s="218" t="str">
        <f>$B$18</f>
        <v>Year</v>
      </c>
      <c r="D290" s="689">
        <f>(S290/S283-1)*100</f>
        <v>17.965597503667595</v>
      </c>
      <c r="F290" s="690">
        <f>F286*S286/S290+F287*S287/S290+F288*S288/S290+F289*S289/S290</f>
        <v>12.332902759787348</v>
      </c>
      <c r="H290" s="689">
        <f>D290-F290</f>
        <v>5.632694743880247</v>
      </c>
      <c r="L290" s="699">
        <f>AVERAGE(L286:L289)</f>
        <v>378.75</v>
      </c>
      <c r="N290" s="689">
        <f>(L290/L283-1)*100</f>
        <v>6.2039957939011625</v>
      </c>
      <c r="O290" s="107"/>
      <c r="P290" s="655">
        <f>H290/N290*100</f>
        <v>90.791401719154408</v>
      </c>
      <c r="Q290" s="122"/>
      <c r="S290" s="692">
        <f>SUM(S286:S289)</f>
        <v>696.35800000000006</v>
      </c>
      <c r="U290" s="693">
        <f>SUM(U286:U289)</f>
        <v>1.8376979108817364</v>
      </c>
      <c r="W290" s="709">
        <f>(U290/U283-1)*100</f>
        <v>11.031898710893717</v>
      </c>
      <c r="X290" s="107"/>
      <c r="AB290" s="694">
        <f>AVERAGE(AB286:AB289)</f>
        <v>0.98681093749999993</v>
      </c>
      <c r="AD290" s="689">
        <f>(AB290/AB283-1)*100</f>
        <v>7.5583004344677018</v>
      </c>
      <c r="AE290" s="107"/>
      <c r="AF290" s="655">
        <f>+H290/AD290*100</f>
        <v>74.523297832853785</v>
      </c>
      <c r="AG290" s="122"/>
      <c r="AI290" s="692">
        <f>SUM(AI286:AI289)</f>
        <v>696.35800000000006</v>
      </c>
      <c r="AK290" s="695">
        <f>SUM(AK286:AK289)</f>
        <v>705.31682938239328</v>
      </c>
      <c r="AM290" s="709">
        <f>(AK290/AK283-1)*100</f>
        <v>9.6291008807618752</v>
      </c>
      <c r="AN290" s="107"/>
      <c r="AP290" s="726"/>
    </row>
    <row r="291" spans="1:49" collapsed="1">
      <c r="B291" s="218"/>
      <c r="D291" s="137"/>
      <c r="E291" s="137"/>
      <c r="F291" s="716"/>
      <c r="G291" s="137"/>
      <c r="L291" s="699"/>
      <c r="O291" s="107"/>
      <c r="S291" s="692"/>
      <c r="U291" s="236"/>
      <c r="Z291" s="791"/>
      <c r="AD291" s="236"/>
      <c r="AE291" s="107"/>
      <c r="AF291" s="236"/>
    </row>
    <row r="292" spans="1:49">
      <c r="A292" s="746"/>
      <c r="B292" s="747">
        <v>2012</v>
      </c>
      <c r="C292" s="137"/>
      <c r="D292" s="137"/>
      <c r="E292" s="137"/>
      <c r="F292" s="733"/>
      <c r="G292" s="137"/>
      <c r="H292" s="137"/>
      <c r="I292" s="137"/>
      <c r="J292" s="137"/>
      <c r="K292" s="137"/>
      <c r="L292" s="734"/>
      <c r="M292" s="137"/>
      <c r="N292" s="137"/>
      <c r="O292" s="735"/>
      <c r="P292" s="137"/>
      <c r="Q292" s="137"/>
      <c r="R292" s="137"/>
      <c r="S292" s="725"/>
      <c r="T292" s="137"/>
      <c r="U292" s="754"/>
      <c r="V292" s="137"/>
      <c r="W292" s="137"/>
      <c r="X292" s="137"/>
      <c r="Y292" s="137"/>
      <c r="Z292" s="768"/>
      <c r="AA292" s="137"/>
      <c r="AB292" s="137"/>
      <c r="AC292" s="137"/>
      <c r="AD292" s="754"/>
      <c r="AE292" s="735"/>
      <c r="AF292" s="754"/>
      <c r="AG292" s="137"/>
      <c r="AH292" s="137"/>
      <c r="AI292" s="137"/>
      <c r="AJ292" s="137"/>
      <c r="AK292" s="137"/>
      <c r="AL292" s="137"/>
      <c r="AM292" s="137"/>
      <c r="AN292" s="137"/>
      <c r="AO292" s="137"/>
      <c r="AP292" s="137"/>
      <c r="AQ292" s="137"/>
      <c r="AR292" s="137"/>
      <c r="AS292" s="137"/>
      <c r="AT292" s="137"/>
      <c r="AU292" s="137"/>
      <c r="AV292" s="137"/>
      <c r="AW292" s="137"/>
    </row>
    <row r="293" spans="1:49">
      <c r="A293" s="137" t="str">
        <f>$A$14</f>
        <v>1Q</v>
      </c>
      <c r="B293" s="749" t="str">
        <f>$B$14</f>
        <v>Apr</v>
      </c>
      <c r="C293" s="137"/>
      <c r="D293" s="728">
        <f>(S293/S286-1)*100</f>
        <v>18.186581516914902</v>
      </c>
      <c r="E293" s="735" t="s">
        <v>576</v>
      </c>
      <c r="F293" s="750">
        <v>11.3</v>
      </c>
      <c r="G293" s="735" t="s">
        <v>576</v>
      </c>
      <c r="H293" s="728">
        <f>D293-F293</f>
        <v>6.8865815169149016</v>
      </c>
      <c r="I293" s="137"/>
      <c r="J293" s="137">
        <f>372+30</f>
        <v>402</v>
      </c>
      <c r="K293" s="137">
        <f>J293-J289</f>
        <v>11</v>
      </c>
      <c r="L293" s="734">
        <f>AVERAGE(J293,J289)</f>
        <v>396.5</v>
      </c>
      <c r="M293" s="137"/>
      <c r="N293" s="728">
        <f>(L293/L286-1)*100</f>
        <v>7.5983717774762649</v>
      </c>
      <c r="O293" s="735" t="s">
        <v>576</v>
      </c>
      <c r="P293" s="731">
        <f>H293/N293*100</f>
        <v>90.632331749397792</v>
      </c>
      <c r="Q293" s="220" t="s">
        <v>576</v>
      </c>
      <c r="R293" s="137"/>
      <c r="S293" s="717">
        <v>191.727</v>
      </c>
      <c r="T293" s="137"/>
      <c r="U293" s="751">
        <f>S293/L293</f>
        <v>0.48354854981084489</v>
      </c>
      <c r="V293" s="137"/>
      <c r="W293" s="708">
        <f>(U293/U286-1)*100</f>
        <v>9.8404925321138315</v>
      </c>
      <c r="X293" s="735" t="s">
        <v>576</v>
      </c>
      <c r="Y293" s="137"/>
      <c r="Z293" s="737">
        <f>+(0.793663+0.059775)/0.8</f>
        <v>1.0667975000000001</v>
      </c>
      <c r="AA293" s="137"/>
      <c r="AB293" s="732">
        <f>AVERAGE(Z293,Z289)</f>
        <v>1.0469643749999999</v>
      </c>
      <c r="AC293" s="137"/>
      <c r="AD293" s="728">
        <f>(AB293/AB286-1)*100</f>
        <v>9.6389619025677433</v>
      </c>
      <c r="AE293" s="735" t="s">
        <v>576</v>
      </c>
      <c r="AF293" s="731">
        <f>+H293/AD293*100</f>
        <v>71.445261289811413</v>
      </c>
      <c r="AG293" s="220" t="s">
        <v>576</v>
      </c>
      <c r="AH293" s="137"/>
      <c r="AI293" s="725">
        <f>+S293</f>
        <v>191.727</v>
      </c>
      <c r="AJ293" s="735"/>
      <c r="AK293" s="752">
        <f>AI293/AB293</f>
        <v>183.1265748655488</v>
      </c>
      <c r="AL293" s="137"/>
      <c r="AM293" s="708">
        <f>(AK293/AK286-1)*100</f>
        <v>7.7961515377563462</v>
      </c>
      <c r="AN293" s="735" t="s">
        <v>576</v>
      </c>
      <c r="AO293" s="137"/>
      <c r="AP293" s="137"/>
      <c r="AQ293" s="137"/>
      <c r="AR293" s="137"/>
      <c r="AS293" s="137"/>
      <c r="AT293" s="137"/>
      <c r="AU293" s="137"/>
      <c r="AV293" s="137"/>
      <c r="AW293" s="137"/>
    </row>
    <row r="294" spans="1:49">
      <c r="A294" s="137" t="str">
        <f>$A$15</f>
        <v>2Q</v>
      </c>
      <c r="B294" s="749" t="str">
        <f>$B$15</f>
        <v>Jul</v>
      </c>
      <c r="C294" s="137"/>
      <c r="D294" s="728">
        <f>(S294/S287-1)*100</f>
        <v>9.8083274523641517</v>
      </c>
      <c r="E294" s="137"/>
      <c r="F294" s="750">
        <v>2.2999999999999998</v>
      </c>
      <c r="G294" s="137"/>
      <c r="H294" s="728">
        <f>D294-F294</f>
        <v>7.5083274523641519</v>
      </c>
      <c r="I294" s="137"/>
      <c r="J294" s="137">
        <f>383+37</f>
        <v>420</v>
      </c>
      <c r="K294" s="137">
        <f>J294-J293</f>
        <v>18</v>
      </c>
      <c r="L294" s="734">
        <f>AVERAGE(J294,J293)</f>
        <v>411</v>
      </c>
      <c r="M294" s="137"/>
      <c r="N294" s="728">
        <f>(L294/L287-1)*100</f>
        <v>8.8741721854304743</v>
      </c>
      <c r="O294" s="735"/>
      <c r="P294" s="731">
        <f>H294/N294*100</f>
        <v>84.608764575148172</v>
      </c>
      <c r="Q294" s="220"/>
      <c r="R294" s="137"/>
      <c r="S294" s="717">
        <f>194.498</f>
        <v>194.49799999999999</v>
      </c>
      <c r="T294" s="137"/>
      <c r="U294" s="755">
        <f>S294/L294</f>
        <v>0.47323114355231144</v>
      </c>
      <c r="V294" s="137"/>
      <c r="W294" s="708">
        <f>(U294/U287-1)*100</f>
        <v>0.8580136575850883</v>
      </c>
      <c r="X294" s="735"/>
      <c r="Y294" s="137"/>
      <c r="Z294" s="737">
        <f>+(0.825746+0.074202)/0.8</f>
        <v>1.1249349999999998</v>
      </c>
      <c r="AA294" s="713"/>
      <c r="AB294" s="732">
        <f>AVERAGE(Z294,Z293)</f>
        <v>1.0958662499999998</v>
      </c>
      <c r="AC294" s="137"/>
      <c r="AD294" s="728">
        <f>(AB294/AB287-1)*100</f>
        <v>11.610755813398344</v>
      </c>
      <c r="AE294" s="735"/>
      <c r="AF294" s="731">
        <f>+H294/AD294*100</f>
        <v>64.666999918298558</v>
      </c>
      <c r="AG294" s="220"/>
      <c r="AH294" s="137"/>
      <c r="AI294" s="727">
        <f>+S294</f>
        <v>194.49799999999999</v>
      </c>
      <c r="AJ294" s="137"/>
      <c r="AK294" s="756">
        <f>AI294/AB294</f>
        <v>177.48333795296645</v>
      </c>
      <c r="AL294" s="137"/>
      <c r="AM294" s="708">
        <f>(AK294/AK287-1)*100</f>
        <v>-1.6149235330398359</v>
      </c>
      <c r="AN294" s="735"/>
      <c r="AO294" s="137"/>
      <c r="AP294" s="137"/>
      <c r="AQ294" s="137"/>
      <c r="AR294" s="137"/>
      <c r="AS294" s="137"/>
      <c r="AT294" s="137"/>
      <c r="AU294" s="137"/>
      <c r="AV294" s="137"/>
      <c r="AW294" s="137"/>
    </row>
    <row r="295" spans="1:49">
      <c r="A295" s="137" t="str">
        <f>$A$16</f>
        <v>3Q</v>
      </c>
      <c r="B295" s="749" t="str">
        <f>$B$16</f>
        <v>Oct</v>
      </c>
      <c r="C295" s="137"/>
      <c r="D295" s="728">
        <f>(S295/S288-1)*100</f>
        <v>15.804800150298238</v>
      </c>
      <c r="E295" s="137"/>
      <c r="F295" s="750">
        <v>6.4</v>
      </c>
      <c r="G295" s="137"/>
      <c r="H295" s="728">
        <f>D295-F295</f>
        <v>9.4048001502982377</v>
      </c>
      <c r="I295" s="137"/>
      <c r="J295" s="137">
        <f>383+37</f>
        <v>420</v>
      </c>
      <c r="K295" s="137">
        <f>J295-J294</f>
        <v>0</v>
      </c>
      <c r="L295" s="734">
        <f>AVERAGE(J295,J294)</f>
        <v>420</v>
      </c>
      <c r="M295" s="137"/>
      <c r="N295" s="728">
        <f>(L295/L288-1)*100</f>
        <v>9.9476439790575846</v>
      </c>
      <c r="O295" s="735"/>
      <c r="P295" s="731">
        <f>H295/N295*100</f>
        <v>94.542990984577088</v>
      </c>
      <c r="Q295" s="220"/>
      <c r="R295" s="137"/>
      <c r="S295" s="717">
        <v>197.24799999999999</v>
      </c>
      <c r="T295" s="137"/>
      <c r="U295" s="755">
        <f>S295/L295</f>
        <v>0.46963809523809519</v>
      </c>
      <c r="V295" s="137"/>
      <c r="W295" s="708">
        <f>(U295/U288-1)*100</f>
        <v>5.3272229938426729</v>
      </c>
      <c r="X295" s="735"/>
      <c r="Y295" s="137"/>
      <c r="Z295" s="737">
        <f>(0.868288+0.087313)/0.8</f>
        <v>1.1945012499999998</v>
      </c>
      <c r="AA295" s="713"/>
      <c r="AB295" s="732">
        <f>AVERAGE(Z295,Z294)</f>
        <v>1.1597181249999999</v>
      </c>
      <c r="AC295" s="137"/>
      <c r="AD295" s="728">
        <f>(AB295/AB288-1)*100</f>
        <v>16.370308073709914</v>
      </c>
      <c r="AE295" s="735"/>
      <c r="AF295" s="731">
        <f>+H295/AD295*100</f>
        <v>57.450355289293455</v>
      </c>
      <c r="AG295" s="220"/>
      <c r="AH295" s="137"/>
      <c r="AI295" s="727">
        <f>+S295</f>
        <v>197.24799999999999</v>
      </c>
      <c r="AJ295" s="137"/>
      <c r="AK295" s="756">
        <f>AI295/AB295</f>
        <v>170.08270867543783</v>
      </c>
      <c r="AL295" s="137"/>
      <c r="AM295" s="708">
        <f>(AK295/AK288-1)*100</f>
        <v>-0.48595550941867849</v>
      </c>
      <c r="AN295" s="735"/>
      <c r="AO295" s="137"/>
      <c r="AP295" s="137"/>
      <c r="AQ295" s="137"/>
      <c r="AR295" s="137"/>
      <c r="AS295" s="137"/>
      <c r="AT295" s="137"/>
      <c r="AU295" s="137"/>
      <c r="AV295" s="137"/>
      <c r="AW295" s="137"/>
    </row>
    <row r="296" spans="1:49">
      <c r="A296" s="137" t="str">
        <f>$A$17</f>
        <v>4Q</v>
      </c>
      <c r="B296" s="749" t="str">
        <f>$B$17</f>
        <v>Jan</v>
      </c>
      <c r="C296" s="137"/>
      <c r="D296" s="744">
        <f>(S296/S289-1)*100</f>
        <v>21.223906021501904</v>
      </c>
      <c r="E296" s="137"/>
      <c r="F296" s="738">
        <v>6.3</v>
      </c>
      <c r="G296" s="137"/>
      <c r="H296" s="744">
        <f>D296-F296</f>
        <v>14.923906021501903</v>
      </c>
      <c r="I296" s="137"/>
      <c r="J296" s="137">
        <f>398+45</f>
        <v>443</v>
      </c>
      <c r="K296" s="137">
        <f>J296-J295</f>
        <v>23</v>
      </c>
      <c r="L296" s="736">
        <f>AVERAGE(J296,J295)</f>
        <v>431.5</v>
      </c>
      <c r="M296" s="137"/>
      <c r="N296" s="744">
        <f>(L296/L289-1)*100</f>
        <v>11.498708010335923</v>
      </c>
      <c r="O296" s="735"/>
      <c r="P296" s="736">
        <f>H296/N296*100</f>
        <v>129.78767708587043</v>
      </c>
      <c r="Q296" s="220"/>
      <c r="R296" s="137"/>
      <c r="S296" s="757">
        <v>226.30199999999999</v>
      </c>
      <c r="T296" s="137"/>
      <c r="U296" s="758">
        <f>S296/L296</f>
        <v>0.5244542294322132</v>
      </c>
      <c r="V296" s="137"/>
      <c r="W296" s="759">
        <f>(U296/U289-1)*100</f>
        <v>8.7222517504547792</v>
      </c>
      <c r="X296" s="735"/>
      <c r="Y296" s="137"/>
      <c r="Z296" s="737">
        <f>(0.873183+0.091619)/0.8</f>
        <v>1.2060025000000001</v>
      </c>
      <c r="AA296" s="713"/>
      <c r="AB296" s="760">
        <f>AVERAGE(Z296,Z295)</f>
        <v>1.200251875</v>
      </c>
      <c r="AC296" s="137"/>
      <c r="AD296" s="744">
        <f>(AB296/AB289-1)*100</f>
        <v>18.38160686567867</v>
      </c>
      <c r="AE296" s="735"/>
      <c r="AF296" s="736">
        <f>+H296/AD296*100</f>
        <v>81.189343948853391</v>
      </c>
      <c r="AG296" s="220"/>
      <c r="AH296" s="137"/>
      <c r="AI296" s="729">
        <f>+S296</f>
        <v>226.30199999999999</v>
      </c>
      <c r="AJ296" s="137"/>
      <c r="AK296" s="761">
        <f>AI296/AB296</f>
        <v>188.54542510087725</v>
      </c>
      <c r="AL296" s="137"/>
      <c r="AM296" s="759">
        <f>(AK296/AK289-1)*100</f>
        <v>2.4009634867080631</v>
      </c>
      <c r="AN296" s="735"/>
      <c r="AO296" s="137"/>
      <c r="AP296" s="137"/>
      <c r="AQ296" s="137"/>
      <c r="AR296" s="137"/>
      <c r="AS296" s="137"/>
      <c r="AT296" s="137"/>
      <c r="AU296" s="137"/>
      <c r="AV296" s="137"/>
      <c r="AW296" s="137"/>
    </row>
    <row r="297" spans="1:49">
      <c r="A297" s="137"/>
      <c r="B297" s="749" t="str">
        <f>$B$18</f>
        <v>Year</v>
      </c>
      <c r="C297" s="137"/>
      <c r="D297" s="728">
        <f>(S297/S290-1)*100</f>
        <v>16.287168381780614</v>
      </c>
      <c r="E297" s="137"/>
      <c r="F297" s="762">
        <f>F293*S293/S297+F294*S294/S297+F295*S295/S297+F296*S296/S297</f>
        <v>6.5474363866506131</v>
      </c>
      <c r="G297" s="137"/>
      <c r="H297" s="728">
        <f>D297-F297</f>
        <v>9.7397319951300005</v>
      </c>
      <c r="I297" s="137"/>
      <c r="J297" s="137"/>
      <c r="K297" s="137"/>
      <c r="L297" s="734">
        <f>AVERAGE(L293:L296)</f>
        <v>414.75</v>
      </c>
      <c r="M297" s="137"/>
      <c r="N297" s="728">
        <f>(L297/L290-1)*100</f>
        <v>9.5049504950495134</v>
      </c>
      <c r="O297" s="735"/>
      <c r="P297" s="731">
        <f>H297/N297*100</f>
        <v>102.4700970320968</v>
      </c>
      <c r="Q297" s="220"/>
      <c r="R297" s="137"/>
      <c r="S297" s="725">
        <f>SUM(S293:S296)</f>
        <v>809.77499999999998</v>
      </c>
      <c r="T297" s="137"/>
      <c r="U297" s="751">
        <f>SUM(U293:U296)</f>
        <v>1.9508720180334647</v>
      </c>
      <c r="V297" s="137"/>
      <c r="W297" s="708">
        <f>(U297/U290-1)*100</f>
        <v>6.1584717750169604</v>
      </c>
      <c r="X297" s="735"/>
      <c r="Y297" s="137"/>
      <c r="Z297" s="137"/>
      <c r="AA297" s="137"/>
      <c r="AB297" s="732">
        <f>AVERAGE(AB293:AB296)</f>
        <v>1.12570015625</v>
      </c>
      <c r="AC297" s="137"/>
      <c r="AD297" s="728">
        <f>(AB297/AB290-1)*100</f>
        <v>14.074552021268016</v>
      </c>
      <c r="AE297" s="735"/>
      <c r="AF297" s="731">
        <f>+H297/AD297*100</f>
        <v>69.201008887617306</v>
      </c>
      <c r="AG297" s="220"/>
      <c r="AH297" s="137"/>
      <c r="AI297" s="725">
        <f>SUM(AI293:AI296)</f>
        <v>809.77499999999998</v>
      </c>
      <c r="AJ297" s="137"/>
      <c r="AK297" s="752">
        <f>SUM(AK293:AK296)</f>
        <v>719.23804659483039</v>
      </c>
      <c r="AL297" s="137"/>
      <c r="AM297" s="708">
        <f>(AK297/AK290-1)*100</f>
        <v>1.9737537277576545</v>
      </c>
      <c r="AN297" s="735"/>
      <c r="AO297" s="137"/>
      <c r="AP297" s="726"/>
      <c r="AQ297" s="137"/>
      <c r="AR297" s="137"/>
      <c r="AS297" s="137"/>
      <c r="AT297" s="137"/>
      <c r="AU297" s="137"/>
      <c r="AV297" s="137"/>
      <c r="AW297" s="137"/>
    </row>
    <row r="298" spans="1:49">
      <c r="A298" s="137"/>
      <c r="B298" s="749"/>
      <c r="C298" s="137"/>
      <c r="D298" s="728"/>
      <c r="E298" s="137"/>
      <c r="F298" s="762"/>
      <c r="G298" s="137"/>
      <c r="H298" s="728"/>
      <c r="I298" s="137"/>
      <c r="J298" s="137"/>
      <c r="K298" s="137"/>
      <c r="L298" s="734"/>
      <c r="M298" s="137"/>
      <c r="N298" s="728"/>
      <c r="O298" s="735"/>
      <c r="P298" s="731"/>
      <c r="Q298" s="220"/>
      <c r="R298" s="137"/>
      <c r="S298" s="725"/>
      <c r="T298" s="137"/>
      <c r="U298" s="751"/>
      <c r="V298" s="137"/>
      <c r="W298" s="708"/>
      <c r="X298" s="735"/>
      <c r="Y298" s="137"/>
      <c r="Z298" s="137"/>
      <c r="AA298" s="137"/>
      <c r="AB298" s="732"/>
      <c r="AC298" s="137"/>
      <c r="AD298" s="728"/>
      <c r="AE298" s="735"/>
      <c r="AF298" s="731"/>
      <c r="AG298" s="220"/>
      <c r="AH298" s="137"/>
      <c r="AI298" s="725"/>
      <c r="AJ298" s="137"/>
      <c r="AK298" s="752"/>
      <c r="AL298" s="137"/>
      <c r="AM298" s="708"/>
      <c r="AN298" s="735"/>
      <c r="AO298" s="137"/>
      <c r="AP298" s="726"/>
      <c r="AQ298" s="137"/>
      <c r="AR298" s="137"/>
      <c r="AS298" s="137"/>
      <c r="AT298" s="137"/>
      <c r="AU298" s="137"/>
      <c r="AV298" s="137"/>
      <c r="AW298" s="137"/>
    </row>
    <row r="299" spans="1:49">
      <c r="A299" s="746"/>
      <c r="B299" s="747">
        <v>2013</v>
      </c>
      <c r="C299" s="137"/>
      <c r="D299" s="728"/>
      <c r="E299" s="137"/>
      <c r="F299" s="762"/>
      <c r="G299" s="137"/>
      <c r="H299" s="728"/>
      <c r="I299" s="137"/>
      <c r="J299" s="137"/>
      <c r="K299" s="137"/>
      <c r="L299" s="734"/>
      <c r="M299" s="137"/>
      <c r="N299" s="728"/>
      <c r="O299" s="735"/>
      <c r="P299" s="731"/>
      <c r="Q299" s="220"/>
      <c r="R299" s="137"/>
      <c r="S299" s="725"/>
      <c r="T299" s="137"/>
      <c r="U299" s="751"/>
      <c r="V299" s="137"/>
      <c r="W299" s="708"/>
      <c r="X299" s="735"/>
      <c r="Y299" s="137"/>
      <c r="Z299" s="137"/>
      <c r="AA299" s="137"/>
      <c r="AB299" s="732"/>
      <c r="AC299" s="137"/>
      <c r="AD299" s="728"/>
      <c r="AE299" s="735"/>
      <c r="AF299" s="731"/>
      <c r="AG299" s="220"/>
      <c r="AH299" s="137"/>
      <c r="AI299" s="725"/>
      <c r="AJ299" s="137"/>
      <c r="AK299" s="752"/>
      <c r="AL299" s="137"/>
      <c r="AM299" s="708"/>
      <c r="AN299" s="735"/>
      <c r="AO299" s="137"/>
      <c r="AP299" s="726"/>
      <c r="AQ299" s="137"/>
      <c r="AR299" s="137"/>
      <c r="AS299" s="137"/>
      <c r="AT299" s="137"/>
      <c r="AU299" s="137"/>
      <c r="AV299" s="137"/>
      <c r="AW299" s="137"/>
    </row>
    <row r="300" spans="1:49">
      <c r="A300" s="137" t="str">
        <f>$A$14</f>
        <v>1Q</v>
      </c>
      <c r="B300" s="749" t="str">
        <f>$B$14</f>
        <v>Apr</v>
      </c>
      <c r="C300" s="137"/>
      <c r="D300" s="728">
        <f>(S300/S293-1)*100</f>
        <v>14.954075325853955</v>
      </c>
      <c r="E300" s="137" t="s">
        <v>576</v>
      </c>
      <c r="F300" s="750">
        <v>6.4</v>
      </c>
      <c r="G300" s="137" t="s">
        <v>576</v>
      </c>
      <c r="H300" s="728">
        <f>D300-F300</f>
        <v>8.5540753258539546</v>
      </c>
      <c r="I300" s="137"/>
      <c r="J300" s="137">
        <f>409+48</f>
        <v>457</v>
      </c>
      <c r="K300" s="137">
        <f>J300-J296</f>
        <v>14</v>
      </c>
      <c r="L300" s="734">
        <f>AVERAGE(J300,J296)</f>
        <v>450</v>
      </c>
      <c r="M300" s="137"/>
      <c r="N300" s="728">
        <f>(L300/L293-1)*100</f>
        <v>13.493064312736447</v>
      </c>
      <c r="O300" s="735" t="s">
        <v>576</v>
      </c>
      <c r="P300" s="731">
        <f>H300/N300*100</f>
        <v>63.396090966375553</v>
      </c>
      <c r="Q300" s="220" t="s">
        <v>576</v>
      </c>
      <c r="R300" s="137"/>
      <c r="S300" s="717">
        <v>220.398</v>
      </c>
      <c r="T300" s="137"/>
      <c r="U300" s="751">
        <f>S300/L300</f>
        <v>0.48977333333333334</v>
      </c>
      <c r="V300" s="137"/>
      <c r="W300" s="708">
        <f>(U300/U293-1)*100</f>
        <v>1.2873130371135355</v>
      </c>
      <c r="X300" s="735" t="s">
        <v>576</v>
      </c>
      <c r="Y300" s="137"/>
      <c r="Z300" s="737">
        <f>(0.910115+0.097604)/0.8</f>
        <v>1.25964875</v>
      </c>
      <c r="AA300" s="137"/>
      <c r="AB300" s="732">
        <f>AVERAGE(Z300,Z296)</f>
        <v>1.232825625</v>
      </c>
      <c r="AC300" s="137"/>
      <c r="AD300" s="728">
        <f>(AB300/AB293-1)*100</f>
        <v>17.752394870169308</v>
      </c>
      <c r="AE300" s="735" t="s">
        <v>576</v>
      </c>
      <c r="AF300" s="731">
        <f>+H300/AD300*100</f>
        <v>48.18547237380357</v>
      </c>
      <c r="AG300" s="220" t="s">
        <v>576</v>
      </c>
      <c r="AH300" s="137"/>
      <c r="AI300" s="725">
        <f>+S300</f>
        <v>220.398</v>
      </c>
      <c r="AJ300" s="137"/>
      <c r="AK300" s="752">
        <f>AI300/AB300</f>
        <v>178.77467464224713</v>
      </c>
      <c r="AL300" s="137"/>
      <c r="AM300" s="708">
        <f>(AK300/AK293-1)*100</f>
        <v>-2.3764438484675576</v>
      </c>
      <c r="AN300" s="735" t="s">
        <v>576</v>
      </c>
      <c r="AO300" s="137"/>
      <c r="AP300" s="726"/>
      <c r="AQ300" s="137"/>
      <c r="AR300" s="137"/>
      <c r="AS300" s="137"/>
      <c r="AT300" s="137"/>
      <c r="AU300" s="137"/>
      <c r="AV300" s="137"/>
      <c r="AW300" s="137"/>
    </row>
    <row r="301" spans="1:49">
      <c r="A301" s="137" t="str">
        <f>$A$15</f>
        <v>2Q</v>
      </c>
      <c r="B301" s="749" t="str">
        <f>$B$15</f>
        <v>Jul</v>
      </c>
      <c r="C301" s="137"/>
      <c r="D301" s="728">
        <f>(S301/S294-1)*100</f>
        <v>5.4458143528468339</v>
      </c>
      <c r="E301" s="137"/>
      <c r="F301" s="750">
        <v>-1.5</v>
      </c>
      <c r="G301" s="137"/>
      <c r="H301" s="728">
        <f>D301-F301</f>
        <v>6.9458143528468339</v>
      </c>
      <c r="I301" s="137"/>
      <c r="J301" s="137">
        <f>416+52</f>
        <v>468</v>
      </c>
      <c r="K301" s="137">
        <f>J301-J300</f>
        <v>11</v>
      </c>
      <c r="L301" s="734">
        <f>AVERAGE(J301,J300)</f>
        <v>462.5</v>
      </c>
      <c r="M301" s="137"/>
      <c r="N301" s="728">
        <f>(L301/L294-1)*100</f>
        <v>12.530413625304138</v>
      </c>
      <c r="O301" s="735"/>
      <c r="P301" s="731">
        <f>H301/N301*100</f>
        <v>55.431644641165988</v>
      </c>
      <c r="Q301" s="220"/>
      <c r="R301" s="137"/>
      <c r="S301" s="717">
        <v>205.09</v>
      </c>
      <c r="T301" s="137"/>
      <c r="U301" s="755">
        <f>S301/L301</f>
        <v>0.44343783783783786</v>
      </c>
      <c r="V301" s="137"/>
      <c r="W301" s="708">
        <f>(U301/U294-1)*100</f>
        <v>-6.2957195696863977</v>
      </c>
      <c r="X301" s="735"/>
      <c r="Y301" s="137"/>
      <c r="Z301" s="737">
        <f>(0.932056+0.10624)/0.8</f>
        <v>1.2978699999999999</v>
      </c>
      <c r="AA301" s="137"/>
      <c r="AB301" s="732">
        <f>AVERAGE(Z301,Z300)</f>
        <v>1.2787593749999999</v>
      </c>
      <c r="AC301" s="137"/>
      <c r="AD301" s="728">
        <f>(AB301/AB294-1)*100</f>
        <v>16.689365604607321</v>
      </c>
      <c r="AE301" s="735"/>
      <c r="AF301" s="731">
        <f>+H301/AD301*100</f>
        <v>41.618204774238684</v>
      </c>
      <c r="AG301" s="220"/>
      <c r="AH301" s="137"/>
      <c r="AI301" s="727">
        <f>+S301</f>
        <v>205.09</v>
      </c>
      <c r="AJ301" s="137"/>
      <c r="AK301" s="756">
        <f>AI301/AB301</f>
        <v>160.38201088457319</v>
      </c>
      <c r="AL301" s="137"/>
      <c r="AM301" s="708">
        <f>(AK301/AK294-1)*100</f>
        <v>-9.6354549478470766</v>
      </c>
      <c r="AN301" s="735"/>
      <c r="AO301" s="137"/>
      <c r="AP301" s="726"/>
      <c r="AQ301" s="137"/>
      <c r="AR301" s="137"/>
      <c r="AS301" s="137"/>
      <c r="AT301" s="137"/>
      <c r="AU301" s="137"/>
      <c r="AV301" s="137"/>
      <c r="AW301" s="137"/>
    </row>
    <row r="302" spans="1:49">
      <c r="A302" s="137" t="str">
        <f>$A$16</f>
        <v>3Q</v>
      </c>
      <c r="B302" s="749" t="str">
        <f>$B$16</f>
        <v>Oct</v>
      </c>
      <c r="C302" s="137"/>
      <c r="D302" s="728">
        <f>(S302/S295-1)*100</f>
        <v>10.622160934458137</v>
      </c>
      <c r="E302" s="137"/>
      <c r="F302" s="750">
        <v>2.5</v>
      </c>
      <c r="G302" s="137"/>
      <c r="H302" s="728">
        <f>D302-F302</f>
        <v>8.1221609344581367</v>
      </c>
      <c r="I302" s="137"/>
      <c r="J302" s="137">
        <f>434+56+2</f>
        <v>492</v>
      </c>
      <c r="K302" s="137">
        <f>J302-J301</f>
        <v>24</v>
      </c>
      <c r="L302" s="734">
        <f>AVERAGE(J302,J301)</f>
        <v>480</v>
      </c>
      <c r="M302" s="137"/>
      <c r="N302" s="728">
        <f>(L302/L295-1)*100</f>
        <v>14.285714285714279</v>
      </c>
      <c r="O302" s="735"/>
      <c r="P302" s="731">
        <f>H302/N302*100</f>
        <v>56.855126541206978</v>
      </c>
      <c r="Q302" s="220"/>
      <c r="R302" s="137"/>
      <c r="S302" s="717">
        <v>218.2</v>
      </c>
      <c r="T302" s="137"/>
      <c r="U302" s="755">
        <f>S302/L302</f>
        <v>0.45458333333333328</v>
      </c>
      <c r="V302" s="137"/>
      <c r="W302" s="708">
        <f>(U302/U295-1)*100</f>
        <v>-3.2056091823491228</v>
      </c>
      <c r="X302" s="735"/>
      <c r="Y302" s="137"/>
      <c r="Z302" s="737">
        <f>(0.978304+0.115096+0.005461)/0.8</f>
        <v>1.3735762499999997</v>
      </c>
      <c r="AA302" s="137"/>
      <c r="AB302" s="732">
        <f>AVERAGE(Z302,Z301)</f>
        <v>1.3357231249999999</v>
      </c>
      <c r="AC302" s="137"/>
      <c r="AD302" s="728">
        <f>(AB302/AB295-1)*100</f>
        <v>15.176532659606391</v>
      </c>
      <c r="AE302" s="735"/>
      <c r="AF302" s="731">
        <f>+H302/AD302*100</f>
        <v>53.517895797608283</v>
      </c>
      <c r="AG302" s="220"/>
      <c r="AH302" s="137"/>
      <c r="AI302" s="727">
        <f>+S302</f>
        <v>218.2</v>
      </c>
      <c r="AJ302" s="137"/>
      <c r="AK302" s="756">
        <f>AI302/AB302</f>
        <v>163.35720772970822</v>
      </c>
      <c r="AL302" s="137"/>
      <c r="AM302" s="708">
        <f>(AK302/AK295-1)*100</f>
        <v>-3.9542531972274864</v>
      </c>
      <c r="AN302" s="735"/>
      <c r="AO302" s="137"/>
      <c r="AP302" s="726"/>
      <c r="AQ302" s="137"/>
      <c r="AR302" s="137"/>
      <c r="AS302" s="137"/>
      <c r="AT302" s="137"/>
      <c r="AU302" s="137"/>
      <c r="AV302" s="137"/>
      <c r="AW302" s="137"/>
    </row>
    <row r="303" spans="1:49">
      <c r="A303" s="137" t="str">
        <f>$A$17</f>
        <v>4Q</v>
      </c>
      <c r="B303" s="749" t="str">
        <f>$B$17</f>
        <v>Jan</v>
      </c>
      <c r="C303" s="137"/>
      <c r="D303" s="744">
        <f>(S303/S296-1)*100</f>
        <v>-4.8687152566040055</v>
      </c>
      <c r="E303" s="137"/>
      <c r="F303" s="738">
        <v>-6.6</v>
      </c>
      <c r="G303" s="137"/>
      <c r="H303" s="744">
        <f>D303-F303</f>
        <v>1.7312847433959941</v>
      </c>
      <c r="I303" s="137"/>
      <c r="J303" s="137">
        <f>436+59+3</f>
        <v>498</v>
      </c>
      <c r="K303" s="137">
        <f>J303-J302</f>
        <v>6</v>
      </c>
      <c r="L303" s="736">
        <f>AVERAGE(J303,J302)</f>
        <v>495</v>
      </c>
      <c r="M303" s="137"/>
      <c r="N303" s="744">
        <f>(L303/L296-1)*100</f>
        <v>14.716106604866752</v>
      </c>
      <c r="O303" s="735"/>
      <c r="P303" s="736">
        <f>H303/N303*100</f>
        <v>11.764556957092458</v>
      </c>
      <c r="Q303" s="220"/>
      <c r="R303" s="137"/>
      <c r="S303" s="757">
        <v>215.28399999999999</v>
      </c>
      <c r="T303" s="137"/>
      <c r="U303" s="758">
        <f>S303/L303</f>
        <v>0.4349171717171717</v>
      </c>
      <c r="V303" s="137"/>
      <c r="W303" s="759">
        <f>(U303/U296-1)*100</f>
        <v>-17.072425521665924</v>
      </c>
      <c r="X303" s="735"/>
      <c r="Y303" s="137"/>
      <c r="Z303" s="737">
        <f>(0.986708+0.121565+0.007987)/0.8</f>
        <v>1.3953249999999999</v>
      </c>
      <c r="AA303" s="137"/>
      <c r="AB303" s="760">
        <f>AVERAGE(Z303,Z302)</f>
        <v>1.3844506249999999</v>
      </c>
      <c r="AC303" s="137"/>
      <c r="AD303" s="744">
        <f>(AB303/AB296-1)*100</f>
        <v>15.346674630272904</v>
      </c>
      <c r="AE303" s="735"/>
      <c r="AF303" s="736">
        <f>+H303/AD303*100</f>
        <v>11.28117188319648</v>
      </c>
      <c r="AG303" s="220"/>
      <c r="AH303" s="137"/>
      <c r="AI303" s="729">
        <f>+S303</f>
        <v>215.28399999999999</v>
      </c>
      <c r="AJ303" s="137"/>
      <c r="AK303" s="761">
        <f>AI303/AB303</f>
        <v>155.50139247472259</v>
      </c>
      <c r="AL303" s="137"/>
      <c r="AM303" s="759">
        <f>(AK303/AK296-1)*100</f>
        <v>-17.525767389198201</v>
      </c>
      <c r="AN303" s="735"/>
      <c r="AO303" s="137"/>
      <c r="AP303" s="726"/>
      <c r="AQ303" s="137"/>
      <c r="AR303" s="137"/>
      <c r="AS303" s="137"/>
      <c r="AT303" s="137"/>
      <c r="AU303" s="137"/>
      <c r="AV303" s="137"/>
      <c r="AW303" s="137"/>
    </row>
    <row r="304" spans="1:49">
      <c r="A304" s="137"/>
      <c r="B304" s="749" t="str">
        <f>$B$18</f>
        <v>Year</v>
      </c>
      <c r="C304" s="137"/>
      <c r="D304" s="728">
        <f>(S304/S297-1)*100</f>
        <v>6.0753913124016012</v>
      </c>
      <c r="E304" s="137"/>
      <c r="F304" s="762">
        <v>0</v>
      </c>
      <c r="G304" s="137"/>
      <c r="H304" s="728">
        <f>D304-F304</f>
        <v>6.0753913124016012</v>
      </c>
      <c r="I304" s="137"/>
      <c r="J304" s="137"/>
      <c r="K304" s="137"/>
      <c r="L304" s="734">
        <f>AVERAGE(L300:L303)</f>
        <v>471.875</v>
      </c>
      <c r="M304" s="137"/>
      <c r="N304" s="728">
        <f>(L304/L297-1)*100</f>
        <v>13.773357444243528</v>
      </c>
      <c r="O304" s="735"/>
      <c r="P304" s="731">
        <f>H304/N304*100</f>
        <v>44.109733861156457</v>
      </c>
      <c r="Q304" s="220"/>
      <c r="R304" s="137"/>
      <c r="S304" s="725">
        <f>SUM(S300:S303)</f>
        <v>858.97199999999998</v>
      </c>
      <c r="T304" s="137"/>
      <c r="U304" s="751">
        <f>SUM(U300:U303)</f>
        <v>1.8227116762216764</v>
      </c>
      <c r="V304" s="137"/>
      <c r="W304" s="708">
        <f>(U304/U297-1)*100</f>
        <v>-6.5693874650464057</v>
      </c>
      <c r="X304" s="735"/>
      <c r="Y304" s="137"/>
      <c r="Z304" s="137"/>
      <c r="AA304" s="137"/>
      <c r="AB304" s="732">
        <f>AVERAGE(AB300:AB303)</f>
        <v>1.3079396875</v>
      </c>
      <c r="AC304" s="137"/>
      <c r="AD304" s="728">
        <f>(AB304/AB297-1)*100</f>
        <v>16.188994044123373</v>
      </c>
      <c r="AE304" s="735"/>
      <c r="AF304" s="731">
        <f>+H304/AD304*100</f>
        <v>37.527911220691173</v>
      </c>
      <c r="AG304" s="220"/>
      <c r="AH304" s="137"/>
      <c r="AI304" s="725">
        <f>SUM(AI300:AI303)</f>
        <v>858.97199999999998</v>
      </c>
      <c r="AJ304" s="137"/>
      <c r="AK304" s="752">
        <f>SUM(AK300:AK303)</f>
        <v>658.01528573125108</v>
      </c>
      <c r="AL304" s="137"/>
      <c r="AM304" s="708">
        <f>(AK304/AK297-1)*100</f>
        <v>-8.5121693927946556</v>
      </c>
      <c r="AN304" s="735"/>
      <c r="AO304" s="137"/>
      <c r="AP304" s="726"/>
      <c r="AQ304" s="137"/>
      <c r="AR304" s="137"/>
      <c r="AS304" s="137"/>
      <c r="AT304" s="137"/>
      <c r="AU304" s="137"/>
      <c r="AV304" s="137"/>
      <c r="AW304" s="137"/>
    </row>
    <row r="305" spans="1:49">
      <c r="A305" s="137"/>
      <c r="B305" s="749"/>
      <c r="C305" s="137"/>
      <c r="D305" s="728"/>
      <c r="E305" s="137"/>
      <c r="F305" s="762"/>
      <c r="G305" s="137"/>
      <c r="H305" s="728"/>
      <c r="I305" s="137"/>
      <c r="J305" s="137"/>
      <c r="K305" s="137"/>
      <c r="L305" s="734"/>
      <c r="M305" s="137"/>
      <c r="N305" s="728"/>
      <c r="O305" s="735"/>
      <c r="P305" s="731"/>
      <c r="Q305" s="220"/>
      <c r="R305" s="137"/>
      <c r="S305" s="725"/>
      <c r="T305" s="137"/>
      <c r="U305" s="751"/>
      <c r="V305" s="137"/>
      <c r="W305" s="708"/>
      <c r="X305" s="735"/>
      <c r="Y305" s="137"/>
      <c r="Z305" s="137"/>
      <c r="AA305" s="137"/>
      <c r="AB305" s="732"/>
      <c r="AC305" s="137"/>
      <c r="AD305" s="728"/>
      <c r="AE305" s="735"/>
      <c r="AF305" s="731"/>
      <c r="AG305" s="220"/>
      <c r="AH305" s="137"/>
      <c r="AI305" s="725"/>
      <c r="AJ305" s="137"/>
      <c r="AK305" s="752"/>
      <c r="AL305" s="137"/>
      <c r="AM305" s="708"/>
      <c r="AN305" s="735"/>
      <c r="AO305" s="137"/>
      <c r="AP305" s="726"/>
      <c r="AQ305" s="137"/>
      <c r="AR305" s="137"/>
      <c r="AS305" s="137"/>
      <c r="AT305" s="137"/>
      <c r="AU305" s="137"/>
      <c r="AV305" s="137"/>
      <c r="AW305" s="137"/>
    </row>
    <row r="306" spans="1:49">
      <c r="A306" s="746"/>
      <c r="B306" s="747">
        <v>2014</v>
      </c>
      <c r="C306" s="137"/>
      <c r="D306" s="728"/>
      <c r="E306" s="137"/>
      <c r="F306" s="762"/>
      <c r="G306" s="137"/>
      <c r="H306" s="728"/>
      <c r="I306" s="137"/>
      <c r="J306" s="137"/>
      <c r="K306" s="137"/>
      <c r="L306" s="734"/>
      <c r="M306" s="137"/>
      <c r="N306" s="728"/>
      <c r="O306" s="735"/>
      <c r="P306" s="731"/>
      <c r="Q306" s="220"/>
      <c r="R306" s="137"/>
      <c r="S306" s="725"/>
      <c r="T306" s="137"/>
      <c r="U306" s="751"/>
      <c r="V306" s="137"/>
      <c r="W306" s="708"/>
      <c r="X306" s="735"/>
      <c r="Y306" s="137"/>
      <c r="Z306" s="137"/>
      <c r="AA306" s="137"/>
      <c r="AB306" s="732"/>
      <c r="AC306" s="137"/>
      <c r="AD306" s="728"/>
      <c r="AE306" s="735"/>
      <c r="AF306" s="731"/>
      <c r="AG306" s="220"/>
      <c r="AH306" s="137"/>
      <c r="AI306" s="725"/>
      <c r="AJ306" s="137"/>
      <c r="AK306" s="752"/>
      <c r="AL306" s="137"/>
      <c r="AM306" s="708"/>
      <c r="AN306" s="735"/>
      <c r="AO306" s="137"/>
      <c r="AP306" s="726"/>
      <c r="AQ306" s="137"/>
      <c r="AR306" s="137"/>
      <c r="AS306" s="137"/>
      <c r="AT306" s="137"/>
      <c r="AU306" s="137"/>
      <c r="AV306" s="137"/>
      <c r="AW306" s="137"/>
    </row>
    <row r="307" spans="1:49">
      <c r="A307" s="137" t="str">
        <f>$A$14</f>
        <v>1Q</v>
      </c>
      <c r="B307" s="749" t="str">
        <f>$B$14</f>
        <v>Apr</v>
      </c>
      <c r="C307" s="137"/>
      <c r="D307" s="728">
        <f>(S307/S300-1)*100</f>
        <v>-1.4632619170772854</v>
      </c>
      <c r="E307" s="137" t="s">
        <v>576</v>
      </c>
      <c r="F307" s="750">
        <v>-8.6</v>
      </c>
      <c r="G307" s="137" t="s">
        <v>576</v>
      </c>
      <c r="H307" s="728">
        <f>D307-F307</f>
        <v>7.1367380829227143</v>
      </c>
      <c r="I307" s="137"/>
      <c r="J307" s="137">
        <f>437+61+3</f>
        <v>501</v>
      </c>
      <c r="K307" s="137">
        <f>J307-J303</f>
        <v>3</v>
      </c>
      <c r="L307" s="734">
        <f>AVERAGE(J307,J303)</f>
        <v>499.5</v>
      </c>
      <c r="M307" s="137"/>
      <c r="N307" s="728">
        <f>(L307/L300-1)*100</f>
        <v>11.000000000000011</v>
      </c>
      <c r="O307" s="735" t="s">
        <v>576</v>
      </c>
      <c r="P307" s="731">
        <f>H307/N307*100</f>
        <v>64.879437117479156</v>
      </c>
      <c r="Q307" s="220" t="s">
        <v>576</v>
      </c>
      <c r="R307" s="137"/>
      <c r="S307" s="717">
        <v>217.173</v>
      </c>
      <c r="T307" s="137"/>
      <c r="U307" s="751">
        <f>S307/L307</f>
        <v>0.43478078078078081</v>
      </c>
      <c r="V307" s="137"/>
      <c r="W307" s="708">
        <f>(U307/U300-1)*100</f>
        <v>-11.228163889258813</v>
      </c>
      <c r="X307" s="735" t="s">
        <v>576</v>
      </c>
      <c r="Y307" s="137"/>
      <c r="Z307" s="737">
        <f>+(0.991553+0.125978+0.007987)/0.8</f>
        <v>1.4068974999999999</v>
      </c>
      <c r="AA307" s="137"/>
      <c r="AB307" s="732">
        <f>AVERAGE(Z307,Z303)</f>
        <v>1.40111125</v>
      </c>
      <c r="AC307" s="137"/>
      <c r="AD307" s="728">
        <f>(AB307/AB300-1)*100</f>
        <v>13.650399666213954</v>
      </c>
      <c r="AE307" s="735" t="s">
        <v>576</v>
      </c>
      <c r="AF307" s="731">
        <f>+H307/AD307*100</f>
        <v>52.282264676739274</v>
      </c>
      <c r="AG307" s="220" t="s">
        <v>576</v>
      </c>
      <c r="AH307" s="137"/>
      <c r="AI307" s="725">
        <f>+S307</f>
        <v>217.173</v>
      </c>
      <c r="AJ307" s="137"/>
      <c r="AK307" s="752">
        <f>AI307/AB307</f>
        <v>155.00053975014475</v>
      </c>
      <c r="AL307" s="137"/>
      <c r="AM307" s="708">
        <f>(AK307/AK300-1)*100</f>
        <v>-13.298379616507605</v>
      </c>
      <c r="AN307" s="735" t="s">
        <v>576</v>
      </c>
      <c r="AO307" s="137"/>
      <c r="AP307" s="726"/>
      <c r="AQ307" s="137"/>
      <c r="AR307" s="137"/>
      <c r="AS307" s="137"/>
      <c r="AT307" s="137"/>
      <c r="AU307" s="137"/>
      <c r="AV307" s="137"/>
      <c r="AW307" s="137"/>
    </row>
    <row r="308" spans="1:49">
      <c r="A308" s="137" t="str">
        <f>$A$15</f>
        <v>2Q</v>
      </c>
      <c r="B308" s="749" t="str">
        <f>$B$15</f>
        <v>Jul</v>
      </c>
      <c r="C308" s="137"/>
      <c r="D308" s="728">
        <f>(S308/S301-1)*100</f>
        <v>4.3025013408747315</v>
      </c>
      <c r="E308" s="137"/>
      <c r="F308" s="750">
        <v>-1.9</v>
      </c>
      <c r="G308" s="137"/>
      <c r="H308" s="728">
        <f>D308-F308</f>
        <v>6.2025013408747309</v>
      </c>
      <c r="I308" s="137"/>
      <c r="J308" s="137">
        <f>441+63+4</f>
        <v>508</v>
      </c>
      <c r="K308" s="137">
        <f>J308-J307</f>
        <v>7</v>
      </c>
      <c r="L308" s="734">
        <f>AVERAGE(J308,J307)</f>
        <v>504.5</v>
      </c>
      <c r="M308" s="137"/>
      <c r="N308" s="728">
        <f>(L308/L301-1)*100</f>
        <v>9.0810810810810771</v>
      </c>
      <c r="O308" s="735"/>
      <c r="P308" s="731">
        <f>H308/N308*100</f>
        <v>68.301354051299143</v>
      </c>
      <c r="Q308" s="220"/>
      <c r="R308" s="137"/>
      <c r="S308" s="764">
        <v>213.91399999999999</v>
      </c>
      <c r="T308" s="137"/>
      <c r="U308" s="755">
        <f>S308/L308</f>
        <v>0.42401189296333003</v>
      </c>
      <c r="V308" s="137"/>
      <c r="W308" s="708">
        <f>(U308/U301-1)*100</f>
        <v>-4.3807594248670645</v>
      </c>
      <c r="X308" s="735"/>
      <c r="Y308" s="137"/>
      <c r="Z308" s="737">
        <f>+(1.003679+0.130709+0.010051)/0.8</f>
        <v>1.4305487499999998</v>
      </c>
      <c r="AA308" s="137"/>
      <c r="AB308" s="732">
        <f>AVERAGE(Z308,Z307)</f>
        <v>1.4187231249999999</v>
      </c>
      <c r="AC308" s="137"/>
      <c r="AD308" s="728">
        <f>(AB308/AB301-1)*100</f>
        <v>10.945276549780903</v>
      </c>
      <c r="AE308" s="735"/>
      <c r="AF308" s="731">
        <f>+H308/AD308*100</f>
        <v>56.668292597859384</v>
      </c>
      <c r="AG308" s="220"/>
      <c r="AH308" s="137"/>
      <c r="AI308" s="727">
        <f>+S308</f>
        <v>213.91399999999999</v>
      </c>
      <c r="AJ308" s="137"/>
      <c r="AK308" s="756">
        <f>AI308/AB308</f>
        <v>150.77924383589647</v>
      </c>
      <c r="AL308" s="137"/>
      <c r="AM308" s="708">
        <f>(AK308/AK301-1)*100</f>
        <v>-5.9874339994326569</v>
      </c>
      <c r="AN308" s="735"/>
      <c r="AO308" s="137"/>
      <c r="AP308" s="726"/>
      <c r="AQ308" s="137"/>
      <c r="AR308" s="137"/>
      <c r="AS308" s="137"/>
      <c r="AT308" s="137"/>
      <c r="AU308" s="137"/>
      <c r="AV308" s="137"/>
      <c r="AW308" s="137"/>
    </row>
    <row r="309" spans="1:49">
      <c r="A309" s="137" t="str">
        <f>$A$16</f>
        <v>3Q</v>
      </c>
      <c r="B309" s="749" t="str">
        <f>$B$16</f>
        <v>Oct</v>
      </c>
      <c r="C309" s="137"/>
      <c r="D309" s="728">
        <f>(S309/S302-1)*100</f>
        <v>2.9110907424381383</v>
      </c>
      <c r="E309" s="137"/>
      <c r="F309" s="750">
        <v>-1.4</v>
      </c>
      <c r="G309" s="137"/>
      <c r="H309" s="728">
        <f>D309-F309</f>
        <v>4.3110907424381377</v>
      </c>
      <c r="I309" s="137"/>
      <c r="J309" s="137">
        <f>446+67+5</f>
        <v>518</v>
      </c>
      <c r="K309" s="137">
        <f>J309-J308</f>
        <v>10</v>
      </c>
      <c r="L309" s="734">
        <f>AVERAGE(J309,J308)</f>
        <v>513</v>
      </c>
      <c r="M309" s="137"/>
      <c r="N309" s="728">
        <f>(L309/L302-1)*100</f>
        <v>6.8750000000000089</v>
      </c>
      <c r="O309" s="735"/>
      <c r="P309" s="731">
        <f>H309/N309*100</f>
        <v>62.706774435463743</v>
      </c>
      <c r="Q309" s="220"/>
      <c r="R309" s="137"/>
      <c r="S309" s="764">
        <v>224.55199999999999</v>
      </c>
      <c r="T309" s="137"/>
      <c r="U309" s="755">
        <f>S309/L309</f>
        <v>0.43772319688109163</v>
      </c>
      <c r="V309" s="137"/>
      <c r="W309" s="708">
        <f>(U309/U302-1)*100</f>
        <v>-3.7089209427479397</v>
      </c>
      <c r="X309" s="735"/>
      <c r="Y309" s="137"/>
      <c r="Z309" s="737">
        <f>+(1.0186+0.139687+0.01246)/0.8</f>
        <v>1.4634337499999999</v>
      </c>
      <c r="AA309" s="137"/>
      <c r="AB309" s="732">
        <f>AVERAGE(Z309,Z308)</f>
        <v>1.44699125</v>
      </c>
      <c r="AC309" s="137"/>
      <c r="AD309" s="728">
        <f>(AB309/AB302-1)*100</f>
        <v>8.3301788310358162</v>
      </c>
      <c r="AE309" s="735"/>
      <c r="AF309" s="731">
        <f>+H309/AD309*100</f>
        <v>51.752679382779533</v>
      </c>
      <c r="AG309" s="220"/>
      <c r="AH309" s="137"/>
      <c r="AI309" s="727">
        <f>+S309</f>
        <v>224.55199999999999</v>
      </c>
      <c r="AJ309" s="137"/>
      <c r="AK309" s="756">
        <f>AI309/AB309</f>
        <v>155.18545810142251</v>
      </c>
      <c r="AL309" s="137"/>
      <c r="AM309" s="708">
        <f>(AK309/AK302-1)*100</f>
        <v>-5.0023808204451736</v>
      </c>
      <c r="AN309" s="735"/>
      <c r="AO309" s="137"/>
      <c r="AP309" s="726"/>
      <c r="AQ309" s="137"/>
      <c r="AR309" s="137"/>
      <c r="AS309" s="137"/>
      <c r="AT309" s="137"/>
      <c r="AU309" s="137"/>
      <c r="AV309" s="137"/>
      <c r="AW309" s="137"/>
    </row>
    <row r="310" spans="1:49">
      <c r="A310" s="137" t="str">
        <f>$A$17</f>
        <v>4Q</v>
      </c>
      <c r="B310" s="749" t="str">
        <f>$B$17</f>
        <v>Jan</v>
      </c>
      <c r="C310" s="137"/>
      <c r="D310" s="744">
        <f>(S310/S303-1)*100</f>
        <v>8.104643169023241</v>
      </c>
      <c r="E310" s="137"/>
      <c r="F310" s="738">
        <v>5.4</v>
      </c>
      <c r="G310" s="137"/>
      <c r="H310" s="744">
        <f>D310-F310</f>
        <v>2.7046431690232406</v>
      </c>
      <c r="I310" s="137"/>
      <c r="J310" s="137">
        <f>441+68+5</f>
        <v>514</v>
      </c>
      <c r="K310" s="137">
        <f>J310-J309</f>
        <v>-4</v>
      </c>
      <c r="L310" s="736">
        <f>AVERAGE(J310,J309)</f>
        <v>516</v>
      </c>
      <c r="M310" s="137"/>
      <c r="N310" s="744">
        <f>(L310/L303-1)*100</f>
        <v>4.2424242424242475</v>
      </c>
      <c r="O310" s="735"/>
      <c r="P310" s="736">
        <f>H310/N310*100</f>
        <v>63.752303269833455</v>
      </c>
      <c r="Q310" s="220"/>
      <c r="R310" s="137"/>
      <c r="S310" s="757">
        <v>232.732</v>
      </c>
      <c r="T310" s="137"/>
      <c r="U310" s="758">
        <f>S310/L310</f>
        <v>0.451031007751938</v>
      </c>
      <c r="V310" s="137"/>
      <c r="W310" s="759">
        <f>(U310/U303-1)*100</f>
        <v>3.7050355981909089</v>
      </c>
      <c r="X310" s="735"/>
      <c r="Y310" s="137"/>
      <c r="Z310" s="737">
        <f>+(1.010242+0.1419+0.01246)/0.8</f>
        <v>1.4557524999999998</v>
      </c>
      <c r="AA310" s="137"/>
      <c r="AB310" s="760">
        <f>AVERAGE(Z310,Z309)</f>
        <v>1.4595931249999998</v>
      </c>
      <c r="AC310" s="137"/>
      <c r="AD310" s="744">
        <f>(AB310/AB303-1)*100</f>
        <v>5.427604180539114</v>
      </c>
      <c r="AE310" s="735"/>
      <c r="AF310" s="736">
        <f>+H310/AD310*100</f>
        <v>49.831252962786863</v>
      </c>
      <c r="AG310" s="220"/>
      <c r="AH310" s="137"/>
      <c r="AI310" s="729">
        <f>+S310</f>
        <v>232.732</v>
      </c>
      <c r="AJ310" s="137"/>
      <c r="AK310" s="761">
        <f>AI310/AB310</f>
        <v>159.44991519468826</v>
      </c>
      <c r="AL310" s="137"/>
      <c r="AM310" s="759">
        <f>(AK310/AK303-1)*100</f>
        <v>2.5392201684673044</v>
      </c>
      <c r="AN310" s="735"/>
      <c r="AO310" s="137"/>
      <c r="AP310" s="726"/>
      <c r="AQ310" s="137"/>
      <c r="AR310" s="137"/>
      <c r="AS310" s="137"/>
      <c r="AT310" s="137"/>
      <c r="AU310" s="137"/>
      <c r="AV310" s="137"/>
      <c r="AW310" s="137"/>
    </row>
    <row r="311" spans="1:49">
      <c r="A311" s="137"/>
      <c r="B311" s="749" t="str">
        <f>$B$18</f>
        <v>Year</v>
      </c>
      <c r="C311" s="137"/>
      <c r="D311" s="728">
        <f>(S311/S304-1)*100</f>
        <v>3.4225795485766763</v>
      </c>
      <c r="E311" s="137"/>
      <c r="F311" s="762">
        <v>-1.7</v>
      </c>
      <c r="G311" s="137"/>
      <c r="H311" s="728">
        <f>D311-F311</f>
        <v>5.1225795485766765</v>
      </c>
      <c r="I311" s="137"/>
      <c r="J311" s="137"/>
      <c r="K311" s="137"/>
      <c r="L311" s="734">
        <f>AVERAGE(L307:L310)</f>
        <v>508.25</v>
      </c>
      <c r="M311" s="137"/>
      <c r="N311" s="728">
        <f>(L311/L304-1)*100</f>
        <v>7.7086092715231702</v>
      </c>
      <c r="O311" s="735"/>
      <c r="P311" s="731">
        <f>H311/N311*100</f>
        <v>66.45270720232638</v>
      </c>
      <c r="Q311" s="220"/>
      <c r="R311" s="137"/>
      <c r="S311" s="725">
        <f>SUM(S307:S310)</f>
        <v>888.37099999999998</v>
      </c>
      <c r="T311" s="137"/>
      <c r="U311" s="751">
        <f>SUM(U307:U310)</f>
        <v>1.7475468783771404</v>
      </c>
      <c r="V311" s="137"/>
      <c r="W311" s="708">
        <f>(U311/U304-1)*100</f>
        <v>-4.123789781187237</v>
      </c>
      <c r="X311" s="735"/>
      <c r="Y311" s="137"/>
      <c r="Z311" s="137"/>
      <c r="AA311" s="137"/>
      <c r="AB311" s="732">
        <f>AVERAGE(AB307:AB310)</f>
        <v>1.4316046874999999</v>
      </c>
      <c r="AC311" s="137"/>
      <c r="AD311" s="728">
        <f>(AB311/AB304-1)*100</f>
        <v>9.4549466754368048</v>
      </c>
      <c r="AE311" s="735"/>
      <c r="AF311" s="731">
        <f>+H311/AD311*100</f>
        <v>54.178830663156759</v>
      </c>
      <c r="AG311" s="220"/>
      <c r="AH311" s="137"/>
      <c r="AI311" s="725">
        <f>SUM(AI307:AI310)</f>
        <v>888.37099999999998</v>
      </c>
      <c r="AJ311" s="137"/>
      <c r="AK311" s="752">
        <f>SUM(AK307:AK310)</f>
        <v>620.41515688215202</v>
      </c>
      <c r="AL311" s="137"/>
      <c r="AM311" s="708">
        <f>(AK311/AK304-1)*100</f>
        <v>-5.7141725525895808</v>
      </c>
      <c r="AN311" s="735"/>
      <c r="AO311" s="137"/>
      <c r="AP311" s="726"/>
      <c r="AQ311" s="137"/>
      <c r="AR311" s="137"/>
      <c r="AS311" s="137"/>
      <c r="AT311" s="137"/>
      <c r="AU311" s="137"/>
      <c r="AV311" s="137"/>
      <c r="AW311" s="137"/>
    </row>
    <row r="312" spans="1:49">
      <c r="A312" s="137"/>
      <c r="B312" s="749"/>
      <c r="C312" s="137"/>
      <c r="D312" s="728"/>
      <c r="E312" s="137"/>
      <c r="F312" s="762"/>
      <c r="G312" s="137"/>
      <c r="H312" s="728"/>
      <c r="I312" s="137"/>
      <c r="J312" s="137"/>
      <c r="K312" s="137"/>
      <c r="L312" s="734"/>
      <c r="M312" s="137"/>
      <c r="N312" s="728"/>
      <c r="O312" s="735"/>
      <c r="P312" s="731"/>
      <c r="Q312" s="220"/>
      <c r="R312" s="137"/>
      <c r="S312" s="673"/>
      <c r="T312" s="137"/>
      <c r="U312" s="737"/>
      <c r="V312" s="137"/>
      <c r="W312" s="708"/>
      <c r="X312" s="735"/>
      <c r="Y312" s="137"/>
      <c r="Z312" s="137"/>
      <c r="AA312" s="137"/>
      <c r="AB312" s="732"/>
      <c r="AC312" s="137"/>
      <c r="AD312" s="728"/>
      <c r="AE312" s="735"/>
      <c r="AF312" s="731"/>
      <c r="AG312" s="220"/>
      <c r="AH312" s="137"/>
      <c r="AI312" s="725"/>
      <c r="AJ312" s="137"/>
      <c r="AK312" s="752"/>
      <c r="AL312" s="137"/>
      <c r="AM312" s="708"/>
      <c r="AN312" s="735"/>
      <c r="AO312" s="137"/>
      <c r="AP312" s="726"/>
      <c r="AQ312" s="137"/>
      <c r="AR312" s="137"/>
      <c r="AS312" s="137"/>
      <c r="AT312" s="137"/>
      <c r="AU312" s="137"/>
      <c r="AV312" s="137"/>
      <c r="AW312" s="137"/>
    </row>
    <row r="313" spans="1:49">
      <c r="A313" s="746"/>
      <c r="B313" s="747">
        <v>2015</v>
      </c>
      <c r="C313" s="137"/>
      <c r="D313" s="728"/>
      <c r="E313" s="137"/>
      <c r="F313" s="762"/>
      <c r="G313" s="137"/>
      <c r="H313" s="728"/>
      <c r="I313" s="137"/>
      <c r="J313" s="137"/>
      <c r="K313" s="137"/>
      <c r="L313" s="734"/>
      <c r="M313" s="137"/>
      <c r="N313" s="728"/>
      <c r="O313" s="735"/>
      <c r="P313" s="731"/>
      <c r="Q313" s="220"/>
      <c r="R313" s="137"/>
      <c r="S313" s="725"/>
      <c r="T313" s="137"/>
      <c r="U313" s="751"/>
      <c r="V313" s="137"/>
      <c r="W313" s="708"/>
      <c r="X313" s="735"/>
      <c r="Y313" s="137"/>
      <c r="Z313" s="137"/>
      <c r="AA313" s="137"/>
      <c r="AB313" s="732"/>
      <c r="AC313" s="137"/>
      <c r="AD313" s="728"/>
      <c r="AE313" s="735"/>
      <c r="AF313" s="731"/>
      <c r="AG313" s="220"/>
      <c r="AH313" s="137"/>
      <c r="AI313" s="725"/>
      <c r="AJ313" s="137"/>
      <c r="AK313" s="752"/>
      <c r="AL313" s="137"/>
      <c r="AM313" s="708"/>
      <c r="AN313" s="735"/>
      <c r="AO313" s="137"/>
      <c r="AP313" s="726"/>
      <c r="AQ313" s="137"/>
      <c r="AR313" s="137"/>
      <c r="AS313" s="137"/>
      <c r="AT313" s="137"/>
      <c r="AU313" s="137"/>
      <c r="AV313" s="137"/>
      <c r="AW313" s="137"/>
    </row>
    <row r="314" spans="1:49">
      <c r="A314" s="137" t="str">
        <f>$A$14</f>
        <v>1Q</v>
      </c>
      <c r="B314" s="749" t="str">
        <f>$B$14</f>
        <v>Apr</v>
      </c>
      <c r="C314" s="137"/>
      <c r="D314" s="728">
        <f>(S314/S307-1)*100</f>
        <v>3.8075635553222575</v>
      </c>
      <c r="E314" s="137" t="s">
        <v>576</v>
      </c>
      <c r="F314" s="750">
        <v>1.7</v>
      </c>
      <c r="G314" s="137" t="s">
        <v>576</v>
      </c>
      <c r="H314" s="728">
        <f>D314-F314</f>
        <v>2.1075635553222574</v>
      </c>
      <c r="I314" s="137"/>
      <c r="J314" s="137">
        <f>440+69+6</f>
        <v>515</v>
      </c>
      <c r="K314" s="137">
        <f>J314-J310</f>
        <v>1</v>
      </c>
      <c r="L314" s="734">
        <f>AVERAGE(J314,J310)</f>
        <v>514.5</v>
      </c>
      <c r="M314" s="137"/>
      <c r="N314" s="728">
        <f>(L314/L307-1)*100</f>
        <v>3.0030030030030019</v>
      </c>
      <c r="O314" s="735" t="s">
        <v>576</v>
      </c>
      <c r="P314" s="731">
        <f>H314/N314*100</f>
        <v>70.1818663922312</v>
      </c>
      <c r="Q314" s="220" t="s">
        <v>576</v>
      </c>
      <c r="R314" s="137"/>
      <c r="S314" s="717">
        <v>225.44200000000001</v>
      </c>
      <c r="T314" s="137"/>
      <c r="U314" s="751">
        <f>S314/L314</f>
        <v>0.43817687074829931</v>
      </c>
      <c r="V314" s="137"/>
      <c r="W314" s="708">
        <f>(U314/U307-1)*100</f>
        <v>0.78110397644988172</v>
      </c>
      <c r="X314" s="735" t="s">
        <v>576</v>
      </c>
      <c r="Y314" s="137"/>
      <c r="Z314" s="737">
        <f>+(1.009392+0.144106+0.014891)/0.8</f>
        <v>1.46048625</v>
      </c>
      <c r="AA314" s="137"/>
      <c r="AB314" s="732">
        <f>AVERAGE(Z314,Z310)</f>
        <v>1.4581193749999999</v>
      </c>
      <c r="AC314" s="137"/>
      <c r="AD314" s="728">
        <f>(AB314/AB307-1)*100</f>
        <v>4.0687793349742929</v>
      </c>
      <c r="AE314" s="735" t="s">
        <v>576</v>
      </c>
      <c r="AF314" s="731">
        <f>+H314/AD314*100</f>
        <v>51.798423601057074</v>
      </c>
      <c r="AG314" s="220" t="s">
        <v>576</v>
      </c>
      <c r="AH314" s="137"/>
      <c r="AI314" s="725">
        <f>+S314</f>
        <v>225.44200000000001</v>
      </c>
      <c r="AJ314" s="137"/>
      <c r="AK314" s="752">
        <f>AI314/AB314</f>
        <v>154.61148371339627</v>
      </c>
      <c r="AL314" s="137"/>
      <c r="AM314" s="708">
        <f>(AK314/AK307-1)*100</f>
        <v>-0.25100302061891178</v>
      </c>
      <c r="AN314" s="735" t="s">
        <v>576</v>
      </c>
      <c r="AO314" s="137"/>
      <c r="AP314" s="726"/>
      <c r="AQ314" s="137"/>
      <c r="AR314" s="137"/>
      <c r="AS314" s="137"/>
      <c r="AT314" s="137"/>
      <c r="AU314" s="137"/>
      <c r="AV314" s="137"/>
      <c r="AW314" s="137"/>
    </row>
    <row r="315" spans="1:49">
      <c r="A315" s="137" t="str">
        <f>$A$15</f>
        <v>2Q</v>
      </c>
      <c r="B315" s="749" t="str">
        <f>$B$15</f>
        <v>Jul</v>
      </c>
      <c r="C315" s="137"/>
      <c r="D315" s="728">
        <f>(S315/S308-1)*100</f>
        <v>-0.29871817646343057</v>
      </c>
      <c r="E315" s="137"/>
      <c r="F315" s="750">
        <v>-1.9</v>
      </c>
      <c r="G315" s="137"/>
      <c r="H315" s="728">
        <f>D315-F315</f>
        <v>1.6012818235365693</v>
      </c>
      <c r="I315" s="137"/>
      <c r="J315" s="137">
        <f>435+71+6</f>
        <v>512</v>
      </c>
      <c r="K315" s="137">
        <f>J315-J314</f>
        <v>-3</v>
      </c>
      <c r="L315" s="734">
        <f>AVERAGE(J315,J314)</f>
        <v>513.5</v>
      </c>
      <c r="M315" s="137"/>
      <c r="N315" s="728">
        <f>(L315/L308-1)*100</f>
        <v>1.7839444995044529</v>
      </c>
      <c r="O315" s="735"/>
      <c r="P315" s="731">
        <f>H315/N315*100</f>
        <v>89.760742219355819</v>
      </c>
      <c r="Q315" s="220"/>
      <c r="R315" s="137"/>
      <c r="S315" s="717">
        <v>213.27500000000001</v>
      </c>
      <c r="T315" s="137"/>
      <c r="U315" s="755">
        <f>S315/L315</f>
        <v>0.41533592989289192</v>
      </c>
      <c r="V315" s="137"/>
      <c r="W315" s="708">
        <f>(U315/U308-1)*100</f>
        <v>-2.0461603116374016</v>
      </c>
      <c r="X315" s="735"/>
      <c r="Y315" s="137"/>
      <c r="Z315" s="737">
        <f>+(0.99901+0.148702+0.014891)/0.8</f>
        <v>1.4532537499999998</v>
      </c>
      <c r="AA315" s="137"/>
      <c r="AB315" s="732">
        <f>AVERAGE(Z315,Z314)</f>
        <v>1.4568699999999999</v>
      </c>
      <c r="AC315" s="137"/>
      <c r="AD315" s="728">
        <f>(AB315/AB308-1)*100</f>
        <v>2.6888174533702625</v>
      </c>
      <c r="AE315" s="735"/>
      <c r="AF315" s="731">
        <f>+H315/AD315*100</f>
        <v>59.553385505195379</v>
      </c>
      <c r="AG315" s="220"/>
      <c r="AH315" s="137"/>
      <c r="AI315" s="727">
        <f>+S315</f>
        <v>213.27500000000001</v>
      </c>
      <c r="AJ315" s="137"/>
      <c r="AK315" s="756">
        <f>AI315/AB315</f>
        <v>146.39260881204228</v>
      </c>
      <c r="AL315" s="137"/>
      <c r="AM315" s="708">
        <f>(AK315/AK308-1)*100</f>
        <v>-2.9093096053913525</v>
      </c>
      <c r="AN315" s="735"/>
      <c r="AO315" s="137"/>
      <c r="AP315" s="726"/>
      <c r="AQ315" s="137"/>
      <c r="AR315" s="137"/>
      <c r="AS315" s="137"/>
      <c r="AT315" s="137"/>
      <c r="AU315" s="137"/>
      <c r="AV315" s="137"/>
      <c r="AW315" s="137"/>
    </row>
    <row r="316" spans="1:49">
      <c r="A316" s="137" t="str">
        <f>$A$16</f>
        <v>3Q</v>
      </c>
      <c r="B316" s="749" t="str">
        <f>$B$16</f>
        <v>Oct</v>
      </c>
      <c r="C316" s="137"/>
      <c r="D316" s="769">
        <f>(S316/S309-1)*100</f>
        <v>-1.5974028287434439</v>
      </c>
      <c r="E316" s="137"/>
      <c r="F316" s="750">
        <v>-2</v>
      </c>
      <c r="G316" s="137"/>
      <c r="H316" s="769">
        <f>D316-F316</f>
        <v>0.40259717125655614</v>
      </c>
      <c r="I316" s="137"/>
      <c r="J316" s="137">
        <f>433+69+6</f>
        <v>508</v>
      </c>
      <c r="K316" s="137">
        <f>J316-J315</f>
        <v>-4</v>
      </c>
      <c r="L316" s="734">
        <f>AVERAGE(J316,J315)</f>
        <v>510</v>
      </c>
      <c r="M316" s="137"/>
      <c r="N316" s="728">
        <f>(L316/L309-1)*100</f>
        <v>-0.58479532163743242</v>
      </c>
      <c r="O316" s="735"/>
      <c r="P316" s="731">
        <f>H316/N316*100</f>
        <v>-68.844116284870452</v>
      </c>
      <c r="Q316" s="220"/>
      <c r="R316" s="137"/>
      <c r="S316" s="717">
        <v>220.965</v>
      </c>
      <c r="T316" s="137"/>
      <c r="U316" s="755">
        <f>S316/L316</f>
        <v>0.43326470588235294</v>
      </c>
      <c r="V316" s="137"/>
      <c r="W316" s="708">
        <f>(U316/U309-1)*100</f>
        <v>-1.0185640218537073</v>
      </c>
      <c r="X316" s="735"/>
      <c r="Y316" s="137"/>
      <c r="Z316" s="737">
        <f>+(0.997283+0.143978+0.014891)/0.8</f>
        <v>1.44519</v>
      </c>
      <c r="AA316" s="137"/>
      <c r="AB316" s="732">
        <f>AVERAGE(Z316,Z315)</f>
        <v>1.4492218749999999</v>
      </c>
      <c r="AC316" s="137"/>
      <c r="AD316" s="728">
        <f>(AB316/AB309-1)*100</f>
        <v>0.1541560807641229</v>
      </c>
      <c r="AE316" s="735"/>
      <c r="AF316" s="731">
        <f>+H316/AD316*100</f>
        <v>261.16204385902722</v>
      </c>
      <c r="AG316" s="220"/>
      <c r="AH316" s="137"/>
      <c r="AI316" s="727">
        <f>+S316</f>
        <v>220.965</v>
      </c>
      <c r="AJ316" s="137"/>
      <c r="AK316" s="756">
        <f>AI316/AB316</f>
        <v>152.47147715045361</v>
      </c>
      <c r="AL316" s="137"/>
      <c r="AM316" s="708">
        <f>(AK316/AK309-1)*100</f>
        <v>-1.748862930955275</v>
      </c>
      <c r="AN316" s="735"/>
      <c r="AO316" s="137"/>
      <c r="AP316" s="726"/>
      <c r="AQ316" s="137"/>
      <c r="AR316" s="137"/>
      <c r="AS316" s="137"/>
      <c r="AT316" s="137"/>
      <c r="AU316" s="137"/>
      <c r="AV316" s="137"/>
      <c r="AW316" s="137"/>
    </row>
    <row r="317" spans="1:49">
      <c r="A317" s="137" t="str">
        <f>$A$17</f>
        <v>4Q</v>
      </c>
      <c r="B317" s="749" t="str">
        <f>$B$17</f>
        <v>Jan</v>
      </c>
      <c r="C317" s="137"/>
      <c r="D317" s="744">
        <f>(S317/S310-1)*100</f>
        <v>-7.5344172696492073</v>
      </c>
      <c r="E317" s="137"/>
      <c r="F317" s="738">
        <v>-7.4</v>
      </c>
      <c r="G317" s="137"/>
      <c r="H317" s="744">
        <f>D317-F317</f>
        <v>-0.13441726964920697</v>
      </c>
      <c r="I317" s="137"/>
      <c r="J317" s="1197">
        <f>429+71+6</f>
        <v>506</v>
      </c>
      <c r="K317" s="137">
        <f>J317-J316</f>
        <v>-2</v>
      </c>
      <c r="L317" s="736">
        <f>AVERAGE(J317,J316)</f>
        <v>507</v>
      </c>
      <c r="M317" s="137"/>
      <c r="N317" s="744">
        <f>(L317/L310-1)*100</f>
        <v>-1.744186046511631</v>
      </c>
      <c r="O317" s="735"/>
      <c r="P317" s="736">
        <f>H317/N317*100</f>
        <v>7.7065901265545191</v>
      </c>
      <c r="Q317" s="220"/>
      <c r="R317" s="137"/>
      <c r="S317" s="1196">
        <v>215.197</v>
      </c>
      <c r="T317" s="137"/>
      <c r="U317" s="758">
        <f>S317/L317</f>
        <v>0.42445167652859961</v>
      </c>
      <c r="V317" s="137"/>
      <c r="W317" s="759">
        <f>(U317/U310-1)*100</f>
        <v>-5.8930163927790824</v>
      </c>
      <c r="X317" s="735"/>
      <c r="Y317" s="137"/>
      <c r="Z317" s="737">
        <f>+(0.991164+0.148457+0.014891)/0.8</f>
        <v>1.4431399999999999</v>
      </c>
      <c r="AA317" s="137"/>
      <c r="AB317" s="760">
        <f>AVERAGE(Z317,Z316)</f>
        <v>1.4441649999999999</v>
      </c>
      <c r="AC317" s="137"/>
      <c r="AD317" s="744">
        <f>(AB317/AB310-1)*100</f>
        <v>-1.0570154610724081</v>
      </c>
      <c r="AE317" s="735"/>
      <c r="AF317" s="736">
        <f>+H317/AD317*100</f>
        <v>12.716679613449767</v>
      </c>
      <c r="AG317" s="220"/>
      <c r="AH317" s="137"/>
      <c r="AI317" s="729">
        <f>+S317</f>
        <v>215.197</v>
      </c>
      <c r="AJ317" s="137"/>
      <c r="AK317" s="761">
        <f>AI317/AB317</f>
        <v>149.01136642973623</v>
      </c>
      <c r="AL317" s="137"/>
      <c r="AM317" s="759">
        <f>(AK317/AK310-1)*100</f>
        <v>-6.5466003868403284</v>
      </c>
      <c r="AN317" s="735"/>
      <c r="AO317" s="137"/>
      <c r="AP317" s="726"/>
      <c r="AQ317" s="137"/>
      <c r="AR317" s="137"/>
      <c r="AS317" s="137"/>
      <c r="AT317" s="137"/>
      <c r="AU317" s="137"/>
      <c r="AV317" s="137"/>
      <c r="AW317" s="137"/>
    </row>
    <row r="318" spans="1:49">
      <c r="A318" s="137"/>
      <c r="B318" s="749" t="str">
        <f>$B$18</f>
        <v>Year</v>
      </c>
      <c r="C318" s="137"/>
      <c r="D318" s="728">
        <f>(S318/S311-1)*100</f>
        <v>-1.5187348528936662</v>
      </c>
      <c r="E318" s="137"/>
      <c r="F318" s="762">
        <v>-2.5</v>
      </c>
      <c r="G318" s="137"/>
      <c r="H318" s="728">
        <f>D318-F318</f>
        <v>0.98126514710633383</v>
      </c>
      <c r="I318" s="137"/>
      <c r="J318" s="137"/>
      <c r="K318" s="137"/>
      <c r="L318" s="734">
        <f>AVERAGE(L314:L317)</f>
        <v>511.25</v>
      </c>
      <c r="M318" s="137"/>
      <c r="N318" s="728">
        <f>(L318/L311-1)*100</f>
        <v>0.5902606984751646</v>
      </c>
      <c r="O318" s="735"/>
      <c r="P318" s="731">
        <f>H318/N318*100</f>
        <v>166.24267033893005</v>
      </c>
      <c r="Q318" s="220"/>
      <c r="R318" s="137"/>
      <c r="S318" s="725">
        <f>SUM(S314:S317)</f>
        <v>874.87900000000002</v>
      </c>
      <c r="T318" s="137"/>
      <c r="U318" s="751">
        <f>SUM(U314:U317)</f>
        <v>1.7112291830521436</v>
      </c>
      <c r="V318" s="137"/>
      <c r="W318" s="708">
        <f>(U318/U311-1)*100</f>
        <v>-2.0782100769006662</v>
      </c>
      <c r="X318" s="735"/>
      <c r="Y318" s="137"/>
      <c r="Z318" s="137"/>
      <c r="AA318" s="137"/>
      <c r="AB318" s="732">
        <f>AVERAGE(AB314:AB317)</f>
        <v>1.4520940624999998</v>
      </c>
      <c r="AC318" s="137"/>
      <c r="AD318" s="728">
        <f>(AB318/AB311-1)*100</f>
        <v>1.431217372987259</v>
      </c>
      <c r="AE318" s="735"/>
      <c r="AF318" s="731">
        <f>+H318/AD318*100</f>
        <v>68.561573219183472</v>
      </c>
      <c r="AG318" s="220"/>
      <c r="AH318" s="137"/>
      <c r="AI318" s="725">
        <f>SUM(AI314:AI317)</f>
        <v>874.87900000000002</v>
      </c>
      <c r="AJ318" s="137"/>
      <c r="AK318" s="752">
        <f>SUM(AK314:AK317)</f>
        <v>602.48693610562839</v>
      </c>
      <c r="AL318" s="137"/>
      <c r="AM318" s="708">
        <f>(AK318/AK311-1)*100</f>
        <v>-2.8897135374030047</v>
      </c>
      <c r="AN318" s="735"/>
      <c r="AO318" s="137"/>
      <c r="AP318" s="726"/>
      <c r="AQ318" s="137"/>
      <c r="AR318" s="137"/>
      <c r="AS318" s="137"/>
      <c r="AT318" s="137"/>
      <c r="AU318" s="137"/>
      <c r="AV318" s="137"/>
      <c r="AW318" s="137"/>
    </row>
    <row r="319" spans="1:49">
      <c r="A319" s="137"/>
      <c r="B319" s="749"/>
      <c r="C319" s="137"/>
      <c r="D319" s="728"/>
      <c r="E319" s="137"/>
      <c r="F319" s="762"/>
      <c r="G319" s="137"/>
      <c r="H319" s="728"/>
      <c r="I319" s="137"/>
      <c r="J319" s="137"/>
      <c r="K319" s="137"/>
      <c r="L319" s="734"/>
      <c r="M319" s="137"/>
      <c r="N319" s="728"/>
      <c r="O319" s="735"/>
      <c r="P319" s="731"/>
      <c r="Q319" s="220"/>
      <c r="R319" s="137"/>
      <c r="S319" s="673"/>
      <c r="T319" s="137"/>
      <c r="U319" s="737"/>
      <c r="V319" s="137"/>
      <c r="W319" s="708"/>
      <c r="X319" s="735"/>
      <c r="Y319" s="137"/>
      <c r="Z319" s="137"/>
      <c r="AA319" s="137"/>
      <c r="AB319" s="732"/>
      <c r="AC319" s="137"/>
      <c r="AD319" s="728"/>
      <c r="AE319" s="735"/>
      <c r="AF319" s="731"/>
      <c r="AG319" s="220"/>
      <c r="AH319" s="137"/>
      <c r="AI319" s="725"/>
      <c r="AJ319" s="137"/>
      <c r="AK319" s="752"/>
      <c r="AL319" s="137"/>
      <c r="AM319" s="708"/>
      <c r="AN319" s="735"/>
      <c r="AO319" s="137"/>
      <c r="AP319" s="726"/>
      <c r="AQ319" s="137"/>
      <c r="AR319" s="137"/>
      <c r="AS319" s="137"/>
      <c r="AT319" s="137"/>
      <c r="AU319" s="137"/>
      <c r="AV319" s="137"/>
      <c r="AW319" s="137"/>
    </row>
    <row r="320" spans="1:49">
      <c r="A320" s="746"/>
      <c r="B320" s="747">
        <v>2016</v>
      </c>
      <c r="C320" s="137"/>
      <c r="D320" s="728"/>
      <c r="E320" s="137"/>
      <c r="F320" s="762"/>
      <c r="G320" s="137"/>
      <c r="H320" s="728"/>
      <c r="I320" s="137"/>
      <c r="J320" s="137"/>
      <c r="K320" s="137"/>
      <c r="L320" s="734"/>
      <c r="M320" s="137"/>
      <c r="N320" s="728"/>
      <c r="O320" s="735"/>
      <c r="P320" s="731"/>
      <c r="Q320" s="220"/>
      <c r="R320" s="137"/>
      <c r="S320" s="725"/>
      <c r="T320" s="137"/>
      <c r="U320" s="751"/>
      <c r="V320" s="137"/>
      <c r="W320" s="708"/>
      <c r="X320" s="735"/>
      <c r="Y320" s="137"/>
      <c r="Z320" s="137"/>
      <c r="AA320" s="137"/>
      <c r="AB320" s="732"/>
      <c r="AC320" s="137"/>
      <c r="AD320" s="728"/>
      <c r="AE320" s="735"/>
      <c r="AF320" s="731"/>
      <c r="AG320" s="220"/>
      <c r="AH320" s="137"/>
      <c r="AI320" s="725"/>
      <c r="AJ320" s="137"/>
      <c r="AK320" s="752"/>
      <c r="AL320" s="137"/>
      <c r="AM320" s="708"/>
      <c r="AN320" s="735"/>
      <c r="AO320" s="137"/>
      <c r="AP320" s="726"/>
      <c r="AQ320" s="137"/>
      <c r="AR320" s="137"/>
      <c r="AS320" s="137"/>
      <c r="AT320" s="137"/>
      <c r="AU320" s="137"/>
      <c r="AV320" s="137"/>
      <c r="AW320" s="137"/>
    </row>
    <row r="321" spans="1:49">
      <c r="A321" s="137" t="str">
        <f>$A$14</f>
        <v>1Q</v>
      </c>
      <c r="B321" s="749" t="str">
        <f>$B$14</f>
        <v>Apr</v>
      </c>
      <c r="C321" s="137"/>
      <c r="D321" s="728">
        <f>(S321/S314-1)*100</f>
        <v>-4.6348950062543803</v>
      </c>
      <c r="E321" s="220"/>
      <c r="F321" s="750">
        <v>-3.8</v>
      </c>
      <c r="G321" s="220"/>
      <c r="H321" s="728">
        <f>D321-F321</f>
        <v>-0.83489500625438051</v>
      </c>
      <c r="I321" s="220"/>
      <c r="J321" s="220">
        <f>428+71+6</f>
        <v>505</v>
      </c>
      <c r="K321" s="220">
        <f>J321-J317</f>
        <v>-1</v>
      </c>
      <c r="L321" s="731">
        <f>AVERAGE(J321,J320)</f>
        <v>505</v>
      </c>
      <c r="M321" s="220"/>
      <c r="N321" s="769">
        <f>(L321/L314-1)*100</f>
        <v>-1.8464528668610258</v>
      </c>
      <c r="O321" s="1180"/>
      <c r="P321" s="731">
        <f>H321/N321*100</f>
        <v>45.216155865039973</v>
      </c>
      <c r="Q321" s="220"/>
      <c r="R321" s="220"/>
      <c r="S321" s="764">
        <v>214.99299999999999</v>
      </c>
      <c r="T321" s="220"/>
      <c r="U321" s="1181">
        <f>S321/L321</f>
        <v>0.42572871287128711</v>
      </c>
      <c r="V321" s="220"/>
      <c r="W321" s="708">
        <f>(U321/U314-1)*100</f>
        <v>-2.8408979816195612</v>
      </c>
      <c r="X321" s="1180"/>
      <c r="Y321" s="220"/>
      <c r="Z321" s="737">
        <f>+(0.990054+0.148457+0.014891)/0.8</f>
        <v>1.4417525</v>
      </c>
      <c r="AA321" s="220"/>
      <c r="AB321" s="1182">
        <f>AVERAGE(Z321,Z317)</f>
        <v>1.4424462499999999</v>
      </c>
      <c r="AC321" s="220"/>
      <c r="AD321" s="769">
        <f>(AB321/AB314-1)*100</f>
        <v>-1.0748862726002728</v>
      </c>
      <c r="AE321" s="1180"/>
      <c r="AF321" s="731">
        <f>+H321/AD321*100</f>
        <v>77.67286898498331</v>
      </c>
      <c r="AG321" s="220"/>
      <c r="AH321" s="220"/>
      <c r="AI321" s="221">
        <f>+S321</f>
        <v>214.99299999999999</v>
      </c>
      <c r="AJ321" s="220"/>
      <c r="AK321" s="1183">
        <f>AI321/AB321</f>
        <v>149.04749483732931</v>
      </c>
      <c r="AL321" s="220"/>
      <c r="AM321" s="708">
        <f>(AK321/AK314-1)*100</f>
        <v>-3.5986905645255529</v>
      </c>
      <c r="AN321" s="735" t="s">
        <v>576</v>
      </c>
      <c r="AO321" s="137"/>
      <c r="AP321" s="726"/>
      <c r="AQ321" s="137"/>
      <c r="AR321" s="137"/>
      <c r="AS321" s="137"/>
      <c r="AT321" s="137"/>
      <c r="AU321" s="137"/>
      <c r="AV321" s="137"/>
      <c r="AW321" s="137"/>
    </row>
    <row r="322" spans="1:49">
      <c r="A322" s="137" t="str">
        <f>$A$15</f>
        <v>2Q</v>
      </c>
      <c r="B322" s="749" t="str">
        <f>$B$15</f>
        <v>Jul</v>
      </c>
      <c r="C322" s="137"/>
      <c r="D322" s="728">
        <f>(S322/S315-1)*100</f>
        <v>-2.4555151799320107</v>
      </c>
      <c r="E322" s="220"/>
      <c r="F322" s="750">
        <v>-1.3</v>
      </c>
      <c r="G322" s="220"/>
      <c r="H322" s="728">
        <f>D322-F322</f>
        <v>-1.1555151799320107</v>
      </c>
      <c r="I322" s="220"/>
      <c r="J322" s="220">
        <f>425+71+6</f>
        <v>502</v>
      </c>
      <c r="K322" s="220">
        <f>J322-J321</f>
        <v>-3</v>
      </c>
      <c r="L322" s="731">
        <f>AVERAGE(J322,J321)</f>
        <v>503.5</v>
      </c>
      <c r="M322" s="220"/>
      <c r="N322" s="769">
        <f>(L322/L315-1)*100</f>
        <v>-1.9474196689386547</v>
      </c>
      <c r="O322" s="1180"/>
      <c r="P322" s="731">
        <f>H322/N322*100</f>
        <v>59.335704489508799</v>
      </c>
      <c r="Q322" s="220"/>
      <c r="R322" s="220"/>
      <c r="S322" s="764">
        <v>208.03800000000001</v>
      </c>
      <c r="T322" s="220"/>
      <c r="U322" s="1181">
        <f>S322/L322</f>
        <v>0.41318371400198611</v>
      </c>
      <c r="V322" s="220"/>
      <c r="W322" s="708">
        <f>(U322/U315-1)*100</f>
        <v>-0.51818678231397852</v>
      </c>
      <c r="X322" s="1180"/>
      <c r="Y322" s="220"/>
      <c r="Z322" s="737">
        <f>+(0.99332+0.148457+0.014891)/0.8</f>
        <v>1.445835</v>
      </c>
      <c r="AA322" s="220"/>
      <c r="AB322" s="1182">
        <f>AVERAGE(Z322,Z321)</f>
        <v>1.44379375</v>
      </c>
      <c r="AC322" s="220"/>
      <c r="AD322" s="769">
        <f>(AB322/AB315-1)*100</f>
        <v>-0.89755777797606573</v>
      </c>
      <c r="AE322" s="1180"/>
      <c r="AF322" s="731">
        <f>+H322/AD322*100</f>
        <v>128.73992162795605</v>
      </c>
      <c r="AG322" s="220"/>
      <c r="AH322" s="220"/>
      <c r="AI322" s="221">
        <f>+S322</f>
        <v>208.03800000000001</v>
      </c>
      <c r="AJ322" s="220"/>
      <c r="AK322" s="1183">
        <f>AI322/AB322</f>
        <v>144.09121801503852</v>
      </c>
      <c r="AL322" s="220"/>
      <c r="AM322" s="708">
        <f>(AK322/AK315-1)*100</f>
        <v>-1.5720676171285253</v>
      </c>
      <c r="AN322" s="735"/>
      <c r="AO322" s="137"/>
      <c r="AP322" s="726"/>
      <c r="AQ322" s="137"/>
      <c r="AR322" s="137"/>
      <c r="AS322" s="137"/>
      <c r="AT322" s="137"/>
      <c r="AU322" s="137"/>
      <c r="AV322" s="137"/>
      <c r="AW322" s="137"/>
    </row>
    <row r="323" spans="1:49">
      <c r="A323" s="137" t="str">
        <f>$A$16</f>
        <v>3Q</v>
      </c>
      <c r="B323" s="749" t="str">
        <f>$B$16</f>
        <v>Oct</v>
      </c>
      <c r="C323" s="137"/>
      <c r="D323" s="728">
        <f>(S323/S316-1)*100</f>
        <v>-4.7862783698775839</v>
      </c>
      <c r="E323" s="220"/>
      <c r="F323" s="750">
        <v>-5.5</v>
      </c>
      <c r="G323" s="220"/>
      <c r="H323" s="728">
        <f>D323-F323</f>
        <v>0.71372163012241607</v>
      </c>
      <c r="I323" s="220"/>
      <c r="J323" s="220">
        <f>427+71+6</f>
        <v>504</v>
      </c>
      <c r="K323" s="220">
        <f>J323-J322</f>
        <v>2</v>
      </c>
      <c r="L323" s="731">
        <f>AVERAGE(J323,J322)</f>
        <v>503</v>
      </c>
      <c r="M323" s="220"/>
      <c r="N323" s="769">
        <f>(L323/L316-1)*100</f>
        <v>-1.3725490196078383</v>
      </c>
      <c r="O323" s="1180"/>
      <c r="P323" s="731">
        <f>H323/N323*100</f>
        <v>-51.999718766061932</v>
      </c>
      <c r="Q323" s="220"/>
      <c r="R323" s="220"/>
      <c r="S323" s="764">
        <v>210.38900000000001</v>
      </c>
      <c r="T323" s="220"/>
      <c r="U323" s="1181">
        <f>S323/L323</f>
        <v>0.41826838966202784</v>
      </c>
      <c r="V323" s="220"/>
      <c r="W323" s="708">
        <f>(U323/U316-1)*100</f>
        <v>-3.4612365181661331</v>
      </c>
      <c r="X323" s="1180"/>
      <c r="Y323" s="220"/>
      <c r="Z323" s="737">
        <f>+(0.990269+0.148457+0.014891)/0.8</f>
        <v>1.4420212499999998</v>
      </c>
      <c r="AA323" s="220"/>
      <c r="AB323" s="1182">
        <f>AVERAGE(Z323,Z322)</f>
        <v>1.4439281249999998</v>
      </c>
      <c r="AC323" s="220"/>
      <c r="AD323" s="769">
        <f>(AB323/AB316-1)*100</f>
        <v>-0.36528223119735026</v>
      </c>
      <c r="AE323" s="1180"/>
      <c r="AF323" s="731">
        <f>+H323/AD323*100</f>
        <v>-195.38909072662096</v>
      </c>
      <c r="AG323" s="220"/>
      <c r="AH323" s="220"/>
      <c r="AI323" s="221">
        <f>+S323</f>
        <v>210.38900000000001</v>
      </c>
      <c r="AJ323" s="220"/>
      <c r="AK323" s="1183">
        <f>AI323/AB323</f>
        <v>145.70600596896057</v>
      </c>
      <c r="AL323" s="220"/>
      <c r="AM323" s="708">
        <f>(AK323/AK316-1)*100</f>
        <v>-4.4372044581276748</v>
      </c>
      <c r="AN323" s="735"/>
      <c r="AO323" s="137"/>
      <c r="AP323" s="726"/>
      <c r="AQ323" s="137"/>
      <c r="AR323" s="137"/>
      <c r="AS323" s="137"/>
      <c r="AT323" s="137"/>
      <c r="AU323" s="137"/>
      <c r="AV323" s="137"/>
      <c r="AW323" s="137"/>
    </row>
    <row r="324" spans="1:49">
      <c r="A324" s="137" t="str">
        <f>$A$17</f>
        <v>4Q</v>
      </c>
      <c r="B324" s="749" t="str">
        <f>$B$17</f>
        <v>Jan</v>
      </c>
      <c r="C324" s="137"/>
      <c r="D324" s="744">
        <f>(S324/S317-1)*100</f>
        <v>-1.1998308526605772</v>
      </c>
      <c r="E324" s="137"/>
      <c r="F324" s="738">
        <v>-0.6</v>
      </c>
      <c r="G324" s="137"/>
      <c r="H324" s="744">
        <f>D324-F324</f>
        <v>-0.59983085266057723</v>
      </c>
      <c r="I324" s="137"/>
      <c r="J324" s="220">
        <f>423+71+6</f>
        <v>500</v>
      </c>
      <c r="K324" s="137">
        <f>J324-J323</f>
        <v>-4</v>
      </c>
      <c r="L324" s="736">
        <f>AVERAGE(J324,J323)</f>
        <v>502</v>
      </c>
      <c r="M324" s="137"/>
      <c r="N324" s="744">
        <f>(L324/L317-1)*100</f>
        <v>-0.98619329388560661</v>
      </c>
      <c r="O324" s="735"/>
      <c r="P324" s="736">
        <f>H324/N324*100</f>
        <v>60.822848459782222</v>
      </c>
      <c r="Q324" s="220"/>
      <c r="R324" s="137"/>
      <c r="S324" s="1196">
        <v>212.61500000000001</v>
      </c>
      <c r="T324" s="137"/>
      <c r="U324" s="758">
        <f>S324/L324</f>
        <v>0.42353585657370518</v>
      </c>
      <c r="V324" s="137"/>
      <c r="W324" s="759">
        <f>(U324/U317-1)*100</f>
        <v>-0.21576542290621115</v>
      </c>
      <c r="X324" s="735"/>
      <c r="Y324" s="137"/>
      <c r="Z324" s="737">
        <f>+(0.984754+0.148457+0.014891)/0.8</f>
        <v>1.4351274999999999</v>
      </c>
      <c r="AA324" s="137"/>
      <c r="AB324" s="760">
        <f>AVERAGE(Z324,Z323)</f>
        <v>1.438574375</v>
      </c>
      <c r="AC324" s="137"/>
      <c r="AD324" s="744">
        <f>(AB324/AB317-1)*100</f>
        <v>-0.38711816170590163</v>
      </c>
      <c r="AE324" s="735"/>
      <c r="AF324" s="736">
        <f>+H324/AD324*100</f>
        <v>154.94774257485651</v>
      </c>
      <c r="AG324" s="220"/>
      <c r="AH324" s="137"/>
      <c r="AI324" s="729">
        <f>+S324</f>
        <v>212.61500000000001</v>
      </c>
      <c r="AJ324" s="137"/>
      <c r="AK324" s="761">
        <f>AI324/AB324</f>
        <v>147.79562579098493</v>
      </c>
      <c r="AL324" s="137"/>
      <c r="AM324" s="759">
        <f>(AK324/AK317-1)*100</f>
        <v>-0.81587107606624354</v>
      </c>
      <c r="AN324" s="735"/>
      <c r="AO324" s="137"/>
      <c r="AP324" s="726"/>
      <c r="AQ324" s="137"/>
      <c r="AR324" s="137"/>
      <c r="AS324" s="137"/>
      <c r="AT324" s="137"/>
      <c r="AU324" s="137"/>
      <c r="AV324" s="137"/>
      <c r="AW324" s="137"/>
    </row>
    <row r="325" spans="1:49">
      <c r="A325" s="137"/>
      <c r="B325" s="749" t="str">
        <f>$B$18</f>
        <v>Year</v>
      </c>
      <c r="C325" s="137"/>
      <c r="D325" s="728">
        <f>(S325/S318-1)*100</f>
        <v>-3.2969130588344164</v>
      </c>
      <c r="E325" s="137"/>
      <c r="F325" s="762">
        <v>-2.8</v>
      </c>
      <c r="G325" s="137"/>
      <c r="H325" s="728">
        <f>D325-F325</f>
        <v>-0.49691305883441661</v>
      </c>
      <c r="I325" s="137"/>
      <c r="J325" s="137"/>
      <c r="K325" s="137"/>
      <c r="L325" s="734">
        <f>AVERAGE(L321:L324)</f>
        <v>503.375</v>
      </c>
      <c r="M325" s="137"/>
      <c r="N325" s="728">
        <f>(L325/L318-1)*100</f>
        <v>-1.5403422982885107</v>
      </c>
      <c r="O325" s="735"/>
      <c r="P325" s="731">
        <f>H325/N325*100</f>
        <v>32.259911279885095</v>
      </c>
      <c r="Q325" s="220"/>
      <c r="R325" s="137"/>
      <c r="S325" s="725">
        <f>SUM(S321:S324)</f>
        <v>846.03500000000008</v>
      </c>
      <c r="T325" s="137"/>
      <c r="U325" s="751">
        <f>SUM(U321:U324)</f>
        <v>1.6807166731090062</v>
      </c>
      <c r="V325" s="137"/>
      <c r="W325" s="708">
        <f>(U325/U318-1)*100</f>
        <v>-1.7830755953282318</v>
      </c>
      <c r="X325" s="735"/>
      <c r="Y325" s="137"/>
      <c r="Z325" s="137"/>
      <c r="AA325" s="137"/>
      <c r="AB325" s="732">
        <f>AVERAGE(AB321:AB324)</f>
        <v>1.442185625</v>
      </c>
      <c r="AC325" s="137"/>
      <c r="AD325" s="728">
        <f>(AB325/AB318-1)*100</f>
        <v>-0.68235507298617382</v>
      </c>
      <c r="AE325" s="735"/>
      <c r="AF325" s="731">
        <f>+H325/AD325*100</f>
        <v>72.823238004194522</v>
      </c>
      <c r="AG325" s="220"/>
      <c r="AH325" s="137"/>
      <c r="AI325" s="725">
        <f>SUM(AI321:AI324)</f>
        <v>846.03500000000008</v>
      </c>
      <c r="AJ325" s="137"/>
      <c r="AK325" s="752">
        <f>SUM(AK321:AK324)</f>
        <v>586.64034461231324</v>
      </c>
      <c r="AL325" s="137"/>
      <c r="AM325" s="708">
        <f>(AK325/AK318-1)*100</f>
        <v>-2.6301966970013968</v>
      </c>
      <c r="AN325" s="735"/>
      <c r="AO325" s="137"/>
      <c r="AP325" s="726"/>
      <c r="AQ325" s="137"/>
      <c r="AR325" s="137"/>
      <c r="AS325" s="137"/>
      <c r="AT325" s="137"/>
      <c r="AU325" s="137"/>
      <c r="AV325" s="137"/>
      <c r="AW325" s="137"/>
    </row>
    <row r="326" spans="1:49">
      <c r="A326" s="137"/>
      <c r="B326" s="749"/>
      <c r="C326" s="137"/>
      <c r="D326" s="728"/>
      <c r="E326" s="137"/>
      <c r="F326" s="762"/>
      <c r="G326" s="137"/>
      <c r="H326" s="728"/>
      <c r="I326" s="137"/>
      <c r="J326" s="137"/>
      <c r="K326" s="137"/>
      <c r="L326" s="734"/>
      <c r="M326" s="137"/>
      <c r="N326" s="728"/>
      <c r="O326" s="735"/>
      <c r="P326" s="731"/>
      <c r="Q326" s="220"/>
      <c r="R326" s="137"/>
      <c r="S326" s="725"/>
      <c r="T326" s="137"/>
      <c r="U326" s="751"/>
      <c r="V326" s="137"/>
      <c r="W326" s="708"/>
      <c r="X326" s="735"/>
      <c r="Y326" s="137"/>
      <c r="Z326" s="137"/>
      <c r="AA326" s="137"/>
      <c r="AB326" s="732"/>
      <c r="AC326" s="137"/>
      <c r="AD326" s="728"/>
      <c r="AE326" s="735"/>
      <c r="AF326" s="731"/>
      <c r="AG326" s="220"/>
      <c r="AH326" s="137"/>
      <c r="AI326" s="725"/>
      <c r="AJ326" s="137"/>
      <c r="AK326" s="752"/>
      <c r="AL326" s="137"/>
      <c r="AM326" s="708"/>
      <c r="AN326" s="735"/>
      <c r="AO326" s="137"/>
      <c r="AP326" s="726"/>
      <c r="AQ326" s="137"/>
      <c r="AR326" s="137"/>
      <c r="AS326" s="137"/>
      <c r="AT326" s="137"/>
      <c r="AU326" s="137"/>
      <c r="AV326" s="137"/>
      <c r="AW326" s="137"/>
    </row>
    <row r="327" spans="1:49">
      <c r="A327" s="746"/>
      <c r="B327" s="763" t="s">
        <v>207</v>
      </c>
      <c r="C327" s="137"/>
      <c r="D327" s="728"/>
      <c r="E327" s="137"/>
      <c r="F327" s="762"/>
      <c r="G327" s="137"/>
      <c r="H327" s="728"/>
      <c r="I327" s="137"/>
      <c r="J327" s="137"/>
      <c r="K327" s="137"/>
      <c r="L327" s="734"/>
      <c r="M327" s="137"/>
      <c r="N327" s="728"/>
      <c r="O327" s="735"/>
      <c r="P327" s="731"/>
      <c r="Q327" s="220"/>
      <c r="R327" s="137"/>
      <c r="S327" s="725"/>
      <c r="T327" s="137"/>
      <c r="U327" s="751"/>
      <c r="V327" s="137"/>
      <c r="W327" s="708"/>
      <c r="X327" s="735"/>
      <c r="Y327" s="137"/>
      <c r="Z327" s="137"/>
      <c r="AA327" s="137"/>
      <c r="AB327" s="732"/>
      <c r="AC327" s="137"/>
      <c r="AD327" s="728"/>
      <c r="AE327" s="735"/>
      <c r="AF327" s="731"/>
      <c r="AG327" s="220"/>
      <c r="AH327" s="137"/>
      <c r="AI327" s="725"/>
      <c r="AJ327" s="137"/>
      <c r="AK327" s="752"/>
      <c r="AL327" s="137"/>
      <c r="AM327" s="708"/>
      <c r="AN327" s="735"/>
      <c r="AO327" s="137"/>
      <c r="AP327" s="726"/>
      <c r="AQ327" s="137"/>
      <c r="AR327" s="137"/>
      <c r="AS327" s="137"/>
      <c r="AT327" s="137"/>
      <c r="AU327" s="137"/>
      <c r="AV327" s="137"/>
      <c r="AW327" s="137"/>
    </row>
    <row r="328" spans="1:49">
      <c r="A328" s="137" t="str">
        <f>$A$14</f>
        <v>1Q</v>
      </c>
      <c r="B328" s="749" t="str">
        <f>$B$14</f>
        <v>Apr</v>
      </c>
      <c r="C328" s="137"/>
      <c r="D328" s="728">
        <f>(S328/S321-1)*100</f>
        <v>-10.075211751080271</v>
      </c>
      <c r="E328" s="220"/>
      <c r="F328" s="750">
        <v>-9.6999999999999993</v>
      </c>
      <c r="G328" s="220"/>
      <c r="H328" s="728">
        <f>D328-F328</f>
        <v>-0.37521175108027194</v>
      </c>
      <c r="I328" s="220"/>
      <c r="J328" s="220">
        <f>419+71+6</f>
        <v>496</v>
      </c>
      <c r="K328" s="137">
        <f>J328-J324</f>
        <v>-4</v>
      </c>
      <c r="L328" s="731">
        <f>AVERAGE(J328,J327)</f>
        <v>496</v>
      </c>
      <c r="M328" s="220"/>
      <c r="N328" s="769">
        <f>(L328/L321-1)*100</f>
        <v>-1.7821782178217838</v>
      </c>
      <c r="O328" s="1180"/>
      <c r="P328" s="731">
        <f>H328/N328*100</f>
        <v>21.053548255059685</v>
      </c>
      <c r="Q328" s="220"/>
      <c r="R328" s="220"/>
      <c r="S328" s="764">
        <v>193.33199999999999</v>
      </c>
      <c r="T328" s="220"/>
      <c r="U328" s="1181">
        <f>S328/L328</f>
        <v>0.38978225806451611</v>
      </c>
      <c r="V328" s="220"/>
      <c r="W328" s="708">
        <f>(U328/U321-1)*100</f>
        <v>-8.4435119643055163</v>
      </c>
      <c r="X328" s="1180"/>
      <c r="Y328" s="220"/>
      <c r="Z328" s="737">
        <f>+(0.976136+0.148515+0.014891)/0.8</f>
        <v>1.4244275</v>
      </c>
      <c r="AA328" s="220"/>
      <c r="AB328" s="1182">
        <f>AVERAGE(Z328,Z324)</f>
        <v>1.4297774999999999</v>
      </c>
      <c r="AC328" s="220"/>
      <c r="AD328" s="769">
        <f>(AB328/AB321-1)*100</f>
        <v>-0.87828229301438743</v>
      </c>
      <c r="AE328" s="1180"/>
      <c r="AF328" s="731">
        <f>+H328/AD328*100</f>
        <v>42.721087976451493</v>
      </c>
      <c r="AG328" s="220"/>
      <c r="AH328" s="220"/>
      <c r="AI328" s="221">
        <f>+S328</f>
        <v>193.33199999999999</v>
      </c>
      <c r="AJ328" s="220"/>
      <c r="AK328" s="1183">
        <f>AI328/AB328</f>
        <v>135.21824199919217</v>
      </c>
      <c r="AL328" s="220"/>
      <c r="AM328" s="708">
        <f>(AK328/AK321-1)*100</f>
        <v>-9.2784201795745762</v>
      </c>
      <c r="AN328" s="735" t="s">
        <v>576</v>
      </c>
      <c r="AO328" s="137"/>
      <c r="AP328" s="750">
        <f>+F328+F321</f>
        <v>-13.5</v>
      </c>
      <c r="AQ328" s="137"/>
      <c r="AR328" s="137"/>
      <c r="AS328" s="137"/>
      <c r="AT328" s="137"/>
      <c r="AU328" s="137"/>
      <c r="AV328" s="137"/>
      <c r="AW328" s="137"/>
    </row>
    <row r="329" spans="1:49">
      <c r="A329" s="137" t="str">
        <f>$A$15</f>
        <v>2Q</v>
      </c>
      <c r="B329" s="749" t="str">
        <f>$B$15</f>
        <v>Jul</v>
      </c>
      <c r="C329" s="137"/>
      <c r="D329" s="728">
        <f>(S329/S322-1)*100</f>
        <v>-11.364269989136611</v>
      </c>
      <c r="E329" s="220"/>
      <c r="F329" s="750">
        <v>-10.6</v>
      </c>
      <c r="G329" s="220"/>
      <c r="H329" s="728">
        <f>D329-F329</f>
        <v>-0.76426998913661137</v>
      </c>
      <c r="I329" s="220"/>
      <c r="J329" s="220">
        <f>415+70+6</f>
        <v>491</v>
      </c>
      <c r="K329" s="137">
        <f>J329-J328</f>
        <v>-5</v>
      </c>
      <c r="L329" s="731">
        <f>AVERAGE(J329,J328)</f>
        <v>493.5</v>
      </c>
      <c r="M329" s="220"/>
      <c r="N329" s="769">
        <f>(L329/L322-1)*100</f>
        <v>-1.9860973187686204</v>
      </c>
      <c r="O329" s="1180"/>
      <c r="P329" s="731">
        <f>H329/N329*100</f>
        <v>38.480993953028367</v>
      </c>
      <c r="Q329" s="220"/>
      <c r="R329" s="220"/>
      <c r="S329" s="764">
        <v>184.39599999999999</v>
      </c>
      <c r="T329" s="220"/>
      <c r="U329" s="1181">
        <f>S329/L329</f>
        <v>0.37364944275582573</v>
      </c>
      <c r="V329" s="220"/>
      <c r="W329" s="708">
        <f>(U329/U322-1)*100</f>
        <v>-9.5682065643977303</v>
      </c>
      <c r="X329" s="1180"/>
      <c r="Y329" s="220"/>
      <c r="Z329" s="737">
        <f>+(0.966759+0.146149+0.014891)/0.8</f>
        <v>1.4097487499999999</v>
      </c>
      <c r="AA329" s="220"/>
      <c r="AB329" s="1182">
        <f>AVERAGE(Z329,Z328)</f>
        <v>1.4170881249999998</v>
      </c>
      <c r="AC329" s="220"/>
      <c r="AD329" s="769">
        <f>(AB329/AB322-1)*100</f>
        <v>-1.8496842087036391</v>
      </c>
      <c r="AE329" s="1180"/>
      <c r="AF329" s="731">
        <f>+H329/AD329*100</f>
        <v>41.318944365765766</v>
      </c>
      <c r="AG329" s="220"/>
      <c r="AH329" s="220"/>
      <c r="AI329" s="221">
        <f>+S329</f>
        <v>184.39599999999999</v>
      </c>
      <c r="AJ329" s="220"/>
      <c r="AK329" s="1183">
        <f>AI329/AB329</f>
        <v>130.12317070965506</v>
      </c>
      <c r="AL329" s="220"/>
      <c r="AM329" s="708">
        <f>(AK329/AK322-1)*100</f>
        <v>-9.6938921731688392</v>
      </c>
      <c r="AN329" s="735"/>
      <c r="AO329" s="137"/>
      <c r="AP329" s="750">
        <f>+F329+F322</f>
        <v>-11.9</v>
      </c>
      <c r="AQ329" s="137"/>
      <c r="AR329" s="137"/>
      <c r="AS329" s="137"/>
      <c r="AT329" s="137"/>
      <c r="AU329" s="137"/>
      <c r="AV329" s="137"/>
      <c r="AW329" s="137"/>
    </row>
    <row r="330" spans="1:49">
      <c r="A330" s="137" t="str">
        <f>$A$16</f>
        <v>3Q</v>
      </c>
      <c r="B330" s="749" t="str">
        <f>$B$16</f>
        <v>Oct</v>
      </c>
      <c r="C330" s="137"/>
      <c r="D330" s="728">
        <f>(S330/S323-1)*100</f>
        <v>-16.69478917624021</v>
      </c>
      <c r="E330" s="220"/>
      <c r="F330" s="1634">
        <v>-14.1</v>
      </c>
      <c r="G330" s="220"/>
      <c r="H330" s="728">
        <f>D330-F330</f>
        <v>-2.5947891762402104</v>
      </c>
      <c r="I330" s="220"/>
      <c r="J330" s="1636">
        <f>412+69+6</f>
        <v>487</v>
      </c>
      <c r="K330" s="137">
        <f>J330-J329</f>
        <v>-4</v>
      </c>
      <c r="L330" s="731">
        <f>AVERAGE(J330,J329)</f>
        <v>489</v>
      </c>
      <c r="M330" s="220"/>
      <c r="N330" s="769">
        <f>(L330/L323-1)*100</f>
        <v>-2.7833001988071593</v>
      </c>
      <c r="O330" s="1180"/>
      <c r="P330" s="731">
        <f>H330/N330*100</f>
        <v>93.227068260630347</v>
      </c>
      <c r="Q330" s="220"/>
      <c r="R330" s="220"/>
      <c r="S330" s="1633">
        <v>175.26499999999999</v>
      </c>
      <c r="T330" s="220"/>
      <c r="U330" s="1181">
        <f>S330/L330</f>
        <v>0.35841513292433536</v>
      </c>
      <c r="V330" s="220"/>
      <c r="W330" s="708">
        <f>(U330/U323-1)*100</f>
        <v>-14.309772915437268</v>
      </c>
      <c r="X330" s="1180"/>
      <c r="Y330" s="220"/>
      <c r="Z330" s="737">
        <f>+(0.95803+0.143918+0.014891)/0.8</f>
        <v>1.3960487500000001</v>
      </c>
      <c r="AA330" s="220"/>
      <c r="AB330" s="1182">
        <f>AVERAGE(Z330,Z329)</f>
        <v>1.4028987499999999</v>
      </c>
      <c r="AC330" s="220"/>
      <c r="AD330" s="769">
        <f>(AB330/AB323-1)*100</f>
        <v>-2.8415108958418478</v>
      </c>
      <c r="AE330" s="1180"/>
      <c r="AF330" s="731">
        <f>+H330/AD330*100</f>
        <v>91.317234786511648</v>
      </c>
      <c r="AG330" s="220"/>
      <c r="AH330" s="220"/>
      <c r="AI330" s="221">
        <f>+S330</f>
        <v>175.26499999999999</v>
      </c>
      <c r="AJ330" s="220"/>
      <c r="AK330" s="1183">
        <f>AI330/AB330</f>
        <v>124.93061241946363</v>
      </c>
      <c r="AL330" s="220"/>
      <c r="AM330" s="708">
        <f>(AK330/AK323-1)*100</f>
        <v>-14.258433213743215</v>
      </c>
      <c r="AN330" s="735"/>
      <c r="AO330" s="137"/>
      <c r="AP330" s="750">
        <f>+F330+F323</f>
        <v>-19.600000000000001</v>
      </c>
      <c r="AQ330" s="137"/>
      <c r="AR330" s="137"/>
      <c r="AS330" s="137"/>
      <c r="AT330" s="137"/>
      <c r="AU330" s="137"/>
      <c r="AV330" s="137"/>
      <c r="AW330" s="137"/>
    </row>
    <row r="331" spans="1:49">
      <c r="A331" s="137" t="str">
        <f>$A$17</f>
        <v>4Q</v>
      </c>
      <c r="B331" s="749" t="str">
        <f>$B$17</f>
        <v>Jan</v>
      </c>
      <c r="C331" s="137"/>
      <c r="D331" s="744">
        <f>+F331+H331</f>
        <v>-4.7581673306772956</v>
      </c>
      <c r="E331" s="137"/>
      <c r="F331" s="1653">
        <v>-9.3000000000000007</v>
      </c>
      <c r="G331" s="137"/>
      <c r="H331" s="744">
        <f>+N331*P331/100</f>
        <v>4.5418326693227051</v>
      </c>
      <c r="I331" s="137"/>
      <c r="J331" s="1636">
        <f>404+69+6</f>
        <v>479</v>
      </c>
      <c r="K331" s="137">
        <f>J331-J330</f>
        <v>-8</v>
      </c>
      <c r="L331" s="736">
        <f>AVERAGE(J331,J330)</f>
        <v>483</v>
      </c>
      <c r="M331" s="137"/>
      <c r="N331" s="744">
        <f>(L331/L324-1)*100</f>
        <v>-3.7848605577689209</v>
      </c>
      <c r="O331" s="735"/>
      <c r="P331" s="765">
        <v>-120</v>
      </c>
      <c r="Q331" s="220"/>
      <c r="R331" s="137"/>
      <c r="S331" s="766">
        <v>197.91900000000001</v>
      </c>
      <c r="T331" s="137"/>
      <c r="U331" s="758">
        <f>S331/L331</f>
        <v>0.40977018633540374</v>
      </c>
      <c r="V331" s="137"/>
      <c r="W331" s="759">
        <f>(U331/U324-1)*100</f>
        <v>-3.2501782374843358</v>
      </c>
      <c r="X331" s="735"/>
      <c r="Y331" s="137"/>
      <c r="Z331" s="1654">
        <f>(0.939606+0.143963+0.014891)/0.8</f>
        <v>1.3730749999999998</v>
      </c>
      <c r="AA331" s="137"/>
      <c r="AB331" s="760">
        <f>AVERAGE(Z331,Z330)</f>
        <v>1.3845618749999999</v>
      </c>
      <c r="AC331" s="137"/>
      <c r="AD331" s="744">
        <f>(AB331/AB324-1)*100</f>
        <v>-3.7545851600477742</v>
      </c>
      <c r="AE331" s="735"/>
      <c r="AF331" s="736">
        <f>+H331/AD331*100</f>
        <v>-120.9676295973245</v>
      </c>
      <c r="AG331" s="220"/>
      <c r="AH331" s="137"/>
      <c r="AI331" s="729">
        <f>+S331</f>
        <v>197.91900000000001</v>
      </c>
      <c r="AJ331" s="137"/>
      <c r="AK331" s="761">
        <f>AI331/AB331</f>
        <v>142.94702430687687</v>
      </c>
      <c r="AL331" s="137"/>
      <c r="AM331" s="759">
        <f>(AK331/AK324-1)*100</f>
        <v>-3.2806123037531831</v>
      </c>
      <c r="AN331" s="735"/>
      <c r="AO331" s="137"/>
      <c r="AP331" s="738">
        <f>+F331+F324</f>
        <v>-9.9</v>
      </c>
      <c r="AQ331" s="137"/>
      <c r="AR331" s="137"/>
      <c r="AS331" s="137"/>
      <c r="AT331" s="137"/>
      <c r="AU331" s="137"/>
      <c r="AV331" s="137"/>
      <c r="AW331" s="137"/>
    </row>
    <row r="332" spans="1:49">
      <c r="A332" s="137"/>
      <c r="B332" s="749" t="str">
        <f>$B$18</f>
        <v>Year</v>
      </c>
      <c r="C332" s="137"/>
      <c r="D332" s="728">
        <f>(S332/S325-1)*100</f>
        <v>-11.24338827589877</v>
      </c>
      <c r="E332" s="137"/>
      <c r="F332" s="762">
        <v>-10.9</v>
      </c>
      <c r="G332" s="137"/>
      <c r="H332" s="728">
        <f>D332-F332</f>
        <v>-0.34338827589876963</v>
      </c>
      <c r="I332" s="137"/>
      <c r="J332" s="874"/>
      <c r="K332" s="137"/>
      <c r="L332" s="734">
        <f>AVERAGE(L328:L331)</f>
        <v>490.375</v>
      </c>
      <c r="M332" s="137"/>
      <c r="N332" s="728">
        <f>(L332/L325-1)*100</f>
        <v>-2.5825676682393883</v>
      </c>
      <c r="O332" s="735"/>
      <c r="P332" s="731">
        <f>H332/N332*100</f>
        <v>13.296390260041759</v>
      </c>
      <c r="Q332" s="220"/>
      <c r="R332" s="137"/>
      <c r="S332" s="725">
        <f>SUM(S328:S331)</f>
        <v>750.91199999999992</v>
      </c>
      <c r="T332" s="137"/>
      <c r="U332" s="751">
        <f>SUM(U328:U331)</f>
        <v>1.5316170200800809</v>
      </c>
      <c r="V332" s="137"/>
      <c r="W332" s="708">
        <f>(U332/U325-1)*100</f>
        <v>-8.8711949738154985</v>
      </c>
      <c r="X332" s="735"/>
      <c r="Y332" s="137"/>
      <c r="Z332" s="137"/>
      <c r="AA332" s="137"/>
      <c r="AB332" s="732">
        <f>AVERAGE(AB328:AB331)</f>
        <v>1.4085815625</v>
      </c>
      <c r="AC332" s="137"/>
      <c r="AD332" s="728">
        <f>(AB332/AB324-1)*100</f>
        <v>-2.0848982868890586</v>
      </c>
      <c r="AE332" s="735"/>
      <c r="AF332" s="731">
        <f>+H332/AD332*100</f>
        <v>16.470265147138178</v>
      </c>
      <c r="AG332" s="220"/>
      <c r="AH332" s="137"/>
      <c r="AI332" s="725">
        <f>SUM(AI328:AI331)</f>
        <v>750.91199999999992</v>
      </c>
      <c r="AJ332" s="137"/>
      <c r="AK332" s="752">
        <f>SUM(AK328:AK331)</f>
        <v>533.21904943518769</v>
      </c>
      <c r="AL332" s="137"/>
      <c r="AM332" s="708">
        <f>(AK332/AK325-1)*100</f>
        <v>-9.1063111611305096</v>
      </c>
      <c r="AN332" s="735"/>
      <c r="AO332" s="137"/>
      <c r="AP332" s="726"/>
      <c r="AQ332" s="137"/>
      <c r="AR332" s="137"/>
      <c r="AS332" s="137"/>
      <c r="AT332" s="137"/>
      <c r="AU332" s="137"/>
      <c r="AV332" s="137"/>
      <c r="AW332" s="137"/>
    </row>
    <row r="333" spans="1:49">
      <c r="A333" s="137"/>
      <c r="B333" s="749"/>
      <c r="C333" s="137"/>
      <c r="D333" s="728"/>
      <c r="E333" s="137"/>
      <c r="F333" s="762"/>
      <c r="G333" s="137"/>
      <c r="H333" s="728"/>
      <c r="I333" s="137"/>
      <c r="J333" s="137"/>
      <c r="K333" s="137"/>
      <c r="L333" s="734"/>
      <c r="M333" s="137"/>
      <c r="N333" s="728"/>
      <c r="O333" s="735"/>
      <c r="P333" s="731"/>
      <c r="Q333" s="220"/>
      <c r="R333" s="137"/>
      <c r="S333" s="725"/>
      <c r="T333" s="137"/>
      <c r="U333" s="751"/>
      <c r="V333" s="137"/>
      <c r="W333" s="708"/>
      <c r="X333" s="735"/>
      <c r="Y333" s="137"/>
      <c r="Z333" s="137"/>
      <c r="AA333" s="137"/>
      <c r="AB333" s="732"/>
      <c r="AC333" s="137"/>
      <c r="AD333" s="728"/>
      <c r="AE333" s="735"/>
      <c r="AF333" s="731"/>
      <c r="AG333" s="220"/>
      <c r="AH333" s="137"/>
      <c r="AI333" s="725"/>
      <c r="AJ333" s="137"/>
      <c r="AK333" s="752"/>
      <c r="AL333" s="137"/>
      <c r="AM333" s="708"/>
      <c r="AN333" s="735"/>
      <c r="AO333" s="137"/>
      <c r="AP333" s="726"/>
      <c r="AQ333" s="137"/>
      <c r="AR333" s="137"/>
      <c r="AS333" s="137"/>
      <c r="AT333" s="137"/>
      <c r="AU333" s="137"/>
      <c r="AV333" s="137"/>
      <c r="AW333" s="137"/>
    </row>
    <row r="334" spans="1:49">
      <c r="A334" s="746"/>
      <c r="B334" s="763" t="s">
        <v>586</v>
      </c>
      <c r="C334" s="137"/>
      <c r="D334" s="728"/>
      <c r="E334" s="137"/>
      <c r="F334" s="762"/>
      <c r="G334" s="137"/>
      <c r="H334" s="728"/>
      <c r="I334" s="137"/>
      <c r="J334" s="137"/>
      <c r="K334" s="137"/>
      <c r="L334" s="734"/>
      <c r="M334" s="137"/>
      <c r="N334" s="728"/>
      <c r="O334" s="735"/>
      <c r="P334" s="731"/>
      <c r="Q334" s="220"/>
      <c r="R334" s="137"/>
      <c r="S334" s="725"/>
      <c r="T334" s="137"/>
      <c r="U334" s="751"/>
      <c r="V334" s="137"/>
      <c r="W334" s="708"/>
      <c r="X334" s="735"/>
      <c r="Y334" s="137"/>
      <c r="Z334" s="137"/>
      <c r="AA334" s="137"/>
      <c r="AB334" s="732"/>
      <c r="AC334" s="137"/>
      <c r="AD334" s="728"/>
      <c r="AE334" s="735"/>
      <c r="AF334" s="731"/>
      <c r="AG334" s="220"/>
      <c r="AH334" s="137"/>
      <c r="AI334" s="725"/>
      <c r="AJ334" s="137"/>
      <c r="AK334" s="752"/>
      <c r="AL334" s="137"/>
      <c r="AM334" s="708"/>
      <c r="AN334" s="735"/>
      <c r="AO334" s="137"/>
      <c r="AP334" s="726"/>
      <c r="AQ334" s="137"/>
      <c r="AR334" s="137"/>
      <c r="AS334" s="137"/>
      <c r="AT334" s="137"/>
      <c r="AU334" s="137"/>
      <c r="AV334" s="137"/>
      <c r="AW334" s="137"/>
    </row>
    <row r="335" spans="1:49">
      <c r="A335" s="137" t="str">
        <f>$A$14</f>
        <v>1Q</v>
      </c>
      <c r="B335" s="749" t="str">
        <f>$B$14</f>
        <v>Apr</v>
      </c>
      <c r="C335" s="137"/>
      <c r="D335" s="769">
        <f t="shared" ref="D335:D336" si="8">+F335+H335</f>
        <v>-9.8467741935483879</v>
      </c>
      <c r="E335" s="220"/>
      <c r="F335" s="1307">
        <v>-9</v>
      </c>
      <c r="G335" s="220"/>
      <c r="H335" s="769">
        <f t="shared" ref="H335:H336" si="9">+N335*P335/100</f>
        <v>-0.84677419354838745</v>
      </c>
      <c r="I335" s="220"/>
      <c r="J335" s="1304">
        <v>475</v>
      </c>
      <c r="K335" s="137">
        <f>J335-J331</f>
        <v>-4</v>
      </c>
      <c r="L335" s="731">
        <f>AVERAGE(J335,J334)</f>
        <v>475</v>
      </c>
      <c r="M335" s="220"/>
      <c r="N335" s="769">
        <f>(L335/L328-1)*100</f>
        <v>-4.2338709677419377</v>
      </c>
      <c r="O335" s="1180"/>
      <c r="P335" s="1305">
        <v>20</v>
      </c>
      <c r="Q335" s="220"/>
      <c r="R335" s="220"/>
      <c r="S335" s="1298">
        <f t="shared" ref="S335:S336" si="10">+S328*(1+D335/100)</f>
        <v>174.29503451612902</v>
      </c>
      <c r="T335" s="220"/>
      <c r="U335" s="1181">
        <f>S335/L335</f>
        <v>0.36693691477079793</v>
      </c>
      <c r="V335" s="220"/>
      <c r="W335" s="708">
        <f>(U335/U328-1)*100</f>
        <v>-5.8610526315789553</v>
      </c>
      <c r="X335" s="1180"/>
      <c r="Y335" s="220"/>
      <c r="Z335" s="767">
        <f>+Z331+((J335-J331)*(yrSales!$X$80/1000000))</f>
        <v>1.3602749999999999</v>
      </c>
      <c r="AA335" s="220"/>
      <c r="AB335" s="1182">
        <f>AVERAGE(Z335,Z331)</f>
        <v>1.3666749999999999</v>
      </c>
      <c r="AC335" s="220"/>
      <c r="AD335" s="769">
        <f>(AB335/AB328-1)*100</f>
        <v>-4.4134489457275716</v>
      </c>
      <c r="AE335" s="1180"/>
      <c r="AF335" s="731">
        <f>+H335/AD335*100</f>
        <v>19.186223834493546</v>
      </c>
      <c r="AG335" s="220"/>
      <c r="AH335" s="220"/>
      <c r="AI335" s="221">
        <f>+S335</f>
        <v>174.29503451612902</v>
      </c>
      <c r="AJ335" s="220"/>
      <c r="AK335" s="1183">
        <f>AI335/AB335</f>
        <v>127.53217444976241</v>
      </c>
      <c r="AL335" s="220"/>
      <c r="AM335" s="708">
        <f>(AK335/AK328-1)*100</f>
        <v>-5.6841942594370369</v>
      </c>
      <c r="AN335" s="735" t="s">
        <v>576</v>
      </c>
      <c r="AO335" s="137"/>
      <c r="AP335" s="750">
        <f>+F335+F328</f>
        <v>-18.7</v>
      </c>
      <c r="AQ335" s="137"/>
      <c r="AR335" s="137"/>
      <c r="AS335" s="137"/>
      <c r="AT335" s="137"/>
      <c r="AU335" s="137"/>
      <c r="AV335" s="137"/>
      <c r="AW335" s="137"/>
    </row>
    <row r="336" spans="1:49">
      <c r="A336" s="137" t="str">
        <f>$A$15</f>
        <v>2Q</v>
      </c>
      <c r="B336" s="749" t="str">
        <f>$B$15</f>
        <v>Jul</v>
      </c>
      <c r="C336" s="137"/>
      <c r="D336" s="769">
        <f t="shared" si="8"/>
        <v>-7.8308004052684907</v>
      </c>
      <c r="E336" s="220"/>
      <c r="F336" s="1307">
        <v>-7</v>
      </c>
      <c r="G336" s="220"/>
      <c r="H336" s="769">
        <f t="shared" si="9"/>
        <v>-0.83080040526849042</v>
      </c>
      <c r="I336" s="220"/>
      <c r="J336" s="1304">
        <v>471</v>
      </c>
      <c r="K336" s="137">
        <f>J336-J335</f>
        <v>-4</v>
      </c>
      <c r="L336" s="731">
        <f>AVERAGE(J336,J335)</f>
        <v>473</v>
      </c>
      <c r="M336" s="220"/>
      <c r="N336" s="769">
        <f>(L336/L329-1)*100</f>
        <v>-4.154002026342452</v>
      </c>
      <c r="O336" s="1180"/>
      <c r="P336" s="1305">
        <v>20</v>
      </c>
      <c r="Q336" s="220"/>
      <c r="R336" s="220"/>
      <c r="S336" s="1298">
        <f t="shared" si="10"/>
        <v>169.9563172847011</v>
      </c>
      <c r="T336" s="220"/>
      <c r="U336" s="1181">
        <f>S336/L336</f>
        <v>0.35931568136300446</v>
      </c>
      <c r="V336" s="220"/>
      <c r="W336" s="708">
        <f>(U336/U329-1)*100</f>
        <v>-3.8361522198731568</v>
      </c>
      <c r="X336" s="1180"/>
      <c r="Y336" s="220"/>
      <c r="Z336" s="767">
        <f>+Z335+((J336-J335)*(yrSales!$X$80/1000000))</f>
        <v>1.347475</v>
      </c>
      <c r="AA336" s="220"/>
      <c r="AB336" s="1182">
        <f>AVERAGE(Z336,Z335)</f>
        <v>1.3538749999999999</v>
      </c>
      <c r="AC336" s="220"/>
      <c r="AD336" s="769">
        <f>(AB336/AB329-1)*100</f>
        <v>-4.4607758603580017</v>
      </c>
      <c r="AE336" s="1180"/>
      <c r="AF336" s="731">
        <f>+H336/AD336*100</f>
        <v>18.624571851987518</v>
      </c>
      <c r="AG336" s="220"/>
      <c r="AH336" s="220"/>
      <c r="AI336" s="221">
        <f>+S336</f>
        <v>169.9563172847011</v>
      </c>
      <c r="AJ336" s="220"/>
      <c r="AK336" s="1183">
        <f>AI336/AB336</f>
        <v>125.53324146224807</v>
      </c>
      <c r="AL336" s="220"/>
      <c r="AM336" s="708">
        <f>(AK336/AK329-1)*100</f>
        <v>-3.5273727364425578</v>
      </c>
      <c r="AN336" s="735"/>
      <c r="AO336" s="137"/>
      <c r="AP336" s="750">
        <f>+F336+F329</f>
        <v>-17.600000000000001</v>
      </c>
      <c r="AQ336" s="137"/>
      <c r="AR336" s="137"/>
      <c r="AS336" s="137"/>
      <c r="AT336" s="137"/>
      <c r="AU336" s="137"/>
      <c r="AV336" s="137"/>
      <c r="AW336" s="137"/>
    </row>
    <row r="337" spans="1:49">
      <c r="A337" s="137" t="str">
        <f>$A$16</f>
        <v>3Q</v>
      </c>
      <c r="B337" s="749" t="str">
        <f>$B$16</f>
        <v>Oct</v>
      </c>
      <c r="C337" s="137"/>
      <c r="D337" s="769">
        <f>+F337+H337</f>
        <v>-2.6768916155419245</v>
      </c>
      <c r="E337" s="220"/>
      <c r="F337" s="1307">
        <v>-1</v>
      </c>
      <c r="G337" s="220"/>
      <c r="H337" s="769">
        <f>+N337*P337/100</f>
        <v>-1.6768916155419245</v>
      </c>
      <c r="I337" s="220"/>
      <c r="J337" s="1304">
        <v>466</v>
      </c>
      <c r="K337" s="137">
        <f>J337-J336</f>
        <v>-5</v>
      </c>
      <c r="L337" s="731">
        <f>AVERAGE(J337,J336)</f>
        <v>468.5</v>
      </c>
      <c r="M337" s="220"/>
      <c r="N337" s="769">
        <f>(L337/L330-1)*100</f>
        <v>-4.1922290388548111</v>
      </c>
      <c r="O337" s="1180"/>
      <c r="P337" s="1305">
        <v>40</v>
      </c>
      <c r="Q337" s="220"/>
      <c r="R337" s="220"/>
      <c r="S337" s="1298">
        <f>+S330*(1+D337/100)</f>
        <v>170.57334591002044</v>
      </c>
      <c r="T337" s="220"/>
      <c r="U337" s="1181">
        <f>S337/L337</f>
        <v>0.36408398273216741</v>
      </c>
      <c r="V337" s="220"/>
      <c r="W337" s="708">
        <f>(U337/U330-1)*100</f>
        <v>1.5816435432230547</v>
      </c>
      <c r="X337" s="1180"/>
      <c r="Y337" s="220"/>
      <c r="Z337" s="767">
        <f>+Z336+((J337-J336)*(yrSales!$X$80/1000000))</f>
        <v>1.331475</v>
      </c>
      <c r="AA337" s="220"/>
      <c r="AB337" s="1182">
        <f>AVERAGE(Z337,Z336)</f>
        <v>1.339475</v>
      </c>
      <c r="AC337" s="220"/>
      <c r="AD337" s="769">
        <f>(AB337/AB330-1)*100</f>
        <v>-4.5209071574124575</v>
      </c>
      <c r="AE337" s="1180"/>
      <c r="AF337" s="731">
        <f>+H337/AD337*100</f>
        <v>37.09192772942707</v>
      </c>
      <c r="AG337" s="220"/>
      <c r="AH337" s="220"/>
      <c r="AI337" s="221">
        <f>+S337</f>
        <v>170.57334591002044</v>
      </c>
      <c r="AJ337" s="220"/>
      <c r="AK337" s="1183">
        <f>AI337/AB337</f>
        <v>127.34343374084655</v>
      </c>
      <c r="AL337" s="220"/>
      <c r="AM337" s="708">
        <f>(AK337/AK330-1)*100</f>
        <v>1.9313291391558129</v>
      </c>
      <c r="AN337" s="735"/>
      <c r="AO337" s="137"/>
      <c r="AP337" s="750">
        <f>+F337+F330</f>
        <v>-15.1</v>
      </c>
      <c r="AQ337" s="137"/>
      <c r="AR337" s="137"/>
      <c r="AS337" s="137"/>
      <c r="AT337" s="137"/>
      <c r="AU337" s="137"/>
      <c r="AV337" s="137"/>
      <c r="AW337" s="137"/>
    </row>
    <row r="338" spans="1:49">
      <c r="A338" s="137" t="str">
        <f>$A$17</f>
        <v>4Q</v>
      </c>
      <c r="B338" s="749" t="str">
        <f>$B$17</f>
        <v>Jan</v>
      </c>
      <c r="C338" s="137"/>
      <c r="D338" s="744">
        <f>+F338+H338</f>
        <v>-24.291925465838485</v>
      </c>
      <c r="E338" s="137"/>
      <c r="F338" s="1113">
        <v>-1</v>
      </c>
      <c r="G338" s="137"/>
      <c r="H338" s="744">
        <f>+N338*P338/100</f>
        <v>-23.291925465838485</v>
      </c>
      <c r="I338" s="137"/>
      <c r="J338" s="1114">
        <v>464</v>
      </c>
      <c r="K338" s="137">
        <f>J338-J337</f>
        <v>-2</v>
      </c>
      <c r="L338" s="736">
        <f>AVERAGE(J338,J337)</f>
        <v>465</v>
      </c>
      <c r="M338" s="137"/>
      <c r="N338" s="744">
        <f>(L338/L331-1)*100</f>
        <v>-3.7267080745341574</v>
      </c>
      <c r="O338" s="735"/>
      <c r="P338" s="765">
        <v>625</v>
      </c>
      <c r="Q338" s="220"/>
      <c r="R338" s="137"/>
      <c r="S338" s="766">
        <f>+S331*(1+D338/100)</f>
        <v>149.84066403726715</v>
      </c>
      <c r="T338" s="137"/>
      <c r="U338" s="758">
        <f>S338/L338</f>
        <v>0.32223798717691859</v>
      </c>
      <c r="V338" s="137"/>
      <c r="W338" s="759">
        <f>(U338/U331-1)*100</f>
        <v>-21.361290322580619</v>
      </c>
      <c r="X338" s="735"/>
      <c r="Y338" s="137"/>
      <c r="Z338" s="767">
        <f>+Z337+((J338-J337)*(yrSales!$X$80/1000000))</f>
        <v>1.325075</v>
      </c>
      <c r="AA338" s="137"/>
      <c r="AB338" s="760">
        <f>AVERAGE(Z338,Z337)</f>
        <v>1.3282750000000001</v>
      </c>
      <c r="AC338" s="137"/>
      <c r="AD338" s="744">
        <f>(AB338/AB331-1)*100</f>
        <v>-4.0653203021352784</v>
      </c>
      <c r="AE338" s="735"/>
      <c r="AF338" s="736">
        <f>+H338/AD338*100</f>
        <v>572.94195130466301</v>
      </c>
      <c r="AG338" s="220"/>
      <c r="AH338" s="137"/>
      <c r="AI338" s="729">
        <f>+S338</f>
        <v>149.84066403726715</v>
      </c>
      <c r="AJ338" s="137"/>
      <c r="AK338" s="761">
        <f>AI338/AB338</f>
        <v>112.80846514258504</v>
      </c>
      <c r="AL338" s="137"/>
      <c r="AM338" s="759">
        <f>(AK338/AK331-1)*100</f>
        <v>-21.083726163890447</v>
      </c>
      <c r="AN338" s="735"/>
      <c r="AO338" s="137"/>
      <c r="AP338" s="738">
        <f>+F338+F331</f>
        <v>-10.3</v>
      </c>
      <c r="AQ338" s="137"/>
      <c r="AR338" s="137"/>
      <c r="AS338" s="137"/>
      <c r="AT338" s="137"/>
      <c r="AU338" s="137"/>
      <c r="AV338" s="137"/>
      <c r="AW338" s="137"/>
    </row>
    <row r="339" spans="1:49">
      <c r="A339" s="137"/>
      <c r="B339" s="749" t="str">
        <f>$B$18</f>
        <v>Year</v>
      </c>
      <c r="C339" s="137"/>
      <c r="D339" s="728">
        <f>(S339/S332-1)*100</f>
        <v>-11.485585295198675</v>
      </c>
      <c r="E339" s="137"/>
      <c r="F339" s="762">
        <f>F335*S335/S339+F336*S336/S339+F337*S337/S339+F338*S338/S339</f>
        <v>-4.6320505306429496</v>
      </c>
      <c r="G339" s="137"/>
      <c r="H339" s="728">
        <f>D339-F339</f>
        <v>-6.8535347645557252</v>
      </c>
      <c r="I339" s="137"/>
      <c r="J339" s="874"/>
      <c r="K339" s="137"/>
      <c r="L339" s="734">
        <f>AVERAGE(L335:L338)</f>
        <v>470.375</v>
      </c>
      <c r="M339" s="137"/>
      <c r="N339" s="728">
        <f>(L339/L332-1)*100</f>
        <v>-4.0785113433596702</v>
      </c>
      <c r="O339" s="735"/>
      <c r="P339" s="731">
        <f>H339/N339*100</f>
        <v>168.04010550845084</v>
      </c>
      <c r="Q339" s="220"/>
      <c r="R339" s="137"/>
      <c r="S339" s="725">
        <f>SUM(S335:S338)</f>
        <v>664.66536174811768</v>
      </c>
      <c r="T339" s="137"/>
      <c r="U339" s="751">
        <f>SUM(U335:U338)</f>
        <v>1.4125745660428883</v>
      </c>
      <c r="V339" s="137"/>
      <c r="W339" s="708">
        <f>(U339/U332-1)*100</f>
        <v>-7.7723381548063797</v>
      </c>
      <c r="X339" s="735"/>
      <c r="Y339" s="137"/>
      <c r="Z339" s="137"/>
      <c r="AA339" s="137"/>
      <c r="AB339" s="732">
        <f>AVERAGE(AB335:AB338)</f>
        <v>1.3470749999999998</v>
      </c>
      <c r="AC339" s="137"/>
      <c r="AD339" s="728">
        <f>(AB339/AB331-1)*100</f>
        <v>-2.7074900498758936</v>
      </c>
      <c r="AE339" s="735"/>
      <c r="AF339" s="731">
        <f>+H339/AD339*100</f>
        <v>253.1324081826221</v>
      </c>
      <c r="AG339" s="220"/>
      <c r="AH339" s="137"/>
      <c r="AI339" s="725">
        <f>SUM(AI335:AI338)</f>
        <v>664.66536174811768</v>
      </c>
      <c r="AJ339" s="137"/>
      <c r="AK339" s="752">
        <f>SUM(AK335:AK338)</f>
        <v>493.21731479544206</v>
      </c>
      <c r="AL339" s="137"/>
      <c r="AM339" s="708">
        <f>(AK339/AK332-1)*100</f>
        <v>-7.5019327764297756</v>
      </c>
      <c r="AN339" s="735"/>
      <c r="AO339" s="137"/>
      <c r="AP339" s="726"/>
      <c r="AQ339" s="137"/>
      <c r="AR339" s="137"/>
      <c r="AS339" s="137"/>
      <c r="AT339" s="137"/>
      <c r="AU339" s="137"/>
      <c r="AV339" s="137"/>
      <c r="AW339" s="137"/>
    </row>
    <row r="340" spans="1:49">
      <c r="A340" s="137"/>
      <c r="B340" s="749"/>
      <c r="C340" s="137"/>
      <c r="D340" s="728"/>
      <c r="E340" s="137"/>
      <c r="F340" s="762"/>
      <c r="G340" s="137"/>
      <c r="H340" s="728"/>
      <c r="I340" s="137"/>
      <c r="J340" s="137"/>
      <c r="K340" s="137"/>
      <c r="L340" s="734"/>
      <c r="M340" s="137"/>
      <c r="N340" s="728"/>
      <c r="O340" s="735"/>
      <c r="P340" s="731"/>
      <c r="Q340" s="220"/>
      <c r="R340" s="137"/>
      <c r="S340" s="768"/>
      <c r="T340" s="137"/>
      <c r="U340" s="751"/>
      <c r="V340" s="137"/>
      <c r="W340" s="708"/>
      <c r="X340" s="735"/>
      <c r="Y340" s="137"/>
      <c r="Z340" s="137"/>
      <c r="AA340" s="137"/>
      <c r="AB340" s="732"/>
      <c r="AC340" s="137"/>
      <c r="AD340" s="728"/>
      <c r="AE340" s="735"/>
      <c r="AF340" s="731"/>
      <c r="AG340" s="220"/>
      <c r="AH340" s="137"/>
      <c r="AI340" s="725"/>
      <c r="AJ340" s="137"/>
      <c r="AK340" s="752"/>
      <c r="AL340" s="137"/>
      <c r="AM340" s="708"/>
      <c r="AN340" s="735"/>
      <c r="AO340" s="137"/>
      <c r="AP340" s="726"/>
      <c r="AQ340" s="137"/>
      <c r="AR340" s="137"/>
      <c r="AS340" s="137"/>
      <c r="AT340" s="137"/>
      <c r="AU340" s="137"/>
      <c r="AV340" s="137"/>
      <c r="AW340" s="137"/>
    </row>
    <row r="341" spans="1:49">
      <c r="A341" s="26" t="s">
        <v>566</v>
      </c>
      <c r="B341" s="218"/>
      <c r="D341" s="137"/>
      <c r="E341" s="137"/>
      <c r="F341" s="137"/>
      <c r="G341" s="137"/>
      <c r="L341" s="699"/>
      <c r="O341" s="107"/>
      <c r="S341" s="768"/>
      <c r="U341" s="236"/>
      <c r="AD341" s="236"/>
      <c r="AE341" s="107"/>
      <c r="AP341" s="726"/>
    </row>
    <row r="342" spans="1:49">
      <c r="B342" s="218"/>
      <c r="D342" s="137"/>
      <c r="E342" s="137"/>
      <c r="F342" s="137"/>
      <c r="G342" s="137"/>
      <c r="O342" s="107"/>
      <c r="P342" s="716"/>
      <c r="S342" s="692"/>
      <c r="U342" s="236"/>
      <c r="AE342" s="107"/>
      <c r="AP342" s="726"/>
    </row>
    <row r="343" spans="1:49">
      <c r="A343" s="135" t="s">
        <v>617</v>
      </c>
      <c r="B343" s="217" t="s">
        <v>534</v>
      </c>
      <c r="D343" s="137"/>
      <c r="E343" s="137"/>
      <c r="F343" s="137"/>
      <c r="G343" s="137"/>
      <c r="O343" s="107"/>
      <c r="S343" s="768">
        <f>S331*(1-0.079-0.005)</f>
        <v>181.29380400000002</v>
      </c>
      <c r="AE343" s="107"/>
      <c r="AP343" s="291"/>
    </row>
    <row r="344" spans="1:49">
      <c r="A344" s="135" t="s">
        <v>618</v>
      </c>
      <c r="B344" s="792" t="s">
        <v>42</v>
      </c>
      <c r="D344" s="137"/>
      <c r="E344" s="137"/>
      <c r="F344" s="137"/>
      <c r="G344" s="137"/>
      <c r="O344" s="107"/>
      <c r="AP344" s="291"/>
    </row>
    <row r="345" spans="1:49" ht="4.5" customHeight="1">
      <c r="B345" s="218"/>
      <c r="D345" s="137"/>
      <c r="E345" s="137"/>
      <c r="F345" s="137"/>
      <c r="G345" s="137"/>
      <c r="AP345" s="291"/>
    </row>
    <row r="346" spans="1:49">
      <c r="A346" s="675" t="s">
        <v>700</v>
      </c>
      <c r="B346" s="218"/>
      <c r="AP346" s="291"/>
    </row>
  </sheetData>
  <phoneticPr fontId="37" type="noConversion"/>
  <pageMargins left="0.75" right="0.75" top="1" bottom="1" header="0.5" footer="0.5"/>
  <pageSetup scale="45" fitToHeight="10" orientation="portrait" horizontalDpi="300" verticalDpi="300" r:id="rId1"/>
  <headerFooter alignWithMargins="0"/>
  <rowBreaks count="1" manualBreakCount="1">
    <brk id="232" max="39"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V191"/>
  <sheetViews>
    <sheetView view="pageBreakPreview" zoomScale="85" zoomScaleNormal="100" zoomScaleSheetLayoutView="85" workbookViewId="0">
      <pane xSplit="3" ySplit="17" topLeftCell="D80" activePane="bottomRight" state="frozen"/>
      <selection activeCell="E43" sqref="E43"/>
      <selection pane="topRight" activeCell="E43" sqref="E43"/>
      <selection pane="bottomLeft" activeCell="E43" sqref="E43"/>
      <selection pane="bottomRight" activeCell="D80" sqref="D80"/>
    </sheetView>
  </sheetViews>
  <sheetFormatPr defaultRowHeight="12.75" outlineLevelRow="1"/>
  <cols>
    <col min="1" max="1" width="2.7109375" style="26" customWidth="1"/>
    <col min="2" max="2" width="7" style="26" customWidth="1"/>
    <col min="3" max="3" width="1.28515625" style="26" customWidth="1"/>
    <col min="4" max="4" width="5.28515625" style="26" customWidth="1"/>
    <col min="5" max="5" width="1.7109375" style="26" customWidth="1"/>
    <col min="6" max="6" width="6.42578125" style="26" customWidth="1"/>
    <col min="7" max="7" width="1.5703125" style="26" customWidth="1"/>
    <col min="8" max="8" width="6.42578125" style="26" customWidth="1"/>
    <col min="9" max="9" width="1.7109375" style="26" customWidth="1"/>
    <col min="10" max="10" width="6.140625" style="26" customWidth="1"/>
    <col min="11" max="11" width="3.5703125" style="26" customWidth="1"/>
    <col min="12" max="12" width="6" style="26" customWidth="1"/>
    <col min="13" max="13" width="1.28515625" style="26" customWidth="1"/>
    <col min="14" max="14" width="5.140625" style="26" customWidth="1"/>
    <col min="15" max="15" width="1.7109375" style="26" customWidth="1"/>
    <col min="16" max="16" width="4.85546875" style="26" customWidth="1"/>
    <col min="17" max="17" width="3.42578125" style="26" customWidth="1"/>
    <col min="18" max="18" width="1.28515625" style="26" customWidth="1"/>
    <col min="19" max="19" width="9.42578125" style="26" customWidth="1"/>
    <col min="20" max="20" width="1.5703125" style="26" customWidth="1"/>
    <col min="21" max="21" width="7.7109375" style="26" customWidth="1"/>
    <col min="22" max="22" width="1.28515625" style="26" customWidth="1"/>
    <col min="23" max="23" width="6.42578125" style="26" customWidth="1"/>
    <col min="24" max="25" width="1.7109375" style="26" customWidth="1"/>
    <col min="26" max="26" width="7.140625" style="26" customWidth="1"/>
    <col min="27" max="27" width="1.7109375" style="26" customWidth="1"/>
    <col min="28" max="28" width="5.7109375" style="26" customWidth="1"/>
    <col min="29" max="29" width="1.28515625" style="26" customWidth="1"/>
    <col min="30" max="30" width="7.140625" style="26" customWidth="1"/>
    <col min="31" max="31" width="1.7109375" style="26" customWidth="1"/>
    <col min="32" max="32" width="7.28515625" style="26" customWidth="1"/>
    <col min="33" max="33" width="3.7109375" style="26" customWidth="1"/>
    <col min="34" max="34" width="1.140625" style="26" customWidth="1"/>
    <col min="35" max="35" width="8.140625" style="26" customWidth="1"/>
    <col min="36" max="36" width="1.28515625" style="26" customWidth="1"/>
    <col min="37" max="37" width="7.7109375" style="26" customWidth="1"/>
    <col min="38" max="38" width="1.28515625" style="26" customWidth="1"/>
    <col min="39" max="39" width="5.42578125" style="26" customWidth="1"/>
    <col min="40" max="40" width="1.7109375" style="26" customWidth="1"/>
    <col min="41" max="41" width="6.42578125" style="26" customWidth="1"/>
    <col min="42" max="16384" width="9.140625" style="26"/>
  </cols>
  <sheetData>
    <row r="1" spans="1:47">
      <c r="A1" s="259" t="str">
        <f>+sumry!A1</f>
        <v>Chico's</v>
      </c>
      <c r="B1" s="72"/>
      <c r="C1" s="28"/>
      <c r="D1" s="28"/>
      <c r="E1" s="42"/>
      <c r="F1" s="28"/>
      <c r="G1" s="28"/>
      <c r="H1" s="28"/>
      <c r="I1" s="42"/>
      <c r="J1" s="46"/>
      <c r="K1" s="46"/>
      <c r="L1" s="46"/>
      <c r="M1" s="47"/>
      <c r="N1" s="46"/>
      <c r="O1" s="42"/>
      <c r="P1" s="46"/>
      <c r="Q1" s="46"/>
      <c r="R1" s="47"/>
      <c r="S1" s="46"/>
      <c r="T1" s="46"/>
      <c r="U1" s="47"/>
      <c r="V1" s="47"/>
      <c r="W1" s="46"/>
      <c r="X1" s="136"/>
      <c r="Y1" s="46"/>
      <c r="Z1" s="46"/>
      <c r="AA1" s="46"/>
      <c r="AB1" s="46"/>
      <c r="AC1" s="47"/>
      <c r="AD1" s="46"/>
      <c r="AE1" s="47"/>
      <c r="AF1" s="46"/>
      <c r="AG1" s="46"/>
      <c r="AH1" s="47"/>
      <c r="AI1" s="46"/>
      <c r="AJ1" s="46"/>
      <c r="AK1" s="47"/>
      <c r="AL1" s="47"/>
      <c r="AM1" s="46"/>
      <c r="AN1" s="136"/>
      <c r="AO1" s="136"/>
      <c r="AP1" s="46"/>
      <c r="AQ1" s="46"/>
      <c r="AR1" s="46"/>
      <c r="AS1" s="46"/>
      <c r="AT1" s="46"/>
      <c r="AU1" s="46"/>
    </row>
    <row r="2" spans="1:47">
      <c r="A2" s="147" t="s">
        <v>710</v>
      </c>
      <c r="B2" s="73"/>
      <c r="C2" s="29"/>
      <c r="D2" s="29"/>
      <c r="E2" s="43"/>
      <c r="F2" s="29"/>
      <c r="G2" s="29"/>
      <c r="H2" s="29"/>
      <c r="I2" s="43"/>
      <c r="J2" s="29"/>
      <c r="K2" s="29"/>
      <c r="L2" s="29"/>
      <c r="M2" s="43"/>
      <c r="N2" s="29"/>
      <c r="O2" s="43"/>
      <c r="P2" s="29"/>
      <c r="Q2" s="29"/>
      <c r="R2" s="43"/>
      <c r="S2" s="29"/>
      <c r="T2" s="29"/>
      <c r="U2" s="43"/>
      <c r="V2" s="43"/>
      <c r="W2" s="29"/>
      <c r="X2" s="91"/>
      <c r="Y2" s="29"/>
      <c r="Z2" s="29"/>
      <c r="AA2" s="29"/>
      <c r="AB2" s="29"/>
      <c r="AC2" s="43"/>
      <c r="AD2" s="29"/>
      <c r="AE2" s="43"/>
      <c r="AF2" s="29"/>
      <c r="AG2" s="29"/>
      <c r="AH2" s="43"/>
      <c r="AI2" s="29"/>
      <c r="AJ2" s="29"/>
      <c r="AK2" s="43"/>
      <c r="AL2" s="43"/>
      <c r="AM2" s="29"/>
      <c r="AN2" s="136"/>
      <c r="AO2" s="136"/>
      <c r="AP2" s="46"/>
      <c r="AQ2" s="46"/>
      <c r="AR2" s="46"/>
      <c r="AS2" s="46"/>
      <c r="AT2" s="46"/>
      <c r="AU2" s="46"/>
    </row>
    <row r="3" spans="1:47">
      <c r="B3" s="218"/>
      <c r="X3" s="107"/>
      <c r="AN3" s="107"/>
      <c r="AO3" s="107"/>
    </row>
    <row r="4" spans="1:47">
      <c r="B4" s="218"/>
      <c r="X4" s="107"/>
      <c r="AN4" s="107"/>
      <c r="AO4" s="107"/>
    </row>
    <row r="5" spans="1:47">
      <c r="B5" s="218"/>
      <c r="J5" s="679" t="s">
        <v>363</v>
      </c>
      <c r="K5" s="680"/>
      <c r="L5" s="680"/>
      <c r="M5" s="680"/>
      <c r="N5" s="680"/>
      <c r="O5" s="680"/>
      <c r="P5" s="680"/>
      <c r="Q5" s="680"/>
      <c r="R5" s="680"/>
      <c r="S5" s="680"/>
      <c r="T5" s="680"/>
      <c r="U5" s="680"/>
      <c r="V5" s="680"/>
      <c r="W5" s="680"/>
      <c r="X5" s="681"/>
      <c r="Z5" s="679" t="s">
        <v>48</v>
      </c>
      <c r="AA5" s="680"/>
      <c r="AB5" s="680"/>
      <c r="AC5" s="680"/>
      <c r="AD5" s="680"/>
      <c r="AE5" s="680"/>
      <c r="AF5" s="680"/>
      <c r="AG5" s="680"/>
      <c r="AH5" s="680"/>
      <c r="AI5" s="680"/>
      <c r="AJ5" s="680"/>
      <c r="AK5" s="680"/>
      <c r="AL5" s="680"/>
      <c r="AM5" s="680"/>
      <c r="AN5" s="681"/>
      <c r="AO5" s="682"/>
    </row>
    <row r="6" spans="1:47">
      <c r="B6" s="218"/>
      <c r="D6" s="29"/>
      <c r="E6" s="91" t="s">
        <v>64</v>
      </c>
      <c r="F6" s="29"/>
      <c r="H6" s="44" t="s">
        <v>103</v>
      </c>
      <c r="P6" s="682" t="s">
        <v>114</v>
      </c>
      <c r="Q6" s="682"/>
      <c r="S6" s="120"/>
      <c r="T6" s="120"/>
      <c r="U6" s="29" t="s">
        <v>33</v>
      </c>
      <c r="V6" s="120"/>
      <c r="W6" s="120"/>
      <c r="X6" s="107"/>
      <c r="AF6" s="682" t="s">
        <v>114</v>
      </c>
      <c r="AG6" s="682"/>
      <c r="AI6" s="120"/>
      <c r="AJ6" s="120"/>
      <c r="AK6" s="91" t="s">
        <v>362</v>
      </c>
      <c r="AL6" s="120"/>
      <c r="AM6" s="120"/>
      <c r="AN6" s="107"/>
      <c r="AO6" s="107"/>
      <c r="AU6" s="683" t="s">
        <v>98</v>
      </c>
    </row>
    <row r="7" spans="1:47">
      <c r="B7" s="218"/>
      <c r="D7" s="44"/>
      <c r="E7" s="44"/>
      <c r="F7" s="44" t="s">
        <v>102</v>
      </c>
      <c r="G7" s="44"/>
      <c r="H7" s="91" t="s">
        <v>104</v>
      </c>
      <c r="J7" s="91"/>
      <c r="K7" s="91" t="s">
        <v>109</v>
      </c>
      <c r="L7" s="91"/>
      <c r="M7" s="44"/>
      <c r="N7" s="44" t="s">
        <v>112</v>
      </c>
      <c r="P7" s="682" t="s">
        <v>115</v>
      </c>
      <c r="Q7" s="682"/>
      <c r="S7" s="28"/>
      <c r="U7" s="44" t="s">
        <v>119</v>
      </c>
      <c r="W7" s="44" t="s">
        <v>121</v>
      </c>
      <c r="X7" s="107"/>
      <c r="Z7" s="91"/>
      <c r="AA7" s="91" t="s">
        <v>414</v>
      </c>
      <c r="AB7" s="91"/>
      <c r="AC7" s="44"/>
      <c r="AD7" s="44" t="s">
        <v>112</v>
      </c>
      <c r="AF7" s="682" t="s">
        <v>115</v>
      </c>
      <c r="AG7" s="682"/>
      <c r="AK7" s="44" t="s">
        <v>119</v>
      </c>
      <c r="AM7" s="44" t="s">
        <v>121</v>
      </c>
      <c r="AN7" s="107"/>
      <c r="AO7" s="107"/>
      <c r="AU7" s="683" t="s">
        <v>24</v>
      </c>
    </row>
    <row r="8" spans="1:47">
      <c r="B8" s="218"/>
      <c r="D8" s="91" t="s">
        <v>101</v>
      </c>
      <c r="E8" s="44"/>
      <c r="F8" s="91" t="s">
        <v>79</v>
      </c>
      <c r="G8" s="44"/>
      <c r="H8" s="44" t="s">
        <v>105</v>
      </c>
      <c r="J8" s="91" t="s">
        <v>101</v>
      </c>
      <c r="K8" s="44"/>
      <c r="L8" s="91" t="s">
        <v>96</v>
      </c>
      <c r="M8" s="44"/>
      <c r="N8" s="91" t="s">
        <v>576</v>
      </c>
      <c r="P8" s="684" t="s">
        <v>116</v>
      </c>
      <c r="Q8" s="684"/>
      <c r="S8" s="91" t="s">
        <v>101</v>
      </c>
      <c r="U8" s="91" t="s">
        <v>98</v>
      </c>
      <c r="W8" s="91" t="s">
        <v>99</v>
      </c>
      <c r="X8" s="107"/>
      <c r="Z8" s="91" t="s">
        <v>101</v>
      </c>
      <c r="AA8" s="44"/>
      <c r="AB8" s="91" t="s">
        <v>96</v>
      </c>
      <c r="AC8" s="44"/>
      <c r="AD8" s="91" t="s">
        <v>576</v>
      </c>
      <c r="AF8" s="684" t="s">
        <v>361</v>
      </c>
      <c r="AG8" s="684"/>
      <c r="AI8" s="91" t="s">
        <v>101</v>
      </c>
      <c r="AK8" s="91" t="s">
        <v>356</v>
      </c>
      <c r="AM8" s="91" t="s">
        <v>99</v>
      </c>
      <c r="AN8" s="107"/>
      <c r="AO8" s="107"/>
      <c r="AU8" s="28">
        <v>600</v>
      </c>
    </row>
    <row r="9" spans="1:47">
      <c r="B9" s="218"/>
      <c r="D9" s="685" t="s">
        <v>107</v>
      </c>
      <c r="E9" s="44"/>
      <c r="F9" s="685" t="s">
        <v>108</v>
      </c>
      <c r="G9" s="44"/>
      <c r="H9" s="685" t="s">
        <v>106</v>
      </c>
      <c r="J9" s="685" t="s">
        <v>110</v>
      </c>
      <c r="K9" s="44"/>
      <c r="L9" s="685" t="s">
        <v>111</v>
      </c>
      <c r="M9" s="44"/>
      <c r="N9" s="685" t="s">
        <v>113</v>
      </c>
      <c r="P9" s="686" t="s">
        <v>117</v>
      </c>
      <c r="Q9" s="686"/>
      <c r="S9" s="685" t="s">
        <v>118</v>
      </c>
      <c r="U9" s="685" t="s">
        <v>120</v>
      </c>
      <c r="W9" s="685" t="s">
        <v>122</v>
      </c>
      <c r="X9" s="107"/>
      <c r="Z9" s="685" t="s">
        <v>353</v>
      </c>
      <c r="AA9" s="44"/>
      <c r="AB9" s="685" t="s">
        <v>354</v>
      </c>
      <c r="AC9" s="44"/>
      <c r="AD9" s="685" t="s">
        <v>355</v>
      </c>
      <c r="AF9" s="686" t="s">
        <v>357</v>
      </c>
      <c r="AG9" s="686"/>
      <c r="AI9" s="685" t="s">
        <v>358</v>
      </c>
      <c r="AK9" s="685" t="s">
        <v>359</v>
      </c>
      <c r="AM9" s="685" t="s">
        <v>360</v>
      </c>
      <c r="AN9" s="107"/>
      <c r="AO9" s="107"/>
    </row>
    <row r="10" spans="1:47">
      <c r="B10" s="218"/>
      <c r="P10" s="122"/>
      <c r="Q10" s="122"/>
      <c r="X10" s="107"/>
      <c r="AF10" s="122"/>
      <c r="AG10" s="122"/>
      <c r="AN10" s="107"/>
      <c r="AO10" s="107"/>
    </row>
    <row r="11" spans="1:47" ht="11.25" hidden="1" customHeight="1" outlineLevel="1">
      <c r="A11" s="687"/>
      <c r="B11" s="688">
        <v>1994</v>
      </c>
      <c r="P11" s="122"/>
      <c r="Q11" s="122"/>
      <c r="X11" s="107"/>
      <c r="AF11" s="122"/>
      <c r="AG11" s="122"/>
      <c r="AN11" s="107"/>
      <c r="AO11" s="107"/>
    </row>
    <row r="12" spans="1:47" ht="11.25" hidden="1" customHeight="1" outlineLevel="1">
      <c r="A12" s="26" t="str">
        <f>'qtrP&amp;L'!A10</f>
        <v>1Q</v>
      </c>
      <c r="B12" s="218" t="str">
        <f>'qtrP&amp;L'!B10</f>
        <v>Apr</v>
      </c>
      <c r="D12" s="689">
        <f>+'qtrP&amp;L'!E10</f>
        <v>29.078859566465098</v>
      </c>
      <c r="E12" s="107" t="s">
        <v>576</v>
      </c>
      <c r="F12" s="690">
        <f>+'qtrP&amp;L'!F10</f>
        <v>3.9</v>
      </c>
      <c r="G12" s="107" t="s">
        <v>576</v>
      </c>
      <c r="H12" s="689">
        <f>D12-F12</f>
        <v>25.1788595664651</v>
      </c>
      <c r="I12" s="107" t="s">
        <v>576</v>
      </c>
      <c r="J12" s="45"/>
      <c r="L12" s="691" t="s">
        <v>371</v>
      </c>
      <c r="P12" s="122"/>
      <c r="Q12" s="122"/>
      <c r="S12" s="692">
        <v>13.92159</v>
      </c>
      <c r="U12" s="693" t="e">
        <f>S12/L12</f>
        <v>#VALUE!</v>
      </c>
      <c r="X12" s="107"/>
      <c r="Z12" s="694"/>
      <c r="AB12" s="694"/>
      <c r="AF12" s="122"/>
      <c r="AG12" s="122"/>
      <c r="AI12" s="692">
        <f>+S12</f>
        <v>13.92159</v>
      </c>
      <c r="AK12" s="695" t="e">
        <f>AI12/AB12</f>
        <v>#DIV/0!</v>
      </c>
      <c r="AN12" s="107"/>
      <c r="AO12" s="107"/>
    </row>
    <row r="13" spans="1:47" ht="11.25" hidden="1" customHeight="1" outlineLevel="1">
      <c r="A13" s="26" t="str">
        <f>'qtrP&amp;L'!A11</f>
        <v>2Q</v>
      </c>
      <c r="B13" s="218" t="str">
        <f>'qtrP&amp;L'!B11</f>
        <v>Jul</v>
      </c>
      <c r="D13" s="689">
        <f>+'qtrP&amp;L'!E11</f>
        <v>46.033357985211978</v>
      </c>
      <c r="F13" s="690">
        <f>+'qtrP&amp;L'!F11</f>
        <v>-1.8</v>
      </c>
      <c r="H13" s="689">
        <f>D13-F13</f>
        <v>47.833357985211975</v>
      </c>
      <c r="J13" s="45"/>
      <c r="L13" s="26" t="e">
        <f>AVERAGE(J13,J12)</f>
        <v>#DIV/0!</v>
      </c>
      <c r="P13" s="122"/>
      <c r="Q13" s="122"/>
      <c r="S13" s="696">
        <v>15.980499000000002</v>
      </c>
      <c r="U13" s="697" t="e">
        <f>S13/L13</f>
        <v>#DIV/0!</v>
      </c>
      <c r="X13" s="107"/>
      <c r="Z13" s="694"/>
      <c r="AB13" s="694" t="e">
        <f>AVERAGE(Z13,Z12)</f>
        <v>#DIV/0!</v>
      </c>
      <c r="AF13" s="122"/>
      <c r="AG13" s="122"/>
      <c r="AI13" s="696">
        <f>+S13</f>
        <v>15.980499000000002</v>
      </c>
      <c r="AK13" s="698" t="e">
        <f>AI13/AB13</f>
        <v>#DIV/0!</v>
      </c>
      <c r="AN13" s="107"/>
      <c r="AO13" s="107"/>
    </row>
    <row r="14" spans="1:47" ht="11.25" hidden="1" customHeight="1" outlineLevel="1">
      <c r="A14" s="26" t="str">
        <f>'qtrP&amp;L'!A12</f>
        <v>3Q</v>
      </c>
      <c r="B14" s="218" t="str">
        <f>'qtrP&amp;L'!B12</f>
        <v>Oct</v>
      </c>
      <c r="D14" s="689">
        <f>+'qtrP&amp;L'!E12</f>
        <v>27.748213412697464</v>
      </c>
      <c r="F14" s="690">
        <f>+'qtrP&amp;L'!F12</f>
        <v>-14</v>
      </c>
      <c r="H14" s="689">
        <f>D14-F14</f>
        <v>41.748213412697467</v>
      </c>
      <c r="J14" s="45"/>
      <c r="L14" s="699" t="e">
        <f>AVERAGE(J14,J13)</f>
        <v>#DIV/0!</v>
      </c>
      <c r="P14" s="122"/>
      <c r="Q14" s="122"/>
      <c r="S14" s="696">
        <v>15.275765999999999</v>
      </c>
      <c r="U14" s="697" t="e">
        <f>S14/L14</f>
        <v>#DIV/0!</v>
      </c>
      <c r="X14" s="107"/>
      <c r="Z14" s="694"/>
      <c r="AB14" s="694" t="e">
        <f>AVERAGE(Z14,Z13)</f>
        <v>#DIV/0!</v>
      </c>
      <c r="AF14" s="122"/>
      <c r="AG14" s="122"/>
      <c r="AI14" s="696">
        <f>+S14</f>
        <v>15.275765999999999</v>
      </c>
      <c r="AK14" s="698" t="e">
        <f>AI14/AB14</f>
        <v>#DIV/0!</v>
      </c>
      <c r="AN14" s="107"/>
      <c r="AO14" s="107"/>
    </row>
    <row r="15" spans="1:47" ht="11.25" hidden="1" customHeight="1" outlineLevel="1">
      <c r="A15" s="26" t="str">
        <f>'qtrP&amp;L'!A13</f>
        <v>4Q</v>
      </c>
      <c r="B15" s="218" t="str">
        <f>'qtrP&amp;L'!B13</f>
        <v>Jan</v>
      </c>
      <c r="D15" s="643">
        <f>+'qtrP&amp;L'!E13</f>
        <v>7.1823528369426848</v>
      </c>
      <c r="F15" s="700">
        <f>+'qtrP&amp;L'!F13</f>
        <v>-15.9</v>
      </c>
      <c r="H15" s="643">
        <f>D15-F15</f>
        <v>23.082352836942686</v>
      </c>
      <c r="J15" s="494">
        <f>+yrSales!B40</f>
        <v>121</v>
      </c>
      <c r="L15" s="662">
        <f>AVERAGE(J15,J14)</f>
        <v>121</v>
      </c>
      <c r="N15" s="120"/>
      <c r="P15" s="122"/>
      <c r="Q15" s="122"/>
      <c r="S15" s="701">
        <v>14.093592999999995</v>
      </c>
      <c r="U15" s="702">
        <f>S15/L15</f>
        <v>0.11647597520661153</v>
      </c>
      <c r="X15" s="107"/>
      <c r="Z15" s="694">
        <f>+turn!AB14</f>
        <v>0.19275899999999999</v>
      </c>
      <c r="AB15" s="703">
        <f>AVERAGE(Z15,Z14)</f>
        <v>0.19275899999999999</v>
      </c>
      <c r="AD15" s="120"/>
      <c r="AF15" s="122"/>
      <c r="AG15" s="122"/>
      <c r="AI15" s="701">
        <f>+S15</f>
        <v>14.093592999999995</v>
      </c>
      <c r="AK15" s="704">
        <f>AI15/AB15</f>
        <v>73.115097090148822</v>
      </c>
      <c r="AN15" s="107"/>
      <c r="AO15" s="107"/>
    </row>
    <row r="16" spans="1:47" ht="11.25" hidden="1" customHeight="1" outlineLevel="1">
      <c r="B16" s="218" t="str">
        <f>'qtrP&amp;L'!B14</f>
        <v>Year</v>
      </c>
      <c r="D16" s="689">
        <f>+'qtrP&amp;L'!E14</f>
        <v>26.553015995146055</v>
      </c>
      <c r="F16" s="690">
        <f>+'qtrP&amp;L'!F14</f>
        <v>-7.4</v>
      </c>
      <c r="H16" s="689">
        <f>D16-F16</f>
        <v>33.953015995146053</v>
      </c>
      <c r="L16" s="699" t="e">
        <f>AVERAGE(L12:L15)</f>
        <v>#DIV/0!</v>
      </c>
      <c r="P16" s="122"/>
      <c r="Q16" s="122"/>
      <c r="S16" s="692">
        <f>SUM(S12:S15)</f>
        <v>59.271447999999992</v>
      </c>
      <c r="U16" s="693" t="e">
        <f>SUM(U12:U15)</f>
        <v>#VALUE!</v>
      </c>
      <c r="X16" s="107"/>
      <c r="AB16" s="694" t="e">
        <f>AVERAGE(AB12:AB15)</f>
        <v>#DIV/0!</v>
      </c>
      <c r="AF16" s="122"/>
      <c r="AG16" s="122"/>
      <c r="AI16" s="692">
        <f>SUM(AI12:AI15)</f>
        <v>59.271447999999992</v>
      </c>
      <c r="AK16" s="695" t="e">
        <f>SUM(AK12:AK15)</f>
        <v>#DIV/0!</v>
      </c>
      <c r="AN16" s="107"/>
      <c r="AO16" s="107"/>
    </row>
    <row r="17" spans="1:47" ht="11.25" hidden="1" customHeight="1" outlineLevel="1">
      <c r="B17" s="218"/>
      <c r="P17" s="122"/>
      <c r="Q17" s="122"/>
      <c r="X17" s="107"/>
      <c r="AF17" s="122"/>
      <c r="AG17" s="122"/>
      <c r="AN17" s="107"/>
      <c r="AO17" s="107"/>
    </row>
    <row r="18" spans="1:47" ht="11.25" hidden="1" customHeight="1" outlineLevel="1">
      <c r="A18" s="705"/>
      <c r="B18" s="706">
        <f>B11+1</f>
        <v>1995</v>
      </c>
      <c r="P18" s="122"/>
      <c r="Q18" s="122"/>
      <c r="X18" s="107"/>
      <c r="AF18" s="122"/>
      <c r="AG18" s="122"/>
      <c r="AN18" s="107"/>
      <c r="AO18" s="107"/>
    </row>
    <row r="19" spans="1:47" ht="11.25" hidden="1" customHeight="1" outlineLevel="1">
      <c r="A19" s="26" t="str">
        <f>$A$12</f>
        <v>1Q</v>
      </c>
      <c r="B19" s="218" t="str">
        <f>$B$12</f>
        <v>Apr</v>
      </c>
      <c r="D19" s="689">
        <f>(S19/S12-1)*100</f>
        <v>5.3038769278509035</v>
      </c>
      <c r="E19" s="107" t="s">
        <v>576</v>
      </c>
      <c r="F19" s="690">
        <f>'qtrP&amp;L'!J10</f>
        <v>-17.2</v>
      </c>
      <c r="G19" s="107" t="s">
        <v>576</v>
      </c>
      <c r="H19" s="689">
        <f>D19-F19</f>
        <v>22.503876927850904</v>
      </c>
      <c r="I19" s="107" t="s">
        <v>576</v>
      </c>
      <c r="J19" s="45">
        <v>125</v>
      </c>
      <c r="L19" s="26">
        <f>AVERAGE(J19,J15)</f>
        <v>123</v>
      </c>
      <c r="N19" s="689" t="e">
        <f>(L19/L12-1)*100</f>
        <v>#VALUE!</v>
      </c>
      <c r="O19" s="107" t="s">
        <v>576</v>
      </c>
      <c r="P19" s="655" t="e">
        <f>H19/N19*100</f>
        <v>#VALUE!</v>
      </c>
      <c r="Q19" s="122" t="s">
        <v>576</v>
      </c>
      <c r="S19" s="692">
        <v>14.659974</v>
      </c>
      <c r="U19" s="693">
        <f>S19/L19</f>
        <v>0.11918678048780487</v>
      </c>
      <c r="W19" s="690" t="e">
        <f>(U19/U12-1)*100</f>
        <v>#VALUE!</v>
      </c>
      <c r="X19" s="107" t="s">
        <v>576</v>
      </c>
      <c r="Z19" s="694">
        <f>+turn!AB18</f>
        <v>0.19925899999999999</v>
      </c>
      <c r="AB19" s="694">
        <f>AVERAGE(Z19,Z15)</f>
        <v>0.19600899999999999</v>
      </c>
      <c r="AD19" s="689" t="e">
        <f>(AB19/AB12-1)*100</f>
        <v>#DIV/0!</v>
      </c>
      <c r="AE19" s="107" t="s">
        <v>576</v>
      </c>
      <c r="AF19" s="655" t="e">
        <f>+H19/AD19*100</f>
        <v>#DIV/0!</v>
      </c>
      <c r="AG19" s="122" t="s">
        <v>576</v>
      </c>
      <c r="AI19" s="692">
        <f>+S19</f>
        <v>14.659974</v>
      </c>
      <c r="AK19" s="695">
        <f>AI19/AB19</f>
        <v>74.792351371620697</v>
      </c>
      <c r="AM19" s="690" t="e">
        <f>(AK19/AK12-1)*100</f>
        <v>#DIV/0!</v>
      </c>
      <c r="AN19" s="107" t="s">
        <v>576</v>
      </c>
      <c r="AO19" s="107"/>
      <c r="AU19" s="236">
        <f>+J19/$AU$8</f>
        <v>0.20833333333333334</v>
      </c>
    </row>
    <row r="20" spans="1:47" ht="11.25" hidden="1" customHeight="1" outlineLevel="1">
      <c r="A20" s="26" t="str">
        <f>$A$13</f>
        <v>2Q</v>
      </c>
      <c r="B20" s="218" t="str">
        <f>$B$13</f>
        <v>Jul</v>
      </c>
      <c r="D20" s="690">
        <f>(S20/S13-1)*100</f>
        <v>-2.8366010347987358</v>
      </c>
      <c r="F20" s="690">
        <f>'qtrP&amp;L'!J11</f>
        <v>-13.5</v>
      </c>
      <c r="H20" s="689">
        <f>D20-F20</f>
        <v>10.663398965201264</v>
      </c>
      <c r="I20" s="107"/>
      <c r="J20" s="45">
        <v>123</v>
      </c>
      <c r="L20" s="699">
        <f>AVERAGE(J20,J19)</f>
        <v>124</v>
      </c>
      <c r="N20" s="689" t="e">
        <f>(L20/L13-1)*100</f>
        <v>#DIV/0!</v>
      </c>
      <c r="O20" s="107"/>
      <c r="P20" s="655" t="e">
        <f>H20/N20*100</f>
        <v>#DIV/0!</v>
      </c>
      <c r="Q20" s="122"/>
      <c r="S20" s="696">
        <v>15.527196</v>
      </c>
      <c r="U20" s="697">
        <f>S20/L20</f>
        <v>0.12521932258064516</v>
      </c>
      <c r="W20" s="690" t="e">
        <f>(U20/U13-1)*100</f>
        <v>#DIV/0!</v>
      </c>
      <c r="X20" s="107"/>
      <c r="Z20" s="694">
        <f>+turn!AB19</f>
        <v>0.19600899999999999</v>
      </c>
      <c r="AB20" s="694">
        <f>AVERAGE(Z20,Z19)</f>
        <v>0.19763399999999998</v>
      </c>
      <c r="AD20" s="689" t="e">
        <f>(AB20/AB13-1)*100</f>
        <v>#DIV/0!</v>
      </c>
      <c r="AE20" s="107"/>
      <c r="AF20" s="655" t="e">
        <f>+H20/AD20*100</f>
        <v>#DIV/0!</v>
      </c>
      <c r="AG20" s="122"/>
      <c r="AI20" s="696">
        <f>+S20</f>
        <v>15.527196</v>
      </c>
      <c r="AK20" s="698">
        <f>AI20/AB20</f>
        <v>78.565408785937649</v>
      </c>
      <c r="AM20" s="690" t="e">
        <f>(AK20/AK13-1)*100</f>
        <v>#DIV/0!</v>
      </c>
      <c r="AN20" s="107"/>
      <c r="AO20" s="107"/>
      <c r="AU20" s="236">
        <f>+J20/$AU$8</f>
        <v>0.20499999999999999</v>
      </c>
    </row>
    <row r="21" spans="1:47" ht="11.25" hidden="1" customHeight="1" outlineLevel="1">
      <c r="A21" s="26" t="str">
        <f>$A$14</f>
        <v>3Q</v>
      </c>
      <c r="B21" s="218" t="str">
        <f>$B$14</f>
        <v>Oct</v>
      </c>
      <c r="D21" s="689">
        <f>(S21/S14-1)*100</f>
        <v>-4.3749033600004594E-2</v>
      </c>
      <c r="F21" s="690">
        <f>'qtrP&amp;L'!J12</f>
        <v>-8.1</v>
      </c>
      <c r="H21" s="689">
        <f>D21-F21</f>
        <v>8.0562509663999951</v>
      </c>
      <c r="I21" s="107"/>
      <c r="J21" s="45">
        <v>122</v>
      </c>
      <c r="L21" s="699">
        <f>AVERAGE(J21,J20)</f>
        <v>122.5</v>
      </c>
      <c r="N21" s="689" t="e">
        <f>(L21/L14-1)*100</f>
        <v>#DIV/0!</v>
      </c>
      <c r="O21" s="107"/>
      <c r="P21" s="655" t="e">
        <f>H21/N21*100</f>
        <v>#DIV/0!</v>
      </c>
      <c r="Q21" s="122"/>
      <c r="S21" s="696">
        <v>15.269083</v>
      </c>
      <c r="U21" s="697">
        <f>S21/L21</f>
        <v>0.12464557551020408</v>
      </c>
      <c r="W21" s="690" t="e">
        <f>(U21/U14-1)*100</f>
        <v>#DIV/0!</v>
      </c>
      <c r="X21" s="107"/>
      <c r="Z21" s="694">
        <f>+turn!AB20</f>
        <v>0.194384</v>
      </c>
      <c r="AB21" s="694">
        <f>AVERAGE(Z21,Z20)</f>
        <v>0.1951965</v>
      </c>
      <c r="AD21" s="689" t="e">
        <f>(AB21/AB14-1)*100</f>
        <v>#DIV/0!</v>
      </c>
      <c r="AE21" s="107"/>
      <c r="AF21" s="655" t="e">
        <f>+H21/AD21*100</f>
        <v>#DIV/0!</v>
      </c>
      <c r="AG21" s="122"/>
      <c r="AI21" s="696">
        <f>+S21</f>
        <v>15.269083</v>
      </c>
      <c r="AK21" s="698">
        <f>AI21/AB21</f>
        <v>78.224163855396995</v>
      </c>
      <c r="AM21" s="690" t="e">
        <f>(AK21/AK14-1)*100</f>
        <v>#DIV/0!</v>
      </c>
      <c r="AN21" s="107"/>
      <c r="AO21" s="107"/>
      <c r="AU21" s="236">
        <f>+J21/$AU$8</f>
        <v>0.20333333333333334</v>
      </c>
    </row>
    <row r="22" spans="1:47" ht="11.25" hidden="1" customHeight="1" outlineLevel="1">
      <c r="A22" s="26" t="str">
        <f>$A$15</f>
        <v>4Q</v>
      </c>
      <c r="B22" s="218" t="str">
        <f>$B$15</f>
        <v>Jan</v>
      </c>
      <c r="D22" s="643">
        <f>(S22/S15-1)*100</f>
        <v>5.6290968527330065</v>
      </c>
      <c r="F22" s="700">
        <f>'qtrP&amp;L'!J13</f>
        <v>0.2</v>
      </c>
      <c r="H22" s="643">
        <f>D22-F22</f>
        <v>5.4290968527330064</v>
      </c>
      <c r="I22" s="107"/>
      <c r="J22" s="494">
        <f>yrSales!C40</f>
        <v>123</v>
      </c>
      <c r="L22" s="662">
        <f>AVERAGE(J22,J21)</f>
        <v>122.5</v>
      </c>
      <c r="N22" s="643">
        <f>(L22/L15-1)*100</f>
        <v>1.2396694214876103</v>
      </c>
      <c r="O22" s="107"/>
      <c r="P22" s="662">
        <f>H22/N22*100</f>
        <v>437.94714612046005</v>
      </c>
      <c r="Q22" s="122"/>
      <c r="S22" s="701">
        <v>14.886934999999994</v>
      </c>
      <c r="U22" s="702">
        <f>S22/L22</f>
        <v>0.12152599999999995</v>
      </c>
      <c r="W22" s="700">
        <f>(U22/U15-1)*100</f>
        <v>4.3356793402505645</v>
      </c>
      <c r="X22" s="107"/>
      <c r="Z22" s="694">
        <f>+turn!AB21</f>
        <v>0.19770299999999999</v>
      </c>
      <c r="AB22" s="703">
        <f>AVERAGE(Z22,Z21)</f>
        <v>0.19604349999999998</v>
      </c>
      <c r="AD22" s="643">
        <f>(AB22/AB15-1)*100</f>
        <v>1.7039411908134072</v>
      </c>
      <c r="AE22" s="107"/>
      <c r="AF22" s="662">
        <f>+H22/AD22*100</f>
        <v>318.6199665812016</v>
      </c>
      <c r="AG22" s="122"/>
      <c r="AI22" s="701">
        <f>+S22</f>
        <v>14.886934999999994</v>
      </c>
      <c r="AK22" s="704">
        <f>AI22/AB22</f>
        <v>75.936896658139631</v>
      </c>
      <c r="AM22" s="700">
        <f>(AK22/AK15-1)*100</f>
        <v>3.8593938602196065</v>
      </c>
      <c r="AN22" s="107"/>
      <c r="AO22" s="107"/>
      <c r="AU22" s="236">
        <f>+J22/$AU$8</f>
        <v>0.20499999999999999</v>
      </c>
    </row>
    <row r="23" spans="1:47" ht="11.25" hidden="1" customHeight="1" outlineLevel="1">
      <c r="B23" s="218" t="str">
        <f>$B$16</f>
        <v>Year</v>
      </c>
      <c r="D23" s="689">
        <f>(S23/S16-1)*100</f>
        <v>1.808189332577137</v>
      </c>
      <c r="F23" s="690">
        <f>'qtrP&amp;L'!J14</f>
        <v>-10.1</v>
      </c>
      <c r="H23" s="689">
        <f>D23-F23</f>
        <v>11.908189332577138</v>
      </c>
      <c r="I23" s="107"/>
      <c r="J23" s="45"/>
      <c r="L23" s="699">
        <f>AVERAGE(L19:L22)</f>
        <v>123</v>
      </c>
      <c r="N23" s="689" t="e">
        <f>(L23/L16-1)*100</f>
        <v>#DIV/0!</v>
      </c>
      <c r="O23" s="107"/>
      <c r="P23" s="655" t="e">
        <f>H23/N23*100</f>
        <v>#DIV/0!</v>
      </c>
      <c r="Q23" s="122"/>
      <c r="S23" s="692">
        <f>SUM(S19:S22)</f>
        <v>60.343187999999998</v>
      </c>
      <c r="U23" s="693">
        <f>SUM(U19:U22)</f>
        <v>0.49057767857865409</v>
      </c>
      <c r="W23" s="690" t="e">
        <f>(U23/U16-1)*100</f>
        <v>#VALUE!</v>
      </c>
      <c r="X23" s="107"/>
      <c r="Z23" s="45"/>
      <c r="AB23" s="694">
        <f>AVERAGE(AB19:AB22)</f>
        <v>0.19622075</v>
      </c>
      <c r="AD23" s="689" t="e">
        <f>(AB23/AB16-1)*100</f>
        <v>#DIV/0!</v>
      </c>
      <c r="AE23" s="107"/>
      <c r="AF23" s="655" t="e">
        <f>+H23/AD23*100</f>
        <v>#DIV/0!</v>
      </c>
      <c r="AG23" s="122"/>
      <c r="AI23" s="692">
        <f>SUM(AI19:AI22)</f>
        <v>60.343187999999998</v>
      </c>
      <c r="AK23" s="695">
        <f>SUM(AK19:AK22)</f>
        <v>307.518820671095</v>
      </c>
      <c r="AM23" s="690" t="e">
        <f>(AK23/AK16-1)*100</f>
        <v>#DIV/0!</v>
      </c>
      <c r="AN23" s="107"/>
      <c r="AO23" s="107"/>
    </row>
    <row r="24" spans="1:47" ht="11.25" hidden="1" customHeight="1" outlineLevel="1">
      <c r="B24" s="218"/>
      <c r="I24" s="107"/>
      <c r="J24" s="45"/>
      <c r="O24" s="107"/>
      <c r="P24" s="122"/>
      <c r="Q24" s="122"/>
      <c r="X24" s="107"/>
      <c r="Z24" s="45"/>
      <c r="AE24" s="107"/>
      <c r="AF24" s="122"/>
      <c r="AG24" s="122"/>
      <c r="AN24" s="107"/>
      <c r="AO24" s="107"/>
    </row>
    <row r="25" spans="1:47" ht="11.25" hidden="1" customHeight="1" outlineLevel="1">
      <c r="A25" s="705"/>
      <c r="B25" s="706">
        <f>B18+1</f>
        <v>1996</v>
      </c>
      <c r="I25" s="107"/>
      <c r="J25" s="45"/>
      <c r="O25" s="107"/>
      <c r="P25" s="122"/>
      <c r="Q25" s="122"/>
      <c r="X25" s="107"/>
      <c r="Z25" s="45"/>
      <c r="AE25" s="107"/>
      <c r="AF25" s="122"/>
      <c r="AG25" s="122"/>
      <c r="AN25" s="107"/>
      <c r="AO25" s="107"/>
    </row>
    <row r="26" spans="1:47" ht="11.25" hidden="1" customHeight="1" outlineLevel="1">
      <c r="A26" s="26" t="str">
        <f>$A$12</f>
        <v>1Q</v>
      </c>
      <c r="B26" s="218" t="str">
        <f>$B$12</f>
        <v>Apr</v>
      </c>
      <c r="D26" s="689">
        <f>(S26/S19-1)*100</f>
        <v>18.025802774275057</v>
      </c>
      <c r="E26" s="26" t="s">
        <v>576</v>
      </c>
      <c r="F26" s="690">
        <f>'qtrP&amp;L'!N10</f>
        <v>2.9</v>
      </c>
      <c r="G26" s="107" t="s">
        <v>576</v>
      </c>
      <c r="H26" s="689">
        <f>D26-F26</f>
        <v>15.125802774275057</v>
      </c>
      <c r="I26" s="107" t="s">
        <v>576</v>
      </c>
      <c r="J26" s="45">
        <v>122</v>
      </c>
      <c r="L26" s="699">
        <f>AVERAGE(J26,J22)</f>
        <v>122.5</v>
      </c>
      <c r="N26" s="689">
        <f>(L26/L19-1)*100</f>
        <v>-0.40650406504064707</v>
      </c>
      <c r="O26" s="107" t="s">
        <v>576</v>
      </c>
      <c r="P26" s="707">
        <f>H26/N26*100</f>
        <v>-3720.947482471694</v>
      </c>
      <c r="Q26" s="122" t="s">
        <v>576</v>
      </c>
      <c r="S26" s="692">
        <v>17.302552000000002</v>
      </c>
      <c r="U26" s="693">
        <f>S26/L26</f>
        <v>0.14124532244897961</v>
      </c>
      <c r="W26" s="689">
        <f>(U26/U19-1)*100</f>
        <v>18.507540744782315</v>
      </c>
      <c r="X26" s="107" t="s">
        <v>576</v>
      </c>
      <c r="Z26" s="694">
        <f>+turn!AB25</f>
        <v>0.196078</v>
      </c>
      <c r="AB26" s="694">
        <f>AVERAGE(Z26,Z22)</f>
        <v>0.1968905</v>
      </c>
      <c r="AD26" s="708">
        <f>(AB26/AB19-1)*100</f>
        <v>0.44972424735598704</v>
      </c>
      <c r="AE26" s="107" t="s">
        <v>576</v>
      </c>
      <c r="AF26" s="707">
        <f>+H26/AD26*100</f>
        <v>3363.3505116084975</v>
      </c>
      <c r="AG26" s="122" t="s">
        <v>576</v>
      </c>
      <c r="AI26" s="692">
        <f>+S26</f>
        <v>17.302552000000002</v>
      </c>
      <c r="AK26" s="695">
        <f>AI26/AB26</f>
        <v>87.879059680380735</v>
      </c>
      <c r="AM26" s="689">
        <f>(AK26/AK19-1)*100</f>
        <v>17.497388528054316</v>
      </c>
      <c r="AN26" s="107" t="s">
        <v>576</v>
      </c>
      <c r="AO26" s="107"/>
      <c r="AU26" s="236">
        <f>+J26/$AU$8</f>
        <v>0.20333333333333334</v>
      </c>
    </row>
    <row r="27" spans="1:47" ht="11.25" hidden="1" customHeight="1" outlineLevel="1">
      <c r="A27" s="26" t="str">
        <f>$A$13</f>
        <v>2Q</v>
      </c>
      <c r="B27" s="218" t="str">
        <f>$B$13</f>
        <v>Jul</v>
      </c>
      <c r="D27" s="689">
        <f>(S27/S20-1)*100</f>
        <v>3.5170097678936862</v>
      </c>
      <c r="F27" s="690">
        <f>'qtrP&amp;L'!N11</f>
        <v>2.2000000000000002</v>
      </c>
      <c r="H27" s="690">
        <f>D27-F27</f>
        <v>1.3170097678936861</v>
      </c>
      <c r="I27" s="107"/>
      <c r="J27" s="45">
        <v>123</v>
      </c>
      <c r="L27" s="699">
        <f>AVERAGE(J27,J26)</f>
        <v>122.5</v>
      </c>
      <c r="N27" s="689">
        <f>(L27/L20-1)*100</f>
        <v>-1.2096774193548376</v>
      </c>
      <c r="O27" s="107"/>
      <c r="P27" s="707">
        <f>H27/N27*100</f>
        <v>-108.87280747921149</v>
      </c>
      <c r="Q27" s="122"/>
      <c r="S27" s="696">
        <v>16.073288999999999</v>
      </c>
      <c r="U27" s="697">
        <f>S27/L27</f>
        <v>0.13121052244897957</v>
      </c>
      <c r="W27" s="689">
        <f>(U27/U20-1)*100</f>
        <v>4.7845649895413622</v>
      </c>
      <c r="X27" s="107"/>
      <c r="Z27" s="694">
        <f>+turn!AB26</f>
        <v>0.19770299999999999</v>
      </c>
      <c r="AB27" s="694">
        <f>AVERAGE(Z27,Z26)</f>
        <v>0.1968905</v>
      </c>
      <c r="AD27" s="709">
        <f>(AB27/AB20-1)*100</f>
        <v>-0.37620045133933688</v>
      </c>
      <c r="AE27" s="107"/>
      <c r="AF27" s="707">
        <f>+H27/AD27*100</f>
        <v>-350.08192127492401</v>
      </c>
      <c r="AG27" s="122"/>
      <c r="AI27" s="696">
        <f>+S27</f>
        <v>16.073288999999999</v>
      </c>
      <c r="AK27" s="698">
        <f>AI27/AB27</f>
        <v>81.635675667439514</v>
      </c>
      <c r="AM27" s="689">
        <f>(AK27/AK20-1)*100</f>
        <v>3.9079118010665992</v>
      </c>
      <c r="AN27" s="107"/>
      <c r="AO27" s="107"/>
      <c r="AU27" s="236">
        <f>+J27/$AU$8</f>
        <v>0.20499999999999999</v>
      </c>
    </row>
    <row r="28" spans="1:47" ht="11.25" hidden="1" customHeight="1" outlineLevel="1">
      <c r="A28" s="26" t="str">
        <f>$A$14</f>
        <v>3Q</v>
      </c>
      <c r="B28" s="218" t="str">
        <f>$B$14</f>
        <v>Oct</v>
      </c>
      <c r="D28" s="689">
        <f>(S28/S21-1)*100</f>
        <v>3.000697553350129</v>
      </c>
      <c r="F28" s="690">
        <f>'qtrP&amp;L'!N12</f>
        <v>-0.3</v>
      </c>
      <c r="H28" s="689">
        <f>D28-F28</f>
        <v>3.3006975533501288</v>
      </c>
      <c r="I28" s="107"/>
      <c r="J28" s="45">
        <v>130</v>
      </c>
      <c r="L28" s="699">
        <f>AVERAGE(J28,J27)</f>
        <v>126.5</v>
      </c>
      <c r="N28" s="689">
        <f>(L28/L21-1)*100</f>
        <v>3.2653061224489743</v>
      </c>
      <c r="O28" s="107"/>
      <c r="P28" s="655">
        <f>H28/N28*100</f>
        <v>101.08386257134785</v>
      </c>
      <c r="Q28" s="122"/>
      <c r="S28" s="696">
        <v>15.727262</v>
      </c>
      <c r="U28" s="697">
        <f>S28/L28</f>
        <v>0.12432618181818182</v>
      </c>
      <c r="W28" s="709">
        <f>(U28/U21-1)*100</f>
        <v>-0.25624149972023336</v>
      </c>
      <c r="X28" s="107"/>
      <c r="Z28" s="694">
        <f>+turn!AB27</f>
        <v>0.20907799999999999</v>
      </c>
      <c r="AB28" s="694">
        <f>AVERAGE(Z28,Z27)</f>
        <v>0.20339049999999997</v>
      </c>
      <c r="AD28" s="689">
        <f>(AB28/AB21-1)*100</f>
        <v>4.1978211699492451</v>
      </c>
      <c r="AE28" s="107"/>
      <c r="AF28" s="655">
        <f>+H28/AD28*100</f>
        <v>78.628827187272407</v>
      </c>
      <c r="AG28" s="122"/>
      <c r="AI28" s="696">
        <f>+S28</f>
        <v>15.727262</v>
      </c>
      <c r="AK28" s="698">
        <f>AI28/AB28</f>
        <v>77.325450303726086</v>
      </c>
      <c r="AM28" s="709">
        <f>(AK28/AK21-1)*100</f>
        <v>-1.1488950566889367</v>
      </c>
      <c r="AN28" s="107"/>
      <c r="AO28" s="107"/>
      <c r="AU28" s="236">
        <f>+J28/$AU$8</f>
        <v>0.21666666666666667</v>
      </c>
    </row>
    <row r="29" spans="1:47" ht="11.25" hidden="1" customHeight="1" outlineLevel="1">
      <c r="A29" s="26" t="str">
        <f>$A$15</f>
        <v>4Q</v>
      </c>
      <c r="B29" s="218" t="str">
        <f>$B$15</f>
        <v>Jan</v>
      </c>
      <c r="D29" s="643">
        <f>(S29/S22-1)*100</f>
        <v>0.5546272620925663</v>
      </c>
      <c r="F29" s="700">
        <f>'qtrP&amp;L'!N13</f>
        <v>-10.6</v>
      </c>
      <c r="H29" s="643">
        <f>D29-F29</f>
        <v>11.154627262092566</v>
      </c>
      <c r="I29" s="107"/>
      <c r="J29" s="26">
        <f>yrSales!D40</f>
        <v>133</v>
      </c>
      <c r="L29" s="662">
        <f>AVERAGE(J29,J28)</f>
        <v>131.5</v>
      </c>
      <c r="N29" s="643">
        <f>(L29/L22-1)*100</f>
        <v>7.3469387755102034</v>
      </c>
      <c r="O29" s="107"/>
      <c r="P29" s="662">
        <f>H29/N29*100</f>
        <v>151.82687106737106</v>
      </c>
      <c r="Q29" s="122"/>
      <c r="S29" s="701">
        <v>14.969501999999993</v>
      </c>
      <c r="U29" s="702">
        <f>S29/L29</f>
        <v>0.11383651711026611</v>
      </c>
      <c r="W29" s="700">
        <f>(U29/U22-1)*100</f>
        <v>-6.327438482081071</v>
      </c>
      <c r="X29" s="107"/>
      <c r="Z29" s="694">
        <f>+turn!AB28</f>
        <v>0.212121</v>
      </c>
      <c r="AB29" s="703">
        <f>AVERAGE(Z29,Z28)</f>
        <v>0.2105995</v>
      </c>
      <c r="AD29" s="643">
        <f>(AB29/AB22-1)*100</f>
        <v>7.424882742860639</v>
      </c>
      <c r="AE29" s="107"/>
      <c r="AF29" s="662">
        <f>+H29/AD29*100</f>
        <v>150.23304270788984</v>
      </c>
      <c r="AG29" s="122"/>
      <c r="AI29" s="701">
        <f>+S29</f>
        <v>14.969501999999993</v>
      </c>
      <c r="AK29" s="704">
        <f>AI29/AB29</f>
        <v>71.080425167201227</v>
      </c>
      <c r="AM29" s="700">
        <f>(AK29/AK22-1)*100</f>
        <v>-6.3954042167429614</v>
      </c>
      <c r="AN29" s="107"/>
      <c r="AO29" s="107"/>
      <c r="AU29" s="236">
        <f>+J29/$AU$8</f>
        <v>0.22166666666666668</v>
      </c>
    </row>
    <row r="30" spans="1:47" ht="11.25" hidden="1" customHeight="1" outlineLevel="1">
      <c r="B30" s="218" t="str">
        <f>$B$16</f>
        <v>Year</v>
      </c>
      <c r="D30" s="689">
        <f>(S30/S23-1)*100</f>
        <v>6.1803446645875004</v>
      </c>
      <c r="F30" s="690">
        <f>'qtrP&amp;L'!N14</f>
        <v>-1.3</v>
      </c>
      <c r="H30" s="689">
        <f>D30-F30</f>
        <v>7.4803446645875002</v>
      </c>
      <c r="I30" s="107"/>
      <c r="J30" s="45"/>
      <c r="L30" s="699">
        <f>AVERAGE(L26:L29)</f>
        <v>125.75</v>
      </c>
      <c r="N30" s="689">
        <f>(L30/L23-1)*100</f>
        <v>2.2357723577235866</v>
      </c>
      <c r="O30" s="107"/>
      <c r="P30" s="655">
        <f>H30/N30*100</f>
        <v>334.57541590700316</v>
      </c>
      <c r="Q30" s="122"/>
      <c r="S30" s="692">
        <f>SUM(S26:S29)</f>
        <v>64.072604999999996</v>
      </c>
      <c r="U30" s="693">
        <f>SUM(U26:U29)</f>
        <v>0.51061854382640715</v>
      </c>
      <c r="W30" s="689">
        <f>(U30/U23-1)*100</f>
        <v>4.0851563621519205</v>
      </c>
      <c r="X30" s="107"/>
      <c r="Z30" s="45"/>
      <c r="AB30" s="694">
        <f>AVERAGE(AB26:AB29)</f>
        <v>0.20194275</v>
      </c>
      <c r="AD30" s="689">
        <f>(AB30/AB23-1)*100</f>
        <v>2.9161034192357382</v>
      </c>
      <c r="AE30" s="107"/>
      <c r="AF30" s="655">
        <f>+H30/AD30*100</f>
        <v>256.51849708910441</v>
      </c>
      <c r="AG30" s="122"/>
      <c r="AI30" s="692">
        <f>SUM(AI26:AI29)</f>
        <v>64.072604999999996</v>
      </c>
      <c r="AK30" s="695">
        <f>SUM(AK26:AK29)</f>
        <v>317.92061081874755</v>
      </c>
      <c r="AM30" s="689">
        <f>(AK30/AK23-1)*100</f>
        <v>3.3824889562703353</v>
      </c>
      <c r="AN30" s="107"/>
      <c r="AO30" s="107"/>
    </row>
    <row r="31" spans="1:47" ht="11.25" hidden="1" customHeight="1" outlineLevel="1">
      <c r="B31" s="218"/>
      <c r="I31" s="107"/>
      <c r="J31" s="45"/>
      <c r="O31" s="107"/>
      <c r="P31" s="122"/>
      <c r="Q31" s="122"/>
      <c r="X31" s="107"/>
      <c r="Z31" s="45"/>
      <c r="AE31" s="107"/>
      <c r="AF31" s="122"/>
      <c r="AG31" s="122"/>
      <c r="AN31" s="107"/>
      <c r="AO31" s="107"/>
    </row>
    <row r="32" spans="1:47" hidden="1" outlineLevel="1" collapsed="1">
      <c r="A32" s="705"/>
      <c r="B32" s="706">
        <f>B25+1</f>
        <v>1997</v>
      </c>
      <c r="I32" s="107"/>
      <c r="J32" s="45"/>
      <c r="O32" s="107"/>
      <c r="P32" s="122"/>
      <c r="Q32" s="122"/>
      <c r="X32" s="107"/>
      <c r="Z32" s="45"/>
      <c r="AE32" s="107"/>
      <c r="AF32" s="122"/>
      <c r="AG32" s="122"/>
      <c r="AN32" s="107"/>
      <c r="AO32" s="107"/>
    </row>
    <row r="33" spans="1:47" hidden="1" outlineLevel="1">
      <c r="A33" s="26" t="str">
        <f>$A$12</f>
        <v>1Q</v>
      </c>
      <c r="B33" s="218" t="str">
        <f>$B$12</f>
        <v>Apr</v>
      </c>
      <c r="D33" s="689">
        <f>(S33/S26-1)*100</f>
        <v>8.190959345187899</v>
      </c>
      <c r="E33" s="26" t="s">
        <v>576</v>
      </c>
      <c r="F33" s="690">
        <f>'qtrP&amp;L'!R10</f>
        <v>-1.1000000000000001</v>
      </c>
      <c r="G33" s="107" t="s">
        <v>576</v>
      </c>
      <c r="H33" s="689">
        <f>D33-F33</f>
        <v>9.2909593451878987</v>
      </c>
      <c r="I33" s="107" t="s">
        <v>576</v>
      </c>
      <c r="J33" s="45">
        <v>135</v>
      </c>
      <c r="L33" s="26">
        <f>AVERAGE(J33,J29)</f>
        <v>134</v>
      </c>
      <c r="N33" s="689">
        <f>(L33/L26-1)*100</f>
        <v>9.387755102040817</v>
      </c>
      <c r="O33" s="107" t="s">
        <v>576</v>
      </c>
      <c r="P33" s="655">
        <f>H33/N33*100</f>
        <v>98.968914763958054</v>
      </c>
      <c r="Q33" s="122" t="s">
        <v>576</v>
      </c>
      <c r="S33" s="692">
        <v>18.719797</v>
      </c>
      <c r="U33" s="693">
        <f>S33/L33</f>
        <v>0.13969997761194031</v>
      </c>
      <c r="W33" s="709">
        <f>(U33/U26-1)*100</f>
        <v>-1.0940856732423954</v>
      </c>
      <c r="X33" s="107" t="s">
        <v>576</v>
      </c>
      <c r="Z33" s="694">
        <f>+turn!AB32</f>
        <v>0.21537100000000001</v>
      </c>
      <c r="AB33" s="694">
        <f>AVERAGE(Z33,Z29)</f>
        <v>0.21374599999999999</v>
      </c>
      <c r="AD33" s="689">
        <f>(AB33/AB26-1)*100</f>
        <v>8.5608498124592138</v>
      </c>
      <c r="AE33" s="107" t="s">
        <v>576</v>
      </c>
      <c r="AF33" s="655">
        <f>+H33/AD33*100</f>
        <v>108.52847028885036</v>
      </c>
      <c r="AG33" s="122" t="s">
        <v>576</v>
      </c>
      <c r="AI33" s="692">
        <f>+S33</f>
        <v>18.719797</v>
      </c>
      <c r="AK33" s="695">
        <f>AI33/AB33</f>
        <v>87.579636577994449</v>
      </c>
      <c r="AM33" s="709">
        <f>(AK33/AK26-1)*100</f>
        <v>-0.34072178682305054</v>
      </c>
      <c r="AN33" s="107" t="s">
        <v>576</v>
      </c>
      <c r="AO33" s="107"/>
      <c r="AU33" s="236">
        <f>+J33/$AU$8</f>
        <v>0.22500000000000001</v>
      </c>
    </row>
    <row r="34" spans="1:47" hidden="1" outlineLevel="1">
      <c r="A34" s="26" t="str">
        <f>$A$13</f>
        <v>2Q</v>
      </c>
      <c r="B34" s="218" t="str">
        <f>$B$13</f>
        <v>Jul</v>
      </c>
      <c r="D34" s="689">
        <f>(S34/S27-1)*100</f>
        <v>24.931331726817074</v>
      </c>
      <c r="F34" s="690">
        <f>'qtrP&amp;L'!R11</f>
        <v>13.3</v>
      </c>
      <c r="H34" s="689">
        <f>D34-F34</f>
        <v>11.631331726817074</v>
      </c>
      <c r="I34" s="107"/>
      <c r="J34" s="45">
        <v>136</v>
      </c>
      <c r="L34" s="699">
        <f>AVERAGE(J34,J33)</f>
        <v>135.5</v>
      </c>
      <c r="N34" s="689">
        <f>(L34/L27-1)*100</f>
        <v>10.612244897959178</v>
      </c>
      <c r="O34" s="107"/>
      <c r="P34" s="655">
        <f>H34/N34*100</f>
        <v>109.60293357962247</v>
      </c>
      <c r="Q34" s="122"/>
      <c r="S34" s="696">
        <v>20.080573999999999</v>
      </c>
      <c r="U34" s="697">
        <f>S34/L34</f>
        <v>0.1481961180811808</v>
      </c>
      <c r="W34" s="709">
        <f>(U34/U27-1)*100</f>
        <v>12.945299900628005</v>
      </c>
      <c r="X34" s="107"/>
      <c r="Z34" s="694">
        <f>+turn!AB33</f>
        <v>0.21699599999999999</v>
      </c>
      <c r="AB34" s="694">
        <f>AVERAGE(Z34,Z33)</f>
        <v>0.2161835</v>
      </c>
      <c r="AD34" s="689">
        <f>(AB34/AB27-1)*100</f>
        <v>9.7988475827934796</v>
      </c>
      <c r="AE34" s="107"/>
      <c r="AF34" s="655">
        <f>+H34/AD34*100</f>
        <v>118.7010169159217</v>
      </c>
      <c r="AG34" s="122"/>
      <c r="AI34" s="696">
        <f>+S34</f>
        <v>20.080573999999999</v>
      </c>
      <c r="AK34" s="698">
        <f>AI34/AB34</f>
        <v>92.886709670256977</v>
      </c>
      <c r="AM34" s="689">
        <f>(AK34/AK27-1)*100</f>
        <v>13.782006348120369</v>
      </c>
      <c r="AN34" s="107"/>
      <c r="AO34" s="107"/>
      <c r="AU34" s="236">
        <f>+J34/$AU$8</f>
        <v>0.22666666666666666</v>
      </c>
    </row>
    <row r="35" spans="1:47" hidden="1" outlineLevel="1">
      <c r="A35" s="26" t="str">
        <f>$A$14</f>
        <v>3Q</v>
      </c>
      <c r="B35" s="218" t="str">
        <f>$B$14</f>
        <v>Oct</v>
      </c>
      <c r="D35" s="689">
        <f>(S35/S28-1)*100</f>
        <v>20.322113283291145</v>
      </c>
      <c r="F35" s="690">
        <f>'qtrP&amp;L'!R12</f>
        <v>12</v>
      </c>
      <c r="H35" s="689">
        <f>D35-F35</f>
        <v>8.3221132832911451</v>
      </c>
      <c r="I35" s="107"/>
      <c r="J35" s="45">
        <v>137</v>
      </c>
      <c r="L35" s="699">
        <f>AVERAGE(J35,J34)</f>
        <v>136.5</v>
      </c>
      <c r="N35" s="689">
        <f>(L35/L28-1)*100</f>
        <v>7.9051383399209474</v>
      </c>
      <c r="O35" s="107"/>
      <c r="P35" s="655">
        <f>H35/N35*100</f>
        <v>105.274733033633</v>
      </c>
      <c r="Q35" s="122"/>
      <c r="S35" s="696">
        <v>18.923373999999999</v>
      </c>
      <c r="U35" s="697">
        <f>S35/L35</f>
        <v>0.13863277655677655</v>
      </c>
      <c r="W35" s="709">
        <f>(U35/U28-1)*100</f>
        <v>11.507306449350384</v>
      </c>
      <c r="X35" s="107"/>
      <c r="Z35" s="694">
        <f>+turn!AB34</f>
        <v>0.21862099999999998</v>
      </c>
      <c r="AB35" s="694">
        <f>AVERAGE(Z35,Z34)</f>
        <v>0.21780849999999999</v>
      </c>
      <c r="AD35" s="689">
        <f>(AB35/AB28-1)*100</f>
        <v>7.088826665945569</v>
      </c>
      <c r="AE35" s="107"/>
      <c r="AF35" s="655">
        <f>+H35/AD35*100</f>
        <v>117.39761282738417</v>
      </c>
      <c r="AG35" s="122"/>
      <c r="AI35" s="696">
        <f>+S35</f>
        <v>18.923373999999999</v>
      </c>
      <c r="AK35" s="698">
        <f>AI35/AB35</f>
        <v>86.880787480745695</v>
      </c>
      <c r="AM35" s="689">
        <f>(AK35/AK28-1)*100</f>
        <v>12.357299103318864</v>
      </c>
      <c r="AN35" s="107"/>
      <c r="AO35" s="107"/>
      <c r="AU35" s="236">
        <f>+J35/$AU$8</f>
        <v>0.22833333333333333</v>
      </c>
    </row>
    <row r="36" spans="1:47" hidden="1" outlineLevel="1">
      <c r="A36" s="26" t="str">
        <f>$A$15</f>
        <v>4Q</v>
      </c>
      <c r="B36" s="218" t="str">
        <f>$B$15</f>
        <v>Jan</v>
      </c>
      <c r="D36" s="643">
        <f>(S36/S29-1)*100</f>
        <v>17.675304094952637</v>
      </c>
      <c r="F36" s="700">
        <f>'qtrP&amp;L'!R13</f>
        <v>20.100000000000001</v>
      </c>
      <c r="H36" s="700">
        <f>D36-F36</f>
        <v>-2.4246959050473649</v>
      </c>
      <c r="I36" s="107"/>
      <c r="J36" s="26">
        <f>yrSales!E40</f>
        <v>141</v>
      </c>
      <c r="L36" s="120">
        <f>AVERAGE(J36,J35)</f>
        <v>139</v>
      </c>
      <c r="N36" s="643">
        <f>(L36/L29-1)*100</f>
        <v>5.7034220532319324</v>
      </c>
      <c r="O36" s="107"/>
      <c r="P36" s="710">
        <f>H36/N36*100</f>
        <v>-42.513001535163845</v>
      </c>
      <c r="Q36" s="122"/>
      <c r="S36" s="701">
        <v>17.615407000000008</v>
      </c>
      <c r="U36" s="702">
        <f>S36/L36</f>
        <v>0.12672954676258999</v>
      </c>
      <c r="W36" s="700">
        <f>(U36/U29-1)*100</f>
        <v>11.325917183354473</v>
      </c>
      <c r="X36" s="107"/>
      <c r="Z36" s="694">
        <f>+turn!AB35</f>
        <v>0.22462499999999999</v>
      </c>
      <c r="AB36" s="703">
        <f>AVERAGE(Z36,Z35)</f>
        <v>0.22162299999999999</v>
      </c>
      <c r="AD36" s="643">
        <f>(AB36/AB29-1)*100</f>
        <v>5.2343429115453644</v>
      </c>
      <c r="AE36" s="107"/>
      <c r="AF36" s="710">
        <f>+H36/AD36*100</f>
        <v>-46.322832608066719</v>
      </c>
      <c r="AG36" s="122"/>
      <c r="AI36" s="701">
        <f>+S36</f>
        <v>17.615407000000008</v>
      </c>
      <c r="AK36" s="704">
        <f>AI36/AB36</f>
        <v>79.483659186997784</v>
      </c>
      <c r="AM36" s="643">
        <f>(AK36/AK29-1)*100</f>
        <v>11.822149347066757</v>
      </c>
      <c r="AN36" s="107"/>
      <c r="AO36" s="107"/>
      <c r="AU36" s="236">
        <f>+J36/$AU$8</f>
        <v>0.23499999999999999</v>
      </c>
    </row>
    <row r="37" spans="1:47" hidden="1" outlineLevel="1">
      <c r="B37" s="218" t="str">
        <f>$B$16</f>
        <v>Year</v>
      </c>
      <c r="D37" s="689">
        <f>(S37/S30-1)*100</f>
        <v>17.584031428096303</v>
      </c>
      <c r="F37" s="690">
        <f>'qtrP&amp;L'!R14</f>
        <v>10.7</v>
      </c>
      <c r="H37" s="689">
        <f>D37-F37</f>
        <v>6.8840314280963035</v>
      </c>
      <c r="I37" s="107"/>
      <c r="J37" s="45"/>
      <c r="L37" s="699">
        <f>AVERAGE(L33:L36)</f>
        <v>136.25</v>
      </c>
      <c r="N37" s="689">
        <f>(L37/L30-1)*100</f>
        <v>8.3499005964214668</v>
      </c>
      <c r="O37" s="107"/>
      <c r="P37" s="655">
        <f>H37/N37*100</f>
        <v>82.444471626962908</v>
      </c>
      <c r="Q37" s="122"/>
      <c r="S37" s="692">
        <f>SUM(S33:S36)</f>
        <v>75.339151999999999</v>
      </c>
      <c r="U37" s="693">
        <f>SUM(U33:U36)</f>
        <v>0.55325841901248762</v>
      </c>
      <c r="W37" s="709">
        <f>(U37/U30-1)*100</f>
        <v>8.3506319348590985</v>
      </c>
      <c r="X37" s="107"/>
      <c r="Z37" s="45"/>
      <c r="AB37" s="694">
        <f>AVERAGE(AB33:AB36)</f>
        <v>0.21734024999999998</v>
      </c>
      <c r="AD37" s="689">
        <f>(AB37/AB30-1)*100</f>
        <v>7.6246857091923248</v>
      </c>
      <c r="AE37" s="107"/>
      <c r="AF37" s="655">
        <f>+H37/AD37*100</f>
        <v>90.286100839499682</v>
      </c>
      <c r="AG37" s="122"/>
      <c r="AI37" s="692">
        <f>SUM(AI33:AI36)</f>
        <v>75.339151999999999</v>
      </c>
      <c r="AK37" s="695">
        <f>SUM(AK33:AK36)</f>
        <v>346.83079291599489</v>
      </c>
      <c r="AM37" s="689">
        <f>(AK37/AK30-1)*100</f>
        <v>9.0935224434786974</v>
      </c>
      <c r="AN37" s="107"/>
      <c r="AO37" s="107"/>
    </row>
    <row r="38" spans="1:47" hidden="1" outlineLevel="1">
      <c r="B38" s="218"/>
      <c r="I38" s="107"/>
      <c r="J38" s="45"/>
      <c r="O38" s="107"/>
      <c r="P38" s="122"/>
      <c r="Q38" s="122"/>
      <c r="X38" s="107"/>
      <c r="Z38" s="45"/>
      <c r="AE38" s="107"/>
      <c r="AF38" s="122"/>
      <c r="AG38" s="122"/>
      <c r="AN38" s="107"/>
      <c r="AO38" s="107"/>
    </row>
    <row r="39" spans="1:47" hidden="1" outlineLevel="1" collapsed="1">
      <c r="A39" s="705"/>
      <c r="B39" s="706">
        <f>B32+1</f>
        <v>1998</v>
      </c>
      <c r="I39" s="107"/>
      <c r="J39" s="45"/>
      <c r="O39" s="107"/>
      <c r="P39" s="122"/>
      <c r="Q39" s="122"/>
      <c r="X39" s="107"/>
      <c r="Z39" s="45"/>
      <c r="AE39" s="107"/>
      <c r="AF39" s="122"/>
      <c r="AG39" s="122"/>
      <c r="AN39" s="107"/>
      <c r="AO39" s="107"/>
    </row>
    <row r="40" spans="1:47" hidden="1" outlineLevel="1">
      <c r="A40" s="26" t="str">
        <f>$A$12</f>
        <v>1Q</v>
      </c>
      <c r="B40" s="218" t="str">
        <f>$B$12</f>
        <v>Apr</v>
      </c>
      <c r="D40" s="689">
        <f>(S40/S33-1)*100</f>
        <v>38.334341980311002</v>
      </c>
      <c r="E40" s="107" t="s">
        <v>576</v>
      </c>
      <c r="F40" s="690">
        <f>'qtrP&amp;L'!V10</f>
        <v>31.7</v>
      </c>
      <c r="G40" s="107" t="s">
        <v>576</v>
      </c>
      <c r="H40" s="689">
        <f>D40-F40</f>
        <v>6.6343419803110031</v>
      </c>
      <c r="I40" s="107" t="s">
        <v>576</v>
      </c>
      <c r="J40" s="45">
        <v>142</v>
      </c>
      <c r="L40" s="699">
        <f>AVERAGE(J40,J36)</f>
        <v>141.5</v>
      </c>
      <c r="N40" s="689">
        <f>(L40/L33-1)*100</f>
        <v>5.5970149253731449</v>
      </c>
      <c r="O40" s="107" t="s">
        <v>576</v>
      </c>
      <c r="P40" s="655">
        <f>H40/N40*100</f>
        <v>118.53357671488969</v>
      </c>
      <c r="Q40" s="122" t="s">
        <v>576</v>
      </c>
      <c r="S40" s="692">
        <v>25.895907999999999</v>
      </c>
      <c r="U40" s="693">
        <f>S40/L40</f>
        <v>0.18300995053003533</v>
      </c>
      <c r="W40" s="709">
        <f>(U40/U33-1)*100</f>
        <v>31.00213304142525</v>
      </c>
      <c r="X40" s="107" t="s">
        <v>576</v>
      </c>
      <c r="Z40" s="694">
        <f>+turn!AB39</f>
        <v>0.22624999999999998</v>
      </c>
      <c r="AB40" s="694">
        <f>AVERAGE(Z40,Z36)</f>
        <v>0.22543749999999999</v>
      </c>
      <c r="AD40" s="689">
        <f>(AB40/AB33-1)*100</f>
        <v>5.4698099613559981</v>
      </c>
      <c r="AE40" s="107" t="s">
        <v>576</v>
      </c>
      <c r="AF40" s="655">
        <f>+H40/AD40*100</f>
        <v>121.290173281748</v>
      </c>
      <c r="AG40" s="122" t="s">
        <v>576</v>
      </c>
      <c r="AI40" s="692">
        <f>+S40</f>
        <v>25.895907999999999</v>
      </c>
      <c r="AK40" s="695">
        <f>AI40/AB40</f>
        <v>114.86956695314666</v>
      </c>
      <c r="AM40" s="709">
        <f>(AK40/AK33-1)*100</f>
        <v>31.160132014077302</v>
      </c>
      <c r="AN40" s="107" t="s">
        <v>576</v>
      </c>
      <c r="AO40" s="107"/>
      <c r="AU40" s="236">
        <f>+J40/$AU$8</f>
        <v>0.23666666666666666</v>
      </c>
    </row>
    <row r="41" spans="1:47" hidden="1" outlineLevel="1">
      <c r="A41" s="26" t="str">
        <f>$A$13</f>
        <v>2Q</v>
      </c>
      <c r="B41" s="218" t="str">
        <f>$B$13</f>
        <v>Jul</v>
      </c>
      <c r="D41" s="689">
        <f>(S41/S34-1)*100</f>
        <v>36.243824504219859</v>
      </c>
      <c r="F41" s="690">
        <f>'qtrP&amp;L'!V11</f>
        <v>23</v>
      </c>
      <c r="H41" s="689">
        <f>D41-F41</f>
        <v>13.243824504219859</v>
      </c>
      <c r="I41" s="107"/>
      <c r="J41" s="45">
        <v>150</v>
      </c>
      <c r="L41" s="699">
        <f>AVERAGE(J41,J40)</f>
        <v>146</v>
      </c>
      <c r="N41" s="689">
        <f>(L41/L34-1)*100</f>
        <v>7.7490774907749138</v>
      </c>
      <c r="O41" s="107"/>
      <c r="P41" s="655">
        <f>H41/N41*100</f>
        <v>170.90840193540853</v>
      </c>
      <c r="Q41" s="122"/>
      <c r="S41" s="696">
        <v>27.358542</v>
      </c>
      <c r="U41" s="697">
        <f>S41/L41</f>
        <v>0.18738727397260274</v>
      </c>
      <c r="W41" s="709">
        <f>(U41/U34-1)*100</f>
        <v>26.445467262478029</v>
      </c>
      <c r="X41" s="107"/>
      <c r="Z41" s="694">
        <f>+turn!AB40</f>
        <v>0.23924999999999999</v>
      </c>
      <c r="AB41" s="694">
        <f>AVERAGE(Z41,Z40)</f>
        <v>0.23274999999999998</v>
      </c>
      <c r="AD41" s="689">
        <f>(AB41/AB34-1)*100</f>
        <v>7.6631657827725075</v>
      </c>
      <c r="AE41" s="107"/>
      <c r="AF41" s="655">
        <f>+H41/AD41*100</f>
        <v>172.82445505737562</v>
      </c>
      <c r="AG41" s="122"/>
      <c r="AI41" s="696">
        <f>+S41</f>
        <v>27.358542</v>
      </c>
      <c r="AK41" s="698">
        <f>AI41/AB41</f>
        <v>117.54475617615468</v>
      </c>
      <c r="AM41" s="709">
        <f>(AK41/AK34-1)*100</f>
        <v>26.546366636769125</v>
      </c>
      <c r="AN41" s="107"/>
      <c r="AO41" s="107"/>
      <c r="AU41" s="236">
        <f>+J41/$AU$8</f>
        <v>0.25</v>
      </c>
    </row>
    <row r="42" spans="1:47" hidden="1" outlineLevel="1">
      <c r="A42" s="26" t="str">
        <f>$A$14</f>
        <v>3Q</v>
      </c>
      <c r="B42" s="218" t="str">
        <f>$B$14</f>
        <v>Oct</v>
      </c>
      <c r="D42" s="689">
        <f>(S42/S35-1)*100</f>
        <v>41.381494653120534</v>
      </c>
      <c r="F42" s="690">
        <f>'qtrP&amp;L'!V12</f>
        <v>28.5</v>
      </c>
      <c r="H42" s="689">
        <f>D42-F42</f>
        <v>12.881494653120534</v>
      </c>
      <c r="I42" s="107"/>
      <c r="J42" s="45">
        <v>155</v>
      </c>
      <c r="L42" s="699">
        <f>AVERAGE(J42,J41)</f>
        <v>152.5</v>
      </c>
      <c r="N42" s="689">
        <f>(L42/L35-1)*100</f>
        <v>11.721611721611724</v>
      </c>
      <c r="O42" s="107"/>
      <c r="P42" s="655">
        <f>H42/N42*100</f>
        <v>109.89525125943453</v>
      </c>
      <c r="Q42" s="122"/>
      <c r="S42" s="696">
        <v>26.754148999999998</v>
      </c>
      <c r="U42" s="697">
        <f>S42/L42</f>
        <v>0.17543704262295082</v>
      </c>
      <c r="W42" s="709">
        <f>(U42/U35-1)*100</f>
        <v>26.548026361645594</v>
      </c>
      <c r="X42" s="107"/>
      <c r="Z42" s="694">
        <f>+turn!AB41</f>
        <v>0.24737499999999998</v>
      </c>
      <c r="AB42" s="694">
        <f>AVERAGE(Z42,Z41)</f>
        <v>0.24331249999999999</v>
      </c>
      <c r="AD42" s="689">
        <f>(AB42/AB35-1)*100</f>
        <v>11.709368550814126</v>
      </c>
      <c r="AE42" s="107"/>
      <c r="AF42" s="655">
        <f>+H42/AD42*100</f>
        <v>110.01015637367493</v>
      </c>
      <c r="AG42" s="122"/>
      <c r="AI42" s="696">
        <f>+S42</f>
        <v>26.754148999999998</v>
      </c>
      <c r="AK42" s="698">
        <f>AI42/AB42</f>
        <v>109.95797174415618</v>
      </c>
      <c r="AM42" s="709">
        <f>(AK42/AK35-1)*100</f>
        <v>26.56189582596129</v>
      </c>
      <c r="AN42" s="107"/>
      <c r="AO42" s="107"/>
      <c r="AU42" s="236">
        <f>+J42/$AU$8</f>
        <v>0.25833333333333336</v>
      </c>
    </row>
    <row r="43" spans="1:47" hidden="1" outlineLevel="1">
      <c r="A43" s="26" t="str">
        <f>$A$15</f>
        <v>4Q</v>
      </c>
      <c r="B43" s="218" t="str">
        <f>$B$15</f>
        <v>Jan</v>
      </c>
      <c r="D43" s="643">
        <f>(S43/S36-1)*100</f>
        <v>51.759161738357726</v>
      </c>
      <c r="F43" s="700">
        <f>'qtrP&amp;L'!V13</f>
        <v>30.4</v>
      </c>
      <c r="H43" s="643">
        <f>D43-F43</f>
        <v>21.359161738357727</v>
      </c>
      <c r="I43" s="107"/>
      <c r="J43" s="26">
        <f>yrSales!F40</f>
        <v>162</v>
      </c>
      <c r="L43" s="662">
        <f>AVERAGE(J43,J42)</f>
        <v>158.5</v>
      </c>
      <c r="N43" s="643">
        <f>(L43/L36-1)*100</f>
        <v>14.028776978417268</v>
      </c>
      <c r="O43" s="107"/>
      <c r="P43" s="662">
        <f>H43/N43*100</f>
        <v>152.25248623752429</v>
      </c>
      <c r="Q43" s="122"/>
      <c r="S43" s="701">
        <v>26.732994000000001</v>
      </c>
      <c r="U43" s="702">
        <f>S43/L43</f>
        <v>0.16866242271293377</v>
      </c>
      <c r="W43" s="700">
        <f>(U43/U36-1)*100</f>
        <v>33.088476224805838</v>
      </c>
      <c r="X43" s="107"/>
      <c r="Z43" s="694">
        <f>+turn!AB42</f>
        <v>0.25737499999999996</v>
      </c>
      <c r="AB43" s="703">
        <f>AVERAGE(Z43,Z42)</f>
        <v>0.25237499999999996</v>
      </c>
      <c r="AD43" s="643">
        <f>(AB43/AB36-1)*100</f>
        <v>13.87581613821669</v>
      </c>
      <c r="AE43" s="107"/>
      <c r="AF43" s="662">
        <f>+H43/AD43*100</f>
        <v>153.9308500891018</v>
      </c>
      <c r="AG43" s="122"/>
      <c r="AI43" s="701">
        <f>+S43</f>
        <v>26.732994000000001</v>
      </c>
      <c r="AK43" s="704">
        <f>AI43/AB43</f>
        <v>105.9256820208024</v>
      </c>
      <c r="AM43" s="700">
        <f>(AK43/AK36-1)*100</f>
        <v>33.267243989856588</v>
      </c>
      <c r="AN43" s="107"/>
      <c r="AO43" s="107"/>
      <c r="AU43" s="236">
        <f>+J43/$AU$8</f>
        <v>0.27</v>
      </c>
    </row>
    <row r="44" spans="1:47" hidden="1" outlineLevel="1">
      <c r="B44" s="218" t="str">
        <f>$B$16</f>
        <v>Year</v>
      </c>
      <c r="D44" s="689">
        <f>(S44/S37-1)*100</f>
        <v>41.681436764778049</v>
      </c>
      <c r="F44" s="690">
        <f>'qtrP&amp;L'!V14</f>
        <v>30.3</v>
      </c>
      <c r="H44" s="689">
        <f>D44-F44</f>
        <v>11.381436764778048</v>
      </c>
      <c r="I44" s="107"/>
      <c r="L44" s="699">
        <f>AVERAGE(L40:L43)</f>
        <v>149.625</v>
      </c>
      <c r="N44" s="689">
        <f>(L44/L37-1)*100</f>
        <v>9.8165137614678812</v>
      </c>
      <c r="O44" s="107"/>
      <c r="P44" s="655">
        <f>H44/N44*100</f>
        <v>115.94173900568303</v>
      </c>
      <c r="Q44" s="122"/>
      <c r="S44" s="692">
        <f>SUM(S40:S43)</f>
        <v>106.74159300000001</v>
      </c>
      <c r="U44" s="693">
        <f>SUM(U40:U43)</f>
        <v>0.71449668983852266</v>
      </c>
      <c r="W44" s="709">
        <f>(U44/U37-1)*100</f>
        <v>29.143392180787721</v>
      </c>
      <c r="X44" s="107"/>
      <c r="Z44" s="45"/>
      <c r="AB44" s="694">
        <f>AVERAGE(AB40:AB43)</f>
        <v>0.23846875000000001</v>
      </c>
      <c r="AD44" s="689">
        <f>(AB44/AB37-1)*100</f>
        <v>9.7213930691623105</v>
      </c>
      <c r="AE44" s="107"/>
      <c r="AF44" s="655">
        <f>+H44/AD44*100</f>
        <v>117.07619148619388</v>
      </c>
      <c r="AG44" s="122"/>
      <c r="AI44" s="692">
        <f>SUM(AI40:AI43)</f>
        <v>106.74159300000001</v>
      </c>
      <c r="AK44" s="695">
        <f>SUM(AK40:AK43)</f>
        <v>448.29797689425993</v>
      </c>
      <c r="AM44" s="709">
        <f>(AK44/AK37-1)*100</f>
        <v>29.255529223681464</v>
      </c>
      <c r="AN44" s="107"/>
      <c r="AO44" s="107"/>
    </row>
    <row r="45" spans="1:47" hidden="1" outlineLevel="1">
      <c r="B45" s="218"/>
      <c r="I45" s="107"/>
      <c r="O45" s="107"/>
      <c r="P45" s="122"/>
      <c r="Q45" s="122"/>
      <c r="X45" s="107"/>
      <c r="AE45" s="107"/>
      <c r="AF45" s="122"/>
      <c r="AG45" s="122"/>
      <c r="AN45" s="107"/>
      <c r="AO45" s="107"/>
    </row>
    <row r="46" spans="1:47" hidden="1" outlineLevel="1">
      <c r="A46" s="705"/>
      <c r="B46" s="706">
        <f>B39+1</f>
        <v>1999</v>
      </c>
      <c r="I46" s="107"/>
      <c r="O46" s="107"/>
      <c r="P46" s="122"/>
      <c r="Q46" s="122"/>
      <c r="X46" s="107"/>
      <c r="AE46" s="107"/>
      <c r="AF46" s="122"/>
      <c r="AG46" s="122"/>
      <c r="AN46" s="107"/>
      <c r="AO46" s="107"/>
    </row>
    <row r="47" spans="1:47" hidden="1" outlineLevel="1">
      <c r="A47" s="26" t="str">
        <f>$A$12</f>
        <v>1Q</v>
      </c>
      <c r="B47" s="218" t="str">
        <f>$B$12</f>
        <v>Apr</v>
      </c>
      <c r="D47" s="689">
        <f>(S47/S40-1)*100</f>
        <v>40.659215347845709</v>
      </c>
      <c r="E47" s="107" t="s">
        <v>576</v>
      </c>
      <c r="F47" s="690">
        <f>'qtrP&amp;L'!Z10</f>
        <v>22.6</v>
      </c>
      <c r="G47" s="107" t="s">
        <v>576</v>
      </c>
      <c r="H47" s="689">
        <f>D47-F47</f>
        <v>18.059215347845708</v>
      </c>
      <c r="I47" s="107" t="s">
        <v>576</v>
      </c>
      <c r="J47" s="45">
        <v>169</v>
      </c>
      <c r="L47" s="699">
        <f>AVERAGE(J47,J43)</f>
        <v>165.5</v>
      </c>
      <c r="N47" s="689">
        <f>(L47/L40-1)*100</f>
        <v>16.96113074204948</v>
      </c>
      <c r="O47" s="107" t="s">
        <v>576</v>
      </c>
      <c r="P47" s="655">
        <f>H47/N47*100</f>
        <v>106.47412382167359</v>
      </c>
      <c r="Q47" s="122" t="s">
        <v>576</v>
      </c>
      <c r="S47" s="692">
        <v>36.424981000000002</v>
      </c>
      <c r="U47" s="693">
        <f>S47/L47</f>
        <v>0.22009051963746226</v>
      </c>
      <c r="W47" s="709">
        <f>(U47/U40-1)*100</f>
        <v>20.261504360846949</v>
      </c>
      <c r="X47" s="107" t="s">
        <v>576</v>
      </c>
      <c r="Z47" s="694">
        <f>+turn!AB46</f>
        <v>0.27625</v>
      </c>
      <c r="AB47" s="694">
        <f>AVERAGE(Z47,Z43)</f>
        <v>0.26681250000000001</v>
      </c>
      <c r="AD47" s="689">
        <f>(AB47/AB40-1)*100</f>
        <v>18.353202107014145</v>
      </c>
      <c r="AE47" s="107" t="s">
        <v>576</v>
      </c>
      <c r="AF47" s="655">
        <f>+H47/AD47*100</f>
        <v>98.398171842416076</v>
      </c>
      <c r="AG47" s="122" t="s">
        <v>576</v>
      </c>
      <c r="AI47" s="692">
        <f>+S47</f>
        <v>36.424981000000002</v>
      </c>
      <c r="AK47" s="695">
        <f>AI47/AB47</f>
        <v>136.51901991098617</v>
      </c>
      <c r="AM47" s="709">
        <f>(AK47/AK40-1)*100</f>
        <v>18.846987528620151</v>
      </c>
      <c r="AN47" s="107" t="s">
        <v>576</v>
      </c>
      <c r="AO47" s="107"/>
      <c r="AU47" s="236">
        <f>+J47/$AU$8</f>
        <v>0.28166666666666668</v>
      </c>
    </row>
    <row r="48" spans="1:47" hidden="1" outlineLevel="1">
      <c r="A48" s="26" t="str">
        <f>$A$13</f>
        <v>2Q</v>
      </c>
      <c r="B48" s="218" t="str">
        <f>$B$13</f>
        <v>Jul</v>
      </c>
      <c r="D48" s="689">
        <f>(S48/S41-1)*100</f>
        <v>34.40516311139681</v>
      </c>
      <c r="E48" s="107"/>
      <c r="F48" s="690">
        <f>'qtrP&amp;L'!Z11</f>
        <v>17.2</v>
      </c>
      <c r="G48" s="107"/>
      <c r="H48" s="689">
        <f>D48-F48</f>
        <v>17.205163111396811</v>
      </c>
      <c r="I48" s="107"/>
      <c r="J48" s="45">
        <v>177</v>
      </c>
      <c r="L48" s="699">
        <f>AVERAGE(J48,J47)</f>
        <v>173</v>
      </c>
      <c r="N48" s="689">
        <f>(L48/L41-1)*100</f>
        <v>18.493150684931514</v>
      </c>
      <c r="O48" s="107"/>
      <c r="P48" s="655">
        <f>H48/N48*100</f>
        <v>93.035326454219756</v>
      </c>
      <c r="Q48" s="122"/>
      <c r="S48" s="696">
        <v>36.771293</v>
      </c>
      <c r="U48" s="697">
        <f>S48/L48</f>
        <v>0.21255082658959537</v>
      </c>
      <c r="W48" s="709">
        <f>(U48/U41-1)*100</f>
        <v>13.428634764531399</v>
      </c>
      <c r="X48" s="107"/>
      <c r="Z48" s="694">
        <f>+turn!AB47</f>
        <v>0.29249999999999998</v>
      </c>
      <c r="AB48" s="694">
        <f>AVERAGE(Z48,Z47)</f>
        <v>0.28437499999999999</v>
      </c>
      <c r="AD48" s="689">
        <f>(AB48/AB41-1)*100</f>
        <v>22.180451127819545</v>
      </c>
      <c r="AE48" s="107"/>
      <c r="AF48" s="655">
        <f>+H48/AD48*100</f>
        <v>77.569040468331394</v>
      </c>
      <c r="AG48" s="122"/>
      <c r="AI48" s="696">
        <f>+S48</f>
        <v>36.771293</v>
      </c>
      <c r="AK48" s="698">
        <f>AI48/AB48</f>
        <v>129.30564571428573</v>
      </c>
      <c r="AM48" s="709">
        <f>(AK48/AK41-1)*100</f>
        <v>10.005456577327854</v>
      </c>
      <c r="AN48" s="107"/>
      <c r="AO48" s="107"/>
      <c r="AU48" s="236">
        <f>+J48/$AU$8</f>
        <v>0.29499999999999998</v>
      </c>
    </row>
    <row r="49" spans="1:47" hidden="1" outlineLevel="1">
      <c r="A49" s="26" t="str">
        <f>$A$14</f>
        <v>3Q</v>
      </c>
      <c r="B49" s="218" t="str">
        <f>$B$14</f>
        <v>Oct</v>
      </c>
      <c r="D49" s="689">
        <f>(S49/S42-1)*100</f>
        <v>49.543141888011476</v>
      </c>
      <c r="E49" s="107"/>
      <c r="F49" s="690">
        <f>'qtrP&amp;L'!Z12</f>
        <v>26.9</v>
      </c>
      <c r="G49" s="107"/>
      <c r="H49" s="689">
        <f>D49-F49</f>
        <v>22.643141888011478</v>
      </c>
      <c r="I49" s="107"/>
      <c r="J49" s="45">
        <v>186</v>
      </c>
      <c r="L49" s="699">
        <f>AVERAGE(J49,J48)</f>
        <v>181.5</v>
      </c>
      <c r="N49" s="689">
        <f>(L49/L42-1)*100</f>
        <v>19.016393442622959</v>
      </c>
      <c r="O49" s="107"/>
      <c r="P49" s="655">
        <f>H49/N49*100</f>
        <v>119.07169441109477</v>
      </c>
      <c r="Q49" s="122"/>
      <c r="S49" s="696">
        <v>40.008994999999999</v>
      </c>
      <c r="U49" s="697">
        <f>S49/L49</f>
        <v>0.22043523415977961</v>
      </c>
      <c r="W49" s="709">
        <f>(U49/U42-1)*100</f>
        <v>25.649196352185943</v>
      </c>
      <c r="X49" s="107"/>
      <c r="Z49" s="694">
        <f>+turn!AB48</f>
        <v>0.31374999999999997</v>
      </c>
      <c r="AB49" s="694">
        <f>AVERAGE(Z49,Z48)</f>
        <v>0.30312499999999998</v>
      </c>
      <c r="AD49" s="689">
        <f>(AB49/AB42-1)*100</f>
        <v>24.58258412535319</v>
      </c>
      <c r="AE49" s="107"/>
      <c r="AF49" s="655">
        <f>+H49/AD49*100</f>
        <v>92.110502998985069</v>
      </c>
      <c r="AG49" s="122"/>
      <c r="AI49" s="696">
        <f>+S49</f>
        <v>40.008994999999999</v>
      </c>
      <c r="AK49" s="698">
        <f>AI49/AB49</f>
        <v>131.98843711340206</v>
      </c>
      <c r="AM49" s="709">
        <f>(AK49/AK42-1)*100</f>
        <v>20.03535079794403</v>
      </c>
      <c r="AN49" s="107"/>
      <c r="AO49" s="107"/>
      <c r="AU49" s="236">
        <f>+J49/$AU$8</f>
        <v>0.31</v>
      </c>
    </row>
    <row r="50" spans="1:47" hidden="1" outlineLevel="1">
      <c r="A50" s="26" t="str">
        <f>$A$15</f>
        <v>4Q</v>
      </c>
      <c r="B50" s="218" t="str">
        <f>$B$15</f>
        <v>Jan</v>
      </c>
      <c r="D50" s="643">
        <f>(S50/S43-1)*100</f>
        <v>56.34990977815648</v>
      </c>
      <c r="E50" s="107"/>
      <c r="F50" s="700">
        <f>'qtrP&amp;L'!Z13</f>
        <v>26.5</v>
      </c>
      <c r="G50" s="107"/>
      <c r="H50" s="643">
        <f>D50-F50</f>
        <v>29.84990977815648</v>
      </c>
      <c r="I50" s="107"/>
      <c r="J50" s="26">
        <f>yrSales!G40</f>
        <v>200</v>
      </c>
      <c r="L50" s="662">
        <f>AVERAGE(J50,J49)</f>
        <v>193</v>
      </c>
      <c r="N50" s="643">
        <f>(L50/L43-1)*100</f>
        <v>21.76656151419558</v>
      </c>
      <c r="O50" s="107"/>
      <c r="P50" s="662">
        <f>H50/N50*100</f>
        <v>137.13654202428413</v>
      </c>
      <c r="Q50" s="122"/>
      <c r="S50" s="701">
        <v>41.797011999999988</v>
      </c>
      <c r="U50" s="702">
        <f>S50/L50</f>
        <v>0.21656482901554397</v>
      </c>
      <c r="W50" s="700">
        <f>(U50/U43-1)*100</f>
        <v>28.401350776361657</v>
      </c>
      <c r="X50" s="107"/>
      <c r="Z50" s="694">
        <f>+turn!AB49</f>
        <v>0.34799999999999998</v>
      </c>
      <c r="AB50" s="703">
        <f>AVERAGE(Z50,Z49)</f>
        <v>0.33087499999999997</v>
      </c>
      <c r="AD50" s="643">
        <f>(AB50/AB43-1)*100</f>
        <v>31.104507181773155</v>
      </c>
      <c r="AE50" s="107"/>
      <c r="AF50" s="662">
        <f>+H50/AD50*100</f>
        <v>95.966509302703713</v>
      </c>
      <c r="AG50" s="122"/>
      <c r="AI50" s="701">
        <f>+S50</f>
        <v>41.797011999999988</v>
      </c>
      <c r="AK50" s="704">
        <f>AI50/AB50</f>
        <v>126.32266565923685</v>
      </c>
      <c r="AM50" s="700">
        <f>(AK50/AK43-1)*100</f>
        <v>19.255937983414405</v>
      </c>
      <c r="AN50" s="107"/>
      <c r="AO50" s="107"/>
      <c r="AU50" s="236">
        <f>+J50/$AU$8</f>
        <v>0.33333333333333331</v>
      </c>
    </row>
    <row r="51" spans="1:47" hidden="1" outlineLevel="1">
      <c r="B51" s="218" t="str">
        <f>$B$16</f>
        <v>Year</v>
      </c>
      <c r="D51" s="689">
        <f>(S51/S44-1)*100</f>
        <v>45.212636090225836</v>
      </c>
      <c r="E51" s="107"/>
      <c r="F51" s="690">
        <f>'qtrP&amp;L'!Z14</f>
        <v>23.3</v>
      </c>
      <c r="G51" s="107"/>
      <c r="H51" s="689">
        <f>D51-F51</f>
        <v>21.912636090225835</v>
      </c>
      <c r="I51" s="107"/>
      <c r="L51" s="699">
        <f>AVERAGE(L47:L50)</f>
        <v>178.25</v>
      </c>
      <c r="N51" s="689">
        <f>(L51/L44-1)*100</f>
        <v>19.131161236424397</v>
      </c>
      <c r="O51" s="107"/>
      <c r="P51" s="655">
        <f>H51/N51*100</f>
        <v>114.53897554585294</v>
      </c>
      <c r="Q51" s="122"/>
      <c r="S51" s="692">
        <f>SUM(S47:S50)</f>
        <v>155.00228099999998</v>
      </c>
      <c r="U51" s="693">
        <f>SUM(U47:U50)</f>
        <v>0.86964140940238122</v>
      </c>
      <c r="W51" s="709">
        <f>(U51/U44-1)*100</f>
        <v>21.713847211653501</v>
      </c>
      <c r="X51" s="107"/>
      <c r="AB51" s="694">
        <f>AVERAGE(AB47:AB50)</f>
        <v>0.29629687499999996</v>
      </c>
      <c r="AD51" s="689">
        <f>(AB51/AB44-1)*100</f>
        <v>24.249770672257863</v>
      </c>
      <c r="AE51" s="107"/>
      <c r="AF51" s="655">
        <f>+H51/AD51*100</f>
        <v>90.362240477986262</v>
      </c>
      <c r="AG51" s="122"/>
      <c r="AI51" s="692">
        <f>SUM(AI47:AI50)</f>
        <v>155.00228099999998</v>
      </c>
      <c r="AK51" s="695">
        <f>SUM(AK47:AK50)</f>
        <v>524.13576839791074</v>
      </c>
      <c r="AM51" s="709">
        <f>(AK51/AK44-1)*100</f>
        <v>16.916826622561064</v>
      </c>
      <c r="AN51" s="107"/>
      <c r="AO51" s="107"/>
    </row>
    <row r="52" spans="1:47" hidden="1" outlineLevel="1">
      <c r="B52" s="218"/>
      <c r="E52" s="107"/>
      <c r="G52" s="107"/>
      <c r="I52" s="107"/>
      <c r="O52" s="107"/>
      <c r="P52" s="122"/>
      <c r="Q52" s="122"/>
      <c r="X52" s="107"/>
      <c r="AE52" s="107"/>
      <c r="AF52" s="122"/>
      <c r="AG52" s="122"/>
      <c r="AN52" s="107"/>
      <c r="AO52" s="107"/>
      <c r="AQ52" s="711" t="s">
        <v>32</v>
      </c>
    </row>
    <row r="53" spans="1:47" hidden="1" outlineLevel="1" collapsed="1">
      <c r="A53" s="705"/>
      <c r="B53" s="706">
        <f>B46+1</f>
        <v>2000</v>
      </c>
      <c r="E53" s="107"/>
      <c r="G53" s="107"/>
      <c r="I53" s="107"/>
      <c r="O53" s="107"/>
      <c r="P53" s="122"/>
      <c r="Q53" s="122"/>
      <c r="X53" s="107"/>
      <c r="AE53" s="107"/>
      <c r="AF53" s="122"/>
      <c r="AG53" s="122"/>
      <c r="AN53" s="107"/>
      <c r="AO53" s="107"/>
      <c r="AQ53" s="712"/>
    </row>
    <row r="54" spans="1:47" hidden="1" outlineLevel="1">
      <c r="A54" s="26" t="str">
        <f>$A$12</f>
        <v>1Q</v>
      </c>
      <c r="B54" s="218" t="str">
        <f>$B$12</f>
        <v>Apr</v>
      </c>
      <c r="D54" s="689">
        <f>(S54/S47-1)*100</f>
        <v>55.642672812924722</v>
      </c>
      <c r="E54" s="107" t="s">
        <v>576</v>
      </c>
      <c r="F54" s="690">
        <f>+'qtrP&amp;L'!AD10</f>
        <v>30.9</v>
      </c>
      <c r="G54" s="107" t="s">
        <v>576</v>
      </c>
      <c r="H54" s="689">
        <f>D54-F54</f>
        <v>24.742672812924724</v>
      </c>
      <c r="I54" s="107" t="s">
        <v>576</v>
      </c>
      <c r="J54" s="45">
        <v>207</v>
      </c>
      <c r="L54" s="699">
        <f>AVERAGE(J54,J50)</f>
        <v>203.5</v>
      </c>
      <c r="N54" s="689">
        <f>(L54/L47-1)*100</f>
        <v>22.96072507552871</v>
      </c>
      <c r="O54" s="107" t="s">
        <v>576</v>
      </c>
      <c r="P54" s="655">
        <f>H54/N54*100</f>
        <v>107.76085132997476</v>
      </c>
      <c r="Q54" s="122" t="s">
        <v>576</v>
      </c>
      <c r="S54" s="692">
        <v>56.692813999999998</v>
      </c>
      <c r="U54" s="693">
        <f>S54/L54</f>
        <v>0.27858876658476656</v>
      </c>
      <c r="W54" s="709">
        <f>(U54/U47-1)*100</f>
        <v>26.579176169725006</v>
      </c>
      <c r="X54" s="107" t="s">
        <v>576</v>
      </c>
      <c r="Z54" s="694">
        <f>+turn!AB53</f>
        <v>0.37749999999999995</v>
      </c>
      <c r="AB54" s="694">
        <f>AVERAGE(Z54,Z50)</f>
        <v>0.36274999999999996</v>
      </c>
      <c r="AD54" s="689">
        <f>(AB54/AB47-1)*100</f>
        <v>35.956898571093923</v>
      </c>
      <c r="AE54" s="107" t="s">
        <v>576</v>
      </c>
      <c r="AF54" s="655">
        <f>+H54/AD54*100</f>
        <v>68.812032728583503</v>
      </c>
      <c r="AG54" s="122" t="s">
        <v>576</v>
      </c>
      <c r="AI54" s="692">
        <f>+S54</f>
        <v>56.692813999999998</v>
      </c>
      <c r="AK54" s="695">
        <f>AI54/AB54</f>
        <v>156.28618607856652</v>
      </c>
      <c r="AM54" s="709">
        <f>(AK54/AK47-1)*100</f>
        <v>14.479422852924827</v>
      </c>
      <c r="AN54" s="107" t="s">
        <v>576</v>
      </c>
      <c r="AO54" s="107"/>
      <c r="AS54" s="236">
        <f>+AI54/$AI$58</f>
        <v>0.22077523034993532</v>
      </c>
      <c r="AU54" s="236">
        <f>+J54/$AU$8</f>
        <v>0.34499999999999997</v>
      </c>
    </row>
    <row r="55" spans="1:47" hidden="1" outlineLevel="1">
      <c r="A55" s="26" t="str">
        <f>$A$13</f>
        <v>2Q</v>
      </c>
      <c r="B55" s="218" t="str">
        <f>$B$13</f>
        <v>Jul</v>
      </c>
      <c r="D55" s="689">
        <f>(S55/S48-1)*100</f>
        <v>64.354277669811609</v>
      </c>
      <c r="F55" s="690">
        <f>+'qtrP&amp;L'!AD11</f>
        <v>34.299999999999997</v>
      </c>
      <c r="H55" s="689">
        <f>D55-F55</f>
        <v>30.054277669811611</v>
      </c>
      <c r="J55" s="713">
        <v>216</v>
      </c>
      <c r="K55" s="713"/>
      <c r="L55" s="699">
        <f>AVERAGE(J55,J54)</f>
        <v>211.5</v>
      </c>
      <c r="N55" s="689">
        <f>(L55/L48-1)*100</f>
        <v>22.254335260115599</v>
      </c>
      <c r="O55" s="107"/>
      <c r="P55" s="655">
        <f>H55/N55*100</f>
        <v>135.04909186694573</v>
      </c>
      <c r="Q55" s="122"/>
      <c r="S55" s="696">
        <v>60.435192999999998</v>
      </c>
      <c r="U55" s="697">
        <f>S55/L55</f>
        <v>0.28574559338061467</v>
      </c>
      <c r="W55" s="709">
        <f>(U55/U48-1)*100</f>
        <v>34.43635951242274</v>
      </c>
      <c r="X55" s="107"/>
      <c r="Z55" s="694">
        <f>+turn!AB54</f>
        <v>0.39999999999999997</v>
      </c>
      <c r="AA55" s="713"/>
      <c r="AB55" s="694">
        <f>AVERAGE(Z55,Z54)</f>
        <v>0.38874999999999993</v>
      </c>
      <c r="AD55" s="689">
        <f>(AB55/AB48-1)*100</f>
        <v>36.703296703296687</v>
      </c>
      <c r="AE55" s="107"/>
      <c r="AF55" s="655">
        <f>+H55/AD55*100</f>
        <v>81.884409220145443</v>
      </c>
      <c r="AG55" s="122"/>
      <c r="AI55" s="696">
        <f>+S55</f>
        <v>60.435192999999998</v>
      </c>
      <c r="AK55" s="698">
        <f>AI55/AB55</f>
        <v>155.46030353697751</v>
      </c>
      <c r="AM55" s="709">
        <f>(AK55/AK48-1)*100</f>
        <v>20.227003761678898</v>
      </c>
      <c r="AN55" s="107"/>
      <c r="AO55" s="107"/>
      <c r="AS55" s="236">
        <f>+AI55/$AI$58</f>
        <v>0.23534893956432995</v>
      </c>
      <c r="AU55" s="236">
        <f>+J55/$AU$8</f>
        <v>0.36</v>
      </c>
    </row>
    <row r="56" spans="1:47" hidden="1" outlineLevel="1">
      <c r="A56" s="26" t="str">
        <f>$A$14</f>
        <v>3Q</v>
      </c>
      <c r="B56" s="218" t="str">
        <f>$B$14</f>
        <v>Oct</v>
      </c>
      <c r="D56" s="689">
        <f>(S56/S49-1)*100</f>
        <v>70.613060887932818</v>
      </c>
      <c r="F56" s="690">
        <f>+'qtrP&amp;L'!AD12</f>
        <v>39.1</v>
      </c>
      <c r="H56" s="689">
        <f>D56-F56</f>
        <v>31.513060887932816</v>
      </c>
      <c r="J56" s="713">
        <v>233</v>
      </c>
      <c r="K56" s="713"/>
      <c r="L56" s="699">
        <f>AVERAGE(J56,J55)</f>
        <v>224.5</v>
      </c>
      <c r="N56" s="689">
        <f>(L56/L49-1)*100</f>
        <v>23.691460055096414</v>
      </c>
      <c r="O56" s="107"/>
      <c r="P56" s="655">
        <f>H56/N56*100</f>
        <v>133.01443142232111</v>
      </c>
      <c r="Q56" s="122"/>
      <c r="S56" s="696">
        <v>68.260570999999999</v>
      </c>
      <c r="U56" s="697">
        <f>S56/L56</f>
        <v>0.30405599554565699</v>
      </c>
      <c r="W56" s="709">
        <f>(U56/U49-1)*100</f>
        <v>37.934389982894444</v>
      </c>
      <c r="X56" s="107"/>
      <c r="Z56" s="694">
        <f>+turn!AB55</f>
        <v>0.44374999999999998</v>
      </c>
      <c r="AA56" s="713"/>
      <c r="AB56" s="694">
        <f>AVERAGE(Z56,Z55)</f>
        <v>0.421875</v>
      </c>
      <c r="AD56" s="689">
        <f>(AB56/AB49-1)*100</f>
        <v>39.17525773195878</v>
      </c>
      <c r="AE56" s="107"/>
      <c r="AF56" s="655">
        <f>+H56/AD56*100</f>
        <v>80.441234371828472</v>
      </c>
      <c r="AG56" s="122"/>
      <c r="AI56" s="696">
        <f>+S56</f>
        <v>68.260570999999999</v>
      </c>
      <c r="AK56" s="698">
        <f>AI56/AB56</f>
        <v>161.80283496296295</v>
      </c>
      <c r="AM56" s="709">
        <f>(AK56/AK49-1)*100</f>
        <v>22.588643749107273</v>
      </c>
      <c r="AN56" s="107"/>
      <c r="AO56" s="107"/>
      <c r="AS56" s="236">
        <f>+AI56/$AI$58</f>
        <v>0.2658228128584888</v>
      </c>
      <c r="AU56" s="236">
        <f>+J56/$AU$8</f>
        <v>0.38833333333333331</v>
      </c>
    </row>
    <row r="57" spans="1:47" hidden="1" outlineLevel="1">
      <c r="A57" s="26" t="str">
        <f>$A$15</f>
        <v>4Q</v>
      </c>
      <c r="B57" s="218" t="str">
        <f>$B$15</f>
        <v>Jan</v>
      </c>
      <c r="D57" s="643">
        <f>(S57/S50-1)*100</f>
        <v>70.828388402501162</v>
      </c>
      <c r="F57" s="700">
        <f>+'qtrP&amp;L'!AD13</f>
        <v>32.200000000000003</v>
      </c>
      <c r="H57" s="643">
        <f>D57-F57</f>
        <v>38.628388402501159</v>
      </c>
      <c r="J57" s="26">
        <f>yrSales!H40</f>
        <v>250</v>
      </c>
      <c r="K57" s="45"/>
      <c r="L57" s="662">
        <f>AVERAGE(J57,J56)</f>
        <v>241.5</v>
      </c>
      <c r="N57" s="643">
        <f>(L57/L50-1)*100</f>
        <v>25.129533678756477</v>
      </c>
      <c r="O57" s="107"/>
      <c r="P57" s="662">
        <f>H57/N57*100</f>
        <v>153.71709199345821</v>
      </c>
      <c r="Q57" s="122"/>
      <c r="S57" s="701">
        <v>71.401161999999999</v>
      </c>
      <c r="U57" s="702">
        <f>S57/L57</f>
        <v>0.29565698550724639</v>
      </c>
      <c r="W57" s="700">
        <f>(U57/U50-1)*100</f>
        <v>36.521237936574444</v>
      </c>
      <c r="X57" s="107"/>
      <c r="Z57" s="694">
        <f>+turn!AB56</f>
        <v>0.48049999999999998</v>
      </c>
      <c r="AA57" s="45"/>
      <c r="AB57" s="703">
        <f>AVERAGE(Z57,Z56)</f>
        <v>0.46212500000000001</v>
      </c>
      <c r="AD57" s="643">
        <f>(AB57/AB50-1)*100</f>
        <v>39.667548167737074</v>
      </c>
      <c r="AE57" s="107"/>
      <c r="AF57" s="662">
        <f>+H57/AD57*100</f>
        <v>97.3803277156386</v>
      </c>
      <c r="AG57" s="122"/>
      <c r="AI57" s="701">
        <f>+S57</f>
        <v>71.401161999999999</v>
      </c>
      <c r="AK57" s="704">
        <f>AI57/AB57</f>
        <v>154.50616608060588</v>
      </c>
      <c r="AM57" s="700">
        <f>(AK57/AK50-1)*100</f>
        <v>22.310723316586547</v>
      </c>
      <c r="AN57" s="107"/>
      <c r="AO57" s="107"/>
      <c r="AS57" s="236">
        <f>+AI57/$AI$58</f>
        <v>0.2780530172272459</v>
      </c>
      <c r="AU57" s="236">
        <f>+J57/$AU$8</f>
        <v>0.41666666666666669</v>
      </c>
    </row>
    <row r="58" spans="1:47" hidden="1" outlineLevel="1">
      <c r="B58" s="218" t="str">
        <f>$B$16</f>
        <v>Year</v>
      </c>
      <c r="D58" s="689">
        <f>(S58/S51-1)*100</f>
        <v>65.668362003008212</v>
      </c>
      <c r="F58" s="690">
        <f>+'qtrP&amp;L'!AD14</f>
        <v>34.299999999999997</v>
      </c>
      <c r="H58" s="689">
        <f>D58-F58</f>
        <v>31.368362003008215</v>
      </c>
      <c r="L58" s="699">
        <f>AVERAGE(L54:L57)</f>
        <v>220.25</v>
      </c>
      <c r="N58" s="689">
        <f>(L58/L51-1)*100</f>
        <v>23.562412342215989</v>
      </c>
      <c r="O58" s="107"/>
      <c r="P58" s="655">
        <f>H58/N58*100</f>
        <v>133.12882207229083</v>
      </c>
      <c r="Q58" s="122"/>
      <c r="S58" s="692">
        <f>SUM(S54:S57)</f>
        <v>256.78973999999999</v>
      </c>
      <c r="U58" s="693">
        <f>SUM(U54:U57)</f>
        <v>1.1640473410182846</v>
      </c>
      <c r="W58" s="709">
        <f>(U58/U51-1)*100</f>
        <v>33.853715845732268</v>
      </c>
      <c r="X58" s="107"/>
      <c r="AB58" s="694">
        <f>AVERAGE(AB54:AB57)</f>
        <v>0.40887499999999999</v>
      </c>
      <c r="AD58" s="689">
        <f>(AB58/AB51-1)*100</f>
        <v>37.995042978431705</v>
      </c>
      <c r="AE58" s="107"/>
      <c r="AF58" s="655">
        <f>+H58/AD58*100</f>
        <v>82.559090723531497</v>
      </c>
      <c r="AG58" s="122"/>
      <c r="AI58" s="692">
        <f>SUM(AI54:AI57)</f>
        <v>256.78973999999999</v>
      </c>
      <c r="AK58" s="695">
        <f>SUM(AK54:AK57)</f>
        <v>628.05549065911282</v>
      </c>
      <c r="AM58" s="709">
        <f>(AK58/AK51-1)*100</f>
        <v>19.826870922937822</v>
      </c>
      <c r="AN58" s="107"/>
      <c r="AO58" s="107"/>
    </row>
    <row r="59" spans="1:47" hidden="1" outlineLevel="1">
      <c r="B59" s="218"/>
      <c r="E59" s="107"/>
      <c r="G59" s="107"/>
      <c r="I59" s="107"/>
      <c r="O59" s="107"/>
      <c r="P59" s="122"/>
      <c r="Q59" s="122"/>
      <c r="X59" s="107"/>
      <c r="AE59" s="107"/>
      <c r="AF59" s="122"/>
      <c r="AG59" s="122"/>
      <c r="AN59" s="107"/>
      <c r="AO59" s="107"/>
    </row>
    <row r="60" spans="1:47" hidden="1" outlineLevel="1">
      <c r="A60" s="705"/>
      <c r="B60" s="706">
        <v>2001</v>
      </c>
      <c r="E60" s="107"/>
      <c r="G60" s="107"/>
      <c r="I60" s="107"/>
      <c r="O60" s="107"/>
      <c r="P60" s="122"/>
      <c r="Q60" s="122"/>
      <c r="X60" s="107"/>
      <c r="AE60" s="107"/>
      <c r="AF60" s="122"/>
      <c r="AG60" s="122"/>
      <c r="AN60" s="107"/>
      <c r="AO60" s="107"/>
      <c r="AQ60" s="714"/>
      <c r="AR60" s="122"/>
    </row>
    <row r="61" spans="1:47" hidden="1" outlineLevel="1">
      <c r="A61" s="26" t="str">
        <f>$A$12</f>
        <v>1Q</v>
      </c>
      <c r="B61" s="218" t="str">
        <f>$B$12</f>
        <v>Apr</v>
      </c>
      <c r="C61" s="107"/>
      <c r="D61" s="689">
        <f>(S61/S54-1)*100</f>
        <v>60.402334235869802</v>
      </c>
      <c r="E61" s="107" t="s">
        <v>576</v>
      </c>
      <c r="F61" s="690">
        <f>+'qtrP&amp;L'!AH10</f>
        <v>27.7</v>
      </c>
      <c r="G61" s="107" t="s">
        <v>576</v>
      </c>
      <c r="H61" s="689">
        <f>D61-F61</f>
        <v>32.702334235869799</v>
      </c>
      <c r="I61" s="107" t="s">
        <v>576</v>
      </c>
      <c r="J61" s="45">
        <f>+J57+13</f>
        <v>263</v>
      </c>
      <c r="L61" s="699">
        <f>AVERAGE(J61,J57)</f>
        <v>256.5</v>
      </c>
      <c r="N61" s="689">
        <f>(L61/L54-1)*100</f>
        <v>26.04422604422605</v>
      </c>
      <c r="O61" s="107" t="s">
        <v>576</v>
      </c>
      <c r="P61" s="655">
        <f>H61/N61*100</f>
        <v>125.56462296225477</v>
      </c>
      <c r="Q61" s="122" t="s">
        <v>576</v>
      </c>
      <c r="S61" s="692">
        <v>90.936596999999992</v>
      </c>
      <c r="U61" s="693">
        <f>S61/L61</f>
        <v>0.35452864327485378</v>
      </c>
      <c r="W61" s="709">
        <f>(U61/U54-1)*100</f>
        <v>27.258771996099451</v>
      </c>
      <c r="X61" s="107" t="s">
        <v>576</v>
      </c>
      <c r="Z61" s="694">
        <f>+turn!AB60</f>
        <v>0.49875000000000003</v>
      </c>
      <c r="AB61" s="694">
        <f>AVERAGE(Z61,Z57)</f>
        <v>0.48962499999999998</v>
      </c>
      <c r="AD61" s="689">
        <f>(AB61/AB54-1)*100</f>
        <v>34.975878704341845</v>
      </c>
      <c r="AE61" s="107" t="s">
        <v>576</v>
      </c>
      <c r="AF61" s="655">
        <f>+H61/AD61*100</f>
        <v>93.499678770930174</v>
      </c>
      <c r="AG61" s="122" t="s">
        <v>576</v>
      </c>
      <c r="AI61" s="692">
        <f>+S61</f>
        <v>90.936596999999992</v>
      </c>
      <c r="AJ61" s="107"/>
      <c r="AK61" s="695">
        <f>AI61/AB61</f>
        <v>185.72702986979832</v>
      </c>
      <c r="AM61" s="709">
        <f>(AK61/AK54-1)*100</f>
        <v>18.837777368520349</v>
      </c>
      <c r="AN61" s="107" t="s">
        <v>576</v>
      </c>
      <c r="AO61" s="107"/>
      <c r="AQ61" s="715"/>
      <c r="AR61" s="122"/>
      <c r="AS61" s="236">
        <f>+AI61/$AI$65</f>
        <v>0.24718928886718544</v>
      </c>
      <c r="AU61" s="236">
        <f>+J61/$AU$8</f>
        <v>0.43833333333333335</v>
      </c>
    </row>
    <row r="62" spans="1:47" hidden="1" outlineLevel="1">
      <c r="A62" s="26" t="str">
        <f>$A$13</f>
        <v>2Q</v>
      </c>
      <c r="B62" s="218" t="str">
        <f>$B$13</f>
        <v>Jul</v>
      </c>
      <c r="C62" s="107"/>
      <c r="D62" s="689">
        <f>(S62/S55-1)*100</f>
        <v>44.201942070409217</v>
      </c>
      <c r="F62" s="716">
        <f>+'qtrP&amp;L'!AH11</f>
        <v>17.399999999999999</v>
      </c>
      <c r="H62" s="689">
        <f>D62-F62</f>
        <v>26.801942070409218</v>
      </c>
      <c r="J62" s="713">
        <f>+J61+10</f>
        <v>273</v>
      </c>
      <c r="K62" s="713"/>
      <c r="L62" s="699">
        <f>AVERAGE(J62,J61)</f>
        <v>268</v>
      </c>
      <c r="N62" s="689">
        <f>(L62/L55-1)*100</f>
        <v>26.71394799054374</v>
      </c>
      <c r="O62" s="107"/>
      <c r="P62" s="655">
        <f>H62/N62*100</f>
        <v>100.32939376799202</v>
      </c>
      <c r="Q62" s="122"/>
      <c r="S62" s="696">
        <v>87.148722000000006</v>
      </c>
      <c r="U62" s="697">
        <f>S62/L62</f>
        <v>0.3251817985074627</v>
      </c>
      <c r="W62" s="709">
        <f>(U62/U55-1)*100</f>
        <v>13.801159507058003</v>
      </c>
      <c r="X62" s="107"/>
      <c r="Z62" s="694">
        <f>+turn!AB61</f>
        <v>0.55374999999999996</v>
      </c>
      <c r="AA62" s="713"/>
      <c r="AB62" s="694">
        <f>AVERAGE(Z62,Z61)</f>
        <v>0.52625</v>
      </c>
      <c r="AD62" s="689">
        <f>(AB62/AB55-1)*100</f>
        <v>35.369774919614173</v>
      </c>
      <c r="AE62" s="107"/>
      <c r="AF62" s="655">
        <f>+H62/AD62*100</f>
        <v>75.776399853611466</v>
      </c>
      <c r="AG62" s="122"/>
      <c r="AI62" s="696">
        <f>+S62</f>
        <v>87.148722000000006</v>
      </c>
      <c r="AK62" s="698">
        <f>AI62/AB62</f>
        <v>165.60327220902613</v>
      </c>
      <c r="AM62" s="709">
        <f>(AK62/AK55-1)*100</f>
        <v>6.5244750211336244</v>
      </c>
      <c r="AN62" s="107"/>
      <c r="AO62" s="107"/>
      <c r="AQ62" s="717"/>
      <c r="AR62" s="122"/>
      <c r="AS62" s="236">
        <f>+AI62/$AI$65</f>
        <v>0.23689286082328376</v>
      </c>
      <c r="AU62" s="236">
        <f>+J62/$AU$8</f>
        <v>0.45500000000000002</v>
      </c>
    </row>
    <row r="63" spans="1:47" hidden="1" outlineLevel="1">
      <c r="A63" s="26" t="str">
        <f>$A$14</f>
        <v>3Q</v>
      </c>
      <c r="B63" s="218" t="str">
        <f>$B$14</f>
        <v>Oct</v>
      </c>
      <c r="C63" s="107"/>
      <c r="D63" s="689">
        <f>(S63/S56-1)*100</f>
        <v>33.754216617965291</v>
      </c>
      <c r="F63" s="716">
        <f>+'qtrP&amp;L'!AH12</f>
        <v>7</v>
      </c>
      <c r="H63" s="689">
        <f>D63-F63</f>
        <v>26.754216617965291</v>
      </c>
      <c r="J63" s="713">
        <f>+J62+17</f>
        <v>290</v>
      </c>
      <c r="K63" s="713"/>
      <c r="L63" s="699">
        <f>AVERAGE(J63,J62)</f>
        <v>281.5</v>
      </c>
      <c r="N63" s="689">
        <f>(L63/L56-1)*100</f>
        <v>25.389755011135851</v>
      </c>
      <c r="O63" s="107"/>
      <c r="P63" s="655">
        <f>H63/N63*100</f>
        <v>105.37406369707385</v>
      </c>
      <c r="Q63" s="122"/>
      <c r="S63" s="696">
        <v>91.301391999999993</v>
      </c>
      <c r="U63" s="697">
        <f>S63/L63</f>
        <v>0.32433887033747777</v>
      </c>
      <c r="W63" s="709">
        <f>(U63/U56-1)*100</f>
        <v>6.6707695585549232</v>
      </c>
      <c r="X63" s="107"/>
      <c r="Z63" s="694">
        <f>+turn!AB62</f>
        <v>0.61499999999999999</v>
      </c>
      <c r="AA63" s="713"/>
      <c r="AB63" s="694">
        <f>AVERAGE(Z63,Z62)</f>
        <v>0.58437499999999998</v>
      </c>
      <c r="AD63" s="689">
        <f>(AB63/AB56-1)*100</f>
        <v>38.518518518518505</v>
      </c>
      <c r="AE63" s="107"/>
      <c r="AF63" s="655">
        <f>+H63/AD63*100</f>
        <v>69.458062373563763</v>
      </c>
      <c r="AG63" s="122"/>
      <c r="AI63" s="696">
        <f>+S63</f>
        <v>91.301391999999993</v>
      </c>
      <c r="AK63" s="698">
        <f>AI63/AB63</f>
        <v>156.23767614973261</v>
      </c>
      <c r="AM63" s="709">
        <f>(AK63/AK56-1)*100</f>
        <v>-3.4394692864956444</v>
      </c>
      <c r="AN63" s="107"/>
      <c r="AO63" s="107"/>
      <c r="AQ63" s="718"/>
      <c r="AR63" s="122"/>
      <c r="AS63" s="236">
        <f>+AI63/$AI$65</f>
        <v>0.24818089642241764</v>
      </c>
      <c r="AU63" s="236">
        <f>+J63/$AU$8</f>
        <v>0.48333333333333334</v>
      </c>
    </row>
    <row r="64" spans="1:47" hidden="1" outlineLevel="1">
      <c r="A64" s="26" t="str">
        <f>$A$15</f>
        <v>4Q</v>
      </c>
      <c r="B64" s="218" t="str">
        <f>$B$15</f>
        <v>Jan</v>
      </c>
      <c r="C64" s="107"/>
      <c r="D64" s="643">
        <f>(S64/S57-1)*100</f>
        <v>37.946945457274218</v>
      </c>
      <c r="F64" s="700">
        <f>+'qtrP&amp;L'!AH13</f>
        <v>17.899999999999999</v>
      </c>
      <c r="H64" s="643">
        <f>D64-F64</f>
        <v>20.046945457274219</v>
      </c>
      <c r="J64" s="26">
        <f>+yrSales!I40</f>
        <v>311</v>
      </c>
      <c r="K64" s="45"/>
      <c r="L64" s="662">
        <f>AVERAGE(J64,J63)</f>
        <v>300.5</v>
      </c>
      <c r="N64" s="643">
        <f>(L64/L57-1)*100</f>
        <v>24.430641821946164</v>
      </c>
      <c r="O64" s="107"/>
      <c r="P64" s="662">
        <f>H64/N64*100</f>
        <v>82.056564880198735</v>
      </c>
      <c r="Q64" s="122"/>
      <c r="S64" s="701">
        <v>98.495722000000001</v>
      </c>
      <c r="U64" s="702">
        <f>S64/L64</f>
        <v>0.32777278535773713</v>
      </c>
      <c r="W64" s="700">
        <f>(U64/U57-1)*100</f>
        <v>10.862520226062312</v>
      </c>
      <c r="X64" s="107"/>
      <c r="Z64" s="694">
        <f>+turn!AB63</f>
        <v>0.66874999999999996</v>
      </c>
      <c r="AA64" s="45"/>
      <c r="AB64" s="703">
        <f>AVERAGE(Z64,Z63)</f>
        <v>0.64187499999999997</v>
      </c>
      <c r="AD64" s="643">
        <f>(AB64/AB57-1)*100</f>
        <v>38.896402488504187</v>
      </c>
      <c r="AE64" s="107"/>
      <c r="AF64" s="662">
        <f>+H64/AD64*100</f>
        <v>51.539330567136851</v>
      </c>
      <c r="AG64" s="122"/>
      <c r="AI64" s="701">
        <f>+S64</f>
        <v>98.495722000000001</v>
      </c>
      <c r="AK64" s="704">
        <f>AI64/AB64</f>
        <v>153.45000506329114</v>
      </c>
      <c r="AM64" s="700">
        <f>(AK64/AK57-1)*100</f>
        <v>-0.68357208265962255</v>
      </c>
      <c r="AN64" s="107"/>
      <c r="AO64" s="107"/>
      <c r="AQ64" s="718"/>
      <c r="AR64" s="122"/>
      <c r="AS64" s="236">
        <f>+AI64/$AI$65</f>
        <v>0.26773695388711316</v>
      </c>
      <c r="AU64" s="236">
        <f>+J64/$AU$8</f>
        <v>0.51833333333333331</v>
      </c>
    </row>
    <row r="65" spans="1:45" hidden="1" outlineLevel="1">
      <c r="B65" s="218" t="str">
        <f>$B$16</f>
        <v>Year</v>
      </c>
      <c r="D65" s="689">
        <f>(S65/S58-1)*100</f>
        <v>43.262122933727795</v>
      </c>
      <c r="F65" s="690">
        <f>F61*S61/$S$65+F62*S62/$S$65+F63*S63/$S$65+F64*S64/$S$65</f>
        <v>17.498836829482421</v>
      </c>
      <c r="H65" s="689">
        <f>D65-F65</f>
        <v>25.763286104245374</v>
      </c>
      <c r="L65" s="699">
        <f>AVERAGE(L61:L64)</f>
        <v>276.625</v>
      </c>
      <c r="N65" s="689">
        <f>(L65/L58-1)*100</f>
        <v>25.595913734392738</v>
      </c>
      <c r="O65" s="107"/>
      <c r="P65" s="655">
        <f>H65/N65*100</f>
        <v>100.65390269552184</v>
      </c>
      <c r="Q65" s="122"/>
      <c r="S65" s="692">
        <f>SUM(S61:S64)</f>
        <v>367.88243299999999</v>
      </c>
      <c r="U65" s="693">
        <f>SUM(U61:U64)</f>
        <v>1.3318220974775312</v>
      </c>
      <c r="W65" s="709">
        <f>(U65/U58-1)*100</f>
        <v>14.413052678122252</v>
      </c>
      <c r="X65" s="107"/>
      <c r="AB65" s="694">
        <f>AVERAGE(AB61:AB64)</f>
        <v>0.56053124999999993</v>
      </c>
      <c r="AD65" s="689">
        <f>(AB65/AB58-1)*100</f>
        <v>37.091103638031164</v>
      </c>
      <c r="AE65" s="107"/>
      <c r="AF65" s="655">
        <f>+H65/AD65*100</f>
        <v>69.459475662053705</v>
      </c>
      <c r="AG65" s="122"/>
      <c r="AI65" s="692">
        <f>SUM(AI61:AI64)</f>
        <v>367.88243299999999</v>
      </c>
      <c r="AK65" s="695">
        <f>SUM(AK61:AK64)</f>
        <v>661.01798329184817</v>
      </c>
      <c r="AM65" s="709">
        <f>(AK65/AK58-1)*100</f>
        <v>5.2483408111189123</v>
      </c>
      <c r="AN65" s="107"/>
      <c r="AO65" s="107"/>
      <c r="AQ65" s="715"/>
      <c r="AR65" s="122"/>
    </row>
    <row r="66" spans="1:45" hidden="1" outlineLevel="1">
      <c r="B66" s="218"/>
      <c r="E66" s="107"/>
      <c r="G66" s="107"/>
      <c r="I66" s="107"/>
      <c r="O66" s="107"/>
      <c r="P66" s="122"/>
      <c r="Q66" s="122"/>
      <c r="X66" s="107"/>
      <c r="AE66" s="107"/>
      <c r="AF66" s="122"/>
      <c r="AG66" s="122"/>
      <c r="AN66" s="107"/>
      <c r="AO66" s="107"/>
      <c r="AQ66" s="122"/>
      <c r="AR66" s="122"/>
    </row>
    <row r="67" spans="1:45" hidden="1" outlineLevel="1">
      <c r="A67" s="705"/>
      <c r="B67" s="706">
        <v>2002</v>
      </c>
      <c r="E67" s="107"/>
      <c r="G67" s="107"/>
      <c r="I67" s="107"/>
      <c r="O67" s="107"/>
      <c r="P67" s="122"/>
      <c r="Q67" s="122"/>
      <c r="X67" s="107"/>
      <c r="AE67" s="107"/>
      <c r="AF67" s="122"/>
      <c r="AG67" s="122"/>
      <c r="AN67" s="107"/>
      <c r="AO67" s="107"/>
      <c r="AQ67" s="719"/>
      <c r="AR67" s="122"/>
    </row>
    <row r="68" spans="1:45" hidden="1" outlineLevel="1">
      <c r="A68" s="26" t="str">
        <f>$A$12</f>
        <v>1Q</v>
      </c>
      <c r="B68" s="218" t="str">
        <f>$B$12</f>
        <v>Apr</v>
      </c>
      <c r="C68" s="107"/>
      <c r="D68" s="689">
        <f>(S68/S61-1)*100</f>
        <v>39.516673358691911</v>
      </c>
      <c r="E68" s="107" t="s">
        <v>576</v>
      </c>
      <c r="F68" s="716">
        <f>'qtrP&amp;L'!AL10</f>
        <v>13.2</v>
      </c>
      <c r="G68" s="107" t="s">
        <v>576</v>
      </c>
      <c r="H68" s="689">
        <f>D68-F68</f>
        <v>26.316673358691911</v>
      </c>
      <c r="I68" s="107" t="s">
        <v>576</v>
      </c>
      <c r="J68" s="45">
        <f>+J64+13</f>
        <v>324</v>
      </c>
      <c r="L68" s="699">
        <f>AVERAGE(J68,J64)</f>
        <v>317.5</v>
      </c>
      <c r="N68" s="689">
        <f>(L68/L61-1)*100</f>
        <v>23.781676413255369</v>
      </c>
      <c r="O68" s="107" t="s">
        <v>576</v>
      </c>
      <c r="P68" s="655">
        <f>H68/N68*100</f>
        <v>110.65945436892579</v>
      </c>
      <c r="Q68" s="122" t="s">
        <v>576</v>
      </c>
      <c r="S68" s="692">
        <v>126.87171500000001</v>
      </c>
      <c r="U68" s="693">
        <f>S68/L68</f>
        <v>0.39959595275590554</v>
      </c>
      <c r="W68" s="709">
        <f>(U68/U61-1)*100</f>
        <v>12.711895170092813</v>
      </c>
      <c r="X68" s="107" t="s">
        <v>576</v>
      </c>
      <c r="Z68" s="694">
        <f>+turn!AB67</f>
        <v>0.71124999999999994</v>
      </c>
      <c r="AB68" s="694">
        <f>AVERAGE(Z68,Z64)</f>
        <v>0.69</v>
      </c>
      <c r="AD68" s="689">
        <f>(AB68/AB61-1)*100</f>
        <v>40.924176665815672</v>
      </c>
      <c r="AE68" s="107" t="s">
        <v>576</v>
      </c>
      <c r="AF68" s="655">
        <f>+H68/AD68*100</f>
        <v>64.305932343104317</v>
      </c>
      <c r="AG68" s="122" t="s">
        <v>576</v>
      </c>
      <c r="AI68" s="692">
        <f>+S68</f>
        <v>126.87171500000001</v>
      </c>
      <c r="AJ68" s="107"/>
      <c r="AK68" s="695">
        <f>AI68/AB68</f>
        <v>183.87205072463772</v>
      </c>
      <c r="AM68" s="709">
        <f>(AK68/AK61-1)*100</f>
        <v>-0.99876638659489592</v>
      </c>
      <c r="AN68" s="107" t="s">
        <v>576</v>
      </c>
      <c r="AO68" s="107"/>
      <c r="AQ68" s="720"/>
      <c r="AR68" s="721"/>
      <c r="AS68" s="236"/>
    </row>
    <row r="69" spans="1:45" hidden="1" outlineLevel="1">
      <c r="A69" s="26" t="str">
        <f>$A$13</f>
        <v>2Q</v>
      </c>
      <c r="B69" s="218" t="str">
        <f>$B$13</f>
        <v>Jul</v>
      </c>
      <c r="D69" s="689">
        <f>(S69/S62-1)*100</f>
        <v>39.52357442487795</v>
      </c>
      <c r="F69" s="716">
        <f>'qtrP&amp;L'!AL11</f>
        <v>11.6</v>
      </c>
      <c r="H69" s="689">
        <f>D69-F69</f>
        <v>27.923574424877948</v>
      </c>
      <c r="J69" s="713">
        <f>+J68+12</f>
        <v>336</v>
      </c>
      <c r="K69" s="713"/>
      <c r="L69" s="699">
        <f>AVERAGE(J69,J68)</f>
        <v>330</v>
      </c>
      <c r="N69" s="689">
        <f>(L69/L62-1)*100</f>
        <v>23.134328358208943</v>
      </c>
      <c r="O69" s="107"/>
      <c r="P69" s="655">
        <f>H69/N69*100</f>
        <v>120.70190235269828</v>
      </c>
      <c r="Q69" s="122"/>
      <c r="S69" s="696">
        <v>121.593012</v>
      </c>
      <c r="U69" s="697">
        <f>S69/L69</f>
        <v>0.36846367272727271</v>
      </c>
      <c r="W69" s="709">
        <f>(U69/U62-1)*100</f>
        <v>13.310054381416037</v>
      </c>
      <c r="X69" s="107"/>
      <c r="Z69" s="694">
        <f>+turn!AB68</f>
        <v>0.74999999999999989</v>
      </c>
      <c r="AA69" s="713"/>
      <c r="AB69" s="694">
        <f>AVERAGE(Z69,Z68)</f>
        <v>0.73062499999999986</v>
      </c>
      <c r="AD69" s="689">
        <f>(AB69/AB62-1)*100</f>
        <v>38.836104513064114</v>
      </c>
      <c r="AE69" s="107"/>
      <c r="AF69" s="655">
        <f>+H69/AD69*100</f>
        <v>71.901069314211753</v>
      </c>
      <c r="AG69" s="122"/>
      <c r="AI69" s="696">
        <f>+S69</f>
        <v>121.593012</v>
      </c>
      <c r="AK69" s="698">
        <f>AI69/AB69</f>
        <v>166.42328417450815</v>
      </c>
      <c r="AM69" s="709">
        <f>(AK69/AK62-1)*100</f>
        <v>0.49516652330818811</v>
      </c>
      <c r="AN69" s="107"/>
      <c r="AO69" s="107"/>
      <c r="AQ69" s="718"/>
      <c r="AR69" s="721"/>
      <c r="AS69" s="236"/>
    </row>
    <row r="70" spans="1:45" hidden="1" outlineLevel="1">
      <c r="A70" s="26" t="str">
        <f>$A$14</f>
        <v>3Q</v>
      </c>
      <c r="B70" s="218" t="str">
        <f>$B$14</f>
        <v>Oct</v>
      </c>
      <c r="D70" s="689">
        <f>(S70/S63-1)*100</f>
        <v>46.103133893073611</v>
      </c>
      <c r="F70" s="716">
        <f>'qtrP&amp;L'!AL12</f>
        <v>18.2</v>
      </c>
      <c r="H70" s="689">
        <f>D70-F70</f>
        <v>27.903133893073612</v>
      </c>
      <c r="J70" s="713">
        <f>+J69+23</f>
        <v>359</v>
      </c>
      <c r="K70" s="713"/>
      <c r="L70" s="699">
        <f>AVERAGE(J70,J69)</f>
        <v>347.5</v>
      </c>
      <c r="N70" s="689">
        <f>(L70/L63-1)*100</f>
        <v>23.445825932504437</v>
      </c>
      <c r="O70" s="107"/>
      <c r="P70" s="655">
        <f>H70/N70*100</f>
        <v>119.01109380151853</v>
      </c>
      <c r="Q70" s="122"/>
      <c r="S70" s="696">
        <v>133.394195</v>
      </c>
      <c r="U70" s="697">
        <f>S70/L70</f>
        <v>0.38386818705035969</v>
      </c>
      <c r="W70" s="709">
        <f>(U70/U63-1)*100</f>
        <v>18.354049470216459</v>
      </c>
      <c r="X70" s="107"/>
      <c r="Z70" s="694">
        <f>+turn!AB69</f>
        <v>0.8125</v>
      </c>
      <c r="AA70" s="713"/>
      <c r="AB70" s="694">
        <f>AVERAGE(Z70,Z69)</f>
        <v>0.78125</v>
      </c>
      <c r="AD70" s="689">
        <f>(AB70/AB63-1)*100</f>
        <v>33.689839572192511</v>
      </c>
      <c r="AE70" s="107"/>
      <c r="AF70" s="655">
        <f>+H70/AD70*100</f>
        <v>82.823587904837552</v>
      </c>
      <c r="AG70" s="122"/>
      <c r="AI70" s="696">
        <f>+S70</f>
        <v>133.394195</v>
      </c>
      <c r="AK70" s="698">
        <f>AI70/AB70</f>
        <v>170.74456960000001</v>
      </c>
      <c r="AM70" s="709">
        <f>(AK70/AK63-1)*100</f>
        <v>9.2851441520190647</v>
      </c>
      <c r="AN70" s="107"/>
      <c r="AO70" s="107"/>
      <c r="AQ70" s="718"/>
      <c r="AR70" s="721"/>
      <c r="AS70" s="236"/>
    </row>
    <row r="71" spans="1:45" hidden="1" outlineLevel="1">
      <c r="A71" s="26" t="str">
        <f>$A$15</f>
        <v>4Q</v>
      </c>
      <c r="B71" s="218" t="str">
        <f>$B$15</f>
        <v>Jan</v>
      </c>
      <c r="D71" s="643">
        <f>(S71/S64-1)*100</f>
        <v>35.213143571859916</v>
      </c>
      <c r="F71" s="722">
        <f>'qtrP&amp;L'!AL13</f>
        <v>11</v>
      </c>
      <c r="H71" s="643">
        <f>D71-F71</f>
        <v>24.213143571859916</v>
      </c>
      <c r="J71" s="26">
        <f>+yrSales!J40</f>
        <v>378</v>
      </c>
      <c r="K71" s="45"/>
      <c r="L71" s="662">
        <f>AVERAGE(J71,J70)</f>
        <v>368.5</v>
      </c>
      <c r="N71" s="643">
        <f>(L71/L64-1)*100</f>
        <v>22.628951747088188</v>
      </c>
      <c r="O71" s="107"/>
      <c r="P71" s="662">
        <f>H71/N71*100</f>
        <v>107.00073004917508</v>
      </c>
      <c r="Q71" s="122"/>
      <c r="S71" s="701">
        <v>133.17916200000002</v>
      </c>
      <c r="U71" s="702">
        <f>S71/L71</f>
        <v>0.36140885210312079</v>
      </c>
      <c r="W71" s="700">
        <f>(U71/U64-1)*100</f>
        <v>10.262007173253473</v>
      </c>
      <c r="X71" s="107"/>
      <c r="Z71" s="694">
        <f>+turn!AB70</f>
        <v>0.86499999999999988</v>
      </c>
      <c r="AA71" s="45"/>
      <c r="AB71" s="703">
        <f>AVERAGE(Z71,Z70)</f>
        <v>0.83874999999999988</v>
      </c>
      <c r="AD71" s="643">
        <f>(AB71/AB64-1)*100</f>
        <v>30.671859785783816</v>
      </c>
      <c r="AE71" s="107"/>
      <c r="AF71" s="662">
        <f>+H71/AD71*100</f>
        <v>78.942534756508408</v>
      </c>
      <c r="AG71" s="122"/>
      <c r="AI71" s="701">
        <f>+S71</f>
        <v>133.17916200000002</v>
      </c>
      <c r="AK71" s="704">
        <f>AI71/AB71</f>
        <v>158.78290551415802</v>
      </c>
      <c r="AM71" s="700">
        <f>(AK71/AK64-1)*100</f>
        <v>3.4753341641580837</v>
      </c>
      <c r="AN71" s="107"/>
      <c r="AO71" s="107"/>
      <c r="AQ71" s="723"/>
      <c r="AR71" s="721"/>
      <c r="AS71" s="236"/>
    </row>
    <row r="72" spans="1:45" hidden="1" outlineLevel="1">
      <c r="B72" s="218" t="str">
        <f>$B$16</f>
        <v>Year</v>
      </c>
      <c r="D72" s="689">
        <f>(S72/S65-1)*100</f>
        <v>40.000727895588327</v>
      </c>
      <c r="F72" s="690">
        <f>F68*S68/S72+F69*S69/S72+F70*S70/S72+F71*S71/S72</f>
        <v>13.548378119937244</v>
      </c>
      <c r="H72" s="689">
        <f>D72-F72</f>
        <v>26.452349775651083</v>
      </c>
      <c r="L72" s="699">
        <f>AVERAGE(L68:L71)</f>
        <v>340.875</v>
      </c>
      <c r="N72" s="689">
        <f>(L72/L65-1)*100</f>
        <v>23.226389516493452</v>
      </c>
      <c r="O72" s="107"/>
      <c r="P72" s="655">
        <f>H72/N72*100</f>
        <v>113.88920243874676</v>
      </c>
      <c r="Q72" s="122"/>
      <c r="S72" s="692">
        <f>SUM(S68:S71)</f>
        <v>515.03808400000003</v>
      </c>
      <c r="U72" s="693">
        <f>SUM(U68:U71)</f>
        <v>1.5133366646366588</v>
      </c>
      <c r="W72" s="709">
        <f>(U72/U65-1)*100</f>
        <v>13.629040057445806</v>
      </c>
      <c r="X72" s="107"/>
      <c r="AB72" s="694">
        <f>AVERAGE(AB68:AB71)</f>
        <v>0.76015624999999987</v>
      </c>
      <c r="AD72" s="689">
        <f>(AB72/AB65-1)*100</f>
        <v>35.613536265819249</v>
      </c>
      <c r="AE72" s="107"/>
      <c r="AF72" s="655">
        <f>+H72/AD72*100</f>
        <v>74.276111134291412</v>
      </c>
      <c r="AG72" s="122"/>
      <c r="AI72" s="692">
        <f>SUM(AI68:AI71)</f>
        <v>515.03808400000003</v>
      </c>
      <c r="AK72" s="695">
        <f>SUM(AK68:AK71)</f>
        <v>679.82281001330398</v>
      </c>
      <c r="AM72" s="709">
        <f>(AK72/AK65-1)*100</f>
        <v>2.8448283097849192</v>
      </c>
      <c r="AN72" s="107"/>
      <c r="AO72" s="107"/>
      <c r="AQ72" s="724"/>
      <c r="AR72" s="236"/>
    </row>
    <row r="73" spans="1:45" hidden="1" outlineLevel="1">
      <c r="B73" s="218"/>
      <c r="O73" s="107"/>
      <c r="P73" s="122"/>
      <c r="Q73" s="122"/>
      <c r="X73" s="107"/>
      <c r="AE73" s="107"/>
      <c r="AF73" s="122"/>
      <c r="AG73" s="122"/>
    </row>
    <row r="74" spans="1:45" hidden="1" outlineLevel="1">
      <c r="A74" s="705"/>
      <c r="B74" s="706">
        <v>2003</v>
      </c>
      <c r="E74" s="107"/>
      <c r="G74" s="107"/>
      <c r="I74" s="107"/>
      <c r="O74" s="107"/>
      <c r="P74" s="122"/>
      <c r="Q74" s="122"/>
      <c r="X74" s="107"/>
      <c r="AE74" s="107"/>
      <c r="AF74" s="122"/>
      <c r="AG74" s="122"/>
      <c r="AN74" s="107"/>
      <c r="AO74" s="107"/>
      <c r="AQ74" s="719"/>
      <c r="AR74" s="122"/>
      <c r="AS74" s="122"/>
    </row>
    <row r="75" spans="1:45" hidden="1" outlineLevel="1">
      <c r="A75" s="26" t="str">
        <f>$A$12</f>
        <v>1Q</v>
      </c>
      <c r="B75" s="218" t="str">
        <f>$B$12</f>
        <v>Apr</v>
      </c>
      <c r="C75" s="107"/>
      <c r="D75" s="689">
        <f>(S75/S68-1)*100</f>
        <v>28.71416375194422</v>
      </c>
      <c r="E75" s="107" t="s">
        <v>576</v>
      </c>
      <c r="F75" s="716">
        <f>+'qtrP&amp;L'!AP10</f>
        <v>7.8</v>
      </c>
      <c r="G75" s="107" t="s">
        <v>576</v>
      </c>
      <c r="H75" s="689">
        <f>D75-F75</f>
        <v>20.914163751944219</v>
      </c>
      <c r="I75" s="107" t="s">
        <v>576</v>
      </c>
      <c r="J75" s="713">
        <f>+J71+28</f>
        <v>406</v>
      </c>
      <c r="L75" s="699">
        <f>AVERAGE(J75,J71)</f>
        <v>392</v>
      </c>
      <c r="N75" s="689">
        <f>(L75/L68-1)*100</f>
        <v>23.464566929133856</v>
      </c>
      <c r="O75" s="107" t="s">
        <v>576</v>
      </c>
      <c r="P75" s="655">
        <f>H75/N75*100</f>
        <v>89.13083209721195</v>
      </c>
      <c r="Q75" s="122" t="s">
        <v>576</v>
      </c>
      <c r="S75" s="725">
        <v>163.30186699999999</v>
      </c>
      <c r="U75" s="693">
        <f>S75/L75</f>
        <v>0.41658639540816322</v>
      </c>
      <c r="W75" s="709">
        <f>(U75/U68-1)*100</f>
        <v>4.2519055899038039</v>
      </c>
      <c r="X75" s="107" t="s">
        <v>576</v>
      </c>
      <c r="Z75" s="694">
        <f>+turn!AB74</f>
        <v>0.95124999999999993</v>
      </c>
      <c r="AB75" s="694">
        <f>AVERAGE(Z75,Z71)</f>
        <v>0.90812499999999985</v>
      </c>
      <c r="AD75" s="689">
        <f>(AB75/AB68-1)*100</f>
        <v>31.61231884057969</v>
      </c>
      <c r="AE75" s="107" t="s">
        <v>576</v>
      </c>
      <c r="AF75" s="655">
        <f>+H75/AD75*100</f>
        <v>66.158271582081468</v>
      </c>
      <c r="AG75" s="122" t="s">
        <v>576</v>
      </c>
      <c r="AI75" s="692">
        <f>+S75</f>
        <v>163.30186699999999</v>
      </c>
      <c r="AJ75" s="107"/>
      <c r="AK75" s="695">
        <f>AI75/AB75</f>
        <v>179.82311576049554</v>
      </c>
      <c r="AM75" s="709">
        <f>(AK75/AK68-1)*100</f>
        <v>-2.2020393791146398</v>
      </c>
      <c r="AN75" s="107" t="s">
        <v>576</v>
      </c>
      <c r="AO75" s="107"/>
      <c r="AQ75" s="726"/>
      <c r="AR75" s="721"/>
      <c r="AS75" s="721"/>
    </row>
    <row r="76" spans="1:45" hidden="1" outlineLevel="1">
      <c r="A76" s="26" t="str">
        <f>$A$13</f>
        <v>2Q</v>
      </c>
      <c r="B76" s="218" t="str">
        <f>$B$13</f>
        <v>Jul</v>
      </c>
      <c r="D76" s="689">
        <f>(S76/S69-1)*100</f>
        <v>38.670522447457742</v>
      </c>
      <c r="F76" s="716">
        <f>+'qtrP&amp;L'!AP11</f>
        <v>14.6</v>
      </c>
      <c r="H76" s="689">
        <f>D76-F76</f>
        <v>24.070522447457741</v>
      </c>
      <c r="J76" s="713">
        <f>+J75+9</f>
        <v>415</v>
      </c>
      <c r="K76" s="713"/>
      <c r="L76" s="699">
        <f>AVERAGE(J76,J75)</f>
        <v>410.5</v>
      </c>
      <c r="N76" s="689">
        <f>(L76/L69-1)*100</f>
        <v>24.393939393939391</v>
      </c>
      <c r="O76" s="107"/>
      <c r="P76" s="655">
        <f>H76/N76*100</f>
        <v>98.674191399516218</v>
      </c>
      <c r="Q76" s="122"/>
      <c r="S76" s="727">
        <v>168.613665</v>
      </c>
      <c r="U76" s="697">
        <f>S76/L76</f>
        <v>0.4107519244823386</v>
      </c>
      <c r="W76" s="709">
        <f>(U76/U69-1)*100</f>
        <v>11.476912077128043</v>
      </c>
      <c r="X76" s="107"/>
      <c r="Z76" s="694">
        <f>+turn!AB75</f>
        <v>0.98250000000000004</v>
      </c>
      <c r="AA76" s="713"/>
      <c r="AB76" s="694">
        <f>AVERAGE(Z76,Z75)</f>
        <v>0.96687499999999993</v>
      </c>
      <c r="AD76" s="689">
        <f>(AB76/AB69-1)*100</f>
        <v>32.335329341317376</v>
      </c>
      <c r="AE76" s="107"/>
      <c r="AF76" s="655">
        <f>+H76/AD76*100</f>
        <v>74.440319420841504</v>
      </c>
      <c r="AG76" s="122"/>
      <c r="AI76" s="696">
        <f>+S76</f>
        <v>168.613665</v>
      </c>
      <c r="AK76" s="698">
        <f>AI76/AB76</f>
        <v>174.39034518422756</v>
      </c>
      <c r="AM76" s="709">
        <f>(AK76/AK69-1)*100</f>
        <v>4.7872273697983969</v>
      </c>
      <c r="AN76" s="107"/>
      <c r="AO76" s="107"/>
      <c r="AQ76" s="723"/>
      <c r="AR76" s="721"/>
      <c r="AS76" s="721"/>
    </row>
    <row r="77" spans="1:45" hidden="1" outlineLevel="1">
      <c r="A77" s="26" t="str">
        <f>$A$14</f>
        <v>3Q</v>
      </c>
      <c r="B77" s="218" t="str">
        <f>$B$14</f>
        <v>Oct</v>
      </c>
      <c r="D77" s="728">
        <f>(S77/S70-1)*100</f>
        <v>52.923446181447417</v>
      </c>
      <c r="F77" s="716">
        <f>+'qtrP&amp;L'!AP12</f>
        <v>20.9</v>
      </c>
      <c r="H77" s="728">
        <f>D77-F77</f>
        <v>32.023446181447419</v>
      </c>
      <c r="J77" s="713">
        <f>+J76+20+106</f>
        <v>541</v>
      </c>
      <c r="K77" s="713"/>
      <c r="L77" s="699">
        <f>AVERAGE(J77,J76)</f>
        <v>478</v>
      </c>
      <c r="N77" s="689">
        <f>(L77/L70-1)*100</f>
        <v>37.553956834532379</v>
      </c>
      <c r="O77" s="107"/>
      <c r="P77" s="655">
        <f>H77/N77*100</f>
        <v>85.273161287762278</v>
      </c>
      <c r="Q77" s="122"/>
      <c r="S77" s="727">
        <v>203.99100000000001</v>
      </c>
      <c r="U77" s="697">
        <f>S77/L77</f>
        <v>0.42675941422594144</v>
      </c>
      <c r="W77" s="709">
        <f>(U77/U70-1)*100</f>
        <v>11.173425832746808</v>
      </c>
      <c r="X77" s="107"/>
      <c r="Z77" s="694">
        <f>+turn!AB76</f>
        <v>1.18875</v>
      </c>
      <c r="AA77" s="713"/>
      <c r="AB77" s="694">
        <f>AVERAGE(Z77,Z76)</f>
        <v>1.0856250000000001</v>
      </c>
      <c r="AD77" s="689">
        <f>(AB77/AB70-1)*100</f>
        <v>38.960000000000015</v>
      </c>
      <c r="AE77" s="107"/>
      <c r="AF77" s="655">
        <f>+H77/AD77*100</f>
        <v>82.195703751148372</v>
      </c>
      <c r="AG77" s="122"/>
      <c r="AI77" s="696">
        <f>+S77</f>
        <v>203.99100000000001</v>
      </c>
      <c r="AK77" s="698">
        <f>AI77/AB77</f>
        <v>187.90189982728842</v>
      </c>
      <c r="AM77" s="709">
        <f>(AK77/AK70-1)*100</f>
        <v>10.048536400005315</v>
      </c>
      <c r="AN77" s="107"/>
      <c r="AO77" s="107"/>
      <c r="AQ77" s="723"/>
      <c r="AR77" s="721"/>
      <c r="AS77" s="721"/>
    </row>
    <row r="78" spans="1:45" hidden="1" outlineLevel="1">
      <c r="A78" s="26" t="str">
        <f>$A$15</f>
        <v>4Q</v>
      </c>
      <c r="B78" s="218" t="str">
        <f>$B$15</f>
        <v>Jan</v>
      </c>
      <c r="D78" s="643">
        <f>(S78/S71-1)*100</f>
        <v>57.541913351279362</v>
      </c>
      <c r="F78" s="722">
        <f>+'qtrP&amp;L'!AP13</f>
        <v>20.5</v>
      </c>
      <c r="H78" s="643">
        <f>D78-F78</f>
        <v>37.041913351279362</v>
      </c>
      <c r="J78" s="26">
        <f>+yrSales!K40</f>
        <v>548</v>
      </c>
      <c r="K78" s="45"/>
      <c r="L78" s="662">
        <f>AVERAGE(J78,J77)</f>
        <v>544.5</v>
      </c>
      <c r="N78" s="643">
        <f>(L78/L71-1)*100</f>
        <v>47.761194029850749</v>
      </c>
      <c r="O78" s="107"/>
      <c r="P78" s="662">
        <f>H78/N78*100</f>
        <v>77.55650607924116</v>
      </c>
      <c r="Q78" s="122"/>
      <c r="S78" s="729">
        <v>209.81299999999999</v>
      </c>
      <c r="U78" s="702">
        <f>S78/L78</f>
        <v>0.38533149678604223</v>
      </c>
      <c r="W78" s="700">
        <f>(U78/U71-1)*100</f>
        <v>6.6192746922799639</v>
      </c>
      <c r="X78" s="107"/>
      <c r="Z78" s="694">
        <f>+turn!AB77</f>
        <v>1.25</v>
      </c>
      <c r="AA78" s="45"/>
      <c r="AB78" s="703">
        <f>AVERAGE(Z78,Z77)</f>
        <v>1.2193749999999999</v>
      </c>
      <c r="AD78" s="643">
        <f>(AB78/AB71-1)*100</f>
        <v>45.380029806259323</v>
      </c>
      <c r="AE78" s="107"/>
      <c r="AF78" s="662">
        <f>+H78/AD78*100</f>
        <v>81.626022524494076</v>
      </c>
      <c r="AG78" s="122"/>
      <c r="AI78" s="701">
        <f>+S78</f>
        <v>209.81299999999999</v>
      </c>
      <c r="AK78" s="704">
        <f>AI78/AB78</f>
        <v>172.06601742696054</v>
      </c>
      <c r="AM78" s="700">
        <f>(AK78/AK71-1)*100</f>
        <v>8.3655805829917504</v>
      </c>
      <c r="AN78" s="107"/>
      <c r="AO78" s="107"/>
      <c r="AQ78" s="723"/>
      <c r="AR78" s="721"/>
      <c r="AS78" s="721"/>
    </row>
    <row r="79" spans="1:45" hidden="1" outlineLevel="1">
      <c r="B79" s="218" t="str">
        <f>$B$16</f>
        <v>Year</v>
      </c>
      <c r="D79" s="689">
        <f>(S79/S72-1)*100</f>
        <v>44.789202035009112</v>
      </c>
      <c r="F79" s="690">
        <f>'qtrP&amp;L'!AP14</f>
        <v>16.100000000000001</v>
      </c>
      <c r="H79" s="689">
        <f>D79-F79</f>
        <v>28.68920203500911</v>
      </c>
      <c r="L79" s="699">
        <f>AVERAGE(L75:L78)</f>
        <v>456.25</v>
      </c>
      <c r="N79" s="689">
        <f>(L79/L72-1)*100</f>
        <v>33.846718005133837</v>
      </c>
      <c r="O79" s="107"/>
      <c r="P79" s="655">
        <f>H79/N79*100</f>
        <v>84.762138623477639</v>
      </c>
      <c r="Q79" s="122"/>
      <c r="S79" s="692">
        <f>SUM(S75:S78)</f>
        <v>745.71953199999996</v>
      </c>
      <c r="U79" s="693">
        <f>SUM(U75:U78)</f>
        <v>1.6394292309024854</v>
      </c>
      <c r="W79" s="709">
        <f>(U79/U72-1)*100</f>
        <v>8.3320895615847981</v>
      </c>
      <c r="X79" s="107"/>
      <c r="AB79" s="694">
        <f>AVERAGE(AB75:AB78)</f>
        <v>1.0449999999999999</v>
      </c>
      <c r="AD79" s="689">
        <f>(AB79/AB72-1)*100</f>
        <v>37.471736896197342</v>
      </c>
      <c r="AE79" s="107"/>
      <c r="AF79" s="655">
        <f>+H79/AD79*100</f>
        <v>76.562242402808153</v>
      </c>
      <c r="AG79" s="122"/>
      <c r="AI79" s="692">
        <f>SUM(AI75:AI78)</f>
        <v>745.71953199999996</v>
      </c>
      <c r="AK79" s="695">
        <f>SUM(AK75:AK78)</f>
        <v>714.18137819897208</v>
      </c>
      <c r="AM79" s="709">
        <f>(AK79/AK72-1)*100</f>
        <v>5.0540475664527573</v>
      </c>
      <c r="AN79" s="107"/>
      <c r="AO79" s="107"/>
      <c r="AQ79" s="715"/>
      <c r="AR79" s="721"/>
      <c r="AS79" s="122"/>
    </row>
    <row r="80" spans="1:45" collapsed="1">
      <c r="B80" s="218"/>
      <c r="O80" s="107"/>
      <c r="P80" s="122"/>
      <c r="Q80" s="122"/>
      <c r="X80" s="107"/>
      <c r="AE80" s="107"/>
      <c r="AF80" s="122"/>
      <c r="AG80" s="122"/>
    </row>
    <row r="81" spans="1:45" hidden="1" outlineLevel="1">
      <c r="A81" s="705"/>
      <c r="B81" s="706">
        <v>2004</v>
      </c>
      <c r="E81" s="107"/>
      <c r="G81" s="107"/>
      <c r="I81" s="107"/>
      <c r="O81" s="107"/>
      <c r="P81" s="122"/>
      <c r="Q81" s="122"/>
      <c r="X81" s="107"/>
      <c r="Z81" s="677"/>
      <c r="AE81" s="107"/>
      <c r="AF81" s="122"/>
      <c r="AG81" s="122"/>
      <c r="AN81" s="107"/>
      <c r="AO81" s="107"/>
      <c r="AQ81" s="719"/>
      <c r="AR81" s="122"/>
      <c r="AS81" s="122"/>
    </row>
    <row r="82" spans="1:45" hidden="1" outlineLevel="1">
      <c r="A82" s="26" t="str">
        <f>$A$12</f>
        <v>1Q</v>
      </c>
      <c r="B82" s="218" t="str">
        <f>$B$12</f>
        <v>Apr</v>
      </c>
      <c r="C82" s="107"/>
      <c r="D82" s="689">
        <f>(S82/S75-1)*100</f>
        <v>53.524882847787666</v>
      </c>
      <c r="E82" s="107" t="s">
        <v>576</v>
      </c>
      <c r="F82" s="716">
        <f>+'qtrP&amp;L'!AT10</f>
        <v>20.100000000000001</v>
      </c>
      <c r="G82" s="107" t="s">
        <v>576</v>
      </c>
      <c r="H82" s="689">
        <f>D82-F82</f>
        <v>33.424882847787664</v>
      </c>
      <c r="I82" s="107" t="s">
        <v>576</v>
      </c>
      <c r="J82" s="713">
        <f>+J78+14</f>
        <v>562</v>
      </c>
      <c r="L82" s="699">
        <f>AVERAGE(J82,J78)</f>
        <v>555</v>
      </c>
      <c r="N82" s="689">
        <f>(L82/L75-1)*100</f>
        <v>41.581632653061227</v>
      </c>
      <c r="O82" s="107" t="s">
        <v>576</v>
      </c>
      <c r="P82" s="731">
        <f>H82/N82*100</f>
        <v>80.383767339464811</v>
      </c>
      <c r="Q82" s="122" t="s">
        <v>576</v>
      </c>
      <c r="S82" s="725">
        <v>250.709</v>
      </c>
      <c r="U82" s="693">
        <f>S82/L82</f>
        <v>0.45172792792792793</v>
      </c>
      <c r="W82" s="709">
        <f>(U82/U75-1)*100</f>
        <v>8.4355929303293173</v>
      </c>
      <c r="X82" s="107" t="s">
        <v>576</v>
      </c>
      <c r="Z82" s="694">
        <f>+turn!AB81</f>
        <v>1.2849999999999999</v>
      </c>
      <c r="AB82" s="694">
        <f>AVERAGE(Z82,Z78)</f>
        <v>1.2675000000000001</v>
      </c>
      <c r="AD82" s="689">
        <f>(AB82/AB75-1)*100</f>
        <v>39.573296627666934</v>
      </c>
      <c r="AE82" s="107" t="s">
        <v>576</v>
      </c>
      <c r="AF82" s="655">
        <f>+H82/AD82*100</f>
        <v>84.463225700583351</v>
      </c>
      <c r="AG82" s="122" t="s">
        <v>576</v>
      </c>
      <c r="AI82" s="692">
        <f>+S82</f>
        <v>250.709</v>
      </c>
      <c r="AJ82" s="107"/>
      <c r="AK82" s="695">
        <f>AI82/AB82</f>
        <v>197.79802761341222</v>
      </c>
      <c r="AM82" s="709">
        <f>(AK82/AK75-1)*100</f>
        <v>9.995884998932647</v>
      </c>
      <c r="AN82" s="107" t="s">
        <v>576</v>
      </c>
      <c r="AO82" s="107"/>
      <c r="AQ82" s="726"/>
      <c r="AR82" s="721"/>
      <c r="AS82" s="721"/>
    </row>
    <row r="83" spans="1:45" hidden="1" outlineLevel="1">
      <c r="A83" s="26" t="str">
        <f>$A$13</f>
        <v>2Q</v>
      </c>
      <c r="B83" s="218" t="str">
        <f>$B$13</f>
        <v>Jul</v>
      </c>
      <c r="D83" s="689">
        <f>(S83/S76-1)*100</f>
        <v>47.340964328128464</v>
      </c>
      <c r="F83" s="716">
        <f>+'qtrP&amp;L'!AT11</f>
        <v>14.1</v>
      </c>
      <c r="H83" s="689">
        <f>D83-F83</f>
        <v>33.240964328128463</v>
      </c>
      <c r="J83" s="713">
        <f>+J82+19</f>
        <v>581</v>
      </c>
      <c r="K83" s="713"/>
      <c r="L83" s="699">
        <f>AVERAGE(J83,J82)</f>
        <v>571.5</v>
      </c>
      <c r="N83" s="689">
        <f>(L83/L76-1)*100</f>
        <v>39.220462850182699</v>
      </c>
      <c r="O83" s="107"/>
      <c r="P83" s="731">
        <f>H83/N83*100</f>
        <v>84.754135755880341</v>
      </c>
      <c r="Q83" s="122"/>
      <c r="S83" s="727">
        <v>248.43700000000001</v>
      </c>
      <c r="U83" s="697">
        <f>S83/L83</f>
        <v>0.43471041119860021</v>
      </c>
      <c r="W83" s="709">
        <f>(U83/U76-1)*100</f>
        <v>5.8328361447012034</v>
      </c>
      <c r="X83" s="107"/>
      <c r="Z83" s="694">
        <f>+turn!AB82</f>
        <v>1.3425</v>
      </c>
      <c r="AA83" s="713"/>
      <c r="AB83" s="694">
        <f>AVERAGE(Z83,Z82)</f>
        <v>1.31375</v>
      </c>
      <c r="AD83" s="689">
        <f>(AB83/AB76-1)*100</f>
        <v>35.875888817065295</v>
      </c>
      <c r="AE83" s="107"/>
      <c r="AF83" s="655">
        <f>+H83/AD83*100</f>
        <v>92.655444712819317</v>
      </c>
      <c r="AG83" s="122"/>
      <c r="AI83" s="696">
        <f>+S83</f>
        <v>248.43700000000001</v>
      </c>
      <c r="AK83" s="698">
        <f>AI83/AB83</f>
        <v>189.10523311132258</v>
      </c>
      <c r="AM83" s="709">
        <f>(AK83/AK76-1)*100</f>
        <v>8.437902861852864</v>
      </c>
      <c r="AN83" s="107"/>
      <c r="AO83" s="107"/>
      <c r="AQ83" s="723"/>
      <c r="AR83" s="721"/>
      <c r="AS83" s="721"/>
    </row>
    <row r="84" spans="1:45" hidden="1" outlineLevel="1">
      <c r="A84" s="26" t="str">
        <f>$A$14</f>
        <v>3Q</v>
      </c>
      <c r="B84" s="218" t="str">
        <f>$B$14</f>
        <v>Oct</v>
      </c>
      <c r="D84" s="689">
        <f>(S84/S77-1)*100</f>
        <v>28.82038913481475</v>
      </c>
      <c r="E84" s="137"/>
      <c r="F84" s="716">
        <f>+'qtrP&amp;L'!AT12</f>
        <v>6.1</v>
      </c>
      <c r="G84" s="137"/>
      <c r="H84" s="689">
        <f>D84-F84</f>
        <v>22.720389134814752</v>
      </c>
      <c r="I84" s="137"/>
      <c r="J84" s="713">
        <v>636</v>
      </c>
      <c r="K84" s="713"/>
      <c r="L84" s="734">
        <f>AVERAGE(J84,J83)</f>
        <v>608.5</v>
      </c>
      <c r="M84" s="137"/>
      <c r="N84" s="728">
        <f>(L84/L77-1)*100</f>
        <v>27.30125523012552</v>
      </c>
      <c r="O84" s="735"/>
      <c r="P84" s="731">
        <f>H84/N84*100</f>
        <v>83.221042194953668</v>
      </c>
      <c r="Q84" s="220"/>
      <c r="R84" s="137"/>
      <c r="S84" s="727">
        <v>262.78199999999998</v>
      </c>
      <c r="T84" s="137"/>
      <c r="U84" s="697">
        <f>S84/L84</f>
        <v>0.43185209531635166</v>
      </c>
      <c r="W84" s="709">
        <f>(U84/U77-1)*100</f>
        <v>1.1933377262801192</v>
      </c>
      <c r="X84" s="107"/>
      <c r="Z84" s="694">
        <f>+turn!AB83</f>
        <v>1.4737499999999999</v>
      </c>
      <c r="AA84" s="713"/>
      <c r="AB84" s="694">
        <f>AVERAGE(Z84,Z83)</f>
        <v>1.4081250000000001</v>
      </c>
      <c r="AD84" s="689">
        <f>(AB84/AB77-1)*100</f>
        <v>29.70639032815199</v>
      </c>
      <c r="AE84" s="107"/>
      <c r="AF84" s="655">
        <f>+H84/AD84*100</f>
        <v>76.483170401498484</v>
      </c>
      <c r="AG84" s="122"/>
      <c r="AI84" s="696">
        <f>+S84</f>
        <v>262.78199999999998</v>
      </c>
      <c r="AK84" s="698">
        <f>AI84/AB84</f>
        <v>186.61837549933421</v>
      </c>
      <c r="AM84" s="709">
        <f>(AK84/AK77-1)*100</f>
        <v>-0.68308214506291876</v>
      </c>
      <c r="AN84" s="107"/>
      <c r="AO84" s="107"/>
      <c r="AQ84" s="723"/>
      <c r="AR84" s="721"/>
      <c r="AS84" s="721"/>
    </row>
    <row r="85" spans="1:45" hidden="1" outlineLevel="1">
      <c r="A85" s="26" t="str">
        <f>$A$15</f>
        <v>4Q</v>
      </c>
      <c r="B85" s="218" t="str">
        <f>$B$15</f>
        <v>Jan</v>
      </c>
      <c r="D85" s="643">
        <f>(S85/S78-1)*100</f>
        <v>32.927892933231021</v>
      </c>
      <c r="F85" s="722">
        <f>'qtrP&amp;L'!AT13</f>
        <v>12.9</v>
      </c>
      <c r="H85" s="643">
        <f>D85-F85</f>
        <v>20.027892933231023</v>
      </c>
      <c r="J85" s="26">
        <f>+yrSales!L$40</f>
        <v>657</v>
      </c>
      <c r="K85" s="45"/>
      <c r="L85" s="662">
        <f>AVERAGE(J85,J84)</f>
        <v>646.5</v>
      </c>
      <c r="N85" s="643">
        <f>(L85/L78-1)*100</f>
        <v>18.732782369145994</v>
      </c>
      <c r="O85" s="107"/>
      <c r="P85" s="736">
        <f>H85/N85*100</f>
        <v>106.91360492298332</v>
      </c>
      <c r="Q85" s="122"/>
      <c r="S85" s="729">
        <v>278.89999999999998</v>
      </c>
      <c r="U85" s="702">
        <f>S85/L85</f>
        <v>0.43139984532095899</v>
      </c>
      <c r="W85" s="700">
        <f>(U85/U78-1)*100</f>
        <v>11.955510753510111</v>
      </c>
      <c r="X85" s="107"/>
      <c r="Z85" s="694">
        <f>+turn!AB84</f>
        <v>1.5337499999999999</v>
      </c>
      <c r="AA85" s="45"/>
      <c r="AB85" s="703">
        <f>AVERAGE(Z85,Z84)</f>
        <v>1.5037499999999999</v>
      </c>
      <c r="AD85" s="643">
        <f>(AB85/AB78-1)*100</f>
        <v>23.321373654536149</v>
      </c>
      <c r="AE85" s="107"/>
      <c r="AF85" s="662">
        <f>+H85/AD85*100</f>
        <v>85.877844203810341</v>
      </c>
      <c r="AG85" s="122"/>
      <c r="AI85" s="701">
        <f>+S85</f>
        <v>278.89999999999998</v>
      </c>
      <c r="AK85" s="704">
        <f>AI85/AB85</f>
        <v>185.46965918536989</v>
      </c>
      <c r="AM85" s="700">
        <f>(AK85/AK78-1)*100</f>
        <v>7.7898250676366132</v>
      </c>
      <c r="AN85" s="107"/>
      <c r="AO85" s="107"/>
      <c r="AQ85" s="723"/>
      <c r="AR85" s="721"/>
      <c r="AS85" s="721"/>
    </row>
    <row r="86" spans="1:45" hidden="1" outlineLevel="1">
      <c r="B86" s="218" t="str">
        <f>$B$16</f>
        <v>Year</v>
      </c>
      <c r="D86" s="689">
        <f>(S86/S79-1)*100</f>
        <v>39.573654079909495</v>
      </c>
      <c r="F86" s="690">
        <f>'qtrP&amp;L'!AT14</f>
        <v>12.9</v>
      </c>
      <c r="H86" s="689">
        <f>D86-F86</f>
        <v>26.673654079909497</v>
      </c>
      <c r="L86" s="699">
        <f>AVERAGE(L82:L85)</f>
        <v>595.375</v>
      </c>
      <c r="N86" s="689">
        <f>(L86/L79-1)*100</f>
        <v>30.493150684931503</v>
      </c>
      <c r="O86" s="107"/>
      <c r="P86" s="655">
        <f>H86/N86*100</f>
        <v>87.474247431868534</v>
      </c>
      <c r="Q86" s="122"/>
      <c r="S86" s="692">
        <f>SUM(S82:S85)</f>
        <v>1040.828</v>
      </c>
      <c r="U86" s="693">
        <f>SUM(U82:U85)</f>
        <v>1.749690279763839</v>
      </c>
      <c r="W86" s="709">
        <f>(U86/U79-1)*100</f>
        <v>6.7255753882499825</v>
      </c>
      <c r="X86" s="107"/>
      <c r="Z86" s="26">
        <f>Z85/Z78</f>
        <v>1.2269999999999999</v>
      </c>
      <c r="AB86" s="694">
        <f>AVERAGE(AB82:AB85)</f>
        <v>1.37328125</v>
      </c>
      <c r="AD86" s="689">
        <f>(AB86/AB79-1)*100</f>
        <v>31.414473684210531</v>
      </c>
      <c r="AE86" s="107"/>
      <c r="AF86" s="655">
        <f>+H86/AD86*100</f>
        <v>84.908804610392522</v>
      </c>
      <c r="AG86" s="122"/>
      <c r="AI86" s="692">
        <f>SUM(AI82:AI85)</f>
        <v>1040.828</v>
      </c>
      <c r="AK86" s="695">
        <f>SUM(AK82:AK85)</f>
        <v>758.99129540943886</v>
      </c>
      <c r="AM86" s="709">
        <f>(AK86/AK79-1)*100</f>
        <v>6.2743049004538198</v>
      </c>
      <c r="AN86" s="107"/>
      <c r="AO86" s="107"/>
      <c r="AQ86" s="715"/>
      <c r="AR86" s="721"/>
      <c r="AS86" s="122"/>
    </row>
    <row r="87" spans="1:45" hidden="1" outlineLevel="1">
      <c r="B87" s="218"/>
      <c r="O87" s="107"/>
      <c r="P87" s="122"/>
      <c r="Q87" s="122"/>
      <c r="X87" s="107"/>
      <c r="AE87" s="107"/>
      <c r="AF87" s="122"/>
      <c r="AG87" s="122"/>
    </row>
    <row r="88" spans="1:45" hidden="1" outlineLevel="1">
      <c r="A88" s="705"/>
      <c r="B88" s="706">
        <v>2005</v>
      </c>
      <c r="E88" s="107"/>
      <c r="G88" s="107"/>
      <c r="I88" s="107"/>
      <c r="O88" s="107"/>
      <c r="P88" s="122"/>
      <c r="Q88" s="122"/>
      <c r="X88" s="107"/>
      <c r="Z88" s="677"/>
      <c r="AE88" s="107"/>
      <c r="AF88" s="122"/>
      <c r="AG88" s="122"/>
      <c r="AN88" s="107"/>
      <c r="AO88" s="107"/>
      <c r="AQ88" s="719"/>
      <c r="AR88" s="122"/>
      <c r="AS88" s="122"/>
    </row>
    <row r="89" spans="1:45" hidden="1" outlineLevel="1">
      <c r="A89" s="26" t="str">
        <f>$A$12</f>
        <v>1Q</v>
      </c>
      <c r="B89" s="218" t="str">
        <f>$B$12</f>
        <v>Apr</v>
      </c>
      <c r="C89" s="107"/>
      <c r="D89" s="689">
        <f>(S89/S82-1)*100</f>
        <v>27.358411544858761</v>
      </c>
      <c r="E89" s="107" t="s">
        <v>576</v>
      </c>
      <c r="F89" s="716">
        <f>+'qtrP&amp;L'!AX10</f>
        <v>10.8</v>
      </c>
      <c r="G89" s="107" t="s">
        <v>576</v>
      </c>
      <c r="H89" s="689">
        <f>D89-F89</f>
        <v>16.55841154485876</v>
      </c>
      <c r="I89" s="107" t="s">
        <v>576</v>
      </c>
      <c r="J89" s="713">
        <f>461+26+12+10+169+5</f>
        <v>683</v>
      </c>
      <c r="L89" s="699">
        <f>AVERAGE(J89,J85)</f>
        <v>670</v>
      </c>
      <c r="N89" s="689">
        <f>(L89/L82-1)*100</f>
        <v>20.720720720720731</v>
      </c>
      <c r="O89" s="107" t="s">
        <v>576</v>
      </c>
      <c r="P89" s="731">
        <f>H89/N89*100</f>
        <v>79.912333977361811</v>
      </c>
      <c r="Q89" s="122" t="s">
        <v>576</v>
      </c>
      <c r="S89" s="725">
        <v>319.29899999999998</v>
      </c>
      <c r="U89" s="693">
        <f>S89/L89</f>
        <v>0.47656567164179103</v>
      </c>
      <c r="W89" s="709">
        <f>(U89/U82-1)*100</f>
        <v>5.4983856826815281</v>
      </c>
      <c r="X89" s="107" t="s">
        <v>576</v>
      </c>
      <c r="Z89" s="694">
        <f>+turn!AB88</f>
        <v>1.5999999999999999</v>
      </c>
      <c r="AB89" s="694">
        <f>AVERAGE(Z89,Z85)</f>
        <v>1.566875</v>
      </c>
      <c r="AD89" s="689">
        <f>(AB89/AB82-1)*100</f>
        <v>23.61932938856015</v>
      </c>
      <c r="AE89" s="107" t="s">
        <v>576</v>
      </c>
      <c r="AF89" s="655">
        <f>+H89/AD89*100</f>
        <v>70.105341571969888</v>
      </c>
      <c r="AG89" s="122" t="s">
        <v>576</v>
      </c>
      <c r="AI89" s="692">
        <f>+S89</f>
        <v>319.29899999999998</v>
      </c>
      <c r="AJ89" s="107"/>
      <c r="AK89" s="695">
        <f>AI89/AB89</f>
        <v>203.78077383326684</v>
      </c>
      <c r="AM89" s="709">
        <f>(AK89/AK82-1)*100</f>
        <v>3.024674356989876</v>
      </c>
      <c r="AN89" s="107" t="s">
        <v>576</v>
      </c>
      <c r="AO89" s="107"/>
      <c r="AQ89" s="726"/>
      <c r="AR89" s="721"/>
      <c r="AS89" s="721"/>
    </row>
    <row r="90" spans="1:45" hidden="1" outlineLevel="1">
      <c r="A90" s="26" t="str">
        <f>$A$13</f>
        <v>2Q</v>
      </c>
      <c r="B90" s="218" t="str">
        <f>$B$13</f>
        <v>Jul</v>
      </c>
      <c r="D90" s="689">
        <f>(S90/S83-1)*100</f>
        <v>35.201278392509991</v>
      </c>
      <c r="F90" s="716">
        <f>+'qtrP&amp;L'!AX11</f>
        <v>15.7</v>
      </c>
      <c r="H90" s="689">
        <f>D90-F90</f>
        <v>19.501278392509992</v>
      </c>
      <c r="J90" s="713">
        <f>473+27+13+10+180+5</f>
        <v>708</v>
      </c>
      <c r="K90" s="713"/>
      <c r="L90" s="699">
        <f>AVERAGE(J90,J89)</f>
        <v>695.5</v>
      </c>
      <c r="N90" s="689">
        <f>(L90/L83-1)*100</f>
        <v>21.69728783902012</v>
      </c>
      <c r="O90" s="107"/>
      <c r="P90" s="731">
        <f>H90/N90*100</f>
        <v>89.878875817092435</v>
      </c>
      <c r="Q90" s="122"/>
      <c r="S90" s="727">
        <v>335.89000000000004</v>
      </c>
      <c r="U90" s="697">
        <f>S90/L90</f>
        <v>0.48294751976994976</v>
      </c>
      <c r="W90" s="709">
        <f>(U90/U83-1)*100</f>
        <v>11.096377571990601</v>
      </c>
      <c r="X90" s="107"/>
      <c r="Z90" s="694">
        <f>+turn!AB89</f>
        <v>1.6675</v>
      </c>
      <c r="AA90" s="713"/>
      <c r="AB90" s="694">
        <f>AVERAGE(Z90,Z89)</f>
        <v>1.63375</v>
      </c>
      <c r="AD90" s="689">
        <f>(AB90/AB83-1)*100</f>
        <v>24.357754519505235</v>
      </c>
      <c r="AE90" s="107"/>
      <c r="AF90" s="655">
        <f>+H90/AD90*100</f>
        <v>80.061889025499994</v>
      </c>
      <c r="AG90" s="122"/>
      <c r="AI90" s="696">
        <f>+S90</f>
        <v>335.89000000000004</v>
      </c>
      <c r="AK90" s="698">
        <f>AI90/AB90</f>
        <v>205.5944912012242</v>
      </c>
      <c r="AM90" s="709">
        <f>(AK90/AK83-1)*100</f>
        <v>8.7196201916816882</v>
      </c>
      <c r="AN90" s="107"/>
      <c r="AO90" s="107"/>
      <c r="AQ90" s="723"/>
      <c r="AR90" s="721"/>
      <c r="AS90" s="721"/>
    </row>
    <row r="91" spans="1:45" hidden="1" outlineLevel="1">
      <c r="A91" s="26" t="str">
        <f>$A$14</f>
        <v>3Q</v>
      </c>
      <c r="B91" s="218" t="str">
        <f>$B$14</f>
        <v>Oct</v>
      </c>
      <c r="D91" s="689">
        <f>(S91/S84-1)*100</f>
        <v>32.859556590634064</v>
      </c>
      <c r="E91" s="137"/>
      <c r="F91" s="716">
        <f>+'qtrP&amp;L'!AX12</f>
        <v>16</v>
      </c>
      <c r="G91" s="137"/>
      <c r="H91" s="689">
        <f>D91-F91</f>
        <v>16.859556590634064</v>
      </c>
      <c r="I91" s="137"/>
      <c r="J91" s="713">
        <f>490+29+13+14+191+6</f>
        <v>743</v>
      </c>
      <c r="K91" s="713"/>
      <c r="L91" s="734">
        <f>AVERAGE(J91,J90)</f>
        <v>725.5</v>
      </c>
      <c r="M91" s="137"/>
      <c r="N91" s="728">
        <f>(L91/L84-1)*100</f>
        <v>19.22760887428101</v>
      </c>
      <c r="O91" s="735"/>
      <c r="P91" s="731">
        <f>H91/N91*100</f>
        <v>87.684104148725055</v>
      </c>
      <c r="Q91" s="220"/>
      <c r="R91" s="137"/>
      <c r="S91" s="727">
        <v>349.13099999999997</v>
      </c>
      <c r="T91" s="137"/>
      <c r="U91" s="697">
        <f>S91/L91</f>
        <v>0.4812281185389386</v>
      </c>
      <c r="W91" s="709">
        <f>(U91/U84-1)*100</f>
        <v>11.43354953191016</v>
      </c>
      <c r="X91" s="107"/>
      <c r="Z91" s="694">
        <f>+turn!AB90</f>
        <v>1.7863374999999999</v>
      </c>
      <c r="AA91" s="713"/>
      <c r="AB91" s="694">
        <f>AVERAGE(Z91,Z90)</f>
        <v>1.7269187499999998</v>
      </c>
      <c r="AD91" s="689">
        <f>(AB91/AB84-1)*100</f>
        <v>22.639591655570324</v>
      </c>
      <c r="AE91" s="107"/>
      <c r="AF91" s="655">
        <f>+H91/AD91*100</f>
        <v>74.46934930244592</v>
      </c>
      <c r="AG91" s="122"/>
      <c r="AI91" s="696">
        <f>+S91</f>
        <v>349.13099999999997</v>
      </c>
      <c r="AK91" s="698">
        <f>AI91/AB91</f>
        <v>202.16990521412777</v>
      </c>
      <c r="AM91" s="709">
        <f>(AK91/AK84-1)*100</f>
        <v>8.3333324883910098</v>
      </c>
      <c r="AN91" s="107"/>
      <c r="AO91" s="107"/>
      <c r="AQ91" s="723"/>
      <c r="AR91" s="721"/>
      <c r="AS91" s="721"/>
    </row>
    <row r="92" spans="1:45" hidden="1" outlineLevel="1">
      <c r="A92" s="26" t="str">
        <f>$A$15</f>
        <v>4Q</v>
      </c>
      <c r="B92" s="218" t="str">
        <f>$B$15</f>
        <v>Jan</v>
      </c>
      <c r="D92" s="643">
        <f>(S92/S85-1)*100</f>
        <v>30.550735030476893</v>
      </c>
      <c r="F92" s="722">
        <f>+'qtrP&amp;L'!AX13</f>
        <v>14.6</v>
      </c>
      <c r="H92" s="643">
        <f>D92-F92</f>
        <v>15.950735030476894</v>
      </c>
      <c r="J92" s="26">
        <f>+yrSales!M$40</f>
        <v>763</v>
      </c>
      <c r="K92" s="45"/>
      <c r="L92" s="662">
        <f>AVERAGE(J92,J91)</f>
        <v>753</v>
      </c>
      <c r="N92" s="643">
        <f>(L92/L85-1)*100</f>
        <v>16.473317865429227</v>
      </c>
      <c r="O92" s="107"/>
      <c r="P92" s="736">
        <f>H92/N92*100</f>
        <v>96.827701382190767</v>
      </c>
      <c r="Q92" s="122"/>
      <c r="S92" s="729">
        <v>364.10600000000005</v>
      </c>
      <c r="U92" s="702">
        <f>S92/L92</f>
        <v>0.48354050464807447</v>
      </c>
      <c r="W92" s="700">
        <f>(U92/U85-1)*100</f>
        <v>12.08638804409472</v>
      </c>
      <c r="X92" s="107"/>
      <c r="Z92" s="694">
        <f>+turn!AB91</f>
        <v>1.8624999999999998</v>
      </c>
      <c r="AA92" s="45"/>
      <c r="AB92" s="703">
        <f>AVERAGE(Z92,Z91)</f>
        <v>1.82441875</v>
      </c>
      <c r="AD92" s="643">
        <f>(AB92/AB85-1)*100</f>
        <v>21.324605153782205</v>
      </c>
      <c r="AE92" s="107"/>
      <c r="AF92" s="662">
        <f>+H92/AD92*100</f>
        <v>74.799673501330062</v>
      </c>
      <c r="AG92" s="122"/>
      <c r="AI92" s="701">
        <f>+S92</f>
        <v>364.10600000000005</v>
      </c>
      <c r="AK92" s="704">
        <f>AI92/AB92</f>
        <v>199.57369984275817</v>
      </c>
      <c r="AM92" s="700">
        <f>(AK92/AK85-1)*100</f>
        <v>7.6045002289521824</v>
      </c>
      <c r="AN92" s="107"/>
      <c r="AO92" s="107"/>
      <c r="AQ92" s="723"/>
      <c r="AR92" s="721"/>
      <c r="AS92" s="721"/>
    </row>
    <row r="93" spans="1:45" hidden="1" outlineLevel="1">
      <c r="B93" s="218" t="str">
        <f>$B$16</f>
        <v>Year</v>
      </c>
      <c r="D93" s="689">
        <f>(S93/S86-1)*100</f>
        <v>31.474748949874542</v>
      </c>
      <c r="F93" s="690">
        <f>'qtrP&amp;L'!AX14</f>
        <v>14.3</v>
      </c>
      <c r="H93" s="689">
        <f>D93-F93</f>
        <v>17.174748949874541</v>
      </c>
      <c r="L93" s="699">
        <f>AVERAGE(L89:L92)</f>
        <v>711</v>
      </c>
      <c r="N93" s="689">
        <f>(L93/L86-1)*100</f>
        <v>19.420533277346209</v>
      </c>
      <c r="O93" s="107"/>
      <c r="P93" s="655">
        <f>H93/N93*100</f>
        <v>88.436031619732375</v>
      </c>
      <c r="Q93" s="122"/>
      <c r="S93" s="692">
        <f>SUM(S89:S92)</f>
        <v>1368.4260000000002</v>
      </c>
      <c r="U93" s="693">
        <f>SUM(U89:U92)</f>
        <v>1.9242818145987539</v>
      </c>
      <c r="W93" s="709">
        <f>(U93/U86-1)*100</f>
        <v>9.9784251449622339</v>
      </c>
      <c r="X93" s="107"/>
      <c r="AB93" s="694">
        <f>AVERAGE(AB89:AB92)</f>
        <v>1.6879906249999999</v>
      </c>
      <c r="AD93" s="689">
        <f>(AB93/AB86-1)*100</f>
        <v>22.916600295824317</v>
      </c>
      <c r="AE93" s="107"/>
      <c r="AF93" s="655">
        <f>+H93/AD93*100</f>
        <v>74.944576107146176</v>
      </c>
      <c r="AG93" s="122"/>
      <c r="AI93" s="692">
        <f>SUM(AI89:AI92)</f>
        <v>1368.4260000000002</v>
      </c>
      <c r="AK93" s="695">
        <f>SUM(AK89:AK92)</f>
        <v>811.11887009137695</v>
      </c>
      <c r="AM93" s="709">
        <f>(AK93/AK86-1)*100</f>
        <v>6.8680069188168824</v>
      </c>
      <c r="AN93" s="107"/>
      <c r="AO93" s="107"/>
      <c r="AQ93" s="715"/>
      <c r="AR93" s="721"/>
      <c r="AS93" s="122"/>
    </row>
    <row r="94" spans="1:45" hidden="1" outlineLevel="1">
      <c r="B94" s="218"/>
      <c r="F94" s="716"/>
      <c r="O94" s="107"/>
      <c r="P94" s="122"/>
      <c r="Q94" s="122"/>
      <c r="X94" s="107"/>
      <c r="Z94" s="22"/>
      <c r="AE94" s="107"/>
      <c r="AF94" s="122"/>
      <c r="AG94" s="122"/>
    </row>
    <row r="95" spans="1:45" hidden="1" outlineLevel="1">
      <c r="A95" s="705"/>
      <c r="B95" s="706">
        <v>2006</v>
      </c>
      <c r="E95" s="107"/>
      <c r="G95" s="107"/>
      <c r="I95" s="107"/>
      <c r="O95" s="107"/>
      <c r="P95" s="122"/>
      <c r="Q95" s="122"/>
      <c r="X95" s="107"/>
      <c r="Z95" s="677"/>
      <c r="AE95" s="107"/>
      <c r="AF95" s="122"/>
      <c r="AG95" s="122"/>
      <c r="AN95" s="107"/>
      <c r="AO95" s="107"/>
      <c r="AQ95" s="719"/>
      <c r="AR95" s="122"/>
      <c r="AS95" s="122"/>
    </row>
    <row r="96" spans="1:45" hidden="1" outlineLevel="1">
      <c r="A96" s="26" t="str">
        <f>$A$12</f>
        <v>1Q</v>
      </c>
      <c r="B96" s="218" t="str">
        <f>$B$12</f>
        <v>Apr</v>
      </c>
      <c r="C96" s="107"/>
      <c r="D96" s="689">
        <f>(S96/S89-1)*100</f>
        <v>18.541555094128093</v>
      </c>
      <c r="E96" s="107" t="s">
        <v>576</v>
      </c>
      <c r="F96" s="716">
        <f>+'qtrP&amp;L'!BB10</f>
        <v>6.6</v>
      </c>
      <c r="G96" s="107" t="s">
        <v>576</v>
      </c>
      <c r="H96" s="689">
        <f>D96-F96</f>
        <v>11.941555094128093</v>
      </c>
      <c r="I96" s="107" t="s">
        <v>576</v>
      </c>
      <c r="J96" s="713">
        <f>+J92+19+1-3+11</f>
        <v>791</v>
      </c>
      <c r="L96" s="699">
        <f>AVERAGE(J96,J92)</f>
        <v>777</v>
      </c>
      <c r="N96" s="689">
        <f>(L96/L89-1)*100</f>
        <v>15.970149253731346</v>
      </c>
      <c r="O96" s="107" t="s">
        <v>576</v>
      </c>
      <c r="P96" s="731">
        <f>H96/N96*100</f>
        <v>74.774223486596455</v>
      </c>
      <c r="Q96" s="122" t="s">
        <v>576</v>
      </c>
      <c r="S96" s="725">
        <v>378.50200000000001</v>
      </c>
      <c r="U96" s="693">
        <f>S96/L96</f>
        <v>0.48713256113256115</v>
      </c>
      <c r="W96" s="709">
        <f>(U96/U89-1)*100</f>
        <v>2.2172997594154698</v>
      </c>
      <c r="X96" s="107" t="s">
        <v>576</v>
      </c>
      <c r="Z96" s="694">
        <f>+turn!AB95</f>
        <v>1.9387499999999998</v>
      </c>
      <c r="AB96" s="694">
        <f>AVERAGE(Z96,Z92)</f>
        <v>1.9006249999999998</v>
      </c>
      <c r="AD96" s="689">
        <f>(AB96/AB89-1)*100</f>
        <v>21.300358994814506</v>
      </c>
      <c r="AE96" s="107" t="s">
        <v>576</v>
      </c>
      <c r="AF96" s="655">
        <f>+H96/AD96*100</f>
        <v>56.06269404677743</v>
      </c>
      <c r="AG96" s="122" t="s">
        <v>576</v>
      </c>
      <c r="AI96" s="692">
        <f>+S96</f>
        <v>378.50200000000001</v>
      </c>
      <c r="AJ96" s="107"/>
      <c r="AK96" s="695">
        <f>AI96/AB96</f>
        <v>199.14607037158831</v>
      </c>
      <c r="AM96" s="709">
        <f>(AK96/AK89-1)*100</f>
        <v>-2.2743575728447429</v>
      </c>
      <c r="AN96" s="107" t="s">
        <v>576</v>
      </c>
      <c r="AO96" s="107"/>
      <c r="AQ96" s="726"/>
      <c r="AR96" s="721"/>
      <c r="AS96" s="721"/>
    </row>
    <row r="97" spans="1:47" hidden="1" outlineLevel="1">
      <c r="A97" s="26" t="str">
        <f>$A$13</f>
        <v>2Q</v>
      </c>
      <c r="B97" s="218" t="str">
        <f>$B$13</f>
        <v>Jul</v>
      </c>
      <c r="D97" s="689">
        <f>(S97/S90-1)*100</f>
        <v>16.509869302450198</v>
      </c>
      <c r="F97" s="716">
        <f>+'qtrP&amp;L'!BB11</f>
        <v>5.7</v>
      </c>
      <c r="H97" s="689">
        <f>D97-F97</f>
        <v>10.809869302450199</v>
      </c>
      <c r="J97" s="713">
        <v>806</v>
      </c>
      <c r="K97" s="713"/>
      <c r="L97" s="699">
        <f>AVERAGE(J97,J96)</f>
        <v>798.5</v>
      </c>
      <c r="N97" s="689">
        <f>(L97/L90-1)*100</f>
        <v>14.809489575844715</v>
      </c>
      <c r="O97" s="107"/>
      <c r="P97" s="731">
        <f>H97/N97*100</f>
        <v>72.992855338389447</v>
      </c>
      <c r="Q97" s="122"/>
      <c r="S97" s="727">
        <v>391.34500000000003</v>
      </c>
      <c r="U97" s="697">
        <f>S97/L97</f>
        <v>0.49010018785222298</v>
      </c>
      <c r="W97" s="709">
        <f>(U97/U90-1)*100</f>
        <v>1.4810445834115393</v>
      </c>
      <c r="X97" s="107"/>
      <c r="Z97" s="694">
        <f>+turn!AB96</f>
        <v>2.0024999999999999</v>
      </c>
      <c r="AA97" s="713"/>
      <c r="AB97" s="694">
        <f>AVERAGE(Z97,Z96)</f>
        <v>1.9706249999999998</v>
      </c>
      <c r="AD97" s="689">
        <f>(AB97/AB90-1)*100</f>
        <v>20.619739862280028</v>
      </c>
      <c r="AE97" s="107"/>
      <c r="AF97" s="655">
        <f>+H97/AD97*100</f>
        <v>52.424857804461645</v>
      </c>
      <c r="AG97" s="122"/>
      <c r="AI97" s="696">
        <f>+S97</f>
        <v>391.34500000000003</v>
      </c>
      <c r="AK97" s="698">
        <f>AI97/AB97</f>
        <v>198.58928005074534</v>
      </c>
      <c r="AM97" s="709">
        <f>(AK97/AK90-1)*100</f>
        <v>-3.4072951612417302</v>
      </c>
      <c r="AN97" s="107"/>
      <c r="AO97" s="107"/>
      <c r="AQ97" s="723"/>
      <c r="AR97" s="721"/>
      <c r="AS97" s="721"/>
    </row>
    <row r="98" spans="1:47" hidden="1" outlineLevel="1">
      <c r="A98" s="26" t="str">
        <f>$A$14</f>
        <v>3Q</v>
      </c>
      <c r="B98" s="218" t="str">
        <f>$B$14</f>
        <v>Oct</v>
      </c>
      <c r="D98" s="689">
        <f>(S98/S91-1)*100</f>
        <v>11.622857895746863</v>
      </c>
      <c r="E98" s="137"/>
      <c r="F98" s="716">
        <f>+'qtrP&amp;L'!BB12</f>
        <v>-1.2</v>
      </c>
      <c r="G98" s="137"/>
      <c r="H98" s="689">
        <f>D98-F98</f>
        <v>12.822857895746862</v>
      </c>
      <c r="I98" s="137"/>
      <c r="J98" s="713">
        <v>871</v>
      </c>
      <c r="K98" s="713"/>
      <c r="L98" s="734">
        <f>AVERAGE(J98,J97)</f>
        <v>838.5</v>
      </c>
      <c r="M98" s="137"/>
      <c r="N98" s="728">
        <f>(L98/L91-1)*100</f>
        <v>15.57546519641626</v>
      </c>
      <c r="O98" s="735"/>
      <c r="P98" s="731">
        <f>H98/N98*100</f>
        <v>82.327286755436731</v>
      </c>
      <c r="Q98" s="220"/>
      <c r="R98" s="137"/>
      <c r="S98" s="727">
        <v>389.71</v>
      </c>
      <c r="T98" s="137"/>
      <c r="U98" s="697">
        <f>S98/L98</f>
        <v>0.46477042337507452</v>
      </c>
      <c r="W98" s="709">
        <f>(U98/U91-1)*100</f>
        <v>-3.4199363108355918</v>
      </c>
      <c r="X98" s="107"/>
      <c r="Z98" s="694">
        <f>+turn!AB97</f>
        <v>2.2462499999999999</v>
      </c>
      <c r="AA98" s="713"/>
      <c r="AB98" s="694">
        <f>AVERAGE(Z98,Z97)</f>
        <v>2.1243749999999997</v>
      </c>
      <c r="AD98" s="689">
        <f>(AB98/AB91-1)*100</f>
        <v>23.015341630867113</v>
      </c>
      <c r="AE98" s="107"/>
      <c r="AF98" s="655">
        <f>+H98/AD98*100</f>
        <v>55.714393040116505</v>
      </c>
      <c r="AG98" s="122"/>
      <c r="AI98" s="696">
        <f>+S98</f>
        <v>389.71</v>
      </c>
      <c r="AK98" s="698">
        <f>AI98/AB98</f>
        <v>183.44689614592528</v>
      </c>
      <c r="AM98" s="709">
        <f>(AK98/AK91-1)*100</f>
        <v>-9.2610267825827268</v>
      </c>
      <c r="AN98" s="107"/>
      <c r="AO98" s="107"/>
      <c r="AQ98" s="723"/>
      <c r="AR98" s="721"/>
      <c r="AS98" s="721"/>
    </row>
    <row r="99" spans="1:47" hidden="1" outlineLevel="1">
      <c r="A99" s="26" t="str">
        <f>$A$15</f>
        <v>4Q</v>
      </c>
      <c r="B99" s="218" t="str">
        <f>$B$15</f>
        <v>Jan</v>
      </c>
      <c r="D99" s="643">
        <f>(S99/S92-1)*100</f>
        <v>17.66161502419623</v>
      </c>
      <c r="F99" s="722">
        <f>+'qtrP&amp;L'!BB13</f>
        <v>-2</v>
      </c>
      <c r="H99" s="643">
        <f>D99-F99</f>
        <v>19.66161502419623</v>
      </c>
      <c r="J99" s="26">
        <f>+yrSales!N$40</f>
        <v>920</v>
      </c>
      <c r="K99" s="45"/>
      <c r="L99" s="662">
        <f>AVERAGE(J99,J98)</f>
        <v>895.5</v>
      </c>
      <c r="N99" s="643">
        <f>(L99/L92-1)*100</f>
        <v>18.924302788844628</v>
      </c>
      <c r="O99" s="107"/>
      <c r="P99" s="662">
        <f>H99/N99*100</f>
        <v>103.89611307522637</v>
      </c>
      <c r="Q99" s="122"/>
      <c r="S99" s="701">
        <v>428.41300000000001</v>
      </c>
      <c r="U99" s="702">
        <f>S99/L99</f>
        <v>0.47840647682858739</v>
      </c>
      <c r="W99" s="700">
        <f>(U99/U92-1)*100</f>
        <v>-1.0617575508433674</v>
      </c>
      <c r="X99" s="107"/>
      <c r="Z99" s="694">
        <f>+turn!AB98</f>
        <v>2.4424999999999999</v>
      </c>
      <c r="AA99" s="45"/>
      <c r="AB99" s="703">
        <f>AVERAGE(Z99,Z98)</f>
        <v>2.3443749999999999</v>
      </c>
      <c r="AD99" s="643">
        <f>(AB99/AB92-1)*100</f>
        <v>28.499830425443704</v>
      </c>
      <c r="AE99" s="107"/>
      <c r="AF99" s="662">
        <f>+H99/AD99*100</f>
        <v>68.988533372616118</v>
      </c>
      <c r="AG99" s="122"/>
      <c r="AI99" s="701">
        <f>+S99</f>
        <v>428.41300000000001</v>
      </c>
      <c r="AK99" s="704">
        <f>AI99/AB99</f>
        <v>182.74081578245801</v>
      </c>
      <c r="AM99" s="700">
        <f>(AK99/AK92-1)*100</f>
        <v>-8.4344200030177277</v>
      </c>
      <c r="AN99" s="107"/>
      <c r="AO99" s="107"/>
      <c r="AQ99" s="723"/>
      <c r="AR99" s="721"/>
      <c r="AS99" s="721"/>
    </row>
    <row r="100" spans="1:47" hidden="1" outlineLevel="1">
      <c r="B100" s="218" t="str">
        <f>$B$16</f>
        <v>Year</v>
      </c>
      <c r="D100" s="689">
        <f>(S100/S93-1)*100</f>
        <v>16.04354199642508</v>
      </c>
      <c r="F100" s="690">
        <f>'qtrP&amp;L'!BB14</f>
        <v>2.1</v>
      </c>
      <c r="H100" s="689">
        <f>D100-F100</f>
        <v>13.943541996425081</v>
      </c>
      <c r="L100" s="699">
        <f>AVERAGE(L96:L99)</f>
        <v>827.375</v>
      </c>
      <c r="N100" s="689">
        <f>(L100/L93-1)*100</f>
        <v>16.367791842475388</v>
      </c>
      <c r="O100" s="107"/>
      <c r="P100" s="655">
        <f>H100/N100*100</f>
        <v>85.188901047976216</v>
      </c>
      <c r="Q100" s="122"/>
      <c r="S100" s="692">
        <f>SUM(S96:S99)</f>
        <v>1587.97</v>
      </c>
      <c r="U100" s="693">
        <f>SUM(U96:U99)</f>
        <v>1.9204096491884459</v>
      </c>
      <c r="W100" s="709">
        <f>(U100/U93-1)*100</f>
        <v>-0.20122652414690245</v>
      </c>
      <c r="X100" s="107"/>
      <c r="AB100" s="694">
        <f>AVERAGE(AB96:AB99)</f>
        <v>2.085</v>
      </c>
      <c r="AD100" s="689">
        <f>(AB100/AB93-1)*100</f>
        <v>23.519643362948184</v>
      </c>
      <c r="AE100" s="107"/>
      <c r="AF100" s="655">
        <f>+H100/AD100*100</f>
        <v>59.284665933290157</v>
      </c>
      <c r="AG100" s="122"/>
      <c r="AI100" s="692">
        <f>SUM(AI96:AI99)</f>
        <v>1587.97</v>
      </c>
      <c r="AK100" s="695">
        <f>SUM(AK96:AK99)</f>
        <v>763.92306235071692</v>
      </c>
      <c r="AM100" s="709">
        <f>(AK100/AK93-1)*100</f>
        <v>-5.8186055682989064</v>
      </c>
      <c r="AN100" s="107"/>
      <c r="AO100" s="107"/>
      <c r="AQ100" s="715"/>
      <c r="AR100" s="721"/>
      <c r="AS100" s="122"/>
    </row>
    <row r="101" spans="1:47" hidden="1" outlineLevel="1">
      <c r="B101" s="218"/>
      <c r="F101" s="716"/>
      <c r="L101" s="699"/>
      <c r="O101" s="107"/>
      <c r="S101" s="696"/>
      <c r="Z101" s="236"/>
      <c r="AE101" s="107"/>
    </row>
    <row r="102" spans="1:47" hidden="1" outlineLevel="1">
      <c r="A102" s="705"/>
      <c r="B102" s="706">
        <v>2007</v>
      </c>
      <c r="E102" s="107"/>
      <c r="G102" s="107"/>
      <c r="I102" s="107"/>
      <c r="O102" s="107"/>
      <c r="P102" s="122"/>
      <c r="Q102" s="122"/>
      <c r="X102" s="107"/>
      <c r="Z102" s="22"/>
      <c r="AE102" s="107"/>
      <c r="AF102" s="122"/>
      <c r="AG102" s="122"/>
      <c r="AN102" s="107"/>
      <c r="AO102" s="107"/>
      <c r="AQ102" s="719"/>
      <c r="AR102" s="809" t="s">
        <v>515</v>
      </c>
      <c r="AS102" s="809" t="s">
        <v>516</v>
      </c>
    </row>
    <row r="103" spans="1:47" hidden="1" outlineLevel="1">
      <c r="A103" s="26" t="str">
        <f>$A$12</f>
        <v>1Q</v>
      </c>
      <c r="B103" s="218" t="str">
        <f>$B$12</f>
        <v>Apr</v>
      </c>
      <c r="C103" s="107"/>
      <c r="D103" s="689">
        <f>(S103/S96-1)*100</f>
        <v>15.358439321324591</v>
      </c>
      <c r="E103" s="107" t="s">
        <v>576</v>
      </c>
      <c r="F103" s="733">
        <f>'qtrP&amp;L'!BF10</f>
        <v>-1.6</v>
      </c>
      <c r="G103" s="107" t="s">
        <v>576</v>
      </c>
      <c r="H103" s="689">
        <f>D103-F103</f>
        <v>16.95843932132459</v>
      </c>
      <c r="I103" s="107" t="s">
        <v>576</v>
      </c>
      <c r="J103" s="713">
        <v>952</v>
      </c>
      <c r="L103" s="699">
        <f>AVERAGE(J103,J99)</f>
        <v>936</v>
      </c>
      <c r="N103" s="689">
        <f>(L103/L96-1)*100</f>
        <v>20.463320463320468</v>
      </c>
      <c r="O103" s="107" t="s">
        <v>576</v>
      </c>
      <c r="P103" s="731">
        <f>H103/N103*100</f>
        <v>82.872373287227703</v>
      </c>
      <c r="Q103" s="122" t="s">
        <v>576</v>
      </c>
      <c r="S103" s="725">
        <v>436.63400000000001</v>
      </c>
      <c r="U103" s="693">
        <f>S103/L103</f>
        <v>0.46648931623931628</v>
      </c>
      <c r="W103" s="709">
        <f>(U103/U96-1)*100</f>
        <v>-4.2377058197978545</v>
      </c>
      <c r="X103" s="107" t="s">
        <v>576</v>
      </c>
      <c r="Z103" s="694">
        <f>+turn!AB102</f>
        <v>2.6124999999999998</v>
      </c>
      <c r="AB103" s="694">
        <f>AVERAGE(Z103,Z99)</f>
        <v>2.5274999999999999</v>
      </c>
      <c r="AD103" s="689">
        <f>(AB103/AB96-1)*100</f>
        <v>32.982571522525483</v>
      </c>
      <c r="AE103" s="107" t="s">
        <v>576</v>
      </c>
      <c r="AF103" s="655">
        <f>+H103/AD103*100</f>
        <v>51.416364881503576</v>
      </c>
      <c r="AG103" s="122" t="s">
        <v>576</v>
      </c>
      <c r="AI103" s="692">
        <f>+S103</f>
        <v>436.63400000000001</v>
      </c>
      <c r="AJ103" s="107"/>
      <c r="AK103" s="695">
        <f>AI103/AB103</f>
        <v>172.75331355093968</v>
      </c>
      <c r="AM103" s="709">
        <f>(AK103/AK96-1)*100</f>
        <v>-13.252963903029658</v>
      </c>
      <c r="AN103" s="107" t="s">
        <v>576</v>
      </c>
      <c r="AO103" s="107"/>
      <c r="AP103" s="692">
        <f>+S103-AQ103</f>
        <v>0.11500000000000909</v>
      </c>
      <c r="AQ103" s="810">
        <f>+AR103+AS103</f>
        <v>436.51900000000001</v>
      </c>
      <c r="AR103" s="725">
        <f>segQtrSales!S105</f>
        <v>333.05200000000002</v>
      </c>
      <c r="AS103" s="725">
        <f>+segQtrSales!S258</f>
        <v>103.467</v>
      </c>
    </row>
    <row r="104" spans="1:47" hidden="1" outlineLevel="1">
      <c r="A104" s="26" t="str">
        <f>$A$13</f>
        <v>2Q</v>
      </c>
      <c r="B104" s="218" t="str">
        <f>$B$13</f>
        <v>Jul</v>
      </c>
      <c r="D104" s="689">
        <f>(S104/S97-1)*100</f>
        <v>7.040079725050763</v>
      </c>
      <c r="F104" s="733">
        <f>'qtrP&amp;L'!BF11</f>
        <v>-5.6</v>
      </c>
      <c r="H104" s="689">
        <f>D104-F104</f>
        <v>12.640079725050763</v>
      </c>
      <c r="J104" s="713">
        <v>958</v>
      </c>
      <c r="K104" s="713"/>
      <c r="L104" s="699">
        <f>AVERAGE(J104,J103)</f>
        <v>955</v>
      </c>
      <c r="N104" s="689">
        <f>(L104/L97-1)*100</f>
        <v>19.599248591108331</v>
      </c>
      <c r="O104" s="107"/>
      <c r="P104" s="731">
        <f>H104/N104*100</f>
        <v>64.492675146664752</v>
      </c>
      <c r="Q104" s="122"/>
      <c r="S104" s="727">
        <v>418.89599999999996</v>
      </c>
      <c r="U104" s="697">
        <f>S104/L104</f>
        <v>0.43863455497382192</v>
      </c>
      <c r="W104" s="709">
        <f>(U104/U97-1)*100</f>
        <v>-10.501043287483736</v>
      </c>
      <c r="X104" s="107"/>
      <c r="Z104" s="694">
        <f>+turn!AB103</f>
        <v>2.6637499999999994</v>
      </c>
      <c r="AA104" s="713"/>
      <c r="AB104" s="694">
        <f>AVERAGE(Z104,Z103)</f>
        <v>2.6381249999999996</v>
      </c>
      <c r="AD104" s="689">
        <f>(AB104/AB97-1)*100</f>
        <v>33.872502378686953</v>
      </c>
      <c r="AE104" s="107"/>
      <c r="AF104" s="655">
        <f>+H104/AD104*100</f>
        <v>37.316639862439203</v>
      </c>
      <c r="AG104" s="122"/>
      <c r="AI104" s="696">
        <f>+S104</f>
        <v>418.89599999999996</v>
      </c>
      <c r="AK104" s="698">
        <f>AI104/AB104</f>
        <v>158.78550106609808</v>
      </c>
      <c r="AM104" s="709">
        <f>(AK104/AK97-1)*100</f>
        <v>-20.043266673043103</v>
      </c>
      <c r="AN104" s="107"/>
      <c r="AO104" s="107"/>
      <c r="AP104" s="692">
        <f>+S104-AQ104</f>
        <v>0</v>
      </c>
      <c r="AQ104" s="811">
        <f>+AR104+AS104</f>
        <v>418.89600000000007</v>
      </c>
      <c r="AR104" s="727">
        <f>segQtrSales!S106</f>
        <v>308.77200000000005</v>
      </c>
      <c r="AS104" s="727">
        <f>+segQtrSales!S259</f>
        <v>110.124</v>
      </c>
    </row>
    <row r="105" spans="1:47" hidden="1" outlineLevel="1">
      <c r="A105" s="26" t="str">
        <f>$A$14</f>
        <v>3Q</v>
      </c>
      <c r="B105" s="218" t="str">
        <f>$B$14</f>
        <v>Oct</v>
      </c>
      <c r="D105" s="728">
        <f>(S105/S98-1)*100</f>
        <v>2.1048985142798626</v>
      </c>
      <c r="E105" s="137"/>
      <c r="F105" s="733">
        <f>'qtrP&amp;L'!BF12</f>
        <v>-9.3000000000000007</v>
      </c>
      <c r="G105" s="137"/>
      <c r="H105" s="728">
        <f>D105-F105</f>
        <v>11.404898514279864</v>
      </c>
      <c r="I105" s="137"/>
      <c r="J105" s="713">
        <v>1004</v>
      </c>
      <c r="K105" s="713"/>
      <c r="L105" s="734">
        <f>AVERAGE(J105,J104)</f>
        <v>981</v>
      </c>
      <c r="M105" s="137"/>
      <c r="N105" s="728">
        <f>(L105/L98-1)*100</f>
        <v>16.99463327370303</v>
      </c>
      <c r="O105" s="735"/>
      <c r="P105" s="731">
        <f>H105/N105*100</f>
        <v>67.108823889288928</v>
      </c>
      <c r="Q105" s="220"/>
      <c r="R105" s="137"/>
      <c r="S105" s="727">
        <v>397.91300000000001</v>
      </c>
      <c r="T105" s="137"/>
      <c r="U105" s="697">
        <f>S105/L105</f>
        <v>0.40561977573904179</v>
      </c>
      <c r="W105" s="709">
        <f>(U105/U98-1)*100</f>
        <v>-12.726852798956523</v>
      </c>
      <c r="X105" s="107"/>
      <c r="Z105" s="694">
        <f>+turn!AB104</f>
        <v>2.8612500000000001</v>
      </c>
      <c r="AA105" s="713"/>
      <c r="AB105" s="694">
        <f>AVERAGE(Z105,Z104)</f>
        <v>2.7624999999999997</v>
      </c>
      <c r="AD105" s="689">
        <f>(AB105/AB98-1)*100</f>
        <v>30.038246543100922</v>
      </c>
      <c r="AE105" s="107"/>
      <c r="AF105" s="655">
        <f>+H105/AD105*100</f>
        <v>37.967923653317577</v>
      </c>
      <c r="AG105" s="122"/>
      <c r="AI105" s="696">
        <f>+S105</f>
        <v>397.91300000000001</v>
      </c>
      <c r="AK105" s="698">
        <f>AI105/AB105</f>
        <v>144.04090497737559</v>
      </c>
      <c r="AM105" s="709">
        <f>(AK105/AK98-1)*100</f>
        <v>-21.480871029403335</v>
      </c>
      <c r="AN105" s="107"/>
      <c r="AO105" s="107"/>
      <c r="AP105" s="692">
        <f>+S105-AQ105</f>
        <v>0</v>
      </c>
      <c r="AQ105" s="811">
        <f>+AR105+AS105</f>
        <v>397.91300000000001</v>
      </c>
      <c r="AR105" s="727">
        <f>segQtrSales!S107</f>
        <v>300.57600000000002</v>
      </c>
      <c r="AS105" s="727">
        <f>+segQtrSales!S260</f>
        <v>97.337000000000003</v>
      </c>
    </row>
    <row r="106" spans="1:47" hidden="1" outlineLevel="1">
      <c r="A106" s="26" t="str">
        <f>$A$15</f>
        <v>4Q</v>
      </c>
      <c r="B106" s="218" t="str">
        <f>$B$15</f>
        <v>Jan</v>
      </c>
      <c r="D106" s="643">
        <f>(S106/S99-1)*100</f>
        <v>-9.2487856344228518</v>
      </c>
      <c r="F106" s="738">
        <f>'qtrP&amp;L'!BF13</f>
        <v>-15.7</v>
      </c>
      <c r="H106" s="643">
        <f>D106-F106</f>
        <v>6.4512143655771474</v>
      </c>
      <c r="J106" s="26">
        <f>+yrSales!O$40</f>
        <v>1038</v>
      </c>
      <c r="K106" s="45"/>
      <c r="L106" s="662">
        <f>AVERAGE(J106,J105)</f>
        <v>1021</v>
      </c>
      <c r="N106" s="643">
        <f>(L106/L99-1)*100</f>
        <v>14.014517029592399</v>
      </c>
      <c r="O106" s="107"/>
      <c r="P106" s="662">
        <f>H106/N106*100</f>
        <v>46.032370234058476</v>
      </c>
      <c r="Q106" s="122"/>
      <c r="S106" s="701">
        <v>388.79</v>
      </c>
      <c r="U106" s="702">
        <f>S106/L106</f>
        <v>0.38079333986287955</v>
      </c>
      <c r="W106" s="700">
        <f>(U106/U99-1)*100</f>
        <v>-20.403807576518773</v>
      </c>
      <c r="X106" s="107"/>
      <c r="Z106" s="694">
        <f>+turn!AB105</f>
        <v>3.0024999999999999</v>
      </c>
      <c r="AA106" s="45"/>
      <c r="AB106" s="703">
        <f>AVERAGE(Z106,Z105)</f>
        <v>2.9318749999999998</v>
      </c>
      <c r="AD106" s="643">
        <f>(AB106/AB99-1)*100</f>
        <v>25.059984004265523</v>
      </c>
      <c r="AE106" s="107"/>
      <c r="AF106" s="662">
        <f>+H106/AD106*100</f>
        <v>25.743090516255197</v>
      </c>
      <c r="AG106" s="122"/>
      <c r="AI106" s="701">
        <f>+S106</f>
        <v>388.79</v>
      </c>
      <c r="AK106" s="704">
        <f>AI106/AB106</f>
        <v>132.60797271370711</v>
      </c>
      <c r="AM106" s="700">
        <f>(AK106/AK99-1)*100</f>
        <v>-27.433850973080386</v>
      </c>
      <c r="AN106" s="107"/>
      <c r="AO106" s="107"/>
      <c r="AP106" s="692">
        <f>+S106-AQ106</f>
        <v>0</v>
      </c>
      <c r="AQ106" s="811">
        <f>+AR106+AS106</f>
        <v>388.79</v>
      </c>
      <c r="AR106" s="723">
        <f>segQtrSales!S108</f>
        <v>280.81700000000001</v>
      </c>
      <c r="AS106" s="723">
        <f>+segQtrSales!S261</f>
        <v>107.973</v>
      </c>
    </row>
    <row r="107" spans="1:47" hidden="1" outlineLevel="1">
      <c r="B107" s="218" t="str">
        <f>$B$16</f>
        <v>Year</v>
      </c>
      <c r="D107" s="689">
        <f>(S107/S100-1)*100</f>
        <v>3.4171300465374088</v>
      </c>
      <c r="F107" s="690">
        <f>'qtrP&amp;L'!BF14</f>
        <v>-8.1</v>
      </c>
      <c r="H107" s="689">
        <f>D107-F107</f>
        <v>11.517130046537408</v>
      </c>
      <c r="L107" s="699">
        <f>AVERAGE(L103:L106)</f>
        <v>973.25</v>
      </c>
      <c r="N107" s="689">
        <f>(L107/L100-1)*100</f>
        <v>17.631062093971895</v>
      </c>
      <c r="O107" s="107"/>
      <c r="P107" s="655">
        <f>H107/N107*100</f>
        <v>65.32295096660765</v>
      </c>
      <c r="Q107" s="122"/>
      <c r="S107" s="692">
        <f>SUM(S103:S106)</f>
        <v>1642.2329999999999</v>
      </c>
      <c r="U107" s="693">
        <f>SUM(U103:U106)</f>
        <v>1.6915369868150596</v>
      </c>
      <c r="W107" s="709">
        <f>(U107/U100-1)*100</f>
        <v>-11.917908372836317</v>
      </c>
      <c r="X107" s="107"/>
      <c r="AB107" s="694">
        <f>AVERAGE(AB103:AB106)</f>
        <v>2.7149999999999999</v>
      </c>
      <c r="AD107" s="689">
        <f>(AB107/AB100-1)*100</f>
        <v>30.215827338129486</v>
      </c>
      <c r="AE107" s="107"/>
      <c r="AF107" s="655">
        <f>+H107/AD107*100</f>
        <v>38.11621610639763</v>
      </c>
      <c r="AG107" s="122"/>
      <c r="AI107" s="692">
        <f>SUM(AI103:AI106)</f>
        <v>1642.2329999999999</v>
      </c>
      <c r="AK107" s="695">
        <f>SUM(AK103:AK106)</f>
        <v>608.1876923081204</v>
      </c>
      <c r="AM107" s="709">
        <f>(AK107/AK100-1)*100</f>
        <v>-20.386263711344586</v>
      </c>
      <c r="AN107" s="107"/>
      <c r="AO107" s="107"/>
      <c r="AQ107" s="812">
        <f>+SUM(AQ103:AQ106)</f>
        <v>1642.1179999999999</v>
      </c>
      <c r="AR107" s="324">
        <f>+SUM(AR103:AR106)</f>
        <v>1223.2170000000001</v>
      </c>
      <c r="AS107" s="324">
        <f>+SUM(AS103:AS106)</f>
        <v>418.90100000000001</v>
      </c>
      <c r="AT107" s="236"/>
      <c r="AU107" s="45"/>
    </row>
    <row r="108" spans="1:47" hidden="1" outlineLevel="1">
      <c r="B108" s="218"/>
      <c r="D108" s="137"/>
      <c r="E108" s="137"/>
      <c r="F108" s="716"/>
      <c r="G108" s="137"/>
      <c r="L108" s="699"/>
      <c r="O108" s="107"/>
      <c r="Z108" s="236"/>
      <c r="AE108" s="107"/>
      <c r="AF108" s="236"/>
    </row>
    <row r="109" spans="1:47" hidden="1" outlineLevel="1">
      <c r="A109" s="705"/>
      <c r="B109" s="706">
        <v>2008</v>
      </c>
      <c r="E109" s="107"/>
      <c r="G109" s="107"/>
      <c r="I109" s="107"/>
      <c r="O109" s="107"/>
      <c r="P109" s="122"/>
      <c r="Q109" s="122"/>
      <c r="X109" s="107"/>
      <c r="Z109" s="22"/>
      <c r="AE109" s="107"/>
      <c r="AF109" s="122"/>
      <c r="AG109" s="122"/>
      <c r="AN109" s="107"/>
      <c r="AO109" s="107"/>
      <c r="AQ109" s="719"/>
      <c r="AR109" s="809" t="s">
        <v>515</v>
      </c>
      <c r="AS109" s="809" t="s">
        <v>516</v>
      </c>
    </row>
    <row r="110" spans="1:47" hidden="1" outlineLevel="1">
      <c r="A110" s="26" t="str">
        <f>$A$12</f>
        <v>1Q</v>
      </c>
      <c r="B110" s="218" t="str">
        <f>$B$12</f>
        <v>Apr</v>
      </c>
      <c r="C110" s="107"/>
      <c r="D110" s="689">
        <f>(S110/S103-1)*100</f>
        <v>-9.8689062235190139</v>
      </c>
      <c r="E110" s="107" t="s">
        <v>576</v>
      </c>
      <c r="F110" s="733">
        <f>'qtrP&amp;L'!BJ10</f>
        <v>-17.5</v>
      </c>
      <c r="G110" s="107" t="s">
        <v>576</v>
      </c>
      <c r="H110" s="689">
        <f>D110-F110</f>
        <v>7.6310937764809861</v>
      </c>
      <c r="I110" s="107" t="s">
        <v>576</v>
      </c>
      <c r="J110" s="713">
        <v>1056</v>
      </c>
      <c r="K110" s="813">
        <f>J110-J106</f>
        <v>18</v>
      </c>
      <c r="L110" s="699">
        <f>AVERAGE(J110,J106)</f>
        <v>1047</v>
      </c>
      <c r="N110" s="689">
        <f>(L110/L103-1)*100</f>
        <v>11.858974358974361</v>
      </c>
      <c r="O110" s="107" t="s">
        <v>576</v>
      </c>
      <c r="P110" s="731">
        <f>H110/N110*100</f>
        <v>64.348682655731551</v>
      </c>
      <c r="Q110" s="122" t="s">
        <v>576</v>
      </c>
      <c r="S110" s="725">
        <v>393.54300000000001</v>
      </c>
      <c r="U110" s="693">
        <f>S110/L110</f>
        <v>0.37587679083094555</v>
      </c>
      <c r="W110" s="709">
        <f>(U110/U103-1)*100</f>
        <v>-19.424351695524166</v>
      </c>
      <c r="X110" s="107" t="s">
        <v>576</v>
      </c>
      <c r="Z110" s="694">
        <f>+turn!AB109</f>
        <v>3.1025</v>
      </c>
      <c r="AB110" s="694">
        <f>AVERAGE(Z110,Z106)</f>
        <v>3.0525000000000002</v>
      </c>
      <c r="AD110" s="689">
        <f>(AB110/AB103-1)*100</f>
        <v>20.771513353115733</v>
      </c>
      <c r="AE110" s="107" t="s">
        <v>576</v>
      </c>
      <c r="AF110" s="655">
        <f>+H110/AD110*100</f>
        <v>36.738265752487024</v>
      </c>
      <c r="AG110" s="122" t="s">
        <v>576</v>
      </c>
      <c r="AI110" s="692">
        <f>+S110</f>
        <v>393.54300000000001</v>
      </c>
      <c r="AJ110" s="107"/>
      <c r="AK110" s="695">
        <f>AI110/AB110</f>
        <v>128.92481572481572</v>
      </c>
      <c r="AM110" s="709">
        <f>(AK110/AK103-1)*100</f>
        <v>-25.37056854379831</v>
      </c>
      <c r="AN110" s="107" t="s">
        <v>576</v>
      </c>
      <c r="AO110" s="107"/>
      <c r="AP110" s="692">
        <f>+S110-AQ110</f>
        <v>0</v>
      </c>
      <c r="AQ110" s="810">
        <f>+AR110+AS110</f>
        <v>393.54300000000001</v>
      </c>
      <c r="AR110" s="725">
        <f>segQtrSales!S112</f>
        <v>285.69400000000002</v>
      </c>
      <c r="AS110" s="725">
        <f>+segQtrSales!S265</f>
        <v>107.849</v>
      </c>
    </row>
    <row r="111" spans="1:47" hidden="1" outlineLevel="1">
      <c r="A111" s="26" t="str">
        <f>$A$13</f>
        <v>2Q</v>
      </c>
      <c r="B111" s="218" t="str">
        <f>$B$13</f>
        <v>Jul</v>
      </c>
      <c r="D111" s="689">
        <f>(S111/S104-1)*100</f>
        <v>-6.5701271914747172</v>
      </c>
      <c r="F111" s="733">
        <f>'qtrP&amp;L'!BJ11</f>
        <v>-15.9</v>
      </c>
      <c r="H111" s="689">
        <f>D111-F111</f>
        <v>9.329872808525284</v>
      </c>
      <c r="J111" s="713">
        <v>1075</v>
      </c>
      <c r="K111" s="813">
        <f>J111-J110</f>
        <v>19</v>
      </c>
      <c r="L111" s="699">
        <f>AVERAGE(J111,J110)</f>
        <v>1065.5</v>
      </c>
      <c r="N111" s="689">
        <f>(L111/L104-1)*100</f>
        <v>11.570680628272246</v>
      </c>
      <c r="O111" s="107"/>
      <c r="P111" s="731">
        <f>H111/N111*100</f>
        <v>80.633742372322629</v>
      </c>
      <c r="Q111" s="122"/>
      <c r="S111" s="727">
        <v>391.37400000000002</v>
      </c>
      <c r="U111" s="697">
        <f>S111/L111</f>
        <v>0.36731487564523702</v>
      </c>
      <c r="W111" s="709">
        <f>(U111/U104-1)*100</f>
        <v>-16.259475802776493</v>
      </c>
      <c r="X111" s="107"/>
      <c r="Z111" s="694">
        <f>+turn!AB110</f>
        <v>3.1912499999999997</v>
      </c>
      <c r="AA111" s="713"/>
      <c r="AB111" s="694">
        <f>AVERAGE(Z111,Z110)</f>
        <v>3.1468749999999996</v>
      </c>
      <c r="AD111" s="689">
        <f>(AB111/AB104-1)*100</f>
        <v>19.284529732290935</v>
      </c>
      <c r="AE111" s="107"/>
      <c r="AF111" s="655">
        <f>+H111/AD111*100</f>
        <v>48.380089833888462</v>
      </c>
      <c r="AG111" s="122"/>
      <c r="AI111" s="696">
        <f>+S111</f>
        <v>391.37400000000002</v>
      </c>
      <c r="AK111" s="698">
        <f>AI111/AB111</f>
        <v>124.36909632571998</v>
      </c>
      <c r="AM111" s="709">
        <f>(AK111/AK104-1)*100</f>
        <v>-21.674777929536205</v>
      </c>
      <c r="AN111" s="107"/>
      <c r="AO111" s="107"/>
      <c r="AP111" s="692">
        <f>+S111-AQ111</f>
        <v>0</v>
      </c>
      <c r="AQ111" s="811">
        <f>+AR111+AS111</f>
        <v>391.37400000000002</v>
      </c>
      <c r="AR111" s="727">
        <f>segQtrSales!S113</f>
        <v>277.279</v>
      </c>
      <c r="AS111" s="727">
        <f>+segQtrSales!S266</f>
        <v>114.095</v>
      </c>
    </row>
    <row r="112" spans="1:47" hidden="1" outlineLevel="1">
      <c r="A112" s="26" t="str">
        <f>$A$14</f>
        <v>3Q</v>
      </c>
      <c r="B112" s="218" t="str">
        <f>$B$14</f>
        <v>Oct</v>
      </c>
      <c r="D112" s="689">
        <f>(S112/S105-1)*100</f>
        <v>-5.5497055889101254</v>
      </c>
      <c r="E112" s="137"/>
      <c r="F112" s="733">
        <f>'qtrP&amp;L'!BJ12</f>
        <v>-13.4</v>
      </c>
      <c r="G112" s="137"/>
      <c r="H112" s="689">
        <f>D112-F112</f>
        <v>7.8502944110898749</v>
      </c>
      <c r="I112" s="137"/>
      <c r="J112" s="713">
        <v>1083</v>
      </c>
      <c r="K112" s="813">
        <f>J112-J111</f>
        <v>8</v>
      </c>
      <c r="L112" s="734">
        <f>AVERAGE(J112,J111)</f>
        <v>1079</v>
      </c>
      <c r="M112" s="137"/>
      <c r="N112" s="728">
        <f>(L112/L105-1)*100</f>
        <v>9.9898063200815521</v>
      </c>
      <c r="O112" s="735"/>
      <c r="P112" s="731">
        <f>H112/N112*100</f>
        <v>78.583049155909848</v>
      </c>
      <c r="Q112" s="220"/>
      <c r="R112" s="137"/>
      <c r="S112" s="727">
        <v>375.83000000000004</v>
      </c>
      <c r="T112" s="137"/>
      <c r="U112" s="697">
        <f>S112/L112</f>
        <v>0.34831325301204824</v>
      </c>
      <c r="W112" s="709">
        <f>(U112/U105-1)*100</f>
        <v>-14.128138260167589</v>
      </c>
      <c r="X112" s="107"/>
      <c r="Z112" s="694">
        <f>+turn!AB111</f>
        <v>3.2437499999999999</v>
      </c>
      <c r="AA112" s="713"/>
      <c r="AB112" s="694">
        <f>AVERAGE(Z112,Z111)</f>
        <v>3.2174999999999998</v>
      </c>
      <c r="AD112" s="689">
        <f>(AB112/AB105-1)*100</f>
        <v>16.470588235294127</v>
      </c>
      <c r="AE112" s="107"/>
      <c r="AF112" s="655">
        <f>+H112/AD112*100</f>
        <v>47.662501781617074</v>
      </c>
      <c r="AG112" s="122"/>
      <c r="AI112" s="696">
        <f>+S112</f>
        <v>375.83000000000004</v>
      </c>
      <c r="AK112" s="698">
        <f>AI112/AB112</f>
        <v>116.80808080808083</v>
      </c>
      <c r="AM112" s="709">
        <f>(AK112/AK105-1)*100</f>
        <v>-18.906312879367292</v>
      </c>
      <c r="AN112" s="107"/>
      <c r="AO112" s="107"/>
      <c r="AP112" s="692">
        <f>+S112-AQ112</f>
        <v>0</v>
      </c>
      <c r="AQ112" s="811">
        <f>+AR112+AS112</f>
        <v>375.82999999999993</v>
      </c>
      <c r="AR112" s="727">
        <f>segQtrSales!S114</f>
        <v>269.07899999999995</v>
      </c>
      <c r="AS112" s="727">
        <f>+segQtrSales!S267</f>
        <v>106.751</v>
      </c>
    </row>
    <row r="113" spans="1:48" hidden="1" outlineLevel="1">
      <c r="A113" s="26" t="str">
        <f>$A$15</f>
        <v>4Q</v>
      </c>
      <c r="B113" s="218" t="str">
        <f>$B$15</f>
        <v>Jan</v>
      </c>
      <c r="D113" s="643">
        <f>(S113/S106-1)*100</f>
        <v>-9.702924457933582</v>
      </c>
      <c r="F113" s="738">
        <f>'qtrP&amp;L'!BJ13</f>
        <v>-13</v>
      </c>
      <c r="H113" s="643">
        <f>D113-F113</f>
        <v>3.297075542066418</v>
      </c>
      <c r="J113" s="26">
        <f>+yrSales!P$40</f>
        <v>1076</v>
      </c>
      <c r="K113" s="813">
        <f>J113-J112</f>
        <v>-7</v>
      </c>
      <c r="L113" s="662">
        <f>AVERAGE(J113,J112)</f>
        <v>1079.5</v>
      </c>
      <c r="N113" s="643">
        <f>(L113/L106-1)*100</f>
        <v>5.7296767874632781</v>
      </c>
      <c r="O113" s="107"/>
      <c r="P113" s="662">
        <f>H113/N113*100</f>
        <v>57.543831255552291</v>
      </c>
      <c r="Q113" s="122"/>
      <c r="S113" s="701">
        <v>351.06600000000003</v>
      </c>
      <c r="U113" s="702">
        <f>S113/L113</f>
        <v>0.32521167207040297</v>
      </c>
      <c r="W113" s="700">
        <f>(U113/U106-1)*100</f>
        <v>-14.596281492867247</v>
      </c>
      <c r="X113" s="107"/>
      <c r="Z113" s="694">
        <f>+turn!AB112</f>
        <v>3.2446162499999995</v>
      </c>
      <c r="AA113" s="45"/>
      <c r="AB113" s="703">
        <f>AVERAGE(Z113,Z112)</f>
        <v>3.2441831249999997</v>
      </c>
      <c r="AD113" s="643">
        <f>(AB113/AB106-1)*100</f>
        <v>10.652163717757412</v>
      </c>
      <c r="AE113" s="107"/>
      <c r="AF113" s="662">
        <f>+H113/AD113*100</f>
        <v>30.952167366430107</v>
      </c>
      <c r="AG113" s="122"/>
      <c r="AI113" s="701">
        <f>+S113</f>
        <v>351.06600000000003</v>
      </c>
      <c r="AK113" s="704">
        <f>AI113/AB113</f>
        <v>108.21398992388879</v>
      </c>
      <c r="AM113" s="700">
        <f>(AK113/AK106-1)*100</f>
        <v>-18.395562718150828</v>
      </c>
      <c r="AN113" s="107"/>
      <c r="AO113" s="107"/>
      <c r="AP113" s="692">
        <f>+S113-AQ113</f>
        <v>0</v>
      </c>
      <c r="AQ113" s="811">
        <f>+AR113+AS113</f>
        <v>351.06600000000003</v>
      </c>
      <c r="AR113" s="723">
        <f>segQtrSales!S115</f>
        <v>242.88700000000003</v>
      </c>
      <c r="AS113" s="723">
        <f>+segQtrSales!S268</f>
        <v>108.179</v>
      </c>
    </row>
    <row r="114" spans="1:48" hidden="1" outlineLevel="1">
      <c r="B114" s="218" t="str">
        <f>$B$16</f>
        <v>Year</v>
      </c>
      <c r="D114" s="689">
        <f>(S114/S107-1)*100</f>
        <v>-7.9416258228887093</v>
      </c>
      <c r="F114" s="690">
        <f>'qtrP&amp;L'!BJ14</f>
        <v>-15.1</v>
      </c>
      <c r="H114" s="689">
        <f>D114-F114</f>
        <v>7.1583741771112903</v>
      </c>
      <c r="K114" s="813"/>
      <c r="L114" s="699">
        <f>AVERAGE(L110:L113)</f>
        <v>1067.75</v>
      </c>
      <c r="N114" s="689">
        <f>(L114/L107-1)*100</f>
        <v>9.7097354225533117</v>
      </c>
      <c r="O114" s="107"/>
      <c r="P114" s="655">
        <f>H114/N114*100</f>
        <v>73.723679025116979</v>
      </c>
      <c r="Q114" s="122"/>
      <c r="S114" s="692">
        <f>SUM(S110:S113)</f>
        <v>1511.8130000000001</v>
      </c>
      <c r="U114" s="693">
        <f>SUM(U110:U113)</f>
        <v>1.4167165915586339</v>
      </c>
      <c r="W114" s="709">
        <f>(U114/U107-1)*100</f>
        <v>-16.246786053072128</v>
      </c>
      <c r="X114" s="107"/>
      <c r="AB114" s="694">
        <f>AVERAGE(AB110:AB113)</f>
        <v>3.1652645312499996</v>
      </c>
      <c r="AD114" s="689">
        <f>(AB114/AB107-1)*100</f>
        <v>16.584328959484338</v>
      </c>
      <c r="AE114" s="107"/>
      <c r="AF114" s="655">
        <f>+H114/AD114*100</f>
        <v>43.163484001066678</v>
      </c>
      <c r="AG114" s="122"/>
      <c r="AI114" s="692">
        <f>SUM(AI110:AI113)</f>
        <v>1511.8130000000001</v>
      </c>
      <c r="AK114" s="695">
        <f>SUM(AK110:AK113)</f>
        <v>478.31598278250533</v>
      </c>
      <c r="AM114" s="709">
        <f>(AK114/AK107-1)*100</f>
        <v>-21.353886500521192</v>
      </c>
      <c r="AN114" s="107"/>
      <c r="AO114" s="107"/>
      <c r="AQ114" s="812">
        <f>+SUM(AQ110:AQ113)</f>
        <v>1511.8129999999999</v>
      </c>
      <c r="AR114" s="324">
        <f>+SUM(AR110:AR113)</f>
        <v>1074.9389999999999</v>
      </c>
      <c r="AS114" s="324">
        <f>+SUM(AS110:AS113)</f>
        <v>436.87400000000002</v>
      </c>
    </row>
    <row r="115" spans="1:48" hidden="1" outlineLevel="1">
      <c r="B115" s="218"/>
      <c r="D115" s="137"/>
      <c r="E115" s="137"/>
      <c r="F115" s="716"/>
      <c r="G115" s="137"/>
      <c r="K115" s="813"/>
      <c r="L115" s="699"/>
      <c r="O115" s="107"/>
      <c r="Z115" s="236"/>
      <c r="AE115" s="107"/>
      <c r="AF115" s="236"/>
    </row>
    <row r="116" spans="1:48" hidden="1" outlineLevel="1">
      <c r="A116" s="705"/>
      <c r="B116" s="706">
        <v>2009</v>
      </c>
      <c r="E116" s="107"/>
      <c r="G116" s="107"/>
      <c r="I116" s="107"/>
      <c r="O116" s="107"/>
      <c r="P116" s="122"/>
      <c r="Q116" s="122"/>
      <c r="X116" s="107"/>
      <c r="Z116" s="22"/>
      <c r="AE116" s="107"/>
      <c r="AF116" s="122"/>
      <c r="AG116" s="122"/>
      <c r="AN116" s="107"/>
      <c r="AO116" s="107"/>
      <c r="AQ116" s="719"/>
      <c r="AR116" s="809" t="s">
        <v>515</v>
      </c>
      <c r="AS116" s="809" t="s">
        <v>516</v>
      </c>
    </row>
    <row r="117" spans="1:48" hidden="1" outlineLevel="1">
      <c r="A117" s="26" t="str">
        <f>$A$12</f>
        <v>1Q</v>
      </c>
      <c r="B117" s="218" t="str">
        <f>$B$12</f>
        <v>Apr</v>
      </c>
      <c r="C117" s="107"/>
      <c r="D117" s="728">
        <f>(S117/S110-1)*100</f>
        <v>-1.2372218537745616</v>
      </c>
      <c r="E117" s="107" t="s">
        <v>576</v>
      </c>
      <c r="F117" s="733">
        <f>'qtrP&amp;L'!BN10</f>
        <v>-1.6</v>
      </c>
      <c r="G117" s="107" t="s">
        <v>576</v>
      </c>
      <c r="H117" s="728">
        <f>D117-F117</f>
        <v>0.36277814622543847</v>
      </c>
      <c r="I117" s="107" t="s">
        <v>576</v>
      </c>
      <c r="J117" s="713">
        <f>655+344+70</f>
        <v>1069</v>
      </c>
      <c r="K117" s="813">
        <f>J117-J113</f>
        <v>-7</v>
      </c>
      <c r="L117" s="699">
        <f>AVERAGE(J117,J113)</f>
        <v>1072.5</v>
      </c>
      <c r="N117" s="689">
        <f>(L117/L110-1)*100</f>
        <v>2.4355300859598916</v>
      </c>
      <c r="O117" s="107" t="s">
        <v>576</v>
      </c>
      <c r="P117" s="742">
        <f>H117/N117*100</f>
        <v>14.895243886197376</v>
      </c>
      <c r="Q117" s="122" t="s">
        <v>576</v>
      </c>
      <c r="S117" s="725">
        <v>388.67399999999998</v>
      </c>
      <c r="U117" s="693">
        <f>S117/L117</f>
        <v>0.3624</v>
      </c>
      <c r="W117" s="709">
        <f>(U117/U110-1)*100</f>
        <v>-3.5854277677407564</v>
      </c>
      <c r="X117" s="107" t="s">
        <v>576</v>
      </c>
      <c r="Z117" s="694">
        <f>+turn!AB116</f>
        <v>3.2318750000000001</v>
      </c>
      <c r="AB117" s="694">
        <f>AVERAGE(Z117,Z113)</f>
        <v>3.2382456249999998</v>
      </c>
      <c r="AD117" s="689">
        <f>(AB117/AB110-1)*100</f>
        <v>6.0850327600327381</v>
      </c>
      <c r="AE117" s="107" t="s">
        <v>576</v>
      </c>
      <c r="AF117" s="655">
        <f>+H117/AD117*100</f>
        <v>5.9618108978510529</v>
      </c>
      <c r="AG117" s="122" t="s">
        <v>576</v>
      </c>
      <c r="AI117" s="692">
        <f>+S117</f>
        <v>388.67399999999998</v>
      </c>
      <c r="AJ117" s="107"/>
      <c r="AK117" s="695">
        <f>AI117/AB117</f>
        <v>120.02610209656348</v>
      </c>
      <c r="AM117" s="709">
        <f>(AK117/AK110-1)*100</f>
        <v>-6.9022504148822268</v>
      </c>
      <c r="AN117" s="107" t="s">
        <v>576</v>
      </c>
      <c r="AO117" s="107"/>
      <c r="AP117" s="692">
        <f>+S117-AQ117</f>
        <v>0</v>
      </c>
      <c r="AQ117" s="810">
        <f>+AR117+AS117</f>
        <v>388.67399999999998</v>
      </c>
      <c r="AR117" s="725">
        <f>segQtrSales!S119</f>
        <v>272.50599999999997</v>
      </c>
      <c r="AS117" s="725">
        <f>segQtrSales!S272</f>
        <v>116.16800000000001</v>
      </c>
    </row>
    <row r="118" spans="1:48" hidden="1" outlineLevel="1">
      <c r="A118" s="26" t="str">
        <f>$A$13</f>
        <v>2Q</v>
      </c>
      <c r="B118" s="218" t="str">
        <f>$B$13</f>
        <v>Jul</v>
      </c>
      <c r="D118" s="728">
        <f>(S118/S111-1)*100</f>
        <v>2.1158789291061852</v>
      </c>
      <c r="F118" s="733">
        <f>'qtrP&amp;L'!BN11</f>
        <v>2.9</v>
      </c>
      <c r="H118" s="728">
        <f>D118-F118</f>
        <v>-0.78412107089381466</v>
      </c>
      <c r="J118" s="713">
        <f>652+343+74</f>
        <v>1069</v>
      </c>
      <c r="K118" s="813">
        <f>J118-J117</f>
        <v>0</v>
      </c>
      <c r="L118" s="699">
        <f>AVERAGE(J118,J117)</f>
        <v>1069</v>
      </c>
      <c r="N118" s="689">
        <f>(L118/L111-1)*100</f>
        <v>0.32848427968090732</v>
      </c>
      <c r="O118" s="107"/>
      <c r="P118" s="814" t="s">
        <v>371</v>
      </c>
      <c r="Q118" s="122"/>
      <c r="S118" s="727">
        <v>399.65500000000003</v>
      </c>
      <c r="U118" s="697">
        <f>S118/L118</f>
        <v>0.37385874649204864</v>
      </c>
      <c r="W118" s="709">
        <f>(U118/U111-1)*100</f>
        <v>1.781542562172711</v>
      </c>
      <c r="X118" s="107"/>
      <c r="Z118" s="694">
        <f>+turn!AB117</f>
        <v>3.2312499999999997</v>
      </c>
      <c r="AA118" s="713"/>
      <c r="AB118" s="694">
        <f>AVERAGE(Z118,Z117)</f>
        <v>3.2315624999999999</v>
      </c>
      <c r="AD118" s="689">
        <f>(AB118/AB111-1)*100</f>
        <v>2.6911618669314796</v>
      </c>
      <c r="AE118" s="107"/>
      <c r="AF118" s="655">
        <f>+H118/AD118*100</f>
        <v>-29.136897357567211</v>
      </c>
      <c r="AG118" s="122"/>
      <c r="AI118" s="696">
        <f>+S118</f>
        <v>399.65500000000003</v>
      </c>
      <c r="AK118" s="698">
        <f>AI118/AB118</f>
        <v>123.67237211101443</v>
      </c>
      <c r="AM118" s="709">
        <f>(AK118/AK111-1)*100</f>
        <v>-0.56020686431688116</v>
      </c>
      <c r="AN118" s="107"/>
      <c r="AO118" s="107"/>
      <c r="AP118" s="692">
        <f>+S118-AQ118</f>
        <v>0</v>
      </c>
      <c r="AQ118" s="811">
        <f>+AR118+AS118</f>
        <v>399.65499999999997</v>
      </c>
      <c r="AR118" s="727">
        <f>segQtrSales!S120</f>
        <v>279.911</v>
      </c>
      <c r="AS118" s="727">
        <f>segQtrSales!S273</f>
        <v>119.744</v>
      </c>
    </row>
    <row r="119" spans="1:48" hidden="1" outlineLevel="1">
      <c r="A119" s="26" t="str">
        <f>$A$14</f>
        <v>3Q</v>
      </c>
      <c r="B119" s="218" t="str">
        <f>$B$14</f>
        <v>Oct</v>
      </c>
      <c r="D119" s="728">
        <f>(S119/S112-1)*100</f>
        <v>12.381927999361398</v>
      </c>
      <c r="E119" s="137"/>
      <c r="F119" s="733">
        <v>12.8</v>
      </c>
      <c r="G119" s="137"/>
      <c r="H119" s="728">
        <f>D119-F119</f>
        <v>-0.4180720006386025</v>
      </c>
      <c r="I119" s="137"/>
      <c r="J119" s="713">
        <f>+J118+5</f>
        <v>1074</v>
      </c>
      <c r="K119" s="813">
        <f>J119-J118</f>
        <v>5</v>
      </c>
      <c r="L119" s="734">
        <f>AVERAGE(J119,J118)</f>
        <v>1071.5</v>
      </c>
      <c r="M119" s="137"/>
      <c r="N119" s="728">
        <f>(L119/L112-1)*100</f>
        <v>-0.69508804448563666</v>
      </c>
      <c r="O119" s="735"/>
      <c r="P119" s="742">
        <f>H119/N119*100</f>
        <v>60.146625158540125</v>
      </c>
      <c r="Q119" s="220"/>
      <c r="R119" s="137"/>
      <c r="S119" s="727">
        <v>422.36500000000001</v>
      </c>
      <c r="T119" s="137"/>
      <c r="U119" s="697">
        <f>S119/L119</f>
        <v>0.39418105459636027</v>
      </c>
      <c r="W119" s="709">
        <f>(U119/U112-1)*100</f>
        <v>13.168549053953305</v>
      </c>
      <c r="X119" s="107"/>
      <c r="Z119" s="694">
        <f>+turn!AB118</f>
        <v>3.2499137500000002</v>
      </c>
      <c r="AA119" s="713"/>
      <c r="AB119" s="694">
        <f>AVERAGE(Z119,Z118)</f>
        <v>3.2405818750000002</v>
      </c>
      <c r="AD119" s="689">
        <f>(AB119/AB112-1)*100</f>
        <v>0.71738539238539456</v>
      </c>
      <c r="AE119" s="107"/>
      <c r="AF119" s="655">
        <f>+H119/AD119*100</f>
        <v>-58.277183376770715</v>
      </c>
      <c r="AG119" s="122"/>
      <c r="AI119" s="696">
        <f>+S119</f>
        <v>422.36500000000001</v>
      </c>
      <c r="AK119" s="698">
        <f>AI119/AB119</f>
        <v>130.33616069336313</v>
      </c>
      <c r="AM119" s="709">
        <f>(AK119/AK112-1)*100</f>
        <v>11.58145891251252</v>
      </c>
      <c r="AN119" s="107"/>
      <c r="AO119" s="107"/>
      <c r="AP119" s="692">
        <f>+S119-AQ119</f>
        <v>0</v>
      </c>
      <c r="AQ119" s="811">
        <f>+AR119+AS119</f>
        <v>422.36500000000001</v>
      </c>
      <c r="AR119" s="727">
        <f>segQtrSales!S121</f>
        <v>300.95699999999999</v>
      </c>
      <c r="AS119" s="727">
        <f>segQtrSales!S274</f>
        <v>121.408</v>
      </c>
    </row>
    <row r="120" spans="1:48" hidden="1" outlineLevel="1">
      <c r="A120" s="26" t="str">
        <f>$A$15</f>
        <v>4Q</v>
      </c>
      <c r="B120" s="218" t="str">
        <f>$B$15</f>
        <v>Jan</v>
      </c>
      <c r="D120" s="744">
        <f>(S120/S113-1)*100</f>
        <v>15.114821714435456</v>
      </c>
      <c r="F120" s="738">
        <v>14.6</v>
      </c>
      <c r="H120" s="744">
        <f>D120-F120</f>
        <v>0.5148217144354561</v>
      </c>
      <c r="J120" s="26">
        <f>yrSales!$Q$40</f>
        <v>1080</v>
      </c>
      <c r="K120" s="813">
        <f>J120-J119</f>
        <v>6</v>
      </c>
      <c r="L120" s="662">
        <f>AVERAGE(J120,J119)</f>
        <v>1077</v>
      </c>
      <c r="N120" s="643">
        <f>(L120/L113-1)*100</f>
        <v>-0.23158869847151875</v>
      </c>
      <c r="O120" s="107"/>
      <c r="P120" s="815">
        <f>H120/N120*100</f>
        <v>-222.30001629322595</v>
      </c>
      <c r="Q120" s="122"/>
      <c r="S120" s="727">
        <v>404.12900000000002</v>
      </c>
      <c r="U120" s="702">
        <f>S120/L120</f>
        <v>0.37523584029712165</v>
      </c>
      <c r="W120" s="700">
        <f>(U120/U113-1)*100</f>
        <v>15.38203346400473</v>
      </c>
      <c r="X120" s="107"/>
      <c r="Z120" s="694">
        <f>yrSales!$Q$65</f>
        <v>3.2737500000000002</v>
      </c>
      <c r="AA120" s="45"/>
      <c r="AB120" s="703">
        <f>AVERAGE(Z120,Z119)</f>
        <v>3.2618318750000004</v>
      </c>
      <c r="AD120" s="643">
        <f>(AB120/AB113-1)*100</f>
        <v>0.5440121386489416</v>
      </c>
      <c r="AE120" s="107"/>
      <c r="AF120" s="662">
        <f>+H120/AD120*100</f>
        <v>94.634232926129158</v>
      </c>
      <c r="AG120" s="122"/>
      <c r="AI120" s="701">
        <f>+S120</f>
        <v>404.12900000000002</v>
      </c>
      <c r="AK120" s="704">
        <f>AI120/AB120</f>
        <v>123.89633049373521</v>
      </c>
      <c r="AM120" s="700">
        <f>(AK120/AK113-1)*100</f>
        <v>14.491971491741907</v>
      </c>
      <c r="AN120" s="107"/>
      <c r="AO120" s="107"/>
      <c r="AP120" s="692">
        <f>+S120-AQ120</f>
        <v>0</v>
      </c>
      <c r="AQ120" s="811">
        <f>+AR120+AS120</f>
        <v>404.12900000000002</v>
      </c>
      <c r="AR120" s="723">
        <f>segQtrSales!S122</f>
        <v>271.81700000000001</v>
      </c>
      <c r="AS120" s="723">
        <f>segQtrSales!S275</f>
        <v>132.31200000000001</v>
      </c>
    </row>
    <row r="121" spans="1:48" hidden="1" outlineLevel="1">
      <c r="B121" s="218" t="str">
        <f>$B$16</f>
        <v>Year</v>
      </c>
      <c r="D121" s="689">
        <f>(S121/S114-1)*100</f>
        <v>6.8136733842082187</v>
      </c>
      <c r="F121" s="690">
        <f>+'qtrP&amp;L'!BN14</f>
        <v>7.6</v>
      </c>
      <c r="H121" s="689">
        <f>D121-F121</f>
        <v>-0.78632661579178098</v>
      </c>
      <c r="K121" s="813"/>
      <c r="L121" s="699">
        <f>AVERAGE(L117:L120)</f>
        <v>1072.5</v>
      </c>
      <c r="N121" s="689">
        <f>(L121/L114-1)*100</f>
        <v>0.44486068836337989</v>
      </c>
      <c r="O121" s="107"/>
      <c r="P121" s="655">
        <f>H121/N121*100</f>
        <v>-176.7579461077213</v>
      </c>
      <c r="Q121" s="122"/>
      <c r="S121" s="692">
        <f>SUM(S117:S120)</f>
        <v>1614.8229999999999</v>
      </c>
      <c r="U121" s="693">
        <f>SUM(U117:U120)</f>
        <v>1.5056756413855306</v>
      </c>
      <c r="W121" s="709">
        <f>(U121/U114-1)*100</f>
        <v>6.279241053358886</v>
      </c>
      <c r="X121" s="107"/>
      <c r="AB121" s="694">
        <f>AVERAGE(AB117:AB120)</f>
        <v>3.2430554687500002</v>
      </c>
      <c r="AD121" s="689">
        <f>(AB121/AB114-1)*100</f>
        <v>2.4576441157440954</v>
      </c>
      <c r="AE121" s="107"/>
      <c r="AF121" s="655">
        <f>+H121/AD121*100</f>
        <v>-31.995137569123049</v>
      </c>
      <c r="AG121" s="122"/>
      <c r="AI121" s="692">
        <f>SUM(AI117:AI120)</f>
        <v>1614.8229999999999</v>
      </c>
      <c r="AK121" s="695">
        <f>SUM(AK117:AK120)</f>
        <v>497.93096539467621</v>
      </c>
      <c r="AM121" s="709">
        <f>(AK121/AK114-1)*100</f>
        <v>4.1008419785733885</v>
      </c>
      <c r="AN121" s="107"/>
      <c r="AO121" s="107"/>
      <c r="AQ121" s="812">
        <f>+SUM(AQ117:AQ120)</f>
        <v>1614.8229999999999</v>
      </c>
      <c r="AR121" s="324">
        <f>+SUM(AR117:AR120)</f>
        <v>1125.1909999999998</v>
      </c>
      <c r="AS121" s="324">
        <f>+SUM(AS117:AS120)</f>
        <v>489.63200000000001</v>
      </c>
    </row>
    <row r="122" spans="1:48" hidden="1" outlineLevel="1">
      <c r="B122" s="218"/>
      <c r="D122" s="137"/>
      <c r="E122" s="137"/>
      <c r="F122" s="716"/>
      <c r="G122" s="137"/>
      <c r="K122" s="813"/>
      <c r="L122" s="699"/>
      <c r="O122" s="107"/>
      <c r="Z122" s="694"/>
      <c r="AE122" s="107"/>
      <c r="AF122" s="236"/>
    </row>
    <row r="123" spans="1:48" hidden="1" outlineLevel="1">
      <c r="A123" s="705"/>
      <c r="B123" s="706">
        <v>2010</v>
      </c>
      <c r="E123" s="107"/>
      <c r="G123" s="107"/>
      <c r="I123" s="107"/>
      <c r="O123" s="107"/>
      <c r="P123" s="122"/>
      <c r="Q123" s="122"/>
      <c r="X123" s="107"/>
      <c r="Z123" s="22"/>
      <c r="AE123" s="107"/>
      <c r="AF123" s="122"/>
      <c r="AG123" s="122"/>
      <c r="AN123" s="107"/>
      <c r="AO123" s="107"/>
      <c r="AQ123" s="719"/>
      <c r="AR123" s="809" t="s">
        <v>515</v>
      </c>
      <c r="AS123" s="809" t="s">
        <v>516</v>
      </c>
    </row>
    <row r="124" spans="1:48" hidden="1" outlineLevel="1">
      <c r="A124" s="26" t="str">
        <f>$A$12</f>
        <v>1Q</v>
      </c>
      <c r="B124" s="218" t="str">
        <f>$B$12</f>
        <v>Apr</v>
      </c>
      <c r="D124" s="728">
        <f>(S124/S117-1)*100</f>
        <v>23.90538085902325</v>
      </c>
      <c r="E124" s="107" t="s">
        <v>576</v>
      </c>
      <c r="F124" s="733">
        <f>'qtrP&amp;L'!BR10</f>
        <v>16</v>
      </c>
      <c r="G124" s="107" t="s">
        <v>576</v>
      </c>
      <c r="H124" s="728">
        <f>D124-F124</f>
        <v>7.9053808590232499</v>
      </c>
      <c r="I124" s="107" t="s">
        <v>576</v>
      </c>
      <c r="J124" s="713">
        <f>648+351+100</f>
        <v>1099</v>
      </c>
      <c r="K124" s="813">
        <f>J124-J120</f>
        <v>19</v>
      </c>
      <c r="L124" s="699">
        <f>AVERAGE(J124,J120)</f>
        <v>1089.5</v>
      </c>
      <c r="N124" s="689">
        <f>(L124/L117-1)*100</f>
        <v>1.5850815850815936</v>
      </c>
      <c r="O124" s="107" t="s">
        <v>576</v>
      </c>
      <c r="P124" s="742">
        <f>H124/N124*100</f>
        <v>498.73652772367001</v>
      </c>
      <c r="Q124" s="122" t="s">
        <v>576</v>
      </c>
      <c r="S124" s="725">
        <f>+'qtrP&amp;L'!BP10</f>
        <v>481.58800000000002</v>
      </c>
      <c r="U124" s="693">
        <f>S124/L124</f>
        <v>0.44202661771454799</v>
      </c>
      <c r="W124" s="709">
        <f>(U124/U117-1)*100</f>
        <v>21.97202475566997</v>
      </c>
      <c r="X124" s="107" t="s">
        <v>576</v>
      </c>
      <c r="Z124" s="694">
        <f>turn!AB123</f>
        <v>3.3221937499999998</v>
      </c>
      <c r="AB124" s="694">
        <f>AVERAGE(Z124,Z120)</f>
        <v>3.297971875</v>
      </c>
      <c r="AD124" s="689">
        <f>(AB124/AB117-1)*100</f>
        <v>1.8444014727882152</v>
      </c>
      <c r="AE124" s="107" t="s">
        <v>576</v>
      </c>
      <c r="AF124" s="655">
        <f>+H124/AD124*100</f>
        <v>428.61497215530528</v>
      </c>
      <c r="AG124" s="122" t="s">
        <v>576</v>
      </c>
      <c r="AI124" s="692">
        <f>+S124</f>
        <v>481.58800000000002</v>
      </c>
      <c r="AJ124" s="107"/>
      <c r="AK124" s="695">
        <f>AI124/AB124</f>
        <v>146.02550241578396</v>
      </c>
      <c r="AM124" s="709">
        <f>(AK124/AK117-1)*100</f>
        <v>21.661455187725267</v>
      </c>
      <c r="AN124" s="107" t="s">
        <v>576</v>
      </c>
      <c r="AO124" s="107"/>
      <c r="AP124" s="692">
        <f>+S124-AQ124</f>
        <v>0</v>
      </c>
      <c r="AQ124" s="810">
        <f>+AR124+AS124</f>
        <v>481.58799999999997</v>
      </c>
      <c r="AR124" s="725">
        <f>segQtrSales!S126</f>
        <v>336.7</v>
      </c>
      <c r="AS124" s="725">
        <f>segQtrSales!S279</f>
        <v>144.88800000000001</v>
      </c>
      <c r="AU124" s="22">
        <f>1-AV124</f>
        <v>0.69914532754138392</v>
      </c>
      <c r="AV124" s="22">
        <f>+AS124/(AS124+AR124)</f>
        <v>0.30085467245861613</v>
      </c>
    </row>
    <row r="125" spans="1:48" hidden="1" outlineLevel="1">
      <c r="A125" s="26" t="str">
        <f>$A$13</f>
        <v>2Q</v>
      </c>
      <c r="B125" s="218" t="str">
        <f>$B$13</f>
        <v>Jul</v>
      </c>
      <c r="D125" s="728">
        <f>(S125/S118-1)*100</f>
        <v>16.450438503208996</v>
      </c>
      <c r="F125" s="733">
        <f>'qtrP&amp;L'!BR11</f>
        <v>7.6</v>
      </c>
      <c r="H125" s="728">
        <f>D125-F125</f>
        <v>8.8504385032089967</v>
      </c>
      <c r="J125" s="713">
        <f>598+53+337+18+105+7</f>
        <v>1118</v>
      </c>
      <c r="K125" s="813">
        <f>J125-J124</f>
        <v>19</v>
      </c>
      <c r="L125" s="699">
        <f>AVERAGE(J125,J124)</f>
        <v>1108.5</v>
      </c>
      <c r="N125" s="689">
        <f>(L125/L118-1)*100</f>
        <v>3.6950420954162677</v>
      </c>
      <c r="O125" s="107"/>
      <c r="P125" s="742">
        <f>H125/N125*100</f>
        <v>239.52199392228962</v>
      </c>
      <c r="Q125" s="122"/>
      <c r="S125" s="727">
        <f>+'qtrP&amp;L'!BP11</f>
        <v>465.4</v>
      </c>
      <c r="U125" s="697">
        <f>S125/L125</f>
        <v>0.41984663960306717</v>
      </c>
      <c r="W125" s="709">
        <f>(U125/U118-1)*100</f>
        <v>12.300873937690969</v>
      </c>
      <c r="X125" s="107"/>
      <c r="Z125" s="694">
        <f>turn!AB124</f>
        <v>3.3717187499999999</v>
      </c>
      <c r="AA125" s="713"/>
      <c r="AB125" s="694">
        <f>AVERAGE(Z125,Z124)</f>
        <v>3.3469562499999999</v>
      </c>
      <c r="AD125" s="689">
        <f>(AB125/AB118-1)*100</f>
        <v>3.5708345421139098</v>
      </c>
      <c r="AE125" s="107"/>
      <c r="AF125" s="655">
        <f>+H125/AD125*100</f>
        <v>247.85350311889829</v>
      </c>
      <c r="AG125" s="122"/>
      <c r="AI125" s="696">
        <f>+S125</f>
        <v>465.4</v>
      </c>
      <c r="AK125" s="698">
        <f>AI125/AB125</f>
        <v>139.05171303030926</v>
      </c>
      <c r="AM125" s="709">
        <f>(AK125/AK118-1)*100</f>
        <v>12.435551010123413</v>
      </c>
      <c r="AN125" s="107"/>
      <c r="AO125" s="107"/>
      <c r="AP125" s="692">
        <f>+S125-AQ125</f>
        <v>2.8999999999939519E-2</v>
      </c>
      <c r="AQ125" s="811">
        <f>+AR125+AS125</f>
        <v>465.37100000000004</v>
      </c>
      <c r="AR125" s="727">
        <f>segQtrSales!S127</f>
        <v>319.66000000000003</v>
      </c>
      <c r="AS125" s="727">
        <f>segQtrSales!S280</f>
        <v>145.71100000000001</v>
      </c>
      <c r="AU125" s="22">
        <f>1-AV125</f>
        <v>0.68689282314540434</v>
      </c>
      <c r="AV125" s="22">
        <f>+AS125/(AS125+AR125)</f>
        <v>0.3131071768545956</v>
      </c>
    </row>
    <row r="126" spans="1:48" hidden="1" outlineLevel="1">
      <c r="A126" s="26" t="str">
        <f>$A$14</f>
        <v>3Q</v>
      </c>
      <c r="B126" s="218" t="str">
        <f>$B$14</f>
        <v>Oct</v>
      </c>
      <c r="D126" s="728">
        <f>(S126/S119-1)*100</f>
        <v>14.361275200359881</v>
      </c>
      <c r="E126" s="137"/>
      <c r="F126" s="733">
        <f>'qtrP&amp;L'!BR12</f>
        <v>5.5</v>
      </c>
      <c r="G126" s="137"/>
      <c r="H126" s="728">
        <f>D126-F126</f>
        <v>8.8612752003598807</v>
      </c>
      <c r="I126" s="137"/>
      <c r="J126" s="713">
        <f>598+60+344+20+114+8</f>
        <v>1144</v>
      </c>
      <c r="K126" s="813">
        <f>J126-J125</f>
        <v>26</v>
      </c>
      <c r="L126" s="734">
        <f>AVERAGE(J126,J125)</f>
        <v>1131</v>
      </c>
      <c r="M126" s="137"/>
      <c r="N126" s="728">
        <f>(L126/L119-1)*100</f>
        <v>5.5529631357909448</v>
      </c>
      <c r="O126" s="735"/>
      <c r="P126" s="742">
        <f>H126/N126*100</f>
        <v>159.57741810395993</v>
      </c>
      <c r="Q126" s="220"/>
      <c r="R126" s="137"/>
      <c r="S126" s="727">
        <f>+'qtrP&amp;L'!BP12</f>
        <v>483.02199999999999</v>
      </c>
      <c r="T126" s="137"/>
      <c r="U126" s="697">
        <f>S126/L126</f>
        <v>0.42707515473032714</v>
      </c>
      <c r="W126" s="709">
        <f>(U126/U119-1)*100</f>
        <v>8.3449216420739205</v>
      </c>
      <c r="X126" s="107"/>
      <c r="Z126" s="694">
        <f>turn!AB125</f>
        <v>3.4571287499999994</v>
      </c>
      <c r="AA126" s="713"/>
      <c r="AB126" s="694">
        <f>AVERAGE(Z126,Z125)</f>
        <v>3.4144237499999996</v>
      </c>
      <c r="AD126" s="689">
        <f>(AB126/AB119-1)*100</f>
        <v>5.3645265481835569</v>
      </c>
      <c r="AE126" s="107"/>
      <c r="AF126" s="655">
        <f>+H126/AD126*100</f>
        <v>165.18280077037426</v>
      </c>
      <c r="AG126" s="122"/>
      <c r="AI126" s="696">
        <f>+S126</f>
        <v>483.02199999999999</v>
      </c>
      <c r="AK126" s="698">
        <f>AI126/AB126</f>
        <v>141.46515938450815</v>
      </c>
      <c r="AM126" s="709">
        <f>(AK126/AK119-1)*100</f>
        <v>8.5386884437449453</v>
      </c>
      <c r="AN126" s="107"/>
      <c r="AO126" s="107"/>
      <c r="AP126" s="692">
        <f>+S126-AQ126</f>
        <v>0</v>
      </c>
      <c r="AQ126" s="811">
        <f>+AR126+AS126</f>
        <v>483.02200000000005</v>
      </c>
      <c r="AR126" s="727">
        <f>segQtrSales!S128</f>
        <v>337.62900000000002</v>
      </c>
      <c r="AS126" s="727">
        <f>segQtrSales!S281</f>
        <v>145.393</v>
      </c>
      <c r="AU126" s="22">
        <f>1-AV126</f>
        <v>0.69899300652972329</v>
      </c>
      <c r="AV126" s="22">
        <f>+AS126/(AS126+AR126)</f>
        <v>0.30100699347027671</v>
      </c>
    </row>
    <row r="127" spans="1:48" hidden="1" outlineLevel="1">
      <c r="A127" s="26" t="str">
        <f>$A$15</f>
        <v>4Q</v>
      </c>
      <c r="B127" s="218" t="str">
        <f>$B$15</f>
        <v>Jan</v>
      </c>
      <c r="D127" s="643">
        <f>(S127/S120-1)*100</f>
        <v>17.530293544882937</v>
      </c>
      <c r="F127" s="738">
        <f>'qtrP&amp;L'!BR13</f>
        <v>4.5</v>
      </c>
      <c r="H127" s="643">
        <f>D127-F127</f>
        <v>13.030293544882937</v>
      </c>
      <c r="J127" s="26">
        <f>yrSales!R40</f>
        <v>1151</v>
      </c>
      <c r="K127" s="813">
        <f>J127-J126</f>
        <v>7</v>
      </c>
      <c r="L127" s="662">
        <f>AVERAGE(J127,J126)</f>
        <v>1147.5</v>
      </c>
      <c r="N127" s="643">
        <f>(L127/L120-1)*100</f>
        <v>6.5459610027855053</v>
      </c>
      <c r="O127" s="107"/>
      <c r="P127" s="815">
        <f>H127/N127*100</f>
        <v>199.05852691970134</v>
      </c>
      <c r="Q127" s="122"/>
      <c r="S127" s="701">
        <f>+'qtrP&amp;L'!BP13</f>
        <v>474.97399999999999</v>
      </c>
      <c r="U127" s="702">
        <f>S127/L127</f>
        <v>0.41392069716775598</v>
      </c>
      <c r="W127" s="700">
        <f>(U127/U120-1)*100</f>
        <v>10.309478124478355</v>
      </c>
      <c r="X127" s="107"/>
      <c r="Z127" s="694">
        <f>yrSales!$R$65</f>
        <v>3.4811537499999998</v>
      </c>
      <c r="AA127" s="45"/>
      <c r="AB127" s="703">
        <f>AVERAGE(Z127,Z126)</f>
        <v>3.4691412499999998</v>
      </c>
      <c r="AD127" s="643">
        <f>(AB127/AB120-1)*100</f>
        <v>6.3556119059630989</v>
      </c>
      <c r="AE127" s="107"/>
      <c r="AF127" s="662">
        <f>+H127/AD127*100</f>
        <v>205.02028345464856</v>
      </c>
      <c r="AG127" s="122"/>
      <c r="AI127" s="701">
        <f>+S127</f>
        <v>474.97399999999999</v>
      </c>
      <c r="AK127" s="704">
        <f>AI127/AB127</f>
        <v>136.9139985291749</v>
      </c>
      <c r="AM127" s="700">
        <f>(AK127/AK120-1)*100</f>
        <v>10.506903621409469</v>
      </c>
      <c r="AN127" s="107"/>
      <c r="AO127" s="107"/>
      <c r="AP127" s="692">
        <f>+S127-AQ127</f>
        <v>0</v>
      </c>
      <c r="AQ127" s="811">
        <f>+AR127+AS127</f>
        <v>474.97400000000005</v>
      </c>
      <c r="AR127" s="723">
        <f>segQtrSales!S129</f>
        <v>320.66000000000003</v>
      </c>
      <c r="AS127" s="723">
        <f>segQtrSales!S282</f>
        <v>154.31399999999999</v>
      </c>
      <c r="AU127" s="22">
        <f>1-AV127</f>
        <v>0.67511063763490209</v>
      </c>
      <c r="AV127" s="22">
        <f>+AS127/(AS127+AR127)</f>
        <v>0.32488936236509786</v>
      </c>
    </row>
    <row r="128" spans="1:48" hidden="1" outlineLevel="1">
      <c r="B128" s="218" t="str">
        <f>$B$16</f>
        <v>Year</v>
      </c>
      <c r="D128" s="689">
        <f>(S128/S121-1)*100</f>
        <v>17.968594700471829</v>
      </c>
      <c r="F128" s="690">
        <f>+'qtrP&amp;L'!BR14</f>
        <v>8.3000000000000007</v>
      </c>
      <c r="H128" s="689">
        <f>D128-F128</f>
        <v>9.6685947004718287</v>
      </c>
      <c r="K128" s="813"/>
      <c r="L128" s="699">
        <f>AVERAGE(L124:L127)</f>
        <v>1119.125</v>
      </c>
      <c r="N128" s="689">
        <f>(L128/L121-1)*100</f>
        <v>4.3473193473193561</v>
      </c>
      <c r="O128" s="107"/>
      <c r="P128" s="655">
        <f>H128/N128*100</f>
        <v>222.40359927626844</v>
      </c>
      <c r="Q128" s="122"/>
      <c r="S128" s="692">
        <f>SUM(S124:S127)</f>
        <v>1904.9839999999999</v>
      </c>
      <c r="U128" s="693">
        <f>SUM(U124:U127)</f>
        <v>1.7028691092156982</v>
      </c>
      <c r="W128" s="709">
        <f>(U128/U121-1)*100</f>
        <v>13.096676495922409</v>
      </c>
      <c r="X128" s="107"/>
      <c r="AB128" s="694">
        <f>AVERAGE(AB124:AB127)</f>
        <v>3.3821232812499997</v>
      </c>
      <c r="AD128" s="689">
        <f>(AB128/AB121-1)*100</f>
        <v>4.2881724916534303</v>
      </c>
      <c r="AE128" s="107"/>
      <c r="AF128" s="655">
        <f>+H128/AD128*100</f>
        <v>225.47121691795144</v>
      </c>
      <c r="AG128" s="122"/>
      <c r="AI128" s="692">
        <f>SUM(AI124:AI127)</f>
        <v>1904.9839999999999</v>
      </c>
      <c r="AK128" s="695">
        <f>SUM(AK124:AK127)</f>
        <v>563.45637335977631</v>
      </c>
      <c r="AM128" s="709">
        <f>(AK128/AK121-1)*100</f>
        <v>13.159536666526161</v>
      </c>
      <c r="AN128" s="107"/>
      <c r="AO128" s="107"/>
      <c r="AQ128" s="812">
        <f>+SUM(AQ124:AQ127)</f>
        <v>1904.9550000000004</v>
      </c>
      <c r="AR128" s="324">
        <f>+SUM(AR124:AR127)</f>
        <v>1314.6490000000001</v>
      </c>
      <c r="AS128" s="324">
        <f>+SUM(AS124:AS127)</f>
        <v>590.30600000000004</v>
      </c>
    </row>
    <row r="129" spans="1:48" collapsed="1">
      <c r="B129" s="218"/>
      <c r="D129" s="689"/>
      <c r="F129" s="690"/>
      <c r="H129" s="689"/>
      <c r="K129" s="813"/>
      <c r="L129" s="699"/>
      <c r="N129" s="689"/>
      <c r="O129" s="107"/>
      <c r="P129" s="655"/>
      <c r="Q129" s="122"/>
      <c r="S129" s="692"/>
      <c r="U129" s="693"/>
      <c r="W129" s="709"/>
      <c r="X129" s="107"/>
      <c r="AB129" s="694"/>
      <c r="AD129" s="689"/>
      <c r="AE129" s="107"/>
      <c r="AF129" s="655"/>
      <c r="AG129" s="122"/>
      <c r="AI129" s="692"/>
      <c r="AK129" s="695"/>
      <c r="AM129" s="709"/>
      <c r="AN129" s="107"/>
      <c r="AO129" s="107"/>
      <c r="AQ129" s="324"/>
      <c r="AR129" s="324"/>
      <c r="AS129" s="324"/>
    </row>
    <row r="130" spans="1:48" hidden="1" outlineLevel="1">
      <c r="A130" s="705"/>
      <c r="B130" s="706">
        <v>2011</v>
      </c>
      <c r="E130" s="107"/>
      <c r="G130" s="107"/>
      <c r="I130" s="107"/>
      <c r="O130" s="107"/>
      <c r="P130" s="122"/>
      <c r="Q130" s="122"/>
      <c r="X130" s="107"/>
      <c r="Z130" s="22"/>
      <c r="AE130" s="107"/>
      <c r="AF130" s="122"/>
      <c r="AG130" s="122"/>
      <c r="AN130" s="107"/>
      <c r="AO130" s="107"/>
      <c r="AQ130" s="719"/>
      <c r="AR130" s="809" t="s">
        <v>515</v>
      </c>
      <c r="AS130" s="809" t="s">
        <v>516</v>
      </c>
      <c r="AT130" s="809" t="s">
        <v>287</v>
      </c>
    </row>
    <row r="131" spans="1:48" hidden="1" outlineLevel="1">
      <c r="A131" s="26" t="str">
        <f>$A$12</f>
        <v>1Q</v>
      </c>
      <c r="B131" s="218" t="str">
        <f>$B$12</f>
        <v>Apr</v>
      </c>
      <c r="D131" s="728">
        <f>(S131/S124-1)*100</f>
        <v>11.538908776796752</v>
      </c>
      <c r="E131" s="107" t="s">
        <v>576</v>
      </c>
      <c r="F131" s="733">
        <f>+'qtrP&amp;L'!BV10</f>
        <v>7.7</v>
      </c>
      <c r="G131" s="107" t="s">
        <v>576</v>
      </c>
      <c r="H131" s="728">
        <f>D131-F131</f>
        <v>3.8389087767967522</v>
      </c>
      <c r="I131" s="107" t="s">
        <v>576</v>
      </c>
      <c r="J131" s="713">
        <f>666+374+144</f>
        <v>1184</v>
      </c>
      <c r="K131" s="813">
        <f>J131-J127</f>
        <v>33</v>
      </c>
      <c r="L131" s="699">
        <f>AVERAGE(J131,J127)</f>
        <v>1167.5</v>
      </c>
      <c r="N131" s="689">
        <f>(L131/L124-1)*100</f>
        <v>7.1592473611748586</v>
      </c>
      <c r="O131" s="107" t="s">
        <v>576</v>
      </c>
      <c r="P131" s="742">
        <f>H131/N131*100</f>
        <v>53.621680927180215</v>
      </c>
      <c r="Q131" s="122" t="s">
        <v>576</v>
      </c>
      <c r="S131" s="725">
        <f>+'qtrP&amp;L'!BT10</f>
        <v>537.15800000000002</v>
      </c>
      <c r="U131" s="693">
        <f>S131/L131</f>
        <v>0.46009250535331908</v>
      </c>
      <c r="W131" s="709">
        <f>(U131/U124-1)*100</f>
        <v>4.0870587685825077</v>
      </c>
      <c r="X131" s="107" t="s">
        <v>576</v>
      </c>
      <c r="Z131" s="694">
        <f>+turn!AB130</f>
        <v>3.5741000000000001</v>
      </c>
      <c r="AB131" s="694">
        <f>AVERAGE(Z131,Z127)</f>
        <v>3.5276268750000002</v>
      </c>
      <c r="AD131" s="689">
        <f>(AB131/AB124-1)*100</f>
        <v>6.9635220888595306</v>
      </c>
      <c r="AE131" s="107" t="s">
        <v>576</v>
      </c>
      <c r="AF131" s="655">
        <f>+H131/AD131*100</f>
        <v>55.128837502193953</v>
      </c>
      <c r="AG131" s="122" t="s">
        <v>576</v>
      </c>
      <c r="AI131" s="692">
        <f>+S131</f>
        <v>537.15800000000002</v>
      </c>
      <c r="AJ131" s="107"/>
      <c r="AK131" s="695">
        <f>AI131/AB131</f>
        <v>152.27177335754934</v>
      </c>
      <c r="AM131" s="709">
        <f>(AK131/AK124-1)*100</f>
        <v>4.2775205963545559</v>
      </c>
      <c r="AN131" s="107" t="s">
        <v>576</v>
      </c>
      <c r="AO131" s="107"/>
      <c r="AP131" s="692">
        <f>+S131-AQ131</f>
        <v>0</v>
      </c>
      <c r="AQ131" s="810">
        <f>+AR131+AS131</f>
        <v>537.15800000000002</v>
      </c>
      <c r="AR131" s="725">
        <f>segQtrSales!S133</f>
        <v>374.93400000000003</v>
      </c>
      <c r="AS131" s="725">
        <f>segQtrSales!S286</f>
        <v>162.22399999999999</v>
      </c>
      <c r="AU131" s="22">
        <f>1-AV131</f>
        <v>0.69799574799221087</v>
      </c>
      <c r="AV131" s="22">
        <f>+AS131/(AS131+AR131)</f>
        <v>0.30200425200778913</v>
      </c>
    </row>
    <row r="132" spans="1:48" hidden="1" outlineLevel="1">
      <c r="A132" s="26" t="str">
        <f>$A$13</f>
        <v>2Q</v>
      </c>
      <c r="B132" s="218" t="str">
        <f>$B$13</f>
        <v>Jul</v>
      </c>
      <c r="D132" s="728">
        <f>(S132/S125-1)*100</f>
        <v>18.489256553502376</v>
      </c>
      <c r="F132" s="733">
        <f>+'qtrP&amp;L'!BV11</f>
        <v>12.8</v>
      </c>
      <c r="H132" s="728">
        <f>D132-F132</f>
        <v>5.6892565535023749</v>
      </c>
      <c r="J132" s="713">
        <f>598+77+356+25+148+14</f>
        <v>1218</v>
      </c>
      <c r="K132" s="813">
        <f>J132-J131</f>
        <v>34</v>
      </c>
      <c r="L132" s="699">
        <f>AVERAGE(J132,J131)</f>
        <v>1201</v>
      </c>
      <c r="N132" s="689">
        <f>(L132/L125-1)*100</f>
        <v>8.3446098331078069</v>
      </c>
      <c r="O132" s="107"/>
      <c r="P132" s="742">
        <f>H132/N132*100</f>
        <v>68.178820427647352</v>
      </c>
      <c r="Q132" s="122"/>
      <c r="S132" s="727">
        <f>+'qtrP&amp;L'!BT11</f>
        <v>551.44900000000007</v>
      </c>
      <c r="U132" s="697">
        <f>S132/L132</f>
        <v>0.45915820149875108</v>
      </c>
      <c r="W132" s="709">
        <f>(U132/U125-1)*100</f>
        <v>9.3633146457597007</v>
      </c>
      <c r="X132" s="107"/>
      <c r="Z132" s="694">
        <f>+turn!AB131</f>
        <v>3.6760712499999997</v>
      </c>
      <c r="AA132" s="713"/>
      <c r="AB132" s="694">
        <f>AVERAGE(Z132,Z131)</f>
        <v>3.6250856249999996</v>
      </c>
      <c r="AD132" s="689">
        <f>(AB132/AB125-1)*100</f>
        <v>8.3099196471420722</v>
      </c>
      <c r="AE132" s="107"/>
      <c r="AF132" s="655">
        <f>+H132/AD132*100</f>
        <v>68.463436411915367</v>
      </c>
      <c r="AG132" s="122"/>
      <c r="AI132" s="696">
        <f>+S132</f>
        <v>551.44900000000007</v>
      </c>
      <c r="AK132" s="698">
        <f>AI132/AB132</f>
        <v>152.12026888330399</v>
      </c>
      <c r="AM132" s="709">
        <f>(AK132/AK125-1)*100</f>
        <v>9.3983422197367439</v>
      </c>
      <c r="AN132" s="107"/>
      <c r="AO132" s="107"/>
      <c r="AP132" s="696">
        <f>+S132-AQ132</f>
        <v>0</v>
      </c>
      <c r="AQ132" s="811">
        <f>+AR132+AS132</f>
        <v>551.44900000000007</v>
      </c>
      <c r="AR132" s="727">
        <f>segQtrSales!S134</f>
        <v>374.32400000000001</v>
      </c>
      <c r="AS132" s="727">
        <f>segQtrSales!S287</f>
        <v>177.125</v>
      </c>
      <c r="AU132" s="22">
        <f>1-AV132</f>
        <v>0.6788007594537302</v>
      </c>
      <c r="AV132" s="22">
        <f>+AS132/(AS132+AR132)</f>
        <v>0.32119924054626986</v>
      </c>
    </row>
    <row r="133" spans="1:48" hidden="1" outlineLevel="1">
      <c r="A133" s="26" t="str">
        <f>$A$14</f>
        <v>3Q</v>
      </c>
      <c r="B133" s="218" t="str">
        <f>$B$14</f>
        <v>Oct</v>
      </c>
      <c r="D133" s="728">
        <f>(S133/S126-1)*100</f>
        <v>9.2157293042553157</v>
      </c>
      <c r="E133" s="137"/>
      <c r="F133" s="733">
        <f>+'qtrP&amp;L'!BV12</f>
        <v>3.7</v>
      </c>
      <c r="G133" s="137"/>
      <c r="H133" s="728">
        <f>D133-F133</f>
        <v>5.5157293042553155</v>
      </c>
      <c r="I133" s="137"/>
      <c r="J133" s="713">
        <f>599+82+358+25+168+17</f>
        <v>1249</v>
      </c>
      <c r="K133" s="813">
        <f>J133-J132</f>
        <v>31</v>
      </c>
      <c r="L133" s="734">
        <f>AVERAGE(J133,J132)</f>
        <v>1233.5</v>
      </c>
      <c r="M133" s="137"/>
      <c r="N133" s="728">
        <f>(L133/L126-1)*100</f>
        <v>9.0627763041556175</v>
      </c>
      <c r="O133" s="735"/>
      <c r="P133" s="742">
        <f>H133/N133*100</f>
        <v>60.861364323051312</v>
      </c>
      <c r="Q133" s="220"/>
      <c r="R133" s="137"/>
      <c r="S133" s="727">
        <v>527.53600000000006</v>
      </c>
      <c r="T133" s="137"/>
      <c r="U133" s="697">
        <f>S133/L133</f>
        <v>0.42767409809485207</v>
      </c>
      <c r="W133" s="709">
        <f>(U133/U126-1)*100</f>
        <v>0.14024308318827394</v>
      </c>
      <c r="X133" s="107"/>
      <c r="Z133" s="694">
        <f>+turn!AB132</f>
        <v>3.7595325000000002</v>
      </c>
      <c r="AA133" s="713"/>
      <c r="AB133" s="694">
        <f>AVERAGE(Z133,Z132)</f>
        <v>3.7178018750000001</v>
      </c>
      <c r="AD133" s="689">
        <f>(AB133/AB126-1)*100</f>
        <v>8.8851925599451533</v>
      </c>
      <c r="AE133" s="107"/>
      <c r="AF133" s="655">
        <f>+H133/AD133*100</f>
        <v>62.077768906444085</v>
      </c>
      <c r="AG133" s="122"/>
      <c r="AI133" s="696">
        <f>+S133</f>
        <v>527.53600000000006</v>
      </c>
      <c r="AK133" s="698">
        <f>AI133/AB133</f>
        <v>141.89459732842812</v>
      </c>
      <c r="AM133" s="709">
        <f>(AK133/AK126-1)*100</f>
        <v>0.30356445769996743</v>
      </c>
      <c r="AN133" s="107"/>
      <c r="AO133" s="107"/>
      <c r="AP133" s="696">
        <f>+S133-AQ133</f>
        <v>0</v>
      </c>
      <c r="AQ133" s="816">
        <f>+AR133+AS133</f>
        <v>527.53600000000006</v>
      </c>
      <c r="AR133" s="727">
        <f>segQtrSales!S135</f>
        <v>357.20800000000003</v>
      </c>
      <c r="AS133" s="727">
        <f>segQtrSales!S288</f>
        <v>170.328</v>
      </c>
      <c r="AT133" s="727"/>
      <c r="AU133" s="22">
        <f>1-AV133</f>
        <v>0.67712535258257267</v>
      </c>
      <c r="AV133" s="22">
        <f>+AS133/(AS133+AR133)</f>
        <v>0.32287464741742739</v>
      </c>
    </row>
    <row r="134" spans="1:48" hidden="1" outlineLevel="1">
      <c r="A134" s="26" t="str">
        <f>$A$15</f>
        <v>4Q</v>
      </c>
      <c r="B134" s="218" t="str">
        <f>$B$15</f>
        <v>Jan</v>
      </c>
      <c r="D134" s="643">
        <f>(S134/S127-1)*100</f>
        <v>13.844757818322684</v>
      </c>
      <c r="F134" s="738">
        <f>+'qtrP&amp;L'!BV13</f>
        <v>8.6999999999999993</v>
      </c>
      <c r="H134" s="643">
        <f>D134-F134</f>
        <v>5.1447578183226845</v>
      </c>
      <c r="J134" s="26">
        <f>yrSales!$S$40</f>
        <v>1256</v>
      </c>
      <c r="K134" s="813">
        <f>J134-J133</f>
        <v>7</v>
      </c>
      <c r="L134" s="662">
        <f>AVERAGE(J134,J133)</f>
        <v>1252.5</v>
      </c>
      <c r="N134" s="643">
        <f>(L134/L127-1)*100</f>
        <v>9.1503267973856097</v>
      </c>
      <c r="O134" s="107"/>
      <c r="P134" s="815">
        <f>H134/N134*100</f>
        <v>56.224853300240838</v>
      </c>
      <c r="Q134" s="122"/>
      <c r="S134" s="701">
        <v>540.73299999999995</v>
      </c>
      <c r="U134" s="702">
        <f>S134/L134</f>
        <v>0.43172295409181632</v>
      </c>
      <c r="W134" s="700">
        <f>(U134/U127-1)*100</f>
        <v>4.3008859054094017</v>
      </c>
      <c r="X134" s="107"/>
      <c r="Z134" s="694">
        <f>yrSales!$S$65</f>
        <v>3.7829849999999996</v>
      </c>
      <c r="AA134" s="45"/>
      <c r="AB134" s="703">
        <f>AVERAGE(Z134,Z133)</f>
        <v>3.7712587499999999</v>
      </c>
      <c r="AD134" s="643">
        <f>(AB134/AB127-1)*100</f>
        <v>8.7087114138117094</v>
      </c>
      <c r="AE134" s="107"/>
      <c r="AF134" s="662">
        <f>+H134/AD134*100</f>
        <v>59.075993839493634</v>
      </c>
      <c r="AG134" s="122"/>
      <c r="AI134" s="701">
        <f>+S134</f>
        <v>540.73299999999995</v>
      </c>
      <c r="AK134" s="704">
        <f>AI134/AB134</f>
        <v>143.38263053416847</v>
      </c>
      <c r="AM134" s="700">
        <f>(AK134/AK127-1)*100</f>
        <v>4.7245950556437544</v>
      </c>
      <c r="AN134" s="107"/>
      <c r="AO134" s="107"/>
      <c r="AP134" s="696">
        <f>+S134-AQ134</f>
        <v>0</v>
      </c>
      <c r="AQ134" s="816">
        <f>+AR134+AS134</f>
        <v>540.73300000000006</v>
      </c>
      <c r="AR134" s="723">
        <f>segQtrSales!S136</f>
        <v>354.05200000000002</v>
      </c>
      <c r="AS134" s="723">
        <f>segQtrSales!S289</f>
        <v>186.68100000000001</v>
      </c>
      <c r="AT134" s="727"/>
      <c r="AU134" s="22">
        <f>1-AV134</f>
        <v>0.6547630716083539</v>
      </c>
      <c r="AV134" s="22">
        <f>+AS134/(AS134+AR134)</f>
        <v>0.34523692839164616</v>
      </c>
    </row>
    <row r="135" spans="1:48" hidden="1" outlineLevel="1">
      <c r="B135" s="218" t="str">
        <f>$B$16</f>
        <v>Year</v>
      </c>
      <c r="D135" s="689">
        <f>(S135/S128-1)*100</f>
        <v>13.222788222893222</v>
      </c>
      <c r="F135" s="690">
        <f>F131*S131/S135+F132*S132/S135+F133*S133/S135+F134*S134/S135</f>
        <v>8.2762866757291551</v>
      </c>
      <c r="H135" s="689">
        <f>D135-F135</f>
        <v>4.9465015471640665</v>
      </c>
      <c r="K135" s="813"/>
      <c r="L135" s="699">
        <f>AVERAGE(L131:L134)</f>
        <v>1213.625</v>
      </c>
      <c r="N135" s="689">
        <f>(L135/L128-1)*100</f>
        <v>8.4440969507427752</v>
      </c>
      <c r="O135" s="107"/>
      <c r="P135" s="655">
        <f>H135/N135*100</f>
        <v>58.579402581692918</v>
      </c>
      <c r="Q135" s="122"/>
      <c r="S135" s="692">
        <f>SUM(S131:S134)</f>
        <v>2156.8760000000002</v>
      </c>
      <c r="U135" s="693">
        <f>SUM(U131:U134)</f>
        <v>1.7786477590387386</v>
      </c>
      <c r="W135" s="709">
        <f>(U135/U128-1)*100</f>
        <v>4.4500572247706316</v>
      </c>
      <c r="X135" s="107"/>
      <c r="AB135" s="694">
        <f>AVERAGE(AB131:AB134)</f>
        <v>3.6604432812499996</v>
      </c>
      <c r="AD135" s="689">
        <f>(AB135/AB128-1)*100</f>
        <v>8.2291500591644695</v>
      </c>
      <c r="AE135" s="107"/>
      <c r="AF135" s="655">
        <f>+H135/AD135*100</f>
        <v>60.109507198199033</v>
      </c>
      <c r="AG135" s="122"/>
      <c r="AI135" s="692">
        <f>SUM(AI131:AI134)</f>
        <v>2156.8760000000002</v>
      </c>
      <c r="AK135" s="695">
        <f>SUM(AK131:AK134)</f>
        <v>589.66927010344989</v>
      </c>
      <c r="AM135" s="709">
        <f>(AK135/AK128-1)*100</f>
        <v>4.6521608385350799</v>
      </c>
      <c r="AN135" s="107"/>
      <c r="AO135" s="107"/>
      <c r="AQ135" s="812">
        <f>+SUM(AQ131:AQ134)</f>
        <v>2156.8760000000002</v>
      </c>
      <c r="AR135" s="324">
        <f>+SUM(AR131:AR134)</f>
        <v>1460.518</v>
      </c>
      <c r="AS135" s="324">
        <f>+SUM(AS131:AS134)</f>
        <v>696.35800000000006</v>
      </c>
    </row>
    <row r="136" spans="1:48" hidden="1" outlineLevel="1">
      <c r="B136" s="218"/>
      <c r="D136" s="689"/>
      <c r="F136" s="690"/>
      <c r="H136" s="689"/>
      <c r="K136" s="813"/>
      <c r="L136" s="699"/>
      <c r="N136" s="689"/>
      <c r="O136" s="107"/>
      <c r="P136" s="655"/>
      <c r="Q136" s="122"/>
      <c r="S136" s="692"/>
      <c r="U136" s="693"/>
      <c r="W136" s="709"/>
      <c r="X136" s="107"/>
      <c r="AB136" s="694"/>
      <c r="AD136" s="689"/>
      <c r="AE136" s="107"/>
      <c r="AF136" s="655"/>
      <c r="AG136" s="122"/>
      <c r="AI136" s="692"/>
      <c r="AK136" s="695"/>
      <c r="AM136" s="709"/>
      <c r="AN136" s="107"/>
      <c r="AO136" s="107"/>
      <c r="AQ136" s="324"/>
      <c r="AR136" s="324"/>
      <c r="AS136" s="324"/>
    </row>
    <row r="137" spans="1:48" collapsed="1">
      <c r="A137" s="746"/>
      <c r="B137" s="747">
        <v>2012</v>
      </c>
      <c r="C137" s="137"/>
      <c r="D137" s="137"/>
      <c r="E137" s="735"/>
      <c r="F137" s="137"/>
      <c r="G137" s="735"/>
      <c r="H137" s="137"/>
      <c r="I137" s="735"/>
      <c r="J137" s="137"/>
      <c r="K137" s="137"/>
      <c r="L137" s="137"/>
      <c r="M137" s="137"/>
      <c r="N137" s="137"/>
      <c r="O137" s="735"/>
      <c r="P137" s="220"/>
      <c r="Q137" s="220"/>
      <c r="R137" s="137"/>
      <c r="S137" s="137"/>
      <c r="T137" s="137"/>
      <c r="U137" s="137"/>
      <c r="V137" s="137"/>
      <c r="W137" s="137"/>
      <c r="X137" s="735"/>
      <c r="Y137" s="137"/>
      <c r="Z137" s="673"/>
      <c r="AA137" s="137"/>
      <c r="AB137" s="137"/>
      <c r="AC137" s="137"/>
      <c r="AD137" s="137"/>
      <c r="AE137" s="735"/>
      <c r="AF137" s="220"/>
      <c r="AG137" s="220"/>
      <c r="AH137" s="137"/>
      <c r="AI137" s="137"/>
      <c r="AJ137" s="137"/>
      <c r="AK137" s="137"/>
      <c r="AL137" s="137"/>
      <c r="AM137" s="137"/>
      <c r="AN137" s="735"/>
      <c r="AO137" s="735"/>
      <c r="AP137" s="137"/>
      <c r="AQ137" s="748"/>
      <c r="AR137" s="817" t="s">
        <v>515</v>
      </c>
      <c r="AS137" s="817" t="s">
        <v>516</v>
      </c>
      <c r="AT137" s="817" t="s">
        <v>287</v>
      </c>
      <c r="AU137" s="137"/>
      <c r="AV137" s="137"/>
    </row>
    <row r="138" spans="1:48">
      <c r="A138" s="137" t="str">
        <f>$A$12</f>
        <v>1Q</v>
      </c>
      <c r="B138" s="749" t="str">
        <f>$B$12</f>
        <v>Apr</v>
      </c>
      <c r="C138" s="137"/>
      <c r="D138" s="769">
        <f>(S138/S131-1)*100</f>
        <v>14.876628478026932</v>
      </c>
      <c r="E138" s="735" t="s">
        <v>576</v>
      </c>
      <c r="F138" s="750">
        <f>+'qtrP&amp;L'!BZ10</f>
        <v>9.6</v>
      </c>
      <c r="G138" s="735" t="s">
        <v>576</v>
      </c>
      <c r="H138" s="728">
        <f>D138-F138</f>
        <v>5.2766284780269324</v>
      </c>
      <c r="I138" s="735" t="s">
        <v>576</v>
      </c>
      <c r="J138" s="713">
        <f>603+86+372+30+177+15</f>
        <v>1283</v>
      </c>
      <c r="K138" s="818">
        <f>+J138-J134</f>
        <v>27</v>
      </c>
      <c r="L138" s="734">
        <f>AVERAGE(J138,J134)</f>
        <v>1269.5</v>
      </c>
      <c r="M138" s="137"/>
      <c r="N138" s="728">
        <f>(L138/L131-1)*100</f>
        <v>8.7366167023554588</v>
      </c>
      <c r="O138" s="735" t="s">
        <v>576</v>
      </c>
      <c r="P138" s="742">
        <f>H138/N138*100</f>
        <v>60.396703412710238</v>
      </c>
      <c r="Q138" s="220" t="s">
        <v>576</v>
      </c>
      <c r="R138" s="137"/>
      <c r="S138" s="725">
        <v>617.06899999999996</v>
      </c>
      <c r="T138" s="137"/>
      <c r="U138" s="751">
        <f>S138/L138</f>
        <v>0.48607246947617166</v>
      </c>
      <c r="V138" s="137"/>
      <c r="W138" s="708">
        <f>(U138/U131-1)*100</f>
        <v>5.6466827476143733</v>
      </c>
      <c r="X138" s="735" t="s">
        <v>576</v>
      </c>
      <c r="Y138" s="137"/>
      <c r="Z138" s="732">
        <f>+turn!AB137</f>
        <v>3.8588175000000002</v>
      </c>
      <c r="AA138" s="137"/>
      <c r="AB138" s="732">
        <f>AVERAGE(Z138,Z134)</f>
        <v>3.8209012499999999</v>
      </c>
      <c r="AC138" s="137"/>
      <c r="AD138" s="728">
        <f>(AB138/AB131-1)*100</f>
        <v>8.3136449911528576</v>
      </c>
      <c r="AE138" s="735" t="s">
        <v>576</v>
      </c>
      <c r="AF138" s="731">
        <f>+H138/AD138*100</f>
        <v>63.469494832196574</v>
      </c>
      <c r="AG138" s="220" t="s">
        <v>576</v>
      </c>
      <c r="AH138" s="137"/>
      <c r="AI138" s="725">
        <f>+S138</f>
        <v>617.06899999999996</v>
      </c>
      <c r="AJ138" s="735"/>
      <c r="AK138" s="752">
        <f>AI138/AB138</f>
        <v>161.4982852540353</v>
      </c>
      <c r="AL138" s="137"/>
      <c r="AM138" s="708">
        <f>(AK138/AK131-1)*100</f>
        <v>6.0592398006826809</v>
      </c>
      <c r="AN138" s="735" t="s">
        <v>576</v>
      </c>
      <c r="AO138" s="735"/>
      <c r="AP138" s="725">
        <f>+S138-AQ138</f>
        <v>0</v>
      </c>
      <c r="AQ138" s="810">
        <f>+AR138+AS138</f>
        <v>617.06899999999996</v>
      </c>
      <c r="AR138" s="725">
        <f>segQtrSales!S140</f>
        <v>425.34199999999998</v>
      </c>
      <c r="AS138" s="725">
        <f>segQtrSales!S293</f>
        <v>191.727</v>
      </c>
      <c r="AT138" s="137"/>
      <c r="AU138" s="673">
        <f>1-AV138</f>
        <v>0.68929406597965537</v>
      </c>
      <c r="AV138" s="673">
        <f>+AS138/(AS138+AR138)</f>
        <v>0.31070593402034458</v>
      </c>
    </row>
    <row r="139" spans="1:48">
      <c r="A139" s="137" t="str">
        <f>$A$13</f>
        <v>2Q</v>
      </c>
      <c r="B139" s="749" t="str">
        <f>$B$13</f>
        <v>Jul</v>
      </c>
      <c r="C139" s="137"/>
      <c r="D139" s="769">
        <f>(S139/S132-1)*100</f>
        <v>10.457358704068721</v>
      </c>
      <c r="E139" s="137"/>
      <c r="F139" s="750">
        <f>+'qtrP&amp;L'!BZ11</f>
        <v>5.6</v>
      </c>
      <c r="G139" s="137"/>
      <c r="H139" s="728">
        <f>D139-F139</f>
        <v>4.8573587040687212</v>
      </c>
      <c r="I139" s="137"/>
      <c r="J139" s="713">
        <f>606+89+383+37+185+15</f>
        <v>1315</v>
      </c>
      <c r="K139" s="818">
        <f>+J139-J138</f>
        <v>32</v>
      </c>
      <c r="L139" s="734">
        <f>AVERAGE(J139,J138)</f>
        <v>1299</v>
      </c>
      <c r="M139" s="137"/>
      <c r="N139" s="728">
        <f>(L139/L132-1)*100</f>
        <v>8.159866777685254</v>
      </c>
      <c r="O139" s="735"/>
      <c r="P139" s="742">
        <f>H139/N139*100</f>
        <v>59.527426567209595</v>
      </c>
      <c r="Q139" s="220"/>
      <c r="R139" s="137"/>
      <c r="S139" s="727">
        <v>609.11599999999999</v>
      </c>
      <c r="T139" s="137"/>
      <c r="U139" s="755">
        <f>S139/L139</f>
        <v>0.4689114703618168</v>
      </c>
      <c r="V139" s="137"/>
      <c r="W139" s="708">
        <f>(U139/U132-1)*100</f>
        <v>2.124163051259842</v>
      </c>
      <c r="X139" s="735"/>
      <c r="Y139" s="137"/>
      <c r="Z139" s="732">
        <f>+turn!AB138</f>
        <v>3.9495424999999997</v>
      </c>
      <c r="AA139" s="713"/>
      <c r="AB139" s="732">
        <f>AVERAGE(Z139,Z138)</f>
        <v>3.9041800000000002</v>
      </c>
      <c r="AC139" s="137"/>
      <c r="AD139" s="728">
        <f>(AB139/AB132-1)*100</f>
        <v>7.6989733173544073</v>
      </c>
      <c r="AE139" s="735"/>
      <c r="AF139" s="731">
        <f>+H139/AD139*100</f>
        <v>63.09099283562464</v>
      </c>
      <c r="AG139" s="220"/>
      <c r="AH139" s="137"/>
      <c r="AI139" s="727">
        <f>+S139</f>
        <v>609.11599999999999</v>
      </c>
      <c r="AJ139" s="137"/>
      <c r="AK139" s="756">
        <f>AI139/AB139</f>
        <v>156.01637219595406</v>
      </c>
      <c r="AL139" s="137"/>
      <c r="AM139" s="708">
        <f>(AK139/AK132-1)*100</f>
        <v>2.5611993334293093</v>
      </c>
      <c r="AN139" s="735"/>
      <c r="AO139" s="735"/>
      <c r="AP139" s="727">
        <f>+S139-AQ139</f>
        <v>0</v>
      </c>
      <c r="AQ139" s="819">
        <f>+AR139+AS139</f>
        <v>609.11599999999999</v>
      </c>
      <c r="AR139" s="727">
        <f>segQtrSales!S141</f>
        <v>414.61799999999999</v>
      </c>
      <c r="AS139" s="727">
        <f>segQtrSales!S294</f>
        <v>194.49799999999999</v>
      </c>
      <c r="AT139" s="137"/>
      <c r="AU139" s="673">
        <f>1-AV139</f>
        <v>0.68068807911793483</v>
      </c>
      <c r="AV139" s="673">
        <f>+AS139/(AS139+AR139)</f>
        <v>0.31931192088206517</v>
      </c>
    </row>
    <row r="140" spans="1:48">
      <c r="A140" s="137" t="str">
        <f>$A$14</f>
        <v>3Q</v>
      </c>
      <c r="B140" s="749" t="str">
        <f>$B$14</f>
        <v>Oct</v>
      </c>
      <c r="C140" s="137"/>
      <c r="D140" s="769">
        <f>(S140/S133-1)*100</f>
        <v>15.427004033847913</v>
      </c>
      <c r="E140" s="137"/>
      <c r="F140" s="750">
        <f>+'qtrP&amp;L'!BZ12</f>
        <v>9.9</v>
      </c>
      <c r="G140" s="137"/>
      <c r="H140" s="728">
        <f>D140-F140</f>
        <v>5.5270040338479127</v>
      </c>
      <c r="I140" s="137"/>
      <c r="J140" s="713">
        <v>1355</v>
      </c>
      <c r="K140" s="818">
        <f>+J140-J139</f>
        <v>40</v>
      </c>
      <c r="L140" s="734">
        <f>AVERAGE(J140,J139)</f>
        <v>1335</v>
      </c>
      <c r="M140" s="137"/>
      <c r="N140" s="728">
        <f>(L140/L133-1)*100</f>
        <v>8.2286177543575256</v>
      </c>
      <c r="O140" s="735"/>
      <c r="P140" s="742">
        <f>H140/N140*100</f>
        <v>67.168073652723109</v>
      </c>
      <c r="Q140" s="220"/>
      <c r="R140" s="137"/>
      <c r="S140" s="727">
        <v>608.91899999999998</v>
      </c>
      <c r="T140" s="137"/>
      <c r="U140" s="755">
        <f>S140/L140</f>
        <v>0.45611910112359549</v>
      </c>
      <c r="V140" s="137"/>
      <c r="W140" s="708">
        <f>(U140/U133-1)*100</f>
        <v>6.6510932402632283</v>
      </c>
      <c r="X140" s="735"/>
      <c r="Y140" s="137"/>
      <c r="Z140" s="732">
        <f>+turn!AB139</f>
        <v>4.0675112499999999</v>
      </c>
      <c r="AA140" s="713"/>
      <c r="AB140" s="732">
        <f>AVERAGE(Z140,Z139)</f>
        <v>4.0085268749999994</v>
      </c>
      <c r="AC140" s="137"/>
      <c r="AD140" s="728">
        <f>(AB140/AB133-1)*100</f>
        <v>7.8198088487434259</v>
      </c>
      <c r="AE140" s="735"/>
      <c r="AF140" s="731">
        <f>+H140/AD140*100</f>
        <v>70.679528627302105</v>
      </c>
      <c r="AG140" s="220"/>
      <c r="AH140" s="137"/>
      <c r="AI140" s="727">
        <f>+S140</f>
        <v>608.91899999999998</v>
      </c>
      <c r="AJ140" s="137"/>
      <c r="AK140" s="756">
        <f>AI140/AB140</f>
        <v>151.90592928231274</v>
      </c>
      <c r="AL140" s="137"/>
      <c r="AM140" s="708">
        <f>(AK140/AK133-1)*100</f>
        <v>7.0554708511646025</v>
      </c>
      <c r="AN140" s="735"/>
      <c r="AO140" s="735"/>
      <c r="AP140" s="727">
        <f>+S140-AQ140</f>
        <v>0</v>
      </c>
      <c r="AQ140" s="820">
        <f>+AR140+AS140</f>
        <v>608.91899999999998</v>
      </c>
      <c r="AR140" s="727">
        <f>segQtrSales!S142</f>
        <v>411.67099999999999</v>
      </c>
      <c r="AS140" s="727">
        <f>segQtrSales!S295</f>
        <v>197.24799999999999</v>
      </c>
      <c r="AT140" s="727"/>
      <c r="AU140" s="673">
        <f>1-AV140</f>
        <v>0.6760685739811042</v>
      </c>
      <c r="AV140" s="673">
        <f>+AS140/(AS140+AR140)</f>
        <v>0.3239314260188958</v>
      </c>
    </row>
    <row r="141" spans="1:48">
      <c r="A141" s="137" t="str">
        <f>$A$15</f>
        <v>4Q</v>
      </c>
      <c r="B141" s="749" t="str">
        <f>$B$15</f>
        <v>Jan</v>
      </c>
      <c r="C141" s="137"/>
      <c r="D141" s="744">
        <f>(S141/S134-1)*100</f>
        <v>15.056229229582808</v>
      </c>
      <c r="E141" s="137"/>
      <c r="F141" s="738">
        <f>+'qtrP&amp;L'!BZ13</f>
        <v>3.7</v>
      </c>
      <c r="G141" s="137"/>
      <c r="H141" s="744">
        <f>D141-F141</f>
        <v>11.356229229582809</v>
      </c>
      <c r="I141" s="137"/>
      <c r="J141" s="821">
        <v>1357</v>
      </c>
      <c r="K141" s="818">
        <f>J141-J140</f>
        <v>2</v>
      </c>
      <c r="L141" s="736">
        <f>AVERAGE(J141,J140)</f>
        <v>1356</v>
      </c>
      <c r="M141" s="137"/>
      <c r="N141" s="744">
        <f>(L141/L134-1)*100</f>
        <v>8.2634730538922128</v>
      </c>
      <c r="O141" s="735"/>
      <c r="P141" s="742">
        <f>H141/N141*100</f>
        <v>137.42683198118331</v>
      </c>
      <c r="Q141" s="220"/>
      <c r="R141" s="137"/>
      <c r="S141" s="729">
        <v>622.14699999999993</v>
      </c>
      <c r="T141" s="137"/>
      <c r="U141" s="758">
        <f>S141/L141</f>
        <v>0.45881047197640112</v>
      </c>
      <c r="V141" s="137"/>
      <c r="W141" s="759">
        <f>(U141/U134-1)*100</f>
        <v>6.2742825295372118</v>
      </c>
      <c r="X141" s="735"/>
      <c r="Y141" s="137"/>
      <c r="Z141" s="732">
        <f>yrSales!$T$65</f>
        <v>4.08930375</v>
      </c>
      <c r="AA141" s="713"/>
      <c r="AB141" s="760">
        <f>AVERAGE(Z141,Z140)</f>
        <v>4.0784075</v>
      </c>
      <c r="AC141" s="137"/>
      <c r="AD141" s="744">
        <f>(AB141/AB134-1)*100</f>
        <v>8.1444623761230961</v>
      </c>
      <c r="AE141" s="735"/>
      <c r="AF141" s="736">
        <f>+H141/AD141*100</f>
        <v>139.4349768607878</v>
      </c>
      <c r="AG141" s="220"/>
      <c r="AH141" s="137"/>
      <c r="AI141" s="729">
        <f>+S141</f>
        <v>622.14699999999993</v>
      </c>
      <c r="AJ141" s="137"/>
      <c r="AK141" s="761">
        <f>AI141/AB141</f>
        <v>152.54655156455061</v>
      </c>
      <c r="AL141" s="137"/>
      <c r="AM141" s="759">
        <f>(AK141/AK134-1)*100</f>
        <v>6.3912351142130452</v>
      </c>
      <c r="AN141" s="735"/>
      <c r="AO141" s="735"/>
      <c r="AP141" s="727">
        <f>+S141-AQ141</f>
        <v>9.9999999997635314E-4</v>
      </c>
      <c r="AQ141" s="820">
        <f>+AR141+AS141</f>
        <v>622.14599999999996</v>
      </c>
      <c r="AR141" s="723">
        <f>segQtrSales!S143</f>
        <v>395.84399999999999</v>
      </c>
      <c r="AS141" s="723">
        <f>segQtrSales!S296</f>
        <v>226.30199999999999</v>
      </c>
      <c r="AT141" s="727"/>
      <c r="AU141" s="673">
        <f>1-AV141</f>
        <v>0.63625579847817071</v>
      </c>
      <c r="AV141" s="673">
        <f>+AS141/(AS141+AR141)</f>
        <v>0.36374420152182929</v>
      </c>
    </row>
    <row r="142" spans="1:48">
      <c r="A142" s="137"/>
      <c r="B142" s="749" t="str">
        <f>$B$16</f>
        <v>Year</v>
      </c>
      <c r="C142" s="137"/>
      <c r="D142" s="728">
        <f>(S142/S135-1)*100</f>
        <v>13.926391688720141</v>
      </c>
      <c r="E142" s="137"/>
      <c r="F142" s="762">
        <f>F138*S138/S142+F139*S139/S142+F140*S140/S142+F141*S141/S142</f>
        <v>7.1889904612919073</v>
      </c>
      <c r="G142" s="137"/>
      <c r="H142" s="728">
        <f>D142-F142</f>
        <v>6.7374012274282338</v>
      </c>
      <c r="I142" s="137"/>
      <c r="J142" s="137"/>
      <c r="K142" s="818"/>
      <c r="L142" s="734">
        <f>AVERAGE(L138:L141)</f>
        <v>1314.875</v>
      </c>
      <c r="M142" s="137"/>
      <c r="N142" s="728">
        <f>(L142/L135-1)*100</f>
        <v>8.3427747450818934</v>
      </c>
      <c r="O142" s="735"/>
      <c r="P142" s="731">
        <f>H142/N142*100</f>
        <v>80.757319156914363</v>
      </c>
      <c r="Q142" s="220"/>
      <c r="R142" s="137"/>
      <c r="S142" s="725">
        <f>SUM(S138:S141)</f>
        <v>2457.2509999999997</v>
      </c>
      <c r="T142" s="137"/>
      <c r="U142" s="751">
        <f>SUM(U138:U141)</f>
        <v>1.8699135129379849</v>
      </c>
      <c r="V142" s="137"/>
      <c r="W142" s="708">
        <f>(U142/U135-1)*100</f>
        <v>5.1311876359696029</v>
      </c>
      <c r="X142" s="735"/>
      <c r="Y142" s="137"/>
      <c r="Z142" s="137"/>
      <c r="AA142" s="137"/>
      <c r="AB142" s="732">
        <f>AVERAGE(AB138:AB141)</f>
        <v>3.9530039062500002</v>
      </c>
      <c r="AC142" s="137"/>
      <c r="AD142" s="728">
        <f>(AB142/AB135-1)*100</f>
        <v>7.9924916880584673</v>
      </c>
      <c r="AE142" s="735"/>
      <c r="AF142" s="731">
        <f>+H142/AD142*100</f>
        <v>84.296631018015873</v>
      </c>
      <c r="AG142" s="220"/>
      <c r="AH142" s="137"/>
      <c r="AI142" s="725">
        <f>SUM(AI138:AI141)</f>
        <v>2457.2509999999997</v>
      </c>
      <c r="AJ142" s="137"/>
      <c r="AK142" s="752">
        <f>SUM(AK138:AK141)</f>
        <v>621.96713829685268</v>
      </c>
      <c r="AL142" s="137"/>
      <c r="AM142" s="708">
        <f>(AK142/AK135-1)*100</f>
        <v>5.4772852904029667</v>
      </c>
      <c r="AN142" s="735"/>
      <c r="AO142" s="735"/>
      <c r="AP142" s="137"/>
      <c r="AQ142" s="822">
        <f>+SUM(AQ138:AQ141)</f>
        <v>2457.25</v>
      </c>
      <c r="AR142" s="823">
        <f>+SUM(AR138:AR141)</f>
        <v>1647.4750000000001</v>
      </c>
      <c r="AS142" s="823">
        <f>+SUM(AS138:AS141)</f>
        <v>809.77499999999998</v>
      </c>
      <c r="AT142" s="137"/>
      <c r="AU142" s="137"/>
      <c r="AV142" s="137"/>
    </row>
    <row r="143" spans="1:48">
      <c r="A143" s="137"/>
      <c r="B143" s="749"/>
      <c r="C143" s="137"/>
      <c r="D143" s="728"/>
      <c r="E143" s="137"/>
      <c r="F143" s="762"/>
      <c r="G143" s="137"/>
      <c r="H143" s="728"/>
      <c r="I143" s="137"/>
      <c r="J143" s="137"/>
      <c r="K143" s="818"/>
      <c r="L143" s="734"/>
      <c r="M143" s="137"/>
      <c r="N143" s="728"/>
      <c r="O143" s="735"/>
      <c r="P143" s="731"/>
      <c r="Q143" s="220"/>
      <c r="R143" s="137"/>
      <c r="S143" s="725"/>
      <c r="T143" s="137"/>
      <c r="U143" s="751"/>
      <c r="V143" s="137"/>
      <c r="W143" s="708"/>
      <c r="X143" s="735"/>
      <c r="Y143" s="137"/>
      <c r="Z143" s="137"/>
      <c r="AA143" s="137"/>
      <c r="AB143" s="732"/>
      <c r="AC143" s="137"/>
      <c r="AD143" s="728"/>
      <c r="AE143" s="735"/>
      <c r="AF143" s="731"/>
      <c r="AG143" s="220"/>
      <c r="AH143" s="137"/>
      <c r="AI143" s="725"/>
      <c r="AJ143" s="137"/>
      <c r="AK143" s="752"/>
      <c r="AL143" s="137"/>
      <c r="AM143" s="708"/>
      <c r="AN143" s="735"/>
      <c r="AO143" s="735"/>
      <c r="AP143" s="137"/>
      <c r="AQ143" s="823"/>
      <c r="AR143" s="823"/>
      <c r="AS143" s="823"/>
      <c r="AT143" s="137"/>
      <c r="AU143" s="137"/>
      <c r="AV143" s="137"/>
    </row>
    <row r="144" spans="1:48">
      <c r="A144" s="746"/>
      <c r="B144" s="747">
        <v>2013</v>
      </c>
      <c r="C144" s="137"/>
      <c r="D144" s="728"/>
      <c r="E144" s="137"/>
      <c r="F144" s="762"/>
      <c r="G144" s="137"/>
      <c r="H144" s="728"/>
      <c r="I144" s="137"/>
      <c r="J144" s="137"/>
      <c r="K144" s="818"/>
      <c r="L144" s="734"/>
      <c r="M144" s="137"/>
      <c r="N144" s="728"/>
      <c r="O144" s="735"/>
      <c r="P144" s="731"/>
      <c r="Q144" s="220"/>
      <c r="R144" s="137"/>
      <c r="S144" s="725"/>
      <c r="T144" s="137"/>
      <c r="U144" s="751"/>
      <c r="V144" s="137"/>
      <c r="W144" s="708"/>
      <c r="X144" s="735"/>
      <c r="Y144" s="137"/>
      <c r="Z144" s="137"/>
      <c r="AA144" s="137"/>
      <c r="AB144" s="732"/>
      <c r="AC144" s="137"/>
      <c r="AD144" s="728"/>
      <c r="AE144" s="735"/>
      <c r="AF144" s="731"/>
      <c r="AG144" s="220"/>
      <c r="AH144" s="137"/>
      <c r="AI144" s="725"/>
      <c r="AJ144" s="137"/>
      <c r="AK144" s="752"/>
      <c r="AL144" s="137"/>
      <c r="AM144" s="708"/>
      <c r="AN144" s="735"/>
      <c r="AO144" s="735"/>
      <c r="AP144" s="137"/>
      <c r="AQ144" s="823"/>
      <c r="AR144" s="817" t="s">
        <v>515</v>
      </c>
      <c r="AS144" s="817" t="s">
        <v>516</v>
      </c>
      <c r="AT144" s="817" t="s">
        <v>287</v>
      </c>
      <c r="AU144" s="137"/>
      <c r="AV144" s="137"/>
    </row>
    <row r="145" spans="1:48">
      <c r="A145" s="137" t="str">
        <f>$A$12</f>
        <v>1Q</v>
      </c>
      <c r="B145" s="749" t="str">
        <f>$B$12</f>
        <v>Apr</v>
      </c>
      <c r="C145" s="137"/>
      <c r="D145" s="769">
        <f>(S145/S138-1)*100</f>
        <v>4.5359595118211971</v>
      </c>
      <c r="E145" s="735" t="s">
        <v>576</v>
      </c>
      <c r="F145" s="750">
        <f>'qtrP&amp;L'!CD10</f>
        <v>0</v>
      </c>
      <c r="G145" s="735" t="s">
        <v>576</v>
      </c>
      <c r="H145" s="728">
        <f>D145-F145</f>
        <v>4.5359595118211971</v>
      </c>
      <c r="I145" s="735" t="s">
        <v>576</v>
      </c>
      <c r="J145" s="713">
        <v>1397</v>
      </c>
      <c r="K145" s="818">
        <f>+J145-J141</f>
        <v>40</v>
      </c>
      <c r="L145" s="734">
        <f>AVERAGE(J145,J141)</f>
        <v>1377</v>
      </c>
      <c r="M145" s="137"/>
      <c r="N145" s="728">
        <f>(L145/L138-1)*100</f>
        <v>8.4679007483261071</v>
      </c>
      <c r="O145" s="735" t="s">
        <v>576</v>
      </c>
      <c r="P145" s="742">
        <f>H145/N145*100</f>
        <v>53.566517211693146</v>
      </c>
      <c r="Q145" s="735" t="s">
        <v>576</v>
      </c>
      <c r="R145" s="137"/>
      <c r="S145" s="725">
        <v>645.05899999999997</v>
      </c>
      <c r="T145" s="137"/>
      <c r="U145" s="751">
        <f>S145/L145</f>
        <v>0.46845243282498183</v>
      </c>
      <c r="V145" s="137"/>
      <c r="W145" s="708">
        <f>(U145/U138-1)*100</f>
        <v>-3.624981408673178</v>
      </c>
      <c r="X145" s="735" t="s">
        <v>576</v>
      </c>
      <c r="Y145" s="137"/>
      <c r="Z145" s="732">
        <f>+turn!AB144</f>
        <v>4.2079149999999998</v>
      </c>
      <c r="AA145" s="137"/>
      <c r="AB145" s="732">
        <f>AVERAGE(Z145,Z141)</f>
        <v>4.1486093749999995</v>
      </c>
      <c r="AC145" s="137"/>
      <c r="AD145" s="728">
        <f>(AB145/AB138-1)*100</f>
        <v>8.5767232272752292</v>
      </c>
      <c r="AE145" s="735" t="s">
        <v>576</v>
      </c>
      <c r="AF145" s="731">
        <f>+H145/AD145*100</f>
        <v>52.886858904297917</v>
      </c>
      <c r="AG145" s="735" t="s">
        <v>576</v>
      </c>
      <c r="AH145" s="137"/>
      <c r="AI145" s="725">
        <f>+S145</f>
        <v>645.05899999999997</v>
      </c>
      <c r="AJ145" s="137"/>
      <c r="AK145" s="752">
        <f>AI145/AB145</f>
        <v>155.48800614663801</v>
      </c>
      <c r="AL145" s="137"/>
      <c r="AM145" s="708">
        <f>(AK145/AK138-1)*100</f>
        <v>-3.7215745652922405</v>
      </c>
      <c r="AN145" s="735" t="s">
        <v>576</v>
      </c>
      <c r="AO145" s="735"/>
      <c r="AP145" s="725">
        <f>+S145-AQ145</f>
        <v>0</v>
      </c>
      <c r="AQ145" s="810">
        <f>+AR145+AS145</f>
        <v>645.05899999999997</v>
      </c>
      <c r="AR145" s="725">
        <f>segQtrSales!S147</f>
        <v>424.661</v>
      </c>
      <c r="AS145" s="725">
        <f>segQtrSales!S300</f>
        <v>220.398</v>
      </c>
      <c r="AT145" s="137"/>
      <c r="AU145" s="673">
        <f>1-AV145</f>
        <v>0.65832892805154253</v>
      </c>
      <c r="AV145" s="673">
        <f>+AS145/(AS145+AR145)</f>
        <v>0.34167107194845742</v>
      </c>
    </row>
    <row r="146" spans="1:48">
      <c r="A146" s="137" t="str">
        <f>$A$13</f>
        <v>2Q</v>
      </c>
      <c r="B146" s="749" t="str">
        <f>$B$13</f>
        <v>Jul</v>
      </c>
      <c r="C146" s="137"/>
      <c r="D146" s="769">
        <f>(S146/S139-1)*100</f>
        <v>1.7579574333952852</v>
      </c>
      <c r="E146" s="137"/>
      <c r="F146" s="750">
        <f>'qtrP&amp;L'!CD11</f>
        <v>-2.6</v>
      </c>
      <c r="G146" s="137"/>
      <c r="H146" s="728">
        <f>D146-F146</f>
        <v>4.3579574333952849</v>
      </c>
      <c r="I146" s="137"/>
      <c r="J146" s="713">
        <v>1427</v>
      </c>
      <c r="K146" s="818">
        <f>+J146-J145</f>
        <v>30</v>
      </c>
      <c r="L146" s="734">
        <f>AVERAGE(J146,J145)</f>
        <v>1412</v>
      </c>
      <c r="M146" s="137"/>
      <c r="N146" s="728">
        <f>(L146/L139-1)*100</f>
        <v>8.6989992301770513</v>
      </c>
      <c r="O146" s="735"/>
      <c r="P146" s="742">
        <f>H146/N146*100</f>
        <v>50.097227486552917</v>
      </c>
      <c r="Q146" s="220"/>
      <c r="R146" s="137"/>
      <c r="S146" s="221">
        <v>619.82400000000007</v>
      </c>
      <c r="T146" s="137"/>
      <c r="U146" s="755">
        <f>S146/L146</f>
        <v>0.43896883852691221</v>
      </c>
      <c r="V146" s="137"/>
      <c r="W146" s="708">
        <f>(U146/U139-1)*100</f>
        <v>-6.3855618229600069</v>
      </c>
      <c r="X146" s="735"/>
      <c r="Y146" s="137"/>
      <c r="Z146" s="732">
        <f>+turn!AB145</f>
        <v>4.2951099999999993</v>
      </c>
      <c r="AA146" s="137"/>
      <c r="AB146" s="732">
        <f>AVERAGE(Z146,Z145)</f>
        <v>4.2515124999999996</v>
      </c>
      <c r="AC146" s="137"/>
      <c r="AD146" s="728">
        <f>(AB146/AB139-1)*100</f>
        <v>8.8964263942748367</v>
      </c>
      <c r="AE146" s="735"/>
      <c r="AF146" s="731">
        <f>+H146/AD146*100</f>
        <v>48.98548293728124</v>
      </c>
      <c r="AG146" s="220"/>
      <c r="AH146" s="137"/>
      <c r="AI146" s="727">
        <f>+S146</f>
        <v>619.82400000000007</v>
      </c>
      <c r="AJ146" s="137"/>
      <c r="AK146" s="756">
        <f>AI146/AB146</f>
        <v>145.78905742368161</v>
      </c>
      <c r="AL146" s="137"/>
      <c r="AM146" s="708">
        <f>(AK146/AK139-1)*100</f>
        <v>-6.5552830310828591</v>
      </c>
      <c r="AN146" s="735"/>
      <c r="AO146" s="735"/>
      <c r="AP146" s="727">
        <f>+S146-AQ146</f>
        <v>0</v>
      </c>
      <c r="AQ146" s="819">
        <f>+AR146+AS146</f>
        <v>619.82399999999996</v>
      </c>
      <c r="AR146" s="725">
        <f>segQtrSales!S148</f>
        <v>414.73399999999998</v>
      </c>
      <c r="AS146" s="725">
        <f>segQtrSales!S301</f>
        <v>205.09</v>
      </c>
      <c r="AT146" s="137"/>
      <c r="AU146" s="673">
        <f>1-AV146</f>
        <v>0.66911574898680914</v>
      </c>
      <c r="AV146" s="673">
        <f>+AS146/(AS146+AR146)</f>
        <v>0.33088425101319086</v>
      </c>
    </row>
    <row r="147" spans="1:48">
      <c r="A147" s="137" t="str">
        <f>$A$14</f>
        <v>3Q</v>
      </c>
      <c r="B147" s="749" t="str">
        <f>$B$14</f>
        <v>Oct</v>
      </c>
      <c r="C147" s="137"/>
      <c r="D147" s="769">
        <f>(S147/S140-1)*100</f>
        <v>4.1220589273778696</v>
      </c>
      <c r="E147" s="137"/>
      <c r="F147" s="750">
        <f>'qtrP&amp;L'!CD12</f>
        <v>-1.4</v>
      </c>
      <c r="G147" s="137"/>
      <c r="H147" s="728">
        <f>D147-F147</f>
        <v>5.52205892737787</v>
      </c>
      <c r="I147" s="137"/>
      <c r="J147" s="713">
        <v>1470</v>
      </c>
      <c r="K147" s="818">
        <f>+J147-J146</f>
        <v>43</v>
      </c>
      <c r="L147" s="734">
        <f>AVERAGE(J147,J146)</f>
        <v>1448.5</v>
      </c>
      <c r="M147" s="137"/>
      <c r="N147" s="728">
        <f>(L147/L140-1)*100</f>
        <v>8.5018726591760352</v>
      </c>
      <c r="O147" s="735"/>
      <c r="P147" s="742">
        <f>H147/N147*100</f>
        <v>64.951089586338782</v>
      </c>
      <c r="Q147" s="220"/>
      <c r="R147" s="137"/>
      <c r="S147" s="221">
        <v>634.01900000000001</v>
      </c>
      <c r="T147" s="137"/>
      <c r="U147" s="755">
        <f>S147/L147</f>
        <v>0.43770728339661719</v>
      </c>
      <c r="V147" s="137"/>
      <c r="W147" s="708">
        <f>(U147/U140-1)*100</f>
        <v>-4.036625013428063</v>
      </c>
      <c r="X147" s="735"/>
      <c r="Y147" s="137"/>
      <c r="Z147" s="732">
        <f>+turn!AB146</f>
        <v>4.4181599999999994</v>
      </c>
      <c r="AA147" s="137"/>
      <c r="AB147" s="732">
        <f>AVERAGE(Z147,Z146)</f>
        <v>4.3566349999999989</v>
      </c>
      <c r="AC147" s="137"/>
      <c r="AD147" s="728">
        <f>(AB147/AB140-1)*100</f>
        <v>8.6841908724885286</v>
      </c>
      <c r="AE147" s="735"/>
      <c r="AF147" s="731">
        <f>+H147/AD147*100</f>
        <v>63.587489133521046</v>
      </c>
      <c r="AG147" s="220"/>
      <c r="AH147" s="137"/>
      <c r="AI147" s="727">
        <f>+S147</f>
        <v>634.01900000000001</v>
      </c>
      <c r="AJ147" s="137"/>
      <c r="AK147" s="756">
        <f>AI147/AB147</f>
        <v>145.52951991617388</v>
      </c>
      <c r="AL147" s="137"/>
      <c r="AM147" s="708">
        <f>(AK147/AK140-1)*100</f>
        <v>-4.197604001545252</v>
      </c>
      <c r="AN147" s="735"/>
      <c r="AO147" s="735"/>
      <c r="AP147" s="727">
        <f>+S147-AQ147</f>
        <v>0</v>
      </c>
      <c r="AQ147" s="820">
        <f>+AR147+AS147</f>
        <v>634.01900000000001</v>
      </c>
      <c r="AR147" s="725">
        <f>segQtrSales!S149</f>
        <v>415.81900000000002</v>
      </c>
      <c r="AS147" s="725">
        <f>segQtrSales!S302</f>
        <v>218.2</v>
      </c>
      <c r="AT147" s="137"/>
      <c r="AU147" s="673">
        <f>1-AV147</f>
        <v>0.65584627590024902</v>
      </c>
      <c r="AV147" s="673">
        <f>+AS147/(AS147+AR147)</f>
        <v>0.34415372409975092</v>
      </c>
    </row>
    <row r="148" spans="1:48">
      <c r="A148" s="137" t="str">
        <f>$A$15</f>
        <v>4Q</v>
      </c>
      <c r="B148" s="749" t="str">
        <f>$B$15</f>
        <v>Jan</v>
      </c>
      <c r="C148" s="137"/>
      <c r="D148" s="744">
        <f>(S148/S141-1)*100</f>
        <v>-5.1322275925143046</v>
      </c>
      <c r="E148" s="137"/>
      <c r="F148" s="738">
        <f>'qtrP&amp;L'!CD13</f>
        <v>-3.4</v>
      </c>
      <c r="G148" s="137"/>
      <c r="H148" s="744">
        <f>D148-F148</f>
        <v>-1.7322275925143047</v>
      </c>
      <c r="I148" s="137"/>
      <c r="J148" s="713">
        <v>1472</v>
      </c>
      <c r="K148" s="818">
        <f>J148-J147</f>
        <v>2</v>
      </c>
      <c r="L148" s="736">
        <f>AVERAGE(J148,J147)</f>
        <v>1471</v>
      </c>
      <c r="M148" s="137"/>
      <c r="N148" s="744">
        <f>(L148/L141-1)*100</f>
        <v>8.480825958702054</v>
      </c>
      <c r="O148" s="735"/>
      <c r="P148" s="815">
        <f>H148/N148*100</f>
        <v>-20.425222743038262</v>
      </c>
      <c r="Q148" s="220"/>
      <c r="R148" s="137"/>
      <c r="S148" s="729">
        <v>590.21699999999998</v>
      </c>
      <c r="T148" s="137"/>
      <c r="U148" s="758">
        <f>S148/L148</f>
        <v>0.40123521414004076</v>
      </c>
      <c r="V148" s="137"/>
      <c r="W148" s="759">
        <f>(U148/U141-1)*100</f>
        <v>-12.548810751495164</v>
      </c>
      <c r="X148" s="735"/>
      <c r="Y148" s="137"/>
      <c r="Z148" s="732">
        <f>yrSales!$U$65</f>
        <v>4.4334749999999996</v>
      </c>
      <c r="AA148" s="137"/>
      <c r="AB148" s="760">
        <f>AVERAGE(Z148,Z147)</f>
        <v>4.4258174999999991</v>
      </c>
      <c r="AC148" s="137"/>
      <c r="AD148" s="744">
        <f>(AB148/AB141-1)*100</f>
        <v>8.518275822119282</v>
      </c>
      <c r="AE148" s="735"/>
      <c r="AF148" s="736">
        <f>+H148/AD148*100</f>
        <v>-20.335425016600833</v>
      </c>
      <c r="AG148" s="220"/>
      <c r="AH148" s="137"/>
      <c r="AI148" s="729">
        <f>+S148</f>
        <v>590.21699999999998</v>
      </c>
      <c r="AJ148" s="137"/>
      <c r="AK148" s="761">
        <f>AI148/AB148</f>
        <v>133.35773560477813</v>
      </c>
      <c r="AL148" s="137"/>
      <c r="AM148" s="759">
        <f>(AK148/AK141-1)*100</f>
        <v>-12.578990323260552</v>
      </c>
      <c r="AN148" s="735"/>
      <c r="AO148" s="735"/>
      <c r="AP148" s="727">
        <f>+S148-AQ148</f>
        <v>0</v>
      </c>
      <c r="AQ148" s="820">
        <f>+AR148+AS148</f>
        <v>590.21699999999998</v>
      </c>
      <c r="AR148" s="725">
        <f>segQtrSales!S150</f>
        <v>374.93299999999999</v>
      </c>
      <c r="AS148" s="725">
        <f>segQtrSales!S303</f>
        <v>215.28399999999999</v>
      </c>
      <c r="AT148" s="137"/>
      <c r="AU148" s="673">
        <f>1-AV148</f>
        <v>0.63524601968428562</v>
      </c>
      <c r="AV148" s="673">
        <f>+AS148/(AS148+AR148)</f>
        <v>0.36475398031571438</v>
      </c>
    </row>
    <row r="149" spans="1:48">
      <c r="A149" s="137"/>
      <c r="B149" s="749" t="str">
        <f>$B$16</f>
        <v>Year</v>
      </c>
      <c r="D149" s="728">
        <f>(S149/S142-1)*100</f>
        <v>1.2968964098498903</v>
      </c>
      <c r="F149" s="762">
        <f>F145*S145/S149+F146*S146/S149+F147*S147/S149+F148*S148/S149</f>
        <v>-1.8102416156077714</v>
      </c>
      <c r="H149" s="728">
        <f>D149-F149</f>
        <v>3.1071380254576617</v>
      </c>
      <c r="K149" s="813"/>
      <c r="L149" s="734">
        <f>AVERAGE(L145:L148)</f>
        <v>1427.125</v>
      </c>
      <c r="N149" s="728">
        <f>(L149/L142-1)*100</f>
        <v>8.536933168552153</v>
      </c>
      <c r="O149" s="107"/>
      <c r="P149" s="731">
        <f>H149/N149*100</f>
        <v>36.396419699097002</v>
      </c>
      <c r="Q149" s="122"/>
      <c r="S149" s="725">
        <f>SUM(S145:S148)</f>
        <v>2489.1190000000001</v>
      </c>
      <c r="U149" s="751">
        <f>SUM(U145:U148)</f>
        <v>1.746363768888552</v>
      </c>
      <c r="W149" s="708">
        <f>(U149/U142-1)*100</f>
        <v>-6.6072437679383871</v>
      </c>
      <c r="X149" s="107"/>
      <c r="AB149" s="732">
        <f>AVERAGE(AB145:AB148)</f>
        <v>4.2956435937499995</v>
      </c>
      <c r="AD149" s="728">
        <f>(AB149/AB142-1)*100</f>
        <v>8.6678307339453919</v>
      </c>
      <c r="AE149" s="107"/>
      <c r="AF149" s="731">
        <f>+H149/AD149*100</f>
        <v>35.846777825152174</v>
      </c>
      <c r="AG149" s="122"/>
      <c r="AI149" s="725">
        <f>SUM(AI145:AI148)</f>
        <v>2489.1190000000001</v>
      </c>
      <c r="AK149" s="752">
        <f>SUM(AK145:AK148)</f>
        <v>580.16431909127164</v>
      </c>
      <c r="AM149" s="708">
        <f>(AK149/AK142-1)*100</f>
        <v>-6.7210655727006241</v>
      </c>
      <c r="AN149" s="107"/>
      <c r="AO149" s="107"/>
      <c r="AP149" s="137"/>
      <c r="AQ149" s="822">
        <f>+SUM(AQ145:AQ148)</f>
        <v>2489.1189999999997</v>
      </c>
      <c r="AR149" s="823">
        <f>+SUM(AR145:AR148)</f>
        <v>1630.1469999999999</v>
      </c>
      <c r="AS149" s="823">
        <f>+SUM(AS145:AS148)</f>
        <v>858.97199999999998</v>
      </c>
    </row>
    <row r="150" spans="1:48">
      <c r="B150" s="218"/>
      <c r="D150" s="137"/>
      <c r="E150" s="137"/>
      <c r="F150" s="733"/>
      <c r="G150" s="137"/>
      <c r="K150" s="813"/>
      <c r="L150" s="699"/>
      <c r="O150" s="107"/>
      <c r="P150" s="824"/>
      <c r="Z150" s="236"/>
      <c r="AE150" s="107"/>
      <c r="AF150" s="236"/>
    </row>
    <row r="151" spans="1:48">
      <c r="A151" s="746"/>
      <c r="B151" s="747">
        <v>2014</v>
      </c>
      <c r="C151" s="137"/>
      <c r="D151" s="728"/>
      <c r="E151" s="137"/>
      <c r="F151" s="762"/>
      <c r="G151" s="137"/>
      <c r="H151" s="728"/>
      <c r="I151" s="137"/>
      <c r="J151" s="137"/>
      <c r="K151" s="818"/>
      <c r="L151" s="734"/>
      <c r="M151" s="137"/>
      <c r="N151" s="728"/>
      <c r="O151" s="735"/>
      <c r="P151" s="731"/>
      <c r="Q151" s="220"/>
      <c r="R151" s="137"/>
      <c r="S151" s="725"/>
      <c r="T151" s="137"/>
      <c r="U151" s="751"/>
      <c r="V151" s="137"/>
      <c r="W151" s="708"/>
      <c r="X151" s="735"/>
      <c r="Y151" s="137"/>
      <c r="Z151" s="137"/>
      <c r="AA151" s="137"/>
      <c r="AB151" s="732"/>
      <c r="AC151" s="137"/>
      <c r="AD151" s="728"/>
      <c r="AE151" s="735"/>
      <c r="AF151" s="731"/>
      <c r="AG151" s="220"/>
      <c r="AH151" s="137"/>
      <c r="AI151" s="725"/>
      <c r="AJ151" s="137"/>
      <c r="AK151" s="752"/>
      <c r="AL151" s="137"/>
      <c r="AM151" s="708"/>
      <c r="AN151" s="735"/>
      <c r="AO151" s="735"/>
      <c r="AP151" s="137"/>
      <c r="AQ151" s="823"/>
      <c r="AR151" s="817" t="s">
        <v>515</v>
      </c>
      <c r="AS151" s="817" t="s">
        <v>516</v>
      </c>
      <c r="AT151" s="817" t="s">
        <v>287</v>
      </c>
      <c r="AU151" s="137"/>
      <c r="AV151" s="137"/>
    </row>
    <row r="152" spans="1:48">
      <c r="A152" s="137" t="str">
        <f>$A$12</f>
        <v>1Q</v>
      </c>
      <c r="B152" s="749" t="str">
        <f>$B$12</f>
        <v>Apr</v>
      </c>
      <c r="C152" s="137"/>
      <c r="D152" s="769">
        <f>(S152/S145-1)*100</f>
        <v>-1.5271471291773309</v>
      </c>
      <c r="E152" s="735" t="s">
        <v>576</v>
      </c>
      <c r="F152" s="750">
        <f>'qtrP&amp;L'!CH10</f>
        <v>-2.6</v>
      </c>
      <c r="G152" s="735" t="s">
        <v>576</v>
      </c>
      <c r="H152" s="728">
        <f>D152-F152</f>
        <v>1.0728528708226692</v>
      </c>
      <c r="I152" s="735" t="s">
        <v>576</v>
      </c>
      <c r="J152" s="713">
        <v>1496</v>
      </c>
      <c r="K152" s="818">
        <f>J152-J148</f>
        <v>24</v>
      </c>
      <c r="L152" s="734">
        <f>AVERAGE(J152,J148)</f>
        <v>1484</v>
      </c>
      <c r="M152" s="137"/>
      <c r="N152" s="728">
        <f>(L152/L145-1)*100</f>
        <v>7.770515613652873</v>
      </c>
      <c r="O152" s="735" t="s">
        <v>576</v>
      </c>
      <c r="P152" s="742">
        <f>H152/N152*100</f>
        <v>13.806714047876772</v>
      </c>
      <c r="Q152" s="735" t="s">
        <v>576</v>
      </c>
      <c r="R152" s="137"/>
      <c r="S152" s="725">
        <v>635.20799999999997</v>
      </c>
      <c r="T152" s="137"/>
      <c r="U152" s="751">
        <f>S152/L152</f>
        <v>0.42803773584905658</v>
      </c>
      <c r="V152" s="137"/>
      <c r="W152" s="708">
        <f>(U152/U145-1)*100</f>
        <v>-8.6272787040951435</v>
      </c>
      <c r="X152" s="735" t="s">
        <v>576</v>
      </c>
      <c r="Y152" s="137"/>
      <c r="Z152" s="732">
        <f>turn!AB151</f>
        <v>4.4962</v>
      </c>
      <c r="AA152" s="137"/>
      <c r="AB152" s="732">
        <f>AVERAGE(Z152,Z148)</f>
        <v>4.4648374999999998</v>
      </c>
      <c r="AC152" s="137"/>
      <c r="AD152" s="728">
        <f>(AB152/AB145-1)*100</f>
        <v>7.6225090485893432</v>
      </c>
      <c r="AE152" s="735" t="s">
        <v>576</v>
      </c>
      <c r="AF152" s="731">
        <f>+H152/AD152*100</f>
        <v>14.074799570375273</v>
      </c>
      <c r="AG152" s="735" t="s">
        <v>576</v>
      </c>
      <c r="AH152" s="137"/>
      <c r="AI152" s="725">
        <f>+S152</f>
        <v>635.20799999999997</v>
      </c>
      <c r="AJ152" s="137"/>
      <c r="AK152" s="752">
        <f>AI152/AB152</f>
        <v>142.26900755066674</v>
      </c>
      <c r="AL152" s="137"/>
      <c r="AM152" s="708">
        <f>(AK152/AK145-1)*100</f>
        <v>-8.5016194647866694</v>
      </c>
      <c r="AN152" s="735" t="s">
        <v>576</v>
      </c>
      <c r="AO152" s="735"/>
      <c r="AP152" s="725">
        <f>+S152-AQ152</f>
        <v>45.746999999999957</v>
      </c>
      <c r="AQ152" s="810">
        <f>+AR152+AS152</f>
        <v>589.46100000000001</v>
      </c>
      <c r="AR152" s="725">
        <f>segQtrSales!S154</f>
        <v>372.28800000000001</v>
      </c>
      <c r="AS152" s="725">
        <f>segQtrSales!S307</f>
        <v>217.173</v>
      </c>
      <c r="AT152" s="137"/>
      <c r="AU152" s="673">
        <f>1-AV152</f>
        <v>0.63157359011028724</v>
      </c>
      <c r="AV152" s="673">
        <f>+AS152/(AS152+AR152)</f>
        <v>0.36842640988971281</v>
      </c>
    </row>
    <row r="153" spans="1:48">
      <c r="A153" s="137" t="str">
        <f>$A$13</f>
        <v>2Q</v>
      </c>
      <c r="B153" s="749" t="str">
        <f>$B$13</f>
        <v>Jul</v>
      </c>
      <c r="C153" s="137"/>
      <c r="D153" s="769">
        <f>(S153/S146-1)*100</f>
        <v>0.58403675882185979</v>
      </c>
      <c r="E153" s="137"/>
      <c r="F153" s="750">
        <f>'qtrP&amp;L'!CH11</f>
        <v>0.3</v>
      </c>
      <c r="G153" s="137"/>
      <c r="H153" s="728">
        <f>D153-F153</f>
        <v>0.2840367588218598</v>
      </c>
      <c r="I153" s="137"/>
      <c r="J153" s="825">
        <v>1525</v>
      </c>
      <c r="K153" s="818">
        <f>J153-J152</f>
        <v>29</v>
      </c>
      <c r="L153" s="734">
        <f>AVERAGE(J153,J152)</f>
        <v>1510.5</v>
      </c>
      <c r="M153" s="137"/>
      <c r="N153" s="728">
        <f>(L153/L146-1)*100</f>
        <v>6.9759206798866824</v>
      </c>
      <c r="O153" s="735"/>
      <c r="P153" s="742">
        <f>H153/N153*100</f>
        <v>4.0716741467661546</v>
      </c>
      <c r="Q153" s="220"/>
      <c r="R153" s="137"/>
      <c r="S153" s="221">
        <v>623.44400000000007</v>
      </c>
      <c r="T153" s="137"/>
      <c r="U153" s="755">
        <f>S153/L153</f>
        <v>0.41274015226746114</v>
      </c>
      <c r="V153" s="137"/>
      <c r="W153" s="708">
        <f>(U153/U146-1)*100</f>
        <v>-5.9750679222400072</v>
      </c>
      <c r="X153" s="735"/>
      <c r="Y153" s="137"/>
      <c r="Z153" s="732">
        <f>turn!AB152</f>
        <v>4.5688899999999997</v>
      </c>
      <c r="AA153" s="137"/>
      <c r="AB153" s="732">
        <f>AVERAGE(Z153,Z152)</f>
        <v>4.5325449999999998</v>
      </c>
      <c r="AC153" s="137"/>
      <c r="AD153" s="728">
        <f>(AB153/AB146-1)*100</f>
        <v>6.6101769664325349</v>
      </c>
      <c r="AE153" s="735"/>
      <c r="AF153" s="731">
        <f>+H153/AD153*100</f>
        <v>4.296961492320718</v>
      </c>
      <c r="AG153" s="220"/>
      <c r="AH153" s="137"/>
      <c r="AI153" s="727">
        <f>+S153</f>
        <v>623.44400000000007</v>
      </c>
      <c r="AJ153" s="137"/>
      <c r="AK153" s="756">
        <f>AI153/AB153</f>
        <v>137.54833101491548</v>
      </c>
      <c r="AL153" s="137"/>
      <c r="AM153" s="708">
        <f>(AK153/AK146-1)*100</f>
        <v>-5.6524999573990931</v>
      </c>
      <c r="AN153" s="735"/>
      <c r="AO153" s="735"/>
      <c r="AP153" s="727">
        <f>+S153-AQ153</f>
        <v>59.547000000000139</v>
      </c>
      <c r="AQ153" s="819">
        <f>+AR153+AS153</f>
        <v>563.89699999999993</v>
      </c>
      <c r="AR153" s="725">
        <f>segQtrSales!S155</f>
        <v>349.983</v>
      </c>
      <c r="AS153" s="725">
        <f>segQtrSales!S308</f>
        <v>213.91399999999999</v>
      </c>
      <c r="AT153" s="137"/>
      <c r="AU153" s="673">
        <f>1-AV153</f>
        <v>0.62065057980446781</v>
      </c>
      <c r="AV153" s="673">
        <f>+AS153/(AS153+AR153)</f>
        <v>0.37934942019553219</v>
      </c>
    </row>
    <row r="154" spans="1:48">
      <c r="A154" s="137" t="str">
        <f>$A$14</f>
        <v>3Q</v>
      </c>
      <c r="B154" s="749" t="str">
        <f>$B$14</f>
        <v>Oct</v>
      </c>
      <c r="C154" s="137"/>
      <c r="D154" s="769">
        <f>(S154/S147-1)*100</f>
        <v>-1.783069592551656</v>
      </c>
      <c r="E154" s="137"/>
      <c r="F154" s="750">
        <f>'qtrP&amp;L'!CH12</f>
        <v>-1.6</v>
      </c>
      <c r="G154" s="137"/>
      <c r="H154" s="728">
        <f>D154-F154</f>
        <v>-0.18306959255165589</v>
      </c>
      <c r="I154" s="137"/>
      <c r="J154" s="825">
        <v>1557</v>
      </c>
      <c r="K154" s="818">
        <f>J154-J153</f>
        <v>32</v>
      </c>
      <c r="L154" s="734">
        <f>AVERAGE(J154,J153)</f>
        <v>1541</v>
      </c>
      <c r="M154" s="137"/>
      <c r="N154" s="728">
        <f>(L154/L147-1)*100</f>
        <v>6.3859164653089495</v>
      </c>
      <c r="O154" s="735"/>
      <c r="P154" s="742">
        <f>H154/N154*100</f>
        <v>-2.8667708628224124</v>
      </c>
      <c r="Q154" s="220"/>
      <c r="R154" s="137"/>
      <c r="S154" s="221">
        <v>622.71399999999994</v>
      </c>
      <c r="T154" s="137"/>
      <c r="U154" s="755">
        <f>S154/L154</f>
        <v>0.40409733939000647</v>
      </c>
      <c r="V154" s="137"/>
      <c r="W154" s="708">
        <f>(U154/U147-1)*100</f>
        <v>-7.6786348506236557</v>
      </c>
      <c r="X154" s="735"/>
      <c r="Y154" s="137"/>
      <c r="Z154" s="732">
        <f>turn!AB153</f>
        <v>4.6585700000000001</v>
      </c>
      <c r="AA154" s="137"/>
      <c r="AB154" s="732">
        <f>AVERAGE(Z154,Z153)</f>
        <v>4.6137300000000003</v>
      </c>
      <c r="AC154" s="137"/>
      <c r="AD154" s="728">
        <f>(AB154/AB147-1)*100</f>
        <v>5.9012288153586834</v>
      </c>
      <c r="AE154" s="735"/>
      <c r="AF154" s="731">
        <f>+H154/AD154*100</f>
        <v>-3.1022283371760553</v>
      </c>
      <c r="AG154" s="220"/>
      <c r="AH154" s="137"/>
      <c r="AI154" s="727">
        <f>+S154</f>
        <v>622.71399999999994</v>
      </c>
      <c r="AJ154" s="137"/>
      <c r="AK154" s="756">
        <f>AI154/AB154</f>
        <v>134.96975332323302</v>
      </c>
      <c r="AL154" s="137"/>
      <c r="AM154" s="708">
        <f>(AK154/AK147-1)*100</f>
        <v>-7.2560993804029366</v>
      </c>
      <c r="AN154" s="735"/>
      <c r="AO154" s="735"/>
      <c r="AP154" s="727">
        <f>+S154-AQ154</f>
        <v>50.599999999999909</v>
      </c>
      <c r="AQ154" s="820">
        <f>+AR154+AS154</f>
        <v>572.11400000000003</v>
      </c>
      <c r="AR154" s="725">
        <f>segQtrSales!S156</f>
        <v>347.56200000000001</v>
      </c>
      <c r="AS154" s="725">
        <f>segQtrSales!S309</f>
        <v>224.55199999999999</v>
      </c>
      <c r="AT154" s="137"/>
      <c r="AU154" s="673">
        <f>1-AV154</f>
        <v>0.60750479799480528</v>
      </c>
      <c r="AV154" s="673">
        <f>+AS154/(AS154+AR154)</f>
        <v>0.39249520200519472</v>
      </c>
    </row>
    <row r="155" spans="1:48">
      <c r="A155" s="137" t="str">
        <f>$A$15</f>
        <v>4Q</v>
      </c>
      <c r="B155" s="749" t="str">
        <f>$B$15</f>
        <v>Jan</v>
      </c>
      <c r="C155" s="137"/>
      <c r="D155" s="744">
        <f>(S155/S148-1)*100</f>
        <v>3.8880615095803872</v>
      </c>
      <c r="E155" s="137"/>
      <c r="F155" s="738">
        <f>'qtrP&amp;L'!CH13</f>
        <v>4.3</v>
      </c>
      <c r="G155" s="137"/>
      <c r="H155" s="728">
        <f>D155-F155</f>
        <v>-0.41193849041961261</v>
      </c>
      <c r="I155" s="137"/>
      <c r="J155" s="825">
        <v>1547</v>
      </c>
      <c r="K155" s="818">
        <f>J155-J154</f>
        <v>-10</v>
      </c>
      <c r="L155" s="736">
        <f>AVERAGE(J155,J154)</f>
        <v>1552</v>
      </c>
      <c r="M155" s="137"/>
      <c r="N155" s="744">
        <f>(L155/L148-1)*100</f>
        <v>5.5064581917063204</v>
      </c>
      <c r="O155" s="735"/>
      <c r="P155" s="815">
        <f>H155/N155*100</f>
        <v>-7.4810064124351898</v>
      </c>
      <c r="Q155" s="220"/>
      <c r="R155" s="137"/>
      <c r="S155" s="729">
        <v>613.16500000000008</v>
      </c>
      <c r="T155" s="137"/>
      <c r="U155" s="758">
        <f>S155/L155</f>
        <v>0.39508054123711345</v>
      </c>
      <c r="V155" s="137"/>
      <c r="W155" s="759">
        <f>(U155/U148-1)*100</f>
        <v>-1.5339313913706465</v>
      </c>
      <c r="X155" s="735"/>
      <c r="Y155" s="137"/>
      <c r="Z155" s="732">
        <f>yrSales!$V$65</f>
        <v>4.6318799999999998</v>
      </c>
      <c r="AA155" s="137"/>
      <c r="AB155" s="760">
        <f>AVERAGE(Z155,Z154)</f>
        <v>4.6452249999999999</v>
      </c>
      <c r="AC155" s="137"/>
      <c r="AD155" s="744">
        <f>(AB155/AB148-1)*100</f>
        <v>4.9574457148312323</v>
      </c>
      <c r="AE155" s="735"/>
      <c r="AF155" s="736">
        <f>+H155/AD155*100</f>
        <v>-8.3094906957268879</v>
      </c>
      <c r="AG155" s="220"/>
      <c r="AH155" s="137"/>
      <c r="AI155" s="729">
        <f>+S155</f>
        <v>613.16500000000008</v>
      </c>
      <c r="AJ155" s="137"/>
      <c r="AK155" s="761">
        <f>AI155/AB155</f>
        <v>131.99898820832146</v>
      </c>
      <c r="AL155" s="137"/>
      <c r="AM155" s="759">
        <f>(AK155/AK148-1)*100</f>
        <v>-1.0188740760292081</v>
      </c>
      <c r="AN155" s="735"/>
      <c r="AO155" s="735"/>
      <c r="AP155" s="727">
        <f>+S155-AQ155</f>
        <v>70.403000000000134</v>
      </c>
      <c r="AQ155" s="820">
        <f>+AR155+AS155</f>
        <v>542.76199999999994</v>
      </c>
      <c r="AR155" s="725">
        <f>segQtrSales!S157</f>
        <v>310.02999999999997</v>
      </c>
      <c r="AS155" s="725">
        <f>segQtrSales!S310</f>
        <v>232.732</v>
      </c>
      <c r="AT155" s="137"/>
      <c r="AU155" s="673">
        <f>1-AV155</f>
        <v>0.57120800645586822</v>
      </c>
      <c r="AV155" s="673">
        <f>+AS155/(AS155+AR155)</f>
        <v>0.42879199354413172</v>
      </c>
    </row>
    <row r="156" spans="1:48">
      <c r="A156" s="137"/>
      <c r="B156" s="749" t="str">
        <f>$B$16</f>
        <v>Year</v>
      </c>
      <c r="D156" s="728">
        <f>(S156/S149-1)*100</f>
        <v>0.21742632634276227</v>
      </c>
      <c r="F156" s="762">
        <f>F152*S152/S156+F153*S153/S156+F154*S154/S156+F155*S155/S156</f>
        <v>7.0457933775928128E-2</v>
      </c>
      <c r="H156" s="728">
        <f>D156-F156</f>
        <v>0.14696839256683414</v>
      </c>
      <c r="K156" s="813"/>
      <c r="L156" s="734">
        <f>AVERAGE(L152:L155)</f>
        <v>1521.875</v>
      </c>
      <c r="N156" s="728">
        <f>(L156/L149-1)*100</f>
        <v>6.6392222124901368</v>
      </c>
      <c r="O156" s="107"/>
      <c r="P156" s="731">
        <f>H156/N156*100</f>
        <v>2.2136387044004588</v>
      </c>
      <c r="Q156" s="122"/>
      <c r="S156" s="725">
        <f>SUM(S152:S155)</f>
        <v>2494.5309999999999</v>
      </c>
      <c r="U156" s="751">
        <f>SUM(U152:U155)</f>
        <v>1.6399557687436377</v>
      </c>
      <c r="W156" s="708">
        <f>(U156/U149-1)*100</f>
        <v>-6.0931177135354897</v>
      </c>
      <c r="X156" s="107"/>
      <c r="AB156" s="732">
        <f>AVERAGE(AB152:AB155)</f>
        <v>4.5640843750000002</v>
      </c>
      <c r="AD156" s="728">
        <f>(AB156/AB149-1)*100</f>
        <v>6.2491399808068726</v>
      </c>
      <c r="AE156" s="107"/>
      <c r="AF156" s="731">
        <f>+H156/AD156*100</f>
        <v>2.3518178984343696</v>
      </c>
      <c r="AG156" s="122"/>
      <c r="AI156" s="725">
        <f>SUM(AI152:AI155)</f>
        <v>2494.5309999999999</v>
      </c>
      <c r="AK156" s="752">
        <f>SUM(AK152:AK155)</f>
        <v>546.78608009713662</v>
      </c>
      <c r="AM156" s="708">
        <f>(AK156/AK149-1)*100</f>
        <v>-5.7532388490240667</v>
      </c>
      <c r="AN156" s="107"/>
      <c r="AO156" s="107"/>
      <c r="AP156" s="137"/>
      <c r="AQ156" s="822">
        <f>+SUM(AQ152:AQ155)</f>
        <v>2268.2339999999999</v>
      </c>
      <c r="AR156" s="823">
        <f>+SUM(AR152:AR155)</f>
        <v>1379.8630000000001</v>
      </c>
      <c r="AS156" s="823">
        <f>+SUM(AS152:AS155)</f>
        <v>888.37099999999998</v>
      </c>
    </row>
    <row r="157" spans="1:48">
      <c r="B157" s="218"/>
      <c r="D157" s="137"/>
      <c r="E157" s="137"/>
      <c r="F157" s="733"/>
      <c r="G157" s="137"/>
      <c r="K157" s="813"/>
      <c r="L157" s="699"/>
      <c r="O157" s="107"/>
      <c r="P157" s="824"/>
      <c r="Z157" s="236"/>
      <c r="AE157" s="107"/>
      <c r="AF157" s="236"/>
    </row>
    <row r="158" spans="1:48">
      <c r="A158" s="746"/>
      <c r="B158" s="747">
        <v>2015</v>
      </c>
      <c r="C158" s="137"/>
      <c r="D158" s="728"/>
      <c r="E158" s="137"/>
      <c r="F158" s="762"/>
      <c r="G158" s="137"/>
      <c r="H158" s="728"/>
      <c r="I158" s="137"/>
      <c r="J158" s="137"/>
      <c r="K158" s="818"/>
      <c r="L158" s="734"/>
      <c r="M158" s="137"/>
      <c r="N158" s="728"/>
      <c r="O158" s="735"/>
      <c r="P158" s="731"/>
      <c r="Q158" s="220"/>
      <c r="R158" s="137"/>
      <c r="S158" s="725"/>
      <c r="T158" s="137"/>
      <c r="U158" s="751"/>
      <c r="V158" s="137"/>
      <c r="W158" s="708"/>
      <c r="X158" s="735"/>
      <c r="Y158" s="137"/>
      <c r="Z158" s="137"/>
      <c r="AA158" s="137"/>
      <c r="AB158" s="732"/>
      <c r="AC158" s="137"/>
      <c r="AD158" s="728"/>
      <c r="AE158" s="735"/>
      <c r="AF158" s="731"/>
      <c r="AG158" s="220"/>
      <c r="AH158" s="137"/>
      <c r="AI158" s="725"/>
      <c r="AJ158" s="137"/>
      <c r="AK158" s="752"/>
      <c r="AL158" s="137"/>
      <c r="AM158" s="708"/>
      <c r="AN158" s="735"/>
      <c r="AO158" s="735"/>
      <c r="AP158" s="137"/>
      <c r="AQ158" s="823"/>
      <c r="AR158" s="817" t="s">
        <v>515</v>
      </c>
      <c r="AS158" s="817" t="s">
        <v>516</v>
      </c>
      <c r="AT158" s="817" t="s">
        <v>287</v>
      </c>
      <c r="AU158" s="137"/>
      <c r="AV158" s="137"/>
    </row>
    <row r="159" spans="1:48">
      <c r="A159" s="137" t="str">
        <f>$A$12</f>
        <v>1Q</v>
      </c>
      <c r="B159" s="749" t="str">
        <f>$B$12</f>
        <v>Apr</v>
      </c>
      <c r="C159" s="137"/>
      <c r="D159" s="769">
        <f>(S159/S152-1)*100</f>
        <v>5.8657951411191345</v>
      </c>
      <c r="E159" s="735" t="s">
        <v>576</v>
      </c>
      <c r="F159" s="750">
        <f>'qtrP&amp;L'!CL10</f>
        <v>-0.1</v>
      </c>
      <c r="G159" s="735" t="s">
        <v>576</v>
      </c>
      <c r="H159" s="769">
        <f>D159-F159</f>
        <v>5.9657951411191341</v>
      </c>
      <c r="I159" s="735" t="s">
        <v>576</v>
      </c>
      <c r="J159" s="713">
        <v>1552</v>
      </c>
      <c r="K159" s="818">
        <f>J159-J155</f>
        <v>5</v>
      </c>
      <c r="L159" s="734">
        <f>AVERAGE(J159,J155)</f>
        <v>1549.5</v>
      </c>
      <c r="M159" s="137"/>
      <c r="N159" s="728">
        <f>(L159/L152-1)*100</f>
        <v>4.4137466307277551</v>
      </c>
      <c r="O159" s="735" t="s">
        <v>576</v>
      </c>
      <c r="P159" s="742">
        <f>H159/N159*100</f>
        <v>135.1639693041345</v>
      </c>
      <c r="Q159" s="735" t="s">
        <v>576</v>
      </c>
      <c r="R159" s="137"/>
      <c r="S159" s="725">
        <f>'qtrP&amp;L'!CJ10</f>
        <v>672.46799999999996</v>
      </c>
      <c r="T159" s="137"/>
      <c r="U159" s="751">
        <f>S159/L159</f>
        <v>0.43399031945788963</v>
      </c>
      <c r="V159" s="137"/>
      <c r="W159" s="708">
        <f>(U159/U152-1)*100</f>
        <v>1.3906679505781172</v>
      </c>
      <c r="X159" s="735" t="s">
        <v>576</v>
      </c>
      <c r="Y159" s="137"/>
      <c r="Z159" s="732">
        <f>turn!AB158</f>
        <v>4.6445049999999997</v>
      </c>
      <c r="AA159" s="137"/>
      <c r="AB159" s="732">
        <f>AVERAGE(Z159,Z155)</f>
        <v>4.6381924999999997</v>
      </c>
      <c r="AC159" s="137"/>
      <c r="AD159" s="728">
        <f>(AB159/AB152-1)*100</f>
        <v>3.8826721017282351</v>
      </c>
      <c r="AE159" s="735" t="s">
        <v>576</v>
      </c>
      <c r="AF159" s="731">
        <f>+H159/AD159*100</f>
        <v>153.65178889207951</v>
      </c>
      <c r="AG159" s="735" t="s">
        <v>576</v>
      </c>
      <c r="AH159" s="137"/>
      <c r="AI159" s="725">
        <f>+S159</f>
        <v>672.46799999999996</v>
      </c>
      <c r="AJ159" s="137"/>
      <c r="AK159" s="752">
        <f>AI159/AB159</f>
        <v>144.98492677912787</v>
      </c>
      <c r="AL159" s="137"/>
      <c r="AM159" s="708">
        <f>(AK159/AK152-1)*100</f>
        <v>1.9090027232346429</v>
      </c>
      <c r="AN159" s="735" t="s">
        <v>576</v>
      </c>
      <c r="AO159" s="735"/>
      <c r="AP159" s="725">
        <f>+S159-AQ159</f>
        <v>77.16700000000003</v>
      </c>
      <c r="AQ159" s="810">
        <f>+AR159+AS159</f>
        <v>595.30099999999993</v>
      </c>
      <c r="AR159" s="725">
        <f>segQtrSales!S161</f>
        <v>369.85899999999998</v>
      </c>
      <c r="AS159" s="725">
        <f>segQtrSales!S314</f>
        <v>225.44200000000001</v>
      </c>
      <c r="AT159" s="137"/>
      <c r="AU159" s="673">
        <f>1-AV159</f>
        <v>0.62129746128429142</v>
      </c>
      <c r="AV159" s="673">
        <f>+AS159/(AS159+AR159)</f>
        <v>0.37870253871570858</v>
      </c>
    </row>
    <row r="160" spans="1:48">
      <c r="A160" s="137" t="str">
        <f>$A$13</f>
        <v>2Q</v>
      </c>
      <c r="B160" s="749" t="str">
        <f>$B$13</f>
        <v>Jul</v>
      </c>
      <c r="C160" s="137"/>
      <c r="D160" s="769">
        <f>(S160/S153-1)*100</f>
        <v>5.7870474332899047</v>
      </c>
      <c r="E160" s="137"/>
      <c r="F160" s="750">
        <f>'qtrP&amp;L'!CL11</f>
        <v>0.5</v>
      </c>
      <c r="G160" s="137"/>
      <c r="H160" s="769">
        <f>D160-F160</f>
        <v>5.2870474332899047</v>
      </c>
      <c r="I160" s="137"/>
      <c r="J160" s="825">
        <v>1548</v>
      </c>
      <c r="K160" s="818">
        <f>J160-J159</f>
        <v>-4</v>
      </c>
      <c r="L160" s="734">
        <f>AVERAGE(J160,J159)</f>
        <v>1550</v>
      </c>
      <c r="M160" s="137"/>
      <c r="N160" s="728">
        <f>(L160/L153-1)*100</f>
        <v>2.6150281363786831</v>
      </c>
      <c r="O160" s="735"/>
      <c r="P160" s="742">
        <f>H160/N160*100</f>
        <v>202.17937083504808</v>
      </c>
      <c r="Q160" s="220"/>
      <c r="R160" s="137"/>
      <c r="S160" s="221">
        <f>'qtrP&amp;L'!CJ11</f>
        <v>659.52300000000002</v>
      </c>
      <c r="T160" s="137"/>
      <c r="U160" s="755">
        <f>S160/L160</f>
        <v>0.42549870967741937</v>
      </c>
      <c r="V160" s="137"/>
      <c r="W160" s="708">
        <f>(U160/U153-1)*100</f>
        <v>3.0911839664415686</v>
      </c>
      <c r="X160" s="735"/>
      <c r="Y160" s="137"/>
      <c r="Z160" s="732">
        <f>turn!AB159</f>
        <v>4.6283012499999998</v>
      </c>
      <c r="AA160" s="137"/>
      <c r="AB160" s="732">
        <f>AVERAGE(Z160,Z159)</f>
        <v>4.6364031249999993</v>
      </c>
      <c r="AC160" s="137"/>
      <c r="AD160" s="728">
        <f>(AB160/AB153-1)*100</f>
        <v>2.2913865168464831</v>
      </c>
      <c r="AE160" s="735"/>
      <c r="AF160" s="731">
        <f>+H160/AD160*100</f>
        <v>230.73573115749127</v>
      </c>
      <c r="AG160" s="220"/>
      <c r="AH160" s="137"/>
      <c r="AI160" s="727">
        <f>+S160</f>
        <v>659.52300000000002</v>
      </c>
      <c r="AJ160" s="137"/>
      <c r="AK160" s="756">
        <f>AI160/AB160</f>
        <v>142.2488472677837</v>
      </c>
      <c r="AL160" s="137"/>
      <c r="AM160" s="708">
        <f>(AK160/AK153-1)*100</f>
        <v>3.4173560799938052</v>
      </c>
      <c r="AN160" s="735"/>
      <c r="AO160" s="735"/>
      <c r="AP160" s="727">
        <f>+S160-AQ160</f>
        <v>90.831000000000017</v>
      </c>
      <c r="AQ160" s="819">
        <f>+AR160+AS160</f>
        <v>568.69200000000001</v>
      </c>
      <c r="AR160" s="725">
        <f>segQtrSales!S162</f>
        <v>355.41699999999997</v>
      </c>
      <c r="AS160" s="725">
        <f>segQtrSales!S315</f>
        <v>213.27500000000001</v>
      </c>
      <c r="AT160" s="137"/>
      <c r="AU160" s="673">
        <f>1-AV160</f>
        <v>0.62497274447328255</v>
      </c>
      <c r="AV160" s="673">
        <f>+AS160/(AS160+AR160)</f>
        <v>0.37502725552671745</v>
      </c>
    </row>
    <row r="161" spans="1:48">
      <c r="A161" s="137" t="str">
        <f>$A$14</f>
        <v>3Q</v>
      </c>
      <c r="B161" s="749" t="str">
        <f>$B$14</f>
        <v>Oct</v>
      </c>
      <c r="C161" s="137"/>
      <c r="D161" s="769">
        <f>(S161/S154-1)*100</f>
        <v>0.64572179202653235</v>
      </c>
      <c r="E161" s="137"/>
      <c r="F161" s="750">
        <f>'qtrP&amp;L'!CL12</f>
        <v>-3.3</v>
      </c>
      <c r="G161" s="137"/>
      <c r="H161" s="769">
        <f>D161-F161</f>
        <v>3.9457217920265322</v>
      </c>
      <c r="I161" s="137"/>
      <c r="J161" s="825">
        <v>1546</v>
      </c>
      <c r="K161" s="818">
        <f>J161-J160</f>
        <v>-2</v>
      </c>
      <c r="L161" s="734">
        <f>AVERAGE(J161,J160)</f>
        <v>1547</v>
      </c>
      <c r="M161" s="137"/>
      <c r="N161" s="728">
        <f>(L161/L154-1)*100</f>
        <v>0.38935756002596023</v>
      </c>
      <c r="O161" s="735"/>
      <c r="P161" s="742">
        <f>H161/N161*100</f>
        <v>1013.3928802521398</v>
      </c>
      <c r="Q161" s="220"/>
      <c r="R161" s="137"/>
      <c r="S161" s="221">
        <f>'qtrP&amp;L'!CJ12</f>
        <v>626.73500000000001</v>
      </c>
      <c r="T161" s="137"/>
      <c r="U161" s="755">
        <f>S161/L161</f>
        <v>0.40512928248222368</v>
      </c>
      <c r="V161" s="137"/>
      <c r="W161" s="708">
        <f>(U161/U154-1)*100</f>
        <v>0.25536992987258422</v>
      </c>
      <c r="X161" s="735"/>
      <c r="Y161" s="137"/>
      <c r="Z161" s="732">
        <f>turn!AB160</f>
        <v>4.6230799999999999</v>
      </c>
      <c r="AA161" s="137"/>
      <c r="AB161" s="732">
        <f>AVERAGE(Z161,Z160)</f>
        <v>4.6256906249999998</v>
      </c>
      <c r="AC161" s="137"/>
      <c r="AD161" s="728">
        <f>(AB161/AB154-1)*100</f>
        <v>0.25923981247275574</v>
      </c>
      <c r="AE161" s="735"/>
      <c r="AF161" s="731">
        <f>+H161/AD161*100</f>
        <v>1522.0354290455289</v>
      </c>
      <c r="AG161" s="220"/>
      <c r="AH161" s="137"/>
      <c r="AI161" s="727">
        <f>+S161</f>
        <v>626.73500000000001</v>
      </c>
      <c r="AJ161" s="137"/>
      <c r="AK161" s="756">
        <f>AI161/AB161</f>
        <v>135.49003831184669</v>
      </c>
      <c r="AL161" s="137"/>
      <c r="AM161" s="708">
        <f>(AK161/AK154-1)*100</f>
        <v>0.38548265504172452</v>
      </c>
      <c r="AN161" s="735"/>
      <c r="AO161" s="735"/>
      <c r="AP161" s="727">
        <f>+S161-AQ161</f>
        <v>72.349000000000046</v>
      </c>
      <c r="AQ161" s="820">
        <f>+AR161+AS161</f>
        <v>554.38599999999997</v>
      </c>
      <c r="AR161" s="725">
        <f>segQtrSales!S163</f>
        <v>333.42099999999999</v>
      </c>
      <c r="AS161" s="725">
        <f>segQtrSales!S316</f>
        <v>220.965</v>
      </c>
      <c r="AT161" s="137"/>
      <c r="AU161" s="673">
        <f>1-AV161</f>
        <v>0.60142391763139758</v>
      </c>
      <c r="AV161" s="673">
        <f>+AS161/(AS161+AR161)</f>
        <v>0.39857608236860242</v>
      </c>
    </row>
    <row r="162" spans="1:48">
      <c r="A162" s="137" t="str">
        <f>$A$15</f>
        <v>4Q</v>
      </c>
      <c r="B162" s="749" t="str">
        <f>$B$15</f>
        <v>Jan</v>
      </c>
      <c r="C162" s="137"/>
      <c r="D162" s="744">
        <f>(S162/S155-1)*100</f>
        <v>0.27643456492134622</v>
      </c>
      <c r="E162" s="137"/>
      <c r="F162" s="738">
        <f>'qtrP&amp;L'!CL13</f>
        <v>-3.2</v>
      </c>
      <c r="G162" s="137"/>
      <c r="H162" s="744">
        <f>D162-F162</f>
        <v>3.4764345649213464</v>
      </c>
      <c r="I162" s="137"/>
      <c r="J162" s="825">
        <v>1518</v>
      </c>
      <c r="K162" s="818">
        <f>J162-J161</f>
        <v>-28</v>
      </c>
      <c r="L162" s="736">
        <f>AVERAGE(J162,J161)</f>
        <v>1532</v>
      </c>
      <c r="M162" s="137"/>
      <c r="N162" s="744">
        <f>(L162/L155-1)*100</f>
        <v>-1.2886597938144284</v>
      </c>
      <c r="O162" s="735"/>
      <c r="P162" s="815">
        <f>H162/N162*100</f>
        <v>-269.77132223789744</v>
      </c>
      <c r="Q162" s="220"/>
      <c r="R162" s="137"/>
      <c r="S162" s="729">
        <f>'qtrP&amp;L'!CJ13</f>
        <v>614.86</v>
      </c>
      <c r="T162" s="137"/>
      <c r="U162" s="758">
        <f>S162/L162</f>
        <v>0.40134464751958226</v>
      </c>
      <c r="V162" s="137"/>
      <c r="W162" s="759">
        <f>(U162/U155-1)*100</f>
        <v>1.5855263999725366</v>
      </c>
      <c r="X162" s="735"/>
      <c r="Y162" s="137"/>
      <c r="Z162" s="732">
        <f>yrSales!$W$65</f>
        <v>4.5655512499999995</v>
      </c>
      <c r="AA162" s="137"/>
      <c r="AB162" s="760">
        <f>AVERAGE(Z162,Z161)</f>
        <v>4.5943156250000001</v>
      </c>
      <c r="AC162" s="137"/>
      <c r="AD162" s="744">
        <f>(AB162/AB155-1)*100</f>
        <v>-1.0959506805375385</v>
      </c>
      <c r="AE162" s="735"/>
      <c r="AF162" s="736">
        <f>+H162/AD162*100</f>
        <v>-317.20720892442307</v>
      </c>
      <c r="AG162" s="220"/>
      <c r="AH162" s="137"/>
      <c r="AI162" s="729">
        <f>+S162</f>
        <v>614.86</v>
      </c>
      <c r="AJ162" s="137"/>
      <c r="AK162" s="761">
        <f>AI162/AB162</f>
        <v>133.83059636874643</v>
      </c>
      <c r="AL162" s="137"/>
      <c r="AM162" s="759">
        <f>(AK162/AK155-1)*100</f>
        <v>1.3875925757357299</v>
      </c>
      <c r="AN162" s="735"/>
      <c r="AO162" s="735"/>
      <c r="AP162" s="727">
        <f>+S162-AQ162</f>
        <v>94.569000000000074</v>
      </c>
      <c r="AQ162" s="820">
        <f>+AR162+AS162</f>
        <v>520.29099999999994</v>
      </c>
      <c r="AR162" s="725">
        <f>segQtrSales!S164</f>
        <v>305.09399999999999</v>
      </c>
      <c r="AS162" s="725">
        <f>segQtrSales!S317</f>
        <v>215.197</v>
      </c>
      <c r="AT162" s="137"/>
      <c r="AU162" s="673">
        <f>1-AV162</f>
        <v>0.58639107730097195</v>
      </c>
      <c r="AV162" s="673">
        <f>+AS162/(AS162+AR162)</f>
        <v>0.4136089226990281</v>
      </c>
    </row>
    <row r="163" spans="1:48">
      <c r="A163" s="137"/>
      <c r="B163" s="749" t="str">
        <f>$B$16</f>
        <v>Year</v>
      </c>
      <c r="D163" s="728">
        <f>(S163/S156-1)*100</f>
        <v>3.1691327949021408</v>
      </c>
      <c r="F163" s="762">
        <f>F159*S159/S163+F160*S160/S163+F161*S161/S163+F162*S162/S163</f>
        <v>-1.4661498780301105</v>
      </c>
      <c r="H163" s="728">
        <f>D163-F163</f>
        <v>4.6352826729322514</v>
      </c>
      <c r="K163" s="813"/>
      <c r="L163" s="734">
        <f>AVERAGE(L159:L162)</f>
        <v>1544.625</v>
      </c>
      <c r="N163" s="728">
        <f>(L163/L156-1)*100</f>
        <v>1.4948665297741304</v>
      </c>
      <c r="O163" s="107"/>
      <c r="P163" s="731">
        <f>H163/N163*100</f>
        <v>310.08003595027498</v>
      </c>
      <c r="Q163" s="122"/>
      <c r="S163" s="725">
        <f>SUM(S159:S162)</f>
        <v>2573.5860000000002</v>
      </c>
      <c r="U163" s="751">
        <f>SUM(U159:U162)</f>
        <v>1.665962959137115</v>
      </c>
      <c r="W163" s="708">
        <f>(U163/U156-1)*100</f>
        <v>1.5858470630217836</v>
      </c>
      <c r="X163" s="107"/>
      <c r="AB163" s="732">
        <f>AVERAGE(AB159:AB162)</f>
        <v>4.6236504687500002</v>
      </c>
      <c r="AD163" s="728">
        <f>(AB163/AB156-1)*100</f>
        <v>1.3051050080554294</v>
      </c>
      <c r="AE163" s="107"/>
      <c r="AF163" s="731">
        <f>+H163/AD163*100</f>
        <v>355.16549582770318</v>
      </c>
      <c r="AG163" s="122"/>
      <c r="AI163" s="725">
        <f>SUM(AI159:AI162)</f>
        <v>2573.5860000000002</v>
      </c>
      <c r="AK163" s="752">
        <f>SUM(AK159:AK162)</f>
        <v>556.55440872750466</v>
      </c>
      <c r="AM163" s="708">
        <f>(AK163/AK156-1)*100</f>
        <v>1.7864991421567833</v>
      </c>
      <c r="AN163" s="107"/>
      <c r="AO163" s="107"/>
      <c r="AP163" s="137"/>
      <c r="AQ163" s="822">
        <f>+SUM(AQ159:AQ162)</f>
        <v>2238.67</v>
      </c>
      <c r="AR163" s="823">
        <f>+SUM(AR159:AR162)</f>
        <v>1363.7909999999999</v>
      </c>
      <c r="AS163" s="823">
        <f>+SUM(AS159:AS162)</f>
        <v>874.87900000000002</v>
      </c>
    </row>
    <row r="164" spans="1:48">
      <c r="B164" s="218"/>
      <c r="D164" s="137"/>
      <c r="E164" s="137"/>
      <c r="F164" s="733"/>
      <c r="G164" s="137"/>
      <c r="K164" s="813"/>
      <c r="L164" s="699"/>
      <c r="O164" s="107"/>
      <c r="P164" s="824"/>
      <c r="Z164" s="236"/>
      <c r="AE164" s="107"/>
      <c r="AF164" s="236"/>
    </row>
    <row r="165" spans="1:48">
      <c r="A165" s="746"/>
      <c r="B165" s="747">
        <v>2016</v>
      </c>
      <c r="C165" s="137"/>
      <c r="D165" s="728"/>
      <c r="E165" s="137"/>
      <c r="F165" s="762"/>
      <c r="G165" s="137"/>
      <c r="H165" s="728"/>
      <c r="I165" s="137"/>
      <c r="J165" s="137"/>
      <c r="K165" s="818"/>
      <c r="L165" s="734"/>
      <c r="M165" s="137"/>
      <c r="N165" s="728"/>
      <c r="O165" s="735"/>
      <c r="P165" s="731"/>
      <c r="Q165" s="220"/>
      <c r="R165" s="137"/>
      <c r="S165" s="725"/>
      <c r="T165" s="137"/>
      <c r="U165" s="751"/>
      <c r="V165" s="137"/>
      <c r="W165" s="708"/>
      <c r="X165" s="735"/>
      <c r="Y165" s="137"/>
      <c r="Z165" s="137"/>
      <c r="AA165" s="137"/>
      <c r="AB165" s="732"/>
      <c r="AC165" s="137"/>
      <c r="AD165" s="728"/>
      <c r="AE165" s="735"/>
      <c r="AF165" s="731"/>
      <c r="AG165" s="220"/>
      <c r="AH165" s="137"/>
      <c r="AI165" s="725"/>
      <c r="AJ165" s="137"/>
      <c r="AK165" s="752"/>
      <c r="AL165" s="137"/>
      <c r="AM165" s="708"/>
      <c r="AN165" s="735"/>
      <c r="AO165" s="735"/>
      <c r="AP165" s="137"/>
      <c r="AQ165" s="823"/>
      <c r="AR165" s="817" t="s">
        <v>515</v>
      </c>
      <c r="AS165" s="817" t="s">
        <v>516</v>
      </c>
      <c r="AT165" s="817" t="s">
        <v>287</v>
      </c>
      <c r="AU165" s="137"/>
      <c r="AV165" s="137"/>
    </row>
    <row r="166" spans="1:48">
      <c r="A166" s="137" t="str">
        <f>$A$12</f>
        <v>1Q</v>
      </c>
      <c r="B166" s="749" t="str">
        <f>$B$12</f>
        <v>Apr</v>
      </c>
      <c r="C166" s="137"/>
      <c r="D166" s="769">
        <f>(S166/S159-1)*100</f>
        <v>-4.3854874878804573</v>
      </c>
      <c r="E166" s="220"/>
      <c r="F166" s="750">
        <f>'qtrP&amp;L'!CP10</f>
        <v>-4.2</v>
      </c>
      <c r="G166" s="220"/>
      <c r="H166" s="769">
        <f>D166-F166</f>
        <v>-0.1854874878804571</v>
      </c>
      <c r="I166" s="220"/>
      <c r="J166" s="825">
        <v>1517</v>
      </c>
      <c r="K166" s="1179">
        <f>J166-J162</f>
        <v>-1</v>
      </c>
      <c r="L166" s="731">
        <f>AVERAGE(J166,J162)</f>
        <v>1517.5</v>
      </c>
      <c r="M166" s="220"/>
      <c r="N166" s="769">
        <f>(L166/L159-1)*100</f>
        <v>-2.0651823168764127</v>
      </c>
      <c r="O166" s="1180"/>
      <c r="P166" s="742">
        <f>H166/N166*100</f>
        <v>8.9816519522115037</v>
      </c>
      <c r="Q166" s="220"/>
      <c r="R166" s="220"/>
      <c r="S166" s="725">
        <f>'qtrP&amp;L'!CN10</f>
        <v>642.97699999999998</v>
      </c>
      <c r="T166" s="220"/>
      <c r="U166" s="1181">
        <f>S166/L166</f>
        <v>0.42370807248764414</v>
      </c>
      <c r="V166" s="220"/>
      <c r="W166" s="708">
        <f>(U166/U159-1)*100</f>
        <v>-2.3692341762575175</v>
      </c>
      <c r="X166" s="1180"/>
      <c r="Y166" s="220"/>
      <c r="Z166" s="1182">
        <f>turn!AB165</f>
        <v>4.5582424999999995</v>
      </c>
      <c r="AA166" s="220"/>
      <c r="AB166" s="1182">
        <f>AVERAGE(Z166,Z165)</f>
        <v>4.5582424999999995</v>
      </c>
      <c r="AC166" s="220"/>
      <c r="AD166" s="769">
        <f>(AB166/AB159-1)*100</f>
        <v>-1.7237318201001828</v>
      </c>
      <c r="AE166" s="1180"/>
      <c r="AF166" s="731">
        <f>+H166/AD166*100</f>
        <v>10.760808944727644</v>
      </c>
      <c r="AG166" s="220"/>
      <c r="AH166" s="220"/>
      <c r="AI166" s="221">
        <f>+S166</f>
        <v>642.97699999999998</v>
      </c>
      <c r="AJ166" s="220"/>
      <c r="AK166" s="1183">
        <f>AI166/AB166</f>
        <v>141.05809421065246</v>
      </c>
      <c r="AL166" s="220"/>
      <c r="AM166" s="708">
        <f>(AK166/AK159-1)*100</f>
        <v>-2.7084419433874074</v>
      </c>
      <c r="AN166" s="735" t="s">
        <v>576</v>
      </c>
      <c r="AO166" s="735"/>
      <c r="AP166" s="725">
        <f>+S166-AQ166</f>
        <v>79.279999999999973</v>
      </c>
      <c r="AQ166" s="810">
        <f>+AR166+AS166</f>
        <v>563.697</v>
      </c>
      <c r="AR166" s="725">
        <f>segQtrSales!S168</f>
        <v>348.70400000000001</v>
      </c>
      <c r="AS166" s="725">
        <f>segQtrSales!S321</f>
        <v>214.99299999999999</v>
      </c>
      <c r="AT166" s="137"/>
      <c r="AU166" s="673">
        <f>1-AV166</f>
        <v>0.61860183751199671</v>
      </c>
      <c r="AV166" s="673">
        <f>+AS166/(AS166+AR166)</f>
        <v>0.38139816248800329</v>
      </c>
    </row>
    <row r="167" spans="1:48">
      <c r="A167" s="137" t="str">
        <f>$A$13</f>
        <v>2Q</v>
      </c>
      <c r="B167" s="749" t="str">
        <f>$B$13</f>
        <v>Jul</v>
      </c>
      <c r="C167" s="137"/>
      <c r="D167" s="769">
        <f>(S167/S160-1)*100</f>
        <v>-3.607304066727024</v>
      </c>
      <c r="E167" s="220"/>
      <c r="F167" s="750">
        <f>'qtrP&amp;L'!CP11</f>
        <v>-3.1</v>
      </c>
      <c r="G167" s="220"/>
      <c r="H167" s="769">
        <f>D167-F167</f>
        <v>-0.50730406672702388</v>
      </c>
      <c r="I167" s="220"/>
      <c r="J167" s="825">
        <v>1517</v>
      </c>
      <c r="K167" s="1179">
        <f>J167-J166</f>
        <v>0</v>
      </c>
      <c r="L167" s="731">
        <f>AVERAGE(J167,J166)</f>
        <v>1517</v>
      </c>
      <c r="M167" s="220"/>
      <c r="N167" s="769">
        <f>(L167/L160-1)*100</f>
        <v>-2.1290322580645116</v>
      </c>
      <c r="O167" s="1180"/>
      <c r="P167" s="742">
        <f>H167/N167*100</f>
        <v>23.827918285663294</v>
      </c>
      <c r="Q167" s="220"/>
      <c r="R167" s="220"/>
      <c r="S167" s="221">
        <f>'qtrP&amp;L'!CN11</f>
        <v>635.73199999999997</v>
      </c>
      <c r="T167" s="220"/>
      <c r="U167" s="1181">
        <f>S167/L167</f>
        <v>0.41907185234014499</v>
      </c>
      <c r="V167" s="220"/>
      <c r="W167" s="708">
        <f>(U167/U160-1)*100</f>
        <v>-1.5104293364712529</v>
      </c>
      <c r="X167" s="1180"/>
      <c r="Y167" s="220"/>
      <c r="Z167" s="1182">
        <f>turn!AB166</f>
        <v>4.5646387500000003</v>
      </c>
      <c r="AA167" s="220"/>
      <c r="AB167" s="1182">
        <f>AVERAGE(Z167,Z166)</f>
        <v>4.5614406249999995</v>
      </c>
      <c r="AC167" s="220"/>
      <c r="AD167" s="769">
        <f>(AB167/AB160-1)*100</f>
        <v>-1.6168244645465291</v>
      </c>
      <c r="AE167" s="1180"/>
      <c r="AF167" s="731">
        <f>+H167/AD167*100</f>
        <v>31.376570422523109</v>
      </c>
      <c r="AG167" s="220"/>
      <c r="AH167" s="220"/>
      <c r="AI167" s="221">
        <f>+S167</f>
        <v>635.73199999999997</v>
      </c>
      <c r="AJ167" s="220"/>
      <c r="AK167" s="1183">
        <f>AI167/AB167</f>
        <v>139.37088132107388</v>
      </c>
      <c r="AL167" s="220"/>
      <c r="AM167" s="708">
        <f>(AK167/AK160-1)*100</f>
        <v>-2.0231910500420724</v>
      </c>
      <c r="AN167" s="735"/>
      <c r="AO167" s="735"/>
      <c r="AP167" s="727">
        <f>+S167-AQ167</f>
        <v>93.533999999999878</v>
      </c>
      <c r="AQ167" s="819">
        <f>+AR167+AS167</f>
        <v>542.19800000000009</v>
      </c>
      <c r="AR167" s="725">
        <f>segQtrSales!S169</f>
        <v>334.16</v>
      </c>
      <c r="AS167" s="725">
        <f>segQtrSales!S322</f>
        <v>208.03800000000001</v>
      </c>
      <c r="AT167" s="137"/>
      <c r="AU167" s="673">
        <f>1-AV167</f>
        <v>0.61630622023688764</v>
      </c>
      <c r="AV167" s="673">
        <f>+AS167/(AS167+AR167)</f>
        <v>0.38369377976311231</v>
      </c>
    </row>
    <row r="168" spans="1:48">
      <c r="A168" s="137" t="str">
        <f>$A$14</f>
        <v>3Q</v>
      </c>
      <c r="B168" s="749" t="str">
        <f>$B$14</f>
        <v>Oct</v>
      </c>
      <c r="C168" s="137"/>
      <c r="D168" s="769">
        <f>(S168/S161-1)*100</f>
        <v>-4.7584704859310545</v>
      </c>
      <c r="E168" s="220"/>
      <c r="F168" s="750">
        <f>'qtrP&amp;L'!CP12</f>
        <v>-4.9000000000000004</v>
      </c>
      <c r="G168" s="220"/>
      <c r="H168" s="769">
        <f>D168-F168</f>
        <v>0.14152951406894587</v>
      </c>
      <c r="I168" s="220"/>
      <c r="J168" s="825">
        <v>1510</v>
      </c>
      <c r="K168" s="1179">
        <f>J168-J167</f>
        <v>-7</v>
      </c>
      <c r="L168" s="731">
        <f>AVERAGE(J168,J167)</f>
        <v>1513.5</v>
      </c>
      <c r="M168" s="220"/>
      <c r="N168" s="769">
        <f>(L168/L161-1)*100</f>
        <v>-2.1654815772462865</v>
      </c>
      <c r="O168" s="1180"/>
      <c r="P168" s="742">
        <f>H168/N168*100</f>
        <v>-6.5357062168554902</v>
      </c>
      <c r="Q168" s="220"/>
      <c r="R168" s="220"/>
      <c r="S168" s="221">
        <f>'qtrP&amp;L'!CN12</f>
        <v>596.91200000000003</v>
      </c>
      <c r="T168" s="220"/>
      <c r="U168" s="1181">
        <f>S168/L168</f>
        <v>0.394391807069706</v>
      </c>
      <c r="V168" s="220"/>
      <c r="W168" s="708">
        <f>(U168/U161-1)*100</f>
        <v>-2.6503824524184649</v>
      </c>
      <c r="X168" s="1180"/>
      <c r="Y168" s="220"/>
      <c r="Z168" s="1182">
        <f>turn!AB167</f>
        <v>4.5435262500000002</v>
      </c>
      <c r="AA168" s="220"/>
      <c r="AB168" s="1182">
        <f>AVERAGE(Z168,Z167)</f>
        <v>4.5540824999999998</v>
      </c>
      <c r="AC168" s="220"/>
      <c r="AD168" s="769">
        <f>(AB168/AB161-1)*100</f>
        <v>-1.5480526218720092</v>
      </c>
      <c r="AE168" s="1180"/>
      <c r="AF168" s="731">
        <f>+H168/AD168*100</f>
        <v>-9.1424226844303824</v>
      </c>
      <c r="AG168" s="220"/>
      <c r="AH168" s="220"/>
      <c r="AI168" s="221">
        <f>+S168</f>
        <v>596.91200000000003</v>
      </c>
      <c r="AJ168" s="220"/>
      <c r="AK168" s="1183">
        <f>AI168/AB168</f>
        <v>131.0718459755615</v>
      </c>
      <c r="AL168" s="220"/>
      <c r="AM168" s="708">
        <f>(AK168/AK161-1)*100</f>
        <v>-3.2608982854637536</v>
      </c>
      <c r="AN168" s="735"/>
      <c r="AO168" s="735"/>
      <c r="AP168" s="727">
        <f>+S168-AQ168</f>
        <v>74.32000000000005</v>
      </c>
      <c r="AQ168" s="820">
        <f>+AR168+AS168</f>
        <v>522.59199999999998</v>
      </c>
      <c r="AR168" s="725">
        <f>segQtrSales!S170</f>
        <v>312.20299999999997</v>
      </c>
      <c r="AS168" s="725">
        <f>segQtrSales!S323</f>
        <v>210.38900000000001</v>
      </c>
      <c r="AT168" s="137"/>
      <c r="AU168" s="673">
        <f>1-AV168</f>
        <v>0.59741251301206288</v>
      </c>
      <c r="AV168" s="673">
        <f>+AS168/(AS168+AR168)</f>
        <v>0.40258748698793706</v>
      </c>
    </row>
    <row r="169" spans="1:48">
      <c r="A169" s="137" t="str">
        <f>$A$15</f>
        <v>4Q</v>
      </c>
      <c r="B169" s="749" t="str">
        <f>$B$15</f>
        <v>Jan</v>
      </c>
      <c r="C169" s="137"/>
      <c r="D169" s="744">
        <f>(S169/S162-1)*100</f>
        <v>-2.2884884363920333</v>
      </c>
      <c r="E169" s="137"/>
      <c r="F169" s="738">
        <f>'qtrP&amp;L'!CP13</f>
        <v>-2.5</v>
      </c>
      <c r="G169" s="137"/>
      <c r="H169" s="744">
        <f>D169-F169</f>
        <v>0.21151156360796675</v>
      </c>
      <c r="I169" s="137"/>
      <c r="J169">
        <v>1501</v>
      </c>
      <c r="K169" s="818">
        <f>J169-J168</f>
        <v>-9</v>
      </c>
      <c r="L169" s="736">
        <f>AVERAGE(J169,J168)</f>
        <v>1505.5</v>
      </c>
      <c r="M169" s="137"/>
      <c r="N169" s="744">
        <f>(L169/L162-1)*100</f>
        <v>-1.7297650130548292</v>
      </c>
      <c r="O169" s="735"/>
      <c r="P169" s="815">
        <f>H169/N169*100</f>
        <v>-12.227762847071896</v>
      </c>
      <c r="Q169" s="220"/>
      <c r="R169" s="137"/>
      <c r="S169" s="729">
        <f>'qtrP&amp;L'!CN13</f>
        <v>600.78899999999999</v>
      </c>
      <c r="T169" s="137"/>
      <c r="U169" s="758">
        <f>S169/L169</f>
        <v>0.39906276984390565</v>
      </c>
      <c r="V169" s="137"/>
      <c r="W169" s="759">
        <f>(U169/U162-1)*100</f>
        <v>-0.56855814317675613</v>
      </c>
      <c r="X169" s="735"/>
      <c r="Y169" s="137"/>
      <c r="Z169" s="732">
        <f>yrSales!$X$65</f>
        <v>4.5144549999999999</v>
      </c>
      <c r="AA169" s="137"/>
      <c r="AB169" s="760">
        <f>AVERAGE(Z169,Z168)</f>
        <v>4.5289906250000005</v>
      </c>
      <c r="AC169" s="137"/>
      <c r="AD169" s="744">
        <f>(AB169/AB162-1)*100</f>
        <v>-1.4218657430615567</v>
      </c>
      <c r="AE169" s="735"/>
      <c r="AF169" s="736">
        <f>+H169/AD169*100</f>
        <v>-14.875635385415556</v>
      </c>
      <c r="AG169" s="220"/>
      <c r="AH169" s="137"/>
      <c r="AI169" s="729">
        <f>+S169</f>
        <v>600.78899999999999</v>
      </c>
      <c r="AJ169" s="137"/>
      <c r="AK169" s="761">
        <f>AI169/AB169</f>
        <v>132.65406130091071</v>
      </c>
      <c r="AL169" s="137"/>
      <c r="AM169" s="759">
        <f>(AK169/AK162-1)*100</f>
        <v>-0.87912263694468473</v>
      </c>
      <c r="AN169" s="735"/>
      <c r="AO169" s="735"/>
      <c r="AP169" s="727">
        <f>+S169-AQ169</f>
        <v>97.411000000000001</v>
      </c>
      <c r="AQ169" s="820">
        <f>+AR169+AS169</f>
        <v>503.37799999999999</v>
      </c>
      <c r="AR169" s="725">
        <f>segQtrSales!S171</f>
        <v>290.76299999999998</v>
      </c>
      <c r="AS169" s="725">
        <f>segQtrSales!S324</f>
        <v>212.61500000000001</v>
      </c>
      <c r="AT169" s="137"/>
      <c r="AU169" s="673">
        <f>1-AV169</f>
        <v>0.57762357512644569</v>
      </c>
      <c r="AV169" s="673">
        <f>+AS169/(AS169+AR169)</f>
        <v>0.42237642487355431</v>
      </c>
    </row>
    <row r="170" spans="1:48">
      <c r="A170" s="137"/>
      <c r="B170" s="749" t="str">
        <f>$B$16</f>
        <v>Year</v>
      </c>
      <c r="D170" s="728">
        <f>(S170/S163-1)*100</f>
        <v>-3.7758986876677336</v>
      </c>
      <c r="F170" s="762">
        <f>F166*S166/S170+F167*S167/S170+F168*S168/S170+F169*S169/S170</f>
        <v>-3.6739125992868713</v>
      </c>
      <c r="H170" s="728">
        <f>D170-F170</f>
        <v>-0.10198608838086232</v>
      </c>
      <c r="K170" s="813"/>
      <c r="L170" s="734">
        <f>AVERAGE(L166:L169)</f>
        <v>1513.375</v>
      </c>
      <c r="N170" s="728">
        <f>(L170/L163-1)*100</f>
        <v>-2.0231447762401933</v>
      </c>
      <c r="O170" s="107"/>
      <c r="P170" s="731">
        <f>H170/N170*100</f>
        <v>5.040968376489249</v>
      </c>
      <c r="Q170" s="122"/>
      <c r="S170" s="725">
        <f>SUM(S166:S169)</f>
        <v>2476.41</v>
      </c>
      <c r="U170" s="751">
        <f>SUM(U166:U169)</f>
        <v>1.6362345017414008</v>
      </c>
      <c r="W170" s="708">
        <f>(U170/U163-1)*100</f>
        <v>-1.7844608868802236</v>
      </c>
      <c r="X170" s="107"/>
      <c r="AB170" s="732">
        <f>AVERAGE(AB166:AB169)</f>
        <v>4.5506890625</v>
      </c>
      <c r="AD170" s="728">
        <f>(AB170/AB163-1)*100</f>
        <v>-1.5780043656657528</v>
      </c>
      <c r="AE170" s="107"/>
      <c r="AF170" s="731">
        <f>+H170/AD170*100</f>
        <v>6.4629788484669284</v>
      </c>
      <c r="AG170" s="122"/>
      <c r="AI170" s="725">
        <f>SUM(AI166:AI169)</f>
        <v>2476.41</v>
      </c>
      <c r="AK170" s="752">
        <f>SUM(AK166:AK169)</f>
        <v>544.15488280819852</v>
      </c>
      <c r="AM170" s="708">
        <f>(AK170/AK163-1)*100</f>
        <v>-2.227909028275632</v>
      </c>
      <c r="AN170" s="107"/>
      <c r="AO170" s="107"/>
      <c r="AP170" s="137"/>
      <c r="AQ170" s="822">
        <f>+SUM(AQ166:AQ169)</f>
        <v>2131.8650000000002</v>
      </c>
      <c r="AR170" s="823">
        <f>+SUM(AR166:AR169)</f>
        <v>1285.83</v>
      </c>
      <c r="AS170" s="823">
        <f>+SUM(AS166:AS169)</f>
        <v>846.03500000000008</v>
      </c>
    </row>
    <row r="171" spans="1:48">
      <c r="A171" s="137"/>
      <c r="B171" s="749"/>
      <c r="D171" s="728"/>
      <c r="F171" s="762"/>
      <c r="H171" s="728"/>
      <c r="K171" s="813"/>
      <c r="L171" s="734"/>
      <c r="N171" s="728"/>
      <c r="O171" s="107"/>
      <c r="P171" s="731"/>
      <c r="Q171" s="122"/>
      <c r="S171" s="673"/>
      <c r="U171" s="751"/>
      <c r="W171" s="708"/>
      <c r="X171" s="107"/>
      <c r="AB171" s="732"/>
      <c r="AD171" s="728"/>
      <c r="AE171" s="107"/>
      <c r="AF171" s="731"/>
      <c r="AG171" s="122"/>
      <c r="AI171" s="725"/>
      <c r="AK171" s="752"/>
      <c r="AM171" s="708"/>
      <c r="AN171" s="107"/>
      <c r="AO171" s="107"/>
      <c r="AP171" s="137"/>
      <c r="AQ171" s="823"/>
      <c r="AR171" s="823"/>
      <c r="AS171" s="823"/>
    </row>
    <row r="172" spans="1:48">
      <c r="A172" s="746"/>
      <c r="B172" s="763">
        <v>2017</v>
      </c>
      <c r="C172" s="137"/>
      <c r="D172" s="728"/>
      <c r="E172" s="137"/>
      <c r="F172" s="762"/>
      <c r="G172" s="137"/>
      <c r="H172" s="728"/>
      <c r="I172" s="137"/>
      <c r="J172" s="137"/>
      <c r="K172" s="818"/>
      <c r="L172" s="734"/>
      <c r="M172" s="137"/>
      <c r="N172" s="728"/>
      <c r="O172" s="735"/>
      <c r="P172" s="731"/>
      <c r="Q172" s="220"/>
      <c r="R172" s="137"/>
      <c r="S172" s="725"/>
      <c r="T172" s="137"/>
      <c r="U172" s="751"/>
      <c r="V172" s="137"/>
      <c r="W172" s="708"/>
      <c r="X172" s="735"/>
      <c r="Y172" s="137"/>
      <c r="Z172" s="137"/>
      <c r="AA172" s="137"/>
      <c r="AB172" s="732"/>
      <c r="AC172" s="137"/>
      <c r="AD172" s="728"/>
      <c r="AE172" s="735"/>
      <c r="AF172" s="731"/>
      <c r="AG172" s="220"/>
      <c r="AH172" s="137"/>
      <c r="AI172" s="725"/>
      <c r="AJ172" s="137"/>
      <c r="AK172" s="752"/>
      <c r="AL172" s="137"/>
      <c r="AM172" s="708"/>
      <c r="AN172" s="735"/>
      <c r="AO172" s="735"/>
      <c r="AP172" s="137"/>
      <c r="AQ172" s="823"/>
      <c r="AR172" s="817" t="s">
        <v>515</v>
      </c>
      <c r="AS172" s="817" t="s">
        <v>516</v>
      </c>
      <c r="AT172" s="817" t="s">
        <v>287</v>
      </c>
      <c r="AU172" s="137"/>
      <c r="AV172" s="137"/>
    </row>
    <row r="173" spans="1:48">
      <c r="A173" s="137" t="str">
        <f>$A$12</f>
        <v>1Q</v>
      </c>
      <c r="B173" s="749" t="str">
        <f>$B$12</f>
        <v>Apr</v>
      </c>
      <c r="C173" s="137"/>
      <c r="D173" s="769">
        <f>(S173/S166-1)*100</f>
        <v>-9.2147930641376057</v>
      </c>
      <c r="E173" s="220"/>
      <c r="F173" s="750">
        <f>'qtrP&amp;L'!CT10</f>
        <v>-8.6999999999999993</v>
      </c>
      <c r="G173" s="220"/>
      <c r="H173" s="769">
        <f>D173-F173</f>
        <v>-0.51479306413760639</v>
      </c>
      <c r="I173" s="220"/>
      <c r="J173" s="1571">
        <v>1492</v>
      </c>
      <c r="K173" s="1179">
        <f>J173-J169</f>
        <v>-9</v>
      </c>
      <c r="L173" s="731">
        <f>AVERAGE(J173,J169)</f>
        <v>1496.5</v>
      </c>
      <c r="M173" s="220"/>
      <c r="N173" s="769">
        <f>(L173/L166-1)*100</f>
        <v>-1.3838550247116999</v>
      </c>
      <c r="O173" s="1180"/>
      <c r="P173" s="742">
        <f>H173/N173*100</f>
        <v>37.199927372800765</v>
      </c>
      <c r="Q173" s="220"/>
      <c r="R173" s="220"/>
      <c r="S173" s="221">
        <f>'qtrP&amp;L'!CR10</f>
        <v>583.72799999999995</v>
      </c>
      <c r="T173" s="220"/>
      <c r="U173" s="1181">
        <f>S173/L173</f>
        <v>0.39006214500501168</v>
      </c>
      <c r="V173" s="220"/>
      <c r="W173" s="708">
        <f>(U173/U166-1)*100</f>
        <v>-7.9408275809079836</v>
      </c>
      <c r="X173" s="1180"/>
      <c r="Y173" s="220"/>
      <c r="Z173" s="1182">
        <f>turn!AB172</f>
        <v>4.49020375</v>
      </c>
      <c r="AA173" s="220"/>
      <c r="AB173" s="1182">
        <f>AVERAGE(Z173,Z169)</f>
        <v>4.5023293750000004</v>
      </c>
      <c r="AC173" s="220"/>
      <c r="AD173" s="769">
        <f>(AB173/AB166-1)*100</f>
        <v>-1.2266377885774893</v>
      </c>
      <c r="AE173" s="1180"/>
      <c r="AF173" s="731">
        <f>+H173/AD173*100</f>
        <v>41.967813883722187</v>
      </c>
      <c r="AG173" s="220"/>
      <c r="AH173" s="220"/>
      <c r="AI173" s="221">
        <f>+S173</f>
        <v>583.72799999999995</v>
      </c>
      <c r="AJ173" s="220"/>
      <c r="AK173" s="1183">
        <f>AI173/AB173</f>
        <v>129.65022133681632</v>
      </c>
      <c r="AL173" s="220"/>
      <c r="AM173" s="708">
        <f>(AK173/AK166-1)*100</f>
        <v>-8.0873578632077106</v>
      </c>
      <c r="AN173" s="735" t="s">
        <v>576</v>
      </c>
      <c r="AO173" s="735"/>
      <c r="AP173" s="725">
        <f>+S173-AQ173</f>
        <v>80.268999999999949</v>
      </c>
      <c r="AQ173" s="810">
        <f>+AR173+AS173</f>
        <v>503.459</v>
      </c>
      <c r="AR173" s="725">
        <f>segQtrSales!S175</f>
        <v>310.12700000000001</v>
      </c>
      <c r="AS173" s="725">
        <f>segQtrSales!S328</f>
        <v>193.33199999999999</v>
      </c>
      <c r="AT173" s="137"/>
      <c r="AU173" s="673">
        <f>1-AV173</f>
        <v>0.61599256344608011</v>
      </c>
      <c r="AV173" s="673">
        <f>+AS173/(AS173+AR173)</f>
        <v>0.38400743655391995</v>
      </c>
    </row>
    <row r="174" spans="1:48">
      <c r="A174" s="137" t="str">
        <f>$A$13</f>
        <v>2Q</v>
      </c>
      <c r="B174" s="749" t="str">
        <f>$B$13</f>
        <v>Jul</v>
      </c>
      <c r="C174" s="137"/>
      <c r="D174" s="769">
        <f>(S174/S167-1)*100</f>
        <v>-8.9897944416829638</v>
      </c>
      <c r="E174" s="220"/>
      <c r="F174" s="750">
        <f>'qtrP&amp;L'!CT11</f>
        <v>-8.4</v>
      </c>
      <c r="G174" s="220"/>
      <c r="H174" s="769">
        <f>D174-F174</f>
        <v>-0.58979444168296347</v>
      </c>
      <c r="I174" s="220"/>
      <c r="J174" s="1571">
        <v>1482</v>
      </c>
      <c r="K174" s="1179">
        <f>J174-J173</f>
        <v>-10</v>
      </c>
      <c r="L174" s="731">
        <f>AVERAGE(J174,J173)</f>
        <v>1487</v>
      </c>
      <c r="M174" s="220"/>
      <c r="N174" s="769">
        <f>(L174/L167-1)*100</f>
        <v>-1.9775873434410007</v>
      </c>
      <c r="O174" s="1180"/>
      <c r="P174" s="742">
        <f>H174/N174*100</f>
        <v>29.823938934435208</v>
      </c>
      <c r="Q174" s="220"/>
      <c r="R174" s="220"/>
      <c r="S174" s="221">
        <f>'qtrP&amp;L'!CR11</f>
        <v>578.58100000000002</v>
      </c>
      <c r="T174" s="220"/>
      <c r="U174" s="1181">
        <f>S174/L174</f>
        <v>0.38909280430396775</v>
      </c>
      <c r="V174" s="220"/>
      <c r="W174" s="708">
        <f>(U174/U167-1)*100</f>
        <v>-7.1536773154223576</v>
      </c>
      <c r="X174" s="1180"/>
      <c r="Y174" s="220"/>
      <c r="Z174" s="1182">
        <f>turn!AB173</f>
        <v>4.4575374999999999</v>
      </c>
      <c r="AA174" s="220"/>
      <c r="AB174" s="1182">
        <f>AVERAGE(Z174,Z173)</f>
        <v>4.473870625</v>
      </c>
      <c r="AC174" s="220"/>
      <c r="AD174" s="769">
        <f>(AB174/AB167-1)*100</f>
        <v>-1.9197882248001341</v>
      </c>
      <c r="AE174" s="1180"/>
      <c r="AF174" s="731">
        <f>+H174/AD174*100</f>
        <v>30.721849111475091</v>
      </c>
      <c r="AG174" s="220"/>
      <c r="AH174" s="220"/>
      <c r="AI174" s="221">
        <f>+S174</f>
        <v>578.58100000000002</v>
      </c>
      <c r="AJ174" s="220"/>
      <c r="AK174" s="1183">
        <f>AI174/AB174</f>
        <v>129.32448175119058</v>
      </c>
      <c r="AL174" s="220"/>
      <c r="AM174" s="708">
        <f>(AK174/AK167-1)*100</f>
        <v>-7.208392079217063</v>
      </c>
      <c r="AN174" s="735"/>
      <c r="AO174" s="735"/>
      <c r="AP174" s="727">
        <f>+S174-AQ174</f>
        <v>91.968000000000075</v>
      </c>
      <c r="AQ174" s="819">
        <f>+AR174+AS174</f>
        <v>486.61299999999994</v>
      </c>
      <c r="AR174" s="725">
        <f>segQtrSales!S176</f>
        <v>302.21699999999998</v>
      </c>
      <c r="AS174" s="725">
        <f>segQtrSales!S329</f>
        <v>184.39599999999999</v>
      </c>
      <c r="AT174" s="137"/>
      <c r="AU174" s="673">
        <f>1-AV174</f>
        <v>0.62106232262598815</v>
      </c>
      <c r="AV174" s="673">
        <f>+AS174/(AS174+AR174)</f>
        <v>0.37893767737401179</v>
      </c>
    </row>
    <row r="175" spans="1:48">
      <c r="A175" s="137" t="str">
        <f>$A$14</f>
        <v>3Q</v>
      </c>
      <c r="B175" s="749" t="str">
        <f>$B$14</f>
        <v>Oct</v>
      </c>
      <c r="C175" s="137"/>
      <c r="D175" s="769">
        <f>(S175/S168-1)*100</f>
        <v>-10.826553997909238</v>
      </c>
      <c r="E175" s="220"/>
      <c r="F175" s="750">
        <f>'qtrP&amp;L'!CT12</f>
        <v>-8.1999999999999993</v>
      </c>
      <c r="G175" s="220"/>
      <c r="H175" s="769">
        <f>D175-F175</f>
        <v>-2.6265539979092392</v>
      </c>
      <c r="I175" s="220"/>
      <c r="J175" s="1599">
        <v>1474</v>
      </c>
      <c r="K175" s="1179">
        <f>J175-J174</f>
        <v>-8</v>
      </c>
      <c r="L175" s="731">
        <f>AVERAGE(J175,J174)</f>
        <v>1478</v>
      </c>
      <c r="M175" s="220"/>
      <c r="N175" s="769">
        <f>(L175/L168-1)*100</f>
        <v>-2.345556656755865</v>
      </c>
      <c r="O175" s="1180"/>
      <c r="P175" s="742">
        <f>H175/N175*100</f>
        <v>111.97998523480652</v>
      </c>
      <c r="Q175" s="220"/>
      <c r="R175" s="220"/>
      <c r="S175" s="221">
        <f>'qtrP&amp;L'!CR12</f>
        <v>532.28700000000003</v>
      </c>
      <c r="T175" s="220"/>
      <c r="U175" s="1181">
        <f>S175/L175</f>
        <v>0.36014005412719896</v>
      </c>
      <c r="V175" s="220"/>
      <c r="W175" s="708">
        <f>(U175/U168-1)*100</f>
        <v>-8.6847019457615851</v>
      </c>
      <c r="X175" s="1180"/>
      <c r="Y175" s="220"/>
      <c r="Z175" s="1182">
        <f>turn!AB174</f>
        <v>4.4346612499999996</v>
      </c>
      <c r="AA175" s="220"/>
      <c r="AB175" s="1182">
        <f>AVERAGE(Z175,Z174)</f>
        <v>4.4460993749999993</v>
      </c>
      <c r="AC175" s="220"/>
      <c r="AD175" s="769">
        <f>(AB175/AB168-1)*100</f>
        <v>-2.3711279933993357</v>
      </c>
      <c r="AE175" s="1180"/>
      <c r="AF175" s="731">
        <f>+H175/AD175*100</f>
        <v>110.77234148561148</v>
      </c>
      <c r="AG175" s="220"/>
      <c r="AH175" s="220"/>
      <c r="AI175" s="221">
        <f>+S175</f>
        <v>532.28700000000003</v>
      </c>
      <c r="AJ175" s="220"/>
      <c r="AK175" s="1183">
        <f>AI175/AB175</f>
        <v>119.71999613706343</v>
      </c>
      <c r="AL175" s="220"/>
      <c r="AM175" s="708">
        <f>(AK175/AK168-1)*100</f>
        <v>-8.6607842851428529</v>
      </c>
      <c r="AN175" s="735"/>
      <c r="AO175" s="735"/>
      <c r="AP175" s="727">
        <f>+S175-AQ175</f>
        <v>72.462000000000046</v>
      </c>
      <c r="AQ175" s="820">
        <f>+AR175+AS175</f>
        <v>459.82499999999999</v>
      </c>
      <c r="AR175" s="725">
        <f>segQtrSales!S177</f>
        <v>284.56</v>
      </c>
      <c r="AS175" s="725">
        <f>segQtrSales!S330</f>
        <v>175.26499999999999</v>
      </c>
      <c r="AT175" s="137"/>
      <c r="AU175" s="673">
        <f>1-AV175</f>
        <v>0.61884412548252055</v>
      </c>
      <c r="AV175" s="673">
        <f>+AS175/(AS175+AR175)</f>
        <v>0.38115587451747945</v>
      </c>
    </row>
    <row r="176" spans="1:48">
      <c r="A176" s="137" t="str">
        <f>$A$15</f>
        <v>4Q</v>
      </c>
      <c r="B176" s="749" t="str">
        <f>$B$15</f>
        <v>Jan</v>
      </c>
      <c r="C176" s="137"/>
      <c r="D176" s="744">
        <f>F176+H176</f>
        <v>-0.71282247178293989</v>
      </c>
      <c r="E176" s="137"/>
      <c r="F176" s="738">
        <f>((segQtrSales!F331*(segQtrSales!S324/qtrSales!S169)))+((segQtrSales!F178*(segQtrSales!S171/qtrSales!S169))+((segQtrSales!F223*(segQtrSales!S216/qtrSales!S169))))</f>
        <v>-5.2128224717829399</v>
      </c>
      <c r="G176" s="137"/>
      <c r="H176">
        <f>5-0.5</f>
        <v>4.5</v>
      </c>
      <c r="I176" s="137"/>
      <c r="J176" s="1599">
        <v>1460</v>
      </c>
      <c r="K176" s="818">
        <f>J176-J175</f>
        <v>-14</v>
      </c>
      <c r="L176" s="736">
        <f>AVERAGE(J176,J175)</f>
        <v>1467</v>
      </c>
      <c r="M176" s="137"/>
      <c r="N176" s="744">
        <f>(L176/L169-1)*100</f>
        <v>-2.557289936898044</v>
      </c>
      <c r="O176" s="735"/>
      <c r="P176" s="815">
        <f>H176/N176*100</f>
        <v>-175.96753246753224</v>
      </c>
      <c r="Q176" s="220"/>
      <c r="R176" s="137"/>
      <c r="S176" s="766">
        <f>(S169)*(1+D176/100)</f>
        <v>596.506441</v>
      </c>
      <c r="T176" s="137"/>
      <c r="U176" s="758">
        <f>S176/L176</f>
        <v>0.40661652419904565</v>
      </c>
      <c r="V176" s="137"/>
      <c r="W176" s="759">
        <f>(U176/U169-1)*100</f>
        <v>1.8928737346494806</v>
      </c>
      <c r="X176" s="735"/>
      <c r="Y176" s="137"/>
      <c r="Z176" s="732">
        <f>yrSales!$Y$65</f>
        <v>4.39053</v>
      </c>
      <c r="AA176" s="137"/>
      <c r="AB176" s="760">
        <f>AVERAGE(Z176,Z175)</f>
        <v>4.4125956249999998</v>
      </c>
      <c r="AC176" s="137"/>
      <c r="AD176" s="744">
        <f>(AB176/AB169-1)*100</f>
        <v>-2.5699986959014876</v>
      </c>
      <c r="AE176" s="735"/>
      <c r="AF176" s="736">
        <f>+H176/AD176*100</f>
        <v>-175.09736511447991</v>
      </c>
      <c r="AG176" s="220"/>
      <c r="AH176" s="137"/>
      <c r="AI176" s="729">
        <f>+S176</f>
        <v>596.506441</v>
      </c>
      <c r="AJ176" s="137"/>
      <c r="AK176" s="761">
        <f>AI176/AB176</f>
        <v>135.18266609802933</v>
      </c>
      <c r="AL176" s="137"/>
      <c r="AM176" s="759">
        <f>(AK176/AK169-1)*100</f>
        <v>1.9061646302579227</v>
      </c>
      <c r="AN176" s="735"/>
      <c r="AO176" s="735"/>
      <c r="AP176" s="727">
        <f>+S176-AQ176</f>
        <v>107.88844099999994</v>
      </c>
      <c r="AQ176" s="820">
        <f>+AR176+AS176</f>
        <v>488.61800000000005</v>
      </c>
      <c r="AR176" s="725">
        <f>segQtrSales!S178</f>
        <v>290.69900000000001</v>
      </c>
      <c r="AS176" s="725">
        <f>segQtrSales!S331</f>
        <v>197.91900000000001</v>
      </c>
      <c r="AT176" s="137"/>
      <c r="AU176" s="673">
        <f>1-AV176</f>
        <v>0.59494124244297186</v>
      </c>
      <c r="AV176" s="673">
        <f>+AS176/(AS176+AR176)</f>
        <v>0.40505875755702819</v>
      </c>
    </row>
    <row r="177" spans="1:48">
      <c r="A177" s="137"/>
      <c r="B177" s="749" t="str">
        <f>$B$16</f>
        <v>Year</v>
      </c>
      <c r="D177" s="728">
        <f>(S177/S170-1)*100</f>
        <v>-7.4829111092266531</v>
      </c>
      <c r="F177" s="762">
        <f>F173*S173/S177+F174*S174/S177+F175*S175/S177+F176*S176/S177</f>
        <v>-7.6001619432642658</v>
      </c>
      <c r="H177" s="728">
        <f>D177-F177</f>
        <v>0.11725083403761261</v>
      </c>
      <c r="K177" s="813"/>
      <c r="L177" s="734">
        <f>AVERAGE(L173:L176)</f>
        <v>1482.125</v>
      </c>
      <c r="N177" s="728">
        <f>(L177/L170-1)*100</f>
        <v>-2.0649211200132189</v>
      </c>
      <c r="O177" s="107"/>
      <c r="P177" s="731">
        <f>H177/N177*100</f>
        <v>-5.6782233907734936</v>
      </c>
      <c r="Q177" s="122"/>
      <c r="S177" s="725">
        <f>SUM(S173:S176)</f>
        <v>2291.102441</v>
      </c>
      <c r="U177" s="751">
        <f>SUM(U173:U176)</f>
        <v>1.545911527635224</v>
      </c>
      <c r="W177" s="708">
        <f>(U177/U170-1)*100</f>
        <v>-5.5201729342614687</v>
      </c>
      <c r="X177" s="107"/>
      <c r="AB177" s="732">
        <f>AVERAGE(AB173:AB176)</f>
        <v>4.4587237499999999</v>
      </c>
      <c r="AD177" s="728">
        <f>(AB177/AB170-1)*100</f>
        <v>-2.0209096081259759</v>
      </c>
      <c r="AE177" s="107"/>
      <c r="AF177" s="731">
        <f>+H177/AD177*100</f>
        <v>-5.801884140000765</v>
      </c>
      <c r="AG177" s="122"/>
      <c r="AI177" s="725">
        <f>SUM(AI173:AI176)</f>
        <v>2291.102441</v>
      </c>
      <c r="AK177" s="752">
        <f>SUM(AK173:AK176)</f>
        <v>513.87736532309964</v>
      </c>
      <c r="AM177" s="708">
        <f>(AK177/AK170-1)*100</f>
        <v>-5.5641359549779112</v>
      </c>
      <c r="AN177" s="107"/>
      <c r="AO177" s="107"/>
      <c r="AP177" s="137"/>
      <c r="AQ177" s="822">
        <f>+SUM(AQ173:AQ176)</f>
        <v>1938.5149999999999</v>
      </c>
      <c r="AR177" s="823">
        <f>+SUM(AR173:AR176)</f>
        <v>1187.6030000000001</v>
      </c>
      <c r="AS177" s="823">
        <f>+SUM(AS173:AS176)</f>
        <v>750.91199999999992</v>
      </c>
    </row>
    <row r="178" spans="1:48">
      <c r="A178" s="137"/>
      <c r="B178" s="749"/>
      <c r="D178" s="728"/>
      <c r="F178" s="762"/>
      <c r="H178" s="728"/>
      <c r="K178" s="813"/>
      <c r="L178" s="734"/>
      <c r="N178" s="728"/>
      <c r="O178" s="107"/>
      <c r="P178" s="731"/>
      <c r="Q178" s="122"/>
      <c r="S178" s="673"/>
      <c r="U178" s="751"/>
      <c r="W178" s="708"/>
      <c r="X178" s="107"/>
      <c r="AB178" s="732"/>
      <c r="AD178" s="728"/>
      <c r="AE178" s="107"/>
      <c r="AF178" s="731"/>
      <c r="AG178" s="122"/>
      <c r="AI178" s="725"/>
      <c r="AK178" s="752"/>
      <c r="AM178" s="708"/>
      <c r="AN178" s="107"/>
      <c r="AO178" s="107"/>
      <c r="AP178" s="137"/>
      <c r="AQ178" s="823"/>
      <c r="AR178" s="823"/>
      <c r="AS178" s="823"/>
    </row>
    <row r="179" spans="1:48">
      <c r="A179" s="746"/>
      <c r="B179" s="763">
        <v>2018</v>
      </c>
      <c r="C179" s="137"/>
      <c r="D179" s="728"/>
      <c r="E179" s="137"/>
      <c r="F179" s="762"/>
      <c r="G179" s="137"/>
      <c r="H179" s="728"/>
      <c r="I179" s="137"/>
      <c r="J179" s="137"/>
      <c r="K179" s="818"/>
      <c r="L179" s="734"/>
      <c r="M179" s="137"/>
      <c r="N179" s="728"/>
      <c r="O179" s="735"/>
      <c r="P179" s="731"/>
      <c r="Q179" s="220"/>
      <c r="R179" s="137"/>
      <c r="S179" s="725"/>
      <c r="T179" s="137"/>
      <c r="U179" s="751"/>
      <c r="V179" s="137"/>
      <c r="W179" s="708"/>
      <c r="X179" s="735"/>
      <c r="Y179" s="137"/>
      <c r="Z179" s="137"/>
      <c r="AA179" s="137"/>
      <c r="AB179" s="732"/>
      <c r="AC179" s="137"/>
      <c r="AD179" s="728"/>
      <c r="AE179" s="735"/>
      <c r="AF179" s="731"/>
      <c r="AG179" s="220"/>
      <c r="AH179" s="137"/>
      <c r="AI179" s="725"/>
      <c r="AJ179" s="137"/>
      <c r="AK179" s="752"/>
      <c r="AL179" s="137"/>
      <c r="AM179" s="708"/>
      <c r="AN179" s="735"/>
      <c r="AO179" s="735"/>
      <c r="AP179" s="137"/>
      <c r="AQ179" s="823"/>
      <c r="AR179" s="817" t="s">
        <v>515</v>
      </c>
      <c r="AS179" s="817" t="s">
        <v>516</v>
      </c>
      <c r="AT179" s="817" t="s">
        <v>287</v>
      </c>
      <c r="AU179" s="137"/>
      <c r="AV179" s="137"/>
    </row>
    <row r="180" spans="1:48">
      <c r="A180" s="137" t="str">
        <f>$A$12</f>
        <v>1Q</v>
      </c>
      <c r="B180" s="749" t="str">
        <f>$B$12</f>
        <v>Apr</v>
      </c>
      <c r="C180" s="137"/>
      <c r="D180" s="769">
        <f t="shared" ref="D180:D183" si="0">F180+H180</f>
        <v>-5.5663508571755456</v>
      </c>
      <c r="E180" s="220"/>
      <c r="F180" s="750">
        <f>((segQtrSales!F335*(segQtrSales!S328/qtrSales!S173)))+((segQtrSales!F182*(segQtrSales!S175/qtrSales!S173))+((segQtrSales!F227*(segQtrSales!S220/qtrSales!S173))))</f>
        <v>-4.5840588424745778</v>
      </c>
      <c r="G180" s="220"/>
      <c r="H180" s="769">
        <f t="shared" ref="H180:H182" si="1">N180*P180/100</f>
        <v>-0.98229201470096783</v>
      </c>
      <c r="I180" s="220"/>
      <c r="J180" s="826">
        <f>segQtrSales!J182+segQtrSales!J227+segQtrSales!J335</f>
        <v>1449</v>
      </c>
      <c r="K180" s="1179">
        <f>J180-J176</f>
        <v>-11</v>
      </c>
      <c r="L180" s="731">
        <f>AVERAGE(J180,J176)</f>
        <v>1454.5</v>
      </c>
      <c r="M180" s="220"/>
      <c r="N180" s="769">
        <f>(L180/L173-1)*100</f>
        <v>-2.8065486134313367</v>
      </c>
      <c r="O180" s="1180"/>
      <c r="P180" s="1570">
        <v>35</v>
      </c>
      <c r="Q180" s="220"/>
      <c r="R180" s="220"/>
      <c r="S180" s="1298">
        <f t="shared" ref="S180:S181" si="2">(S173)*(1+D180/100)</f>
        <v>551.23565146842623</v>
      </c>
      <c r="T180" s="220"/>
      <c r="U180" s="1181">
        <f>S180/L180</f>
        <v>0.37898635370809641</v>
      </c>
      <c r="V180" s="220"/>
      <c r="W180" s="708">
        <f>(U180/U173-1)*100</f>
        <v>-2.8394940239004685</v>
      </c>
      <c r="X180" s="1180"/>
      <c r="Y180" s="220"/>
      <c r="Z180" s="1182">
        <f>segQtrSales!Z182+segQtrSales!Z227+segQtrSales!Z335</f>
        <v>4.3558300000000001</v>
      </c>
      <c r="AA180" s="220"/>
      <c r="AB180" s="1182">
        <f>AVERAGE(Z180,Z176)</f>
        <v>4.3731799999999996</v>
      </c>
      <c r="AC180" s="220"/>
      <c r="AD180" s="769">
        <f>(AB180/AB173-1)*100</f>
        <v>-2.8685012633044127</v>
      </c>
      <c r="AE180" s="1180"/>
      <c r="AF180" s="731">
        <f>+H180/AD180*100</f>
        <v>34.244085134876393</v>
      </c>
      <c r="AG180" s="220"/>
      <c r="AH180" s="220"/>
      <c r="AI180" s="221">
        <f>+S180</f>
        <v>551.23565146842623</v>
      </c>
      <c r="AJ180" s="220"/>
      <c r="AK180" s="1183">
        <f>AI180/AB180</f>
        <v>126.04915678486279</v>
      </c>
      <c r="AL180" s="220"/>
      <c r="AM180" s="708">
        <f>(AK180/AK173-1)*100</f>
        <v>-2.7775228725590684</v>
      </c>
      <c r="AN180" s="735" t="s">
        <v>576</v>
      </c>
      <c r="AO180" s="735"/>
      <c r="AP180" s="725">
        <f>+S180-AQ180</f>
        <v>76.948990814317142</v>
      </c>
      <c r="AQ180" s="810">
        <f>+AR180+AS180</f>
        <v>474.28666065410908</v>
      </c>
      <c r="AR180" s="725">
        <f>segQtrSales!S182</f>
        <v>299.99162613798006</v>
      </c>
      <c r="AS180" s="725">
        <f>segQtrSales!S335</f>
        <v>174.29503451612902</v>
      </c>
      <c r="AT180" s="137"/>
      <c r="AU180" s="673">
        <f>1-AV180</f>
        <v>0.63251120266433114</v>
      </c>
      <c r="AV180" s="673">
        <f>+AS180/(AS180+AR180)</f>
        <v>0.3674887973356688</v>
      </c>
    </row>
    <row r="181" spans="1:48">
      <c r="A181" s="137" t="str">
        <f>$A$13</f>
        <v>2Q</v>
      </c>
      <c r="B181" s="749" t="str">
        <f>$B$13</f>
        <v>Jul</v>
      </c>
      <c r="C181" s="137"/>
      <c r="D181" s="769">
        <f t="shared" si="0"/>
        <v>-4.1972676160343863</v>
      </c>
      <c r="E181" s="220"/>
      <c r="F181" s="750">
        <f>((segQtrSales!F336*(segQtrSales!S329/qtrSales!S174)))+((segQtrSales!F183*(segQtrSales!S176/qtrSales!S174))+((segQtrSales!F228*(segQtrSales!S221/qtrSales!S174))))</f>
        <v>-3.1733940450861673</v>
      </c>
      <c r="G181" s="220"/>
      <c r="H181" s="769">
        <f t="shared" si="1"/>
        <v>-1.0238735709482187</v>
      </c>
      <c r="I181" s="220"/>
      <c r="J181" s="826">
        <f>segQtrSales!J183+segQtrSales!J228+segQtrSales!J336</f>
        <v>1438</v>
      </c>
      <c r="K181" s="1179">
        <f>J181-J180</f>
        <v>-11</v>
      </c>
      <c r="L181" s="731">
        <f>AVERAGE(J181,J180)</f>
        <v>1443.5</v>
      </c>
      <c r="M181" s="220"/>
      <c r="N181" s="769">
        <f>(L181/L174-1)*100</f>
        <v>-2.9253530598520538</v>
      </c>
      <c r="O181" s="1180"/>
      <c r="P181" s="1570">
        <v>35</v>
      </c>
      <c r="Q181" s="220"/>
      <c r="R181" s="220"/>
      <c r="S181" s="1298">
        <f t="shared" si="2"/>
        <v>554.29640705447207</v>
      </c>
      <c r="T181" s="220"/>
      <c r="U181" s="1181">
        <f>S181/L181</f>
        <v>0.3839947399061116</v>
      </c>
      <c r="V181" s="220"/>
      <c r="W181" s="708">
        <f>(U181/U174-1)*100</f>
        <v>-1.3102438136772698</v>
      </c>
      <c r="X181" s="1180"/>
      <c r="Y181" s="220"/>
      <c r="Z181" s="1182">
        <f>segQtrSales!Z183+segQtrSales!Z228+segQtrSales!Z336</f>
        <v>4.3224299999999998</v>
      </c>
      <c r="AA181" s="220"/>
      <c r="AB181" s="1182">
        <f>AVERAGE(Z181,Z180)</f>
        <v>4.3391299999999999</v>
      </c>
      <c r="AC181" s="220"/>
      <c r="AD181" s="769">
        <f>(AB181/AB174-1)*100</f>
        <v>-3.0117237688338405</v>
      </c>
      <c r="AE181" s="1180"/>
      <c r="AF181" s="731">
        <f>+H181/AD181*100</f>
        <v>33.996264250511572</v>
      </c>
      <c r="AG181" s="220"/>
      <c r="AH181" s="220"/>
      <c r="AI181" s="221">
        <f>+S181</f>
        <v>554.29640705447207</v>
      </c>
      <c r="AJ181" s="220"/>
      <c r="AK181" s="1183">
        <f>AI181/AB181</f>
        <v>127.74367374438472</v>
      </c>
      <c r="AL181" s="220"/>
      <c r="AM181" s="708">
        <f>(AK181/AK174-1)*100</f>
        <v>-1.2223578903236554</v>
      </c>
      <c r="AN181" s="735"/>
      <c r="AO181" s="735"/>
      <c r="AP181" s="727">
        <f>+S181-AQ181</f>
        <v>88.035937351796633</v>
      </c>
      <c r="AQ181" s="819">
        <f>+AR181+AS181</f>
        <v>466.26046970267544</v>
      </c>
      <c r="AR181" s="725">
        <f>segQtrSales!S183</f>
        <v>296.30415241797431</v>
      </c>
      <c r="AS181" s="725">
        <f>segQtrSales!S336</f>
        <v>169.9563172847011</v>
      </c>
      <c r="AT181" s="137"/>
      <c r="AU181" s="673">
        <f>1-AV181</f>
        <v>0.63549061452050892</v>
      </c>
      <c r="AV181" s="673">
        <f>+AS181/(AS181+AR181)</f>
        <v>0.36450938547949108</v>
      </c>
    </row>
    <row r="182" spans="1:48">
      <c r="A182" s="137" t="str">
        <f>$A$14</f>
        <v>3Q</v>
      </c>
      <c r="B182" s="749" t="str">
        <f>$B$14</f>
        <v>Oct</v>
      </c>
      <c r="C182" s="137"/>
      <c r="D182" s="769">
        <f t="shared" si="0"/>
        <v>-0.37626785516343642</v>
      </c>
      <c r="E182" s="220"/>
      <c r="F182" s="750">
        <f>((segQtrSales!F337*(segQtrSales!S330/qtrSales!S175)))+((segQtrSales!F184*(segQtrSales!S177/qtrSales!S175))+((segQtrSales!F229*(segQtrSales!S222/qtrSales!S175))))</f>
        <v>-0.52850060211878169</v>
      </c>
      <c r="G182" s="220"/>
      <c r="H182" s="769">
        <f t="shared" si="1"/>
        <v>0.15223274695534528</v>
      </c>
      <c r="I182" s="220"/>
      <c r="J182" s="826">
        <f>segQtrSales!J184+segQtrSales!J229+segQtrSales!J337</f>
        <v>1428</v>
      </c>
      <c r="K182" s="1179">
        <f>J182-J181</f>
        <v>-10</v>
      </c>
      <c r="L182" s="731">
        <f>AVERAGE(J182,J181)</f>
        <v>1433</v>
      </c>
      <c r="M182" s="220"/>
      <c r="N182" s="769">
        <f>(L182/L175-1)*100</f>
        <v>-3.0446549391069055</v>
      </c>
      <c r="O182" s="1180"/>
      <c r="P182" s="1570">
        <v>-5</v>
      </c>
      <c r="Q182" s="220"/>
      <c r="R182" s="220"/>
      <c r="S182" s="1298">
        <f>(S175)*(1+D182/100)</f>
        <v>530.28417512178623</v>
      </c>
      <c r="T182" s="220"/>
      <c r="U182" s="1181">
        <f>S182/L182</f>
        <v>0.3700517621226701</v>
      </c>
      <c r="V182" s="220"/>
      <c r="W182" s="708">
        <f>(U182/U175-1)*100</f>
        <v>2.7521815143534134</v>
      </c>
      <c r="X182" s="1180"/>
      <c r="Y182" s="220"/>
      <c r="Z182" s="1182">
        <f>segQtrSales!Z184+segQtrSales!Z229+segQtrSales!Z337</f>
        <v>4.2915299999999998</v>
      </c>
      <c r="AA182" s="220"/>
      <c r="AB182" s="1182">
        <f>AVERAGE(Z182,Z181)</f>
        <v>4.3069799999999994</v>
      </c>
      <c r="AC182" s="220"/>
      <c r="AD182" s="769">
        <f>(AB182/AB175-1)*100</f>
        <v>-3.1290208172641165</v>
      </c>
      <c r="AE182" s="1180"/>
      <c r="AF182" s="731">
        <f>+H182/AD182*100</f>
        <v>-4.86518805229462</v>
      </c>
      <c r="AG182" s="220"/>
      <c r="AH182" s="220"/>
      <c r="AI182" s="221">
        <f>+S182</f>
        <v>530.28417512178623</v>
      </c>
      <c r="AJ182" s="220"/>
      <c r="AK182" s="1183">
        <f>AI182/AB182</f>
        <v>123.122042619605</v>
      </c>
      <c r="AL182" s="220"/>
      <c r="AM182" s="708">
        <f>(AK182/AK175-1)*100</f>
        <v>2.8416693888351663</v>
      </c>
      <c r="AN182" s="735"/>
      <c r="AO182" s="735"/>
      <c r="AP182" s="727">
        <f>+S182-AQ182</f>
        <v>77.918970185977855</v>
      </c>
      <c r="AQ182" s="820">
        <f>+AR182+AS182</f>
        <v>452.36520493580838</v>
      </c>
      <c r="AR182" s="725">
        <f>segQtrSales!S184</f>
        <v>281.79185902578797</v>
      </c>
      <c r="AS182" s="725">
        <f>segQtrSales!S337</f>
        <v>170.57334591002044</v>
      </c>
      <c r="AT182" s="137"/>
      <c r="AU182" s="673">
        <f>1-AV182</f>
        <v>0.62293000423358125</v>
      </c>
      <c r="AV182" s="673">
        <f>+AS182/(AS182+AR182)</f>
        <v>0.37706999576641881</v>
      </c>
    </row>
    <row r="183" spans="1:48">
      <c r="A183" s="137" t="str">
        <f>$A$15</f>
        <v>4Q</v>
      </c>
      <c r="B183" s="749" t="str">
        <f>$B$15</f>
        <v>Jan</v>
      </c>
      <c r="C183" s="137"/>
      <c r="D183" s="744">
        <f t="shared" si="0"/>
        <v>-7.8993109881608135</v>
      </c>
      <c r="E183" s="137"/>
      <c r="F183" s="738">
        <f>((segQtrSales!F338*(segQtrSales!S331/qtrSales!S176)))+((segQtrSales!F185*(segQtrSales!S178/qtrSales!S176))+((segQtrSales!F230*(segQtrSales!S223/qtrSales!S176))))</f>
        <v>6.8901183918651521E-4</v>
      </c>
      <c r="G183" s="137"/>
      <c r="H183" s="1624">
        <f>-7.4-0.5</f>
        <v>-7.9</v>
      </c>
      <c r="I183" s="137"/>
      <c r="J183" s="826">
        <f>yrSales!Z40</f>
        <v>1420</v>
      </c>
      <c r="K183" s="818">
        <f>J183-J182</f>
        <v>-8</v>
      </c>
      <c r="L183" s="736">
        <f>AVERAGE(J183,J182)</f>
        <v>1424</v>
      </c>
      <c r="M183" s="137"/>
      <c r="N183" s="744">
        <f>(L183/L176-1)*100</f>
        <v>-2.9311520109066125</v>
      </c>
      <c r="O183" s="735"/>
      <c r="P183" s="815">
        <f>H183/N183*100</f>
        <v>269.51860465116278</v>
      </c>
      <c r="Q183" s="220"/>
      <c r="R183" s="137"/>
      <c r="S183" s="766">
        <f>(S176)*(1+D183/100)</f>
        <v>549.38654216099997</v>
      </c>
      <c r="T183" s="137"/>
      <c r="U183" s="758">
        <f>S183/L183</f>
        <v>0.38580515601193816</v>
      </c>
      <c r="V183" s="137"/>
      <c r="W183" s="759">
        <f>(U183/U176-1)*100</f>
        <v>-5.1181806317639911</v>
      </c>
      <c r="X183" s="735"/>
      <c r="Y183" s="137"/>
      <c r="Z183" s="732">
        <f>yrSales!$Z$65</f>
        <v>4.2664050000000007</v>
      </c>
      <c r="AA183" s="137"/>
      <c r="AB183" s="760">
        <f>AVERAGE(Z183,Z182)</f>
        <v>4.2789675000000003</v>
      </c>
      <c r="AC183" s="137"/>
      <c r="AD183" s="744">
        <f>(AB183/AB176-1)*100</f>
        <v>-3.0283338052305542</v>
      </c>
      <c r="AE183" s="735"/>
      <c r="AF183" s="736">
        <f>+H183/AD183*100</f>
        <v>260.86952456677921</v>
      </c>
      <c r="AG183" s="220"/>
      <c r="AH183" s="137"/>
      <c r="AI183" s="729">
        <f>+S183</f>
        <v>549.38654216099997</v>
      </c>
      <c r="AJ183" s="137"/>
      <c r="AK183" s="761">
        <f>AI183/AB183</f>
        <v>128.3923147724305</v>
      </c>
      <c r="AL183" s="137"/>
      <c r="AM183" s="759">
        <f>(AK183/AK176-1)*100</f>
        <v>-5.0230932127605215</v>
      </c>
      <c r="AN183" s="735"/>
      <c r="AO183" s="735"/>
      <c r="AP183" s="727">
        <f>+S183-AQ183</f>
        <v>136.47270101790127</v>
      </c>
      <c r="AQ183" s="820">
        <f>+AR183+AS183</f>
        <v>412.91384114309869</v>
      </c>
      <c r="AR183" s="725">
        <f>segQtrSales!S185</f>
        <v>263.07317710583152</v>
      </c>
      <c r="AS183" s="725">
        <f>segQtrSales!S338</f>
        <v>149.84066403726715</v>
      </c>
      <c r="AT183" s="137"/>
      <c r="AU183" s="673">
        <f>1-AV183</f>
        <v>0.63711397122834978</v>
      </c>
      <c r="AV183" s="673">
        <f>+AS183/(AS183+AR183)</f>
        <v>0.36288602877165027</v>
      </c>
    </row>
    <row r="184" spans="1:48">
      <c r="A184" s="137"/>
      <c r="B184" s="749" t="str">
        <f>$B$16</f>
        <v>Year</v>
      </c>
      <c r="D184" s="728">
        <f>(S184/S177-1)*100</f>
        <v>-4.6222143235155162</v>
      </c>
      <c r="F184" s="762">
        <f>F180*S180/S184+F181*S181/S184+F182*S182/S184+F183*S183/S184</f>
        <v>-2.0894054329082015</v>
      </c>
      <c r="H184" s="728">
        <f>D184-F184</f>
        <v>-2.5328088906073147</v>
      </c>
      <c r="K184" s="813"/>
      <c r="L184" s="734">
        <f>AVERAGE(L180:L183)</f>
        <v>1438.75</v>
      </c>
      <c r="N184" s="728">
        <f>(L184/L177-1)*100</f>
        <v>-2.9265412836299243</v>
      </c>
      <c r="O184" s="107"/>
      <c r="P184" s="731">
        <f>H184/N184*100</f>
        <v>86.546152783662606</v>
      </c>
      <c r="Q184" s="122"/>
      <c r="S184" s="725">
        <f>SUM(S180:S183)</f>
        <v>2185.2027758056843</v>
      </c>
      <c r="U184" s="751">
        <f>SUM(U180:U183)</f>
        <v>1.5188380117488165</v>
      </c>
      <c r="W184" s="708">
        <f>(U184/U177-1)*100</f>
        <v>-1.7512978849327676</v>
      </c>
      <c r="X184" s="107"/>
      <c r="AB184" s="732">
        <f>AVERAGE(AB180:AB183)</f>
        <v>4.3245643749999996</v>
      </c>
      <c r="AD184" s="728">
        <f>(AB184/AB177-1)*100</f>
        <v>-3.0089187516943672</v>
      </c>
      <c r="AE184" s="107"/>
      <c r="AF184" s="731">
        <f>+H184/AD184*100</f>
        <v>84.176712620806143</v>
      </c>
      <c r="AG184" s="122"/>
      <c r="AI184" s="725">
        <f>SUM(AI180:AI183)</f>
        <v>2185.2027758056843</v>
      </c>
      <c r="AK184" s="752">
        <f>SUM(AK180:AK183)</f>
        <v>505.307187921283</v>
      </c>
      <c r="AM184" s="708">
        <f>(AK184/AK177-1)*100</f>
        <v>-1.6677475950761411</v>
      </c>
      <c r="AN184" s="107"/>
      <c r="AO184" s="107"/>
      <c r="AP184" s="137"/>
      <c r="AQ184" s="822">
        <f>+SUM(AQ180:AQ183)</f>
        <v>1805.8261764356917</v>
      </c>
      <c r="AR184" s="823">
        <f>+SUM(AR180:AR183)</f>
        <v>1141.1608146875737</v>
      </c>
      <c r="AS184" s="823">
        <f>+SUM(AS180:AS183)</f>
        <v>664.66536174811768</v>
      </c>
    </row>
    <row r="185" spans="1:48">
      <c r="A185" s="137"/>
      <c r="B185" s="749"/>
      <c r="D185" s="728"/>
      <c r="F185" s="762"/>
      <c r="H185" s="728"/>
      <c r="K185" s="813"/>
      <c r="L185" s="734"/>
      <c r="N185" s="728"/>
      <c r="O185" s="107"/>
      <c r="P185" s="731"/>
      <c r="Q185" s="122"/>
      <c r="S185" s="768"/>
      <c r="U185" s="751"/>
      <c r="W185" s="708"/>
      <c r="X185" s="107"/>
      <c r="AB185" s="732"/>
      <c r="AD185" s="728"/>
      <c r="AE185" s="107"/>
      <c r="AF185" s="731"/>
      <c r="AG185" s="122"/>
      <c r="AI185" s="725"/>
      <c r="AK185" s="752"/>
      <c r="AM185" s="708"/>
      <c r="AN185" s="107"/>
      <c r="AO185" s="107"/>
      <c r="AP185" s="137"/>
      <c r="AQ185" s="823"/>
      <c r="AR185" s="823"/>
      <c r="AS185" s="823"/>
    </row>
    <row r="186" spans="1:48">
      <c r="A186" s="135" t="s">
        <v>203</v>
      </c>
      <c r="B186" s="218"/>
      <c r="D186" s="137"/>
      <c r="E186" s="137"/>
      <c r="F186" s="733"/>
      <c r="G186" s="137"/>
      <c r="L186" s="699"/>
      <c r="O186" s="107"/>
      <c r="AE186" s="107"/>
      <c r="AK186" s="236">
        <f>AK117/AK96-1</f>
        <v>-0.39729615617016301</v>
      </c>
    </row>
    <row r="187" spans="1:48">
      <c r="A187" s="135" t="s">
        <v>202</v>
      </c>
      <c r="B187" s="218"/>
      <c r="D187" s="137"/>
      <c r="E187" s="137"/>
      <c r="F187" s="733"/>
      <c r="G187" s="137"/>
      <c r="O187" s="107"/>
      <c r="AE187" s="107"/>
      <c r="AK187" s="236">
        <f>AK118/AK97-1</f>
        <v>-0.37724547830873578</v>
      </c>
    </row>
    <row r="188" spans="1:48">
      <c r="A188" s="135" t="s">
        <v>619</v>
      </c>
      <c r="B188" s="217" t="s">
        <v>534</v>
      </c>
      <c r="D188" s="137"/>
      <c r="E188" s="137"/>
      <c r="F188" s="137"/>
      <c r="G188" s="137"/>
      <c r="O188" s="107"/>
      <c r="Z188" s="22"/>
      <c r="AE188" s="107"/>
      <c r="AK188" s="236">
        <f>AK119/AK98-1</f>
        <v>-0.2895155849914981</v>
      </c>
    </row>
    <row r="189" spans="1:48">
      <c r="A189" s="135" t="s">
        <v>201</v>
      </c>
      <c r="B189" s="792" t="s">
        <v>42</v>
      </c>
      <c r="D189" s="137"/>
      <c r="E189" s="137"/>
      <c r="F189" s="137"/>
      <c r="G189" s="137"/>
      <c r="O189" s="107"/>
      <c r="Z189" s="22"/>
      <c r="AK189" s="236">
        <f>AK120/AK99-1</f>
        <v>-0.32201063039345101</v>
      </c>
    </row>
    <row r="190" spans="1:48" ht="4.5" customHeight="1">
      <c r="B190" s="218"/>
      <c r="D190" s="137"/>
      <c r="E190" s="137"/>
      <c r="F190" s="137"/>
      <c r="G190" s="137"/>
    </row>
    <row r="191" spans="1:48">
      <c r="A191" s="675" t="s">
        <v>700</v>
      </c>
      <c r="B191" s="218"/>
      <c r="Z191" s="22"/>
    </row>
  </sheetData>
  <phoneticPr fontId="0" type="noConversion"/>
  <printOptions horizontalCentered="1"/>
  <pageMargins left="0" right="0" top="0.5" bottom="0" header="0.5" footer="0.5"/>
  <pageSetup scale="55" orientation="landscape" r:id="rId1"/>
  <headerFooter alignWithMargins="0">
    <oddFooter>&amp;R&amp;8&amp;D/&amp;T
&amp;F/&amp;A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indexed="31"/>
  </sheetPr>
  <dimension ref="A1:DL210"/>
  <sheetViews>
    <sheetView view="pageBreakPreview" zoomScale="85" zoomScaleNormal="100" zoomScaleSheetLayoutView="85" workbookViewId="0">
      <pane ySplit="9720" topLeftCell="A148"/>
      <selection pane="bottomLeft" activeCell="DB155" sqref="DB155"/>
    </sheetView>
  </sheetViews>
  <sheetFormatPr defaultRowHeight="12.75" outlineLevelRow="1" outlineLevelCol="1"/>
  <cols>
    <col min="1" max="1" width="3" style="26" customWidth="1"/>
    <col min="2" max="2" width="5.140625" style="26" customWidth="1"/>
    <col min="3" max="3" width="3.7109375" style="26" hidden="1" customWidth="1" outlineLevel="1"/>
    <col min="4" max="4" width="9.140625" style="26" hidden="1" customWidth="1" outlineLevel="1"/>
    <col min="5" max="6" width="5.7109375" style="26" hidden="1" customWidth="1" outlineLevel="1"/>
    <col min="7" max="7" width="2.42578125" style="26" hidden="1" customWidth="1" outlineLevel="1"/>
    <col min="8" max="8" width="9.140625" style="26" hidden="1" customWidth="1" outlineLevel="1"/>
    <col min="9" max="10" width="5.7109375" style="26" hidden="1" customWidth="1" outlineLevel="1"/>
    <col min="11" max="11" width="2.42578125" style="26" hidden="1" customWidth="1" outlineLevel="1"/>
    <col min="12" max="12" width="9.140625" style="26" hidden="1" customWidth="1" outlineLevel="1"/>
    <col min="13" max="14" width="5.7109375" style="26" hidden="1" customWidth="1" outlineLevel="1"/>
    <col min="15" max="15" width="2.42578125" style="26" hidden="1" customWidth="1" outlineLevel="1"/>
    <col min="16" max="16" width="9.140625" style="26" hidden="1" customWidth="1" outlineLevel="1"/>
    <col min="17" max="18" width="5.7109375" style="26" hidden="1" customWidth="1" outlineLevel="1"/>
    <col min="19" max="19" width="2.42578125" style="26" hidden="1" customWidth="1" outlineLevel="1"/>
    <col min="20" max="20" width="9.140625" style="26" hidden="1" customWidth="1" outlineLevel="1"/>
    <col min="21" max="22" width="5.7109375" style="26" hidden="1" customWidth="1" outlineLevel="1"/>
    <col min="23" max="23" width="2.42578125" style="26" hidden="1" customWidth="1" outlineLevel="1"/>
    <col min="24" max="24" width="9.140625" style="26" hidden="1" customWidth="1" outlineLevel="1"/>
    <col min="25" max="25" width="6.28515625" style="26" hidden="1" customWidth="1" outlineLevel="1"/>
    <col min="26" max="26" width="6.42578125" style="26" hidden="1" customWidth="1" outlineLevel="1"/>
    <col min="27" max="27" width="2.42578125" style="26" hidden="1" customWidth="1" outlineLevel="1"/>
    <col min="28" max="28" width="9.140625" style="26" hidden="1" customWidth="1" outlineLevel="1"/>
    <col min="29" max="30" width="5.7109375" style="26" hidden="1" customWidth="1" outlineLevel="1"/>
    <col min="31" max="31" width="2.42578125" style="26" hidden="1" customWidth="1" outlineLevel="1"/>
    <col min="32" max="32" width="9.140625" style="26" hidden="1" customWidth="1" outlineLevel="1" collapsed="1"/>
    <col min="33" max="34" width="5.7109375" style="26" hidden="1" customWidth="1" outlineLevel="1"/>
    <col min="35" max="35" width="2.42578125" style="26" hidden="1" customWidth="1" outlineLevel="1" collapsed="1"/>
    <col min="36" max="36" width="9.140625" style="26" hidden="1" customWidth="1" outlineLevel="1"/>
    <col min="37" max="38" width="5.7109375" style="26" hidden="1" customWidth="1" outlineLevel="1"/>
    <col min="39" max="39" width="2.140625" style="26" hidden="1" customWidth="1" outlineLevel="1"/>
    <col min="40" max="40" width="9.140625" style="26" hidden="1" customWidth="1" outlineLevel="1"/>
    <col min="41" max="42" width="5.7109375" style="26" hidden="1" customWidth="1" outlineLevel="1"/>
    <col min="43" max="43" width="2.140625" style="26" hidden="1" customWidth="1" outlineLevel="1"/>
    <col min="44" max="44" width="9.140625" style="26" hidden="1" customWidth="1" outlineLevel="1" collapsed="1"/>
    <col min="45" max="45" width="5.7109375" style="26" hidden="1" customWidth="1" outlineLevel="1"/>
    <col min="46" max="46" width="5.28515625" style="26" hidden="1" customWidth="1" outlineLevel="1"/>
    <col min="47" max="47" width="2.140625" style="26" hidden="1" customWidth="1" outlineLevel="1"/>
    <col min="48" max="48" width="9.140625" style="26" hidden="1" customWidth="1" outlineLevel="1"/>
    <col min="49" max="50" width="5.7109375" style="26" hidden="1" customWidth="1" outlineLevel="1"/>
    <col min="51" max="51" width="2.140625" style="26" hidden="1" customWidth="1" outlineLevel="1"/>
    <col min="52" max="52" width="9.140625" style="26" hidden="1" customWidth="1" outlineLevel="1"/>
    <col min="53" max="54" width="5.7109375" style="26" hidden="1" customWidth="1" outlineLevel="1"/>
    <col min="55" max="55" width="2.140625" style="26" hidden="1" customWidth="1" outlineLevel="1"/>
    <col min="56" max="56" width="9.140625" style="26" hidden="1" customWidth="1" outlineLevel="1"/>
    <col min="57" max="58" width="5.7109375" style="26" hidden="1" customWidth="1" outlineLevel="1"/>
    <col min="59" max="59" width="2.140625" style="26" hidden="1" customWidth="1" outlineLevel="1"/>
    <col min="60" max="60" width="9.140625" style="26" hidden="1" customWidth="1" outlineLevel="1"/>
    <col min="61" max="61" width="7.42578125" style="26" hidden="1" customWidth="1" outlineLevel="1"/>
    <col min="62" max="62" width="5.7109375" style="26" hidden="1" customWidth="1" outlineLevel="1"/>
    <col min="63" max="63" width="1.85546875" style="26" hidden="1" customWidth="1" outlineLevel="1"/>
    <col min="64" max="64" width="9.140625" style="26" hidden="1" customWidth="1" outlineLevel="1"/>
    <col min="65" max="65" width="7.42578125" style="26" hidden="1" customWidth="1" outlineLevel="1"/>
    <col min="66" max="66" width="7.28515625" style="26" hidden="1" customWidth="1" outlineLevel="1"/>
    <col min="67" max="67" width="2" style="26" hidden="1" customWidth="1" outlineLevel="1"/>
    <col min="68" max="68" width="10.42578125" style="26" hidden="1" customWidth="1" outlineLevel="1"/>
    <col min="69" max="69" width="6.85546875" style="26" hidden="1" customWidth="1" outlineLevel="1"/>
    <col min="70" max="70" width="6.5703125" style="26" hidden="1" customWidth="1" outlineLevel="1"/>
    <col min="71" max="71" width="2" style="26" hidden="1" customWidth="1" outlineLevel="1"/>
    <col min="72" max="72" width="9.85546875" style="26" hidden="1" customWidth="1" outlineLevel="1"/>
    <col min="73" max="73" width="6.140625" style="26" hidden="1" customWidth="1" outlineLevel="1"/>
    <col min="74" max="74" width="5.7109375" style="26" hidden="1" customWidth="1" outlineLevel="1"/>
    <col min="75" max="75" width="2" style="26" hidden="1" customWidth="1" outlineLevel="1"/>
    <col min="76" max="76" width="9" style="26" hidden="1" customWidth="1" outlineLevel="1" collapsed="1"/>
    <col min="77" max="77" width="6.140625" style="26" hidden="1" customWidth="1" outlineLevel="1"/>
    <col min="78" max="78" width="5.7109375" style="26" hidden="1" customWidth="1" outlineLevel="1"/>
    <col min="79" max="79" width="2" style="26" hidden="1" customWidth="1" outlineLevel="1"/>
    <col min="80" max="80" width="9" style="26" customWidth="1" collapsed="1"/>
    <col min="81" max="82" width="7" style="26" customWidth="1"/>
    <col min="83" max="83" width="2" style="26" customWidth="1"/>
    <col min="84" max="84" width="9.28515625" style="26" customWidth="1"/>
    <col min="85" max="85" width="6.28515625" style="26" customWidth="1"/>
    <col min="86" max="86" width="6.42578125" style="26" customWidth="1"/>
    <col min="87" max="87" width="2" style="26" customWidth="1"/>
    <col min="88" max="88" width="9.28515625" style="26" customWidth="1"/>
    <col min="89" max="89" width="7" style="26" customWidth="1"/>
    <col min="90" max="90" width="7.140625" style="26" customWidth="1"/>
    <col min="91" max="91" width="2" style="26" customWidth="1"/>
    <col min="92" max="92" width="9.28515625" style="26" customWidth="1"/>
    <col min="93" max="93" width="7" style="26" customWidth="1"/>
    <col min="94" max="94" width="7.140625" style="26" customWidth="1"/>
    <col min="95" max="95" width="2" style="26" customWidth="1"/>
    <col min="96" max="96" width="9.28515625" style="26" customWidth="1"/>
    <col min="97" max="97" width="7" style="26" customWidth="1"/>
    <col min="98" max="98" width="7.140625" style="26" customWidth="1"/>
    <col min="99" max="99" width="2" style="26" customWidth="1"/>
    <col min="100" max="100" width="9.28515625" style="26" customWidth="1"/>
    <col min="101" max="101" width="7" style="26" customWidth="1"/>
    <col min="102" max="102" width="7.140625" style="26" customWidth="1"/>
    <col min="103" max="103" width="10.28515625" style="26" customWidth="1"/>
    <col min="104" max="105" width="8.140625" style="26" customWidth="1"/>
    <col min="106" max="106" width="7.140625" style="26" customWidth="1"/>
    <col min="107" max="107" width="8.85546875" style="26" hidden="1" customWidth="1" outlineLevel="1"/>
    <col min="108" max="108" width="8" style="26" hidden="1" customWidth="1" outlineLevel="1"/>
    <col min="109" max="109" width="9.42578125" style="26" hidden="1" customWidth="1" outlineLevel="1"/>
    <col min="110" max="110" width="4.7109375" style="26" hidden="1" customWidth="1" outlineLevel="1"/>
    <col min="111" max="111" width="1.140625" style="26" customWidth="1" collapsed="1"/>
    <col min="112" max="112" width="5.28515625" style="26" customWidth="1"/>
    <col min="113" max="114" width="11" style="26" bestFit="1" customWidth="1"/>
    <col min="115" max="115" width="14.85546875" style="26" bestFit="1" customWidth="1"/>
    <col min="116" max="116" width="6.42578125" style="26" customWidth="1"/>
    <col min="117" max="117" width="9.140625" style="26"/>
    <col min="118" max="118" width="1.7109375" style="26" customWidth="1"/>
    <col min="119" max="16384" width="9.140625" style="26"/>
  </cols>
  <sheetData>
    <row r="1" spans="1:116">
      <c r="A1" s="259" t="str">
        <f>+sumry!A1</f>
        <v>Chico's</v>
      </c>
      <c r="B1" s="28"/>
      <c r="C1" s="28"/>
      <c r="D1" s="42"/>
      <c r="E1" s="28"/>
      <c r="F1" s="28"/>
      <c r="G1" s="28"/>
      <c r="H1" s="42"/>
      <c r="I1" s="28"/>
      <c r="J1" s="28"/>
      <c r="K1" s="28"/>
      <c r="L1" s="42"/>
      <c r="M1" s="28"/>
      <c r="N1" s="28"/>
      <c r="O1" s="28"/>
      <c r="P1" s="42"/>
      <c r="Q1" s="28"/>
      <c r="R1" s="28"/>
      <c r="S1" s="42"/>
      <c r="T1" s="42"/>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827"/>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c r="DH1" s="28"/>
      <c r="DI1" s="28"/>
      <c r="DJ1" s="28"/>
      <c r="DK1" s="28"/>
      <c r="DL1" s="28"/>
    </row>
    <row r="2" spans="1:116">
      <c r="A2" s="147" t="s">
        <v>606</v>
      </c>
      <c r="B2" s="29"/>
      <c r="C2" s="29"/>
      <c r="D2" s="43"/>
      <c r="E2" s="29"/>
      <c r="F2" s="29"/>
      <c r="G2" s="29"/>
      <c r="H2" s="43"/>
      <c r="I2" s="29"/>
      <c r="J2" s="29"/>
      <c r="K2" s="29"/>
      <c r="L2" s="43"/>
      <c r="M2" s="29"/>
      <c r="N2" s="29"/>
      <c r="O2" s="29"/>
      <c r="P2" s="43"/>
      <c r="Q2" s="29"/>
      <c r="R2" s="29"/>
      <c r="S2" s="43"/>
      <c r="T2" s="43"/>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c r="CQ2" s="29"/>
      <c r="CR2" s="29"/>
      <c r="CS2" s="29"/>
      <c r="CT2" s="29"/>
      <c r="CU2" s="29"/>
      <c r="CV2" s="29"/>
      <c r="CW2" s="29"/>
      <c r="CX2" s="29"/>
      <c r="CY2" s="46"/>
      <c r="CZ2" s="750"/>
      <c r="DA2" s="46"/>
      <c r="DB2" s="46"/>
      <c r="DC2" s="46"/>
      <c r="DD2" s="46"/>
      <c r="DE2" s="46"/>
      <c r="DF2" s="28"/>
      <c r="DG2" s="28"/>
      <c r="DH2" s="28"/>
      <c r="DI2" s="28"/>
      <c r="DJ2" s="28"/>
      <c r="DK2" s="28"/>
      <c r="DL2" s="28"/>
    </row>
    <row r="3" spans="1:116">
      <c r="A3" s="828" t="s">
        <v>401</v>
      </c>
      <c r="CF3" s="1205"/>
      <c r="CG3" s="1205"/>
      <c r="CH3" s="1205"/>
      <c r="CI3" s="1205"/>
      <c r="CJ3" s="1205"/>
      <c r="CK3" s="1205"/>
      <c r="CL3" s="1205"/>
      <c r="CM3" s="1205"/>
      <c r="CN3" s="1205"/>
      <c r="CO3" s="1205"/>
      <c r="CP3" s="1205"/>
      <c r="CQ3" s="1205"/>
      <c r="CR3" s="1205"/>
      <c r="CS3" s="1205"/>
      <c r="CT3" s="1205"/>
      <c r="CU3" s="1205"/>
      <c r="CV3" s="1205"/>
      <c r="CW3" s="1205"/>
      <c r="CX3" s="1205"/>
      <c r="CZ3" s="1294"/>
    </row>
    <row r="4" spans="1:116">
      <c r="A4" s="828" t="s">
        <v>607</v>
      </c>
      <c r="AN4" s="213"/>
      <c r="AO4" s="213"/>
      <c r="AP4" s="213"/>
      <c r="AR4" s="213"/>
      <c r="AS4" s="213"/>
      <c r="AT4" s="213"/>
      <c r="AV4" s="213"/>
      <c r="AW4" s="213"/>
      <c r="AX4" s="213"/>
      <c r="AY4" s="213"/>
      <c r="AZ4" s="213"/>
      <c r="BA4" s="213"/>
      <c r="BB4" s="213"/>
      <c r="BC4" s="213"/>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1204" t="s">
        <v>762</v>
      </c>
      <c r="CG4" s="1204"/>
      <c r="CH4" s="1204"/>
      <c r="CI4" s="1204"/>
      <c r="CJ4" s="1204"/>
      <c r="CK4" s="1204"/>
      <c r="CL4" s="1204"/>
      <c r="CM4" s="1204"/>
      <c r="CN4" s="1204"/>
      <c r="CO4" s="1204"/>
      <c r="CP4" s="1204"/>
      <c r="CQ4" s="1204"/>
      <c r="CR4" s="1204"/>
      <c r="CS4" s="1204"/>
      <c r="CT4" s="1204"/>
      <c r="CU4" s="1204"/>
      <c r="CV4" s="1204"/>
      <c r="CW4" s="1204"/>
      <c r="CX4" s="1204"/>
      <c r="CZ4" s="829"/>
      <c r="DA4" s="213"/>
    </row>
    <row r="5" spans="1:116">
      <c r="A5" s="828"/>
      <c r="CF5" s="1205"/>
      <c r="CG5" s="1204"/>
      <c r="CH5" s="1204"/>
      <c r="CI5" s="1204"/>
      <c r="CJ5" s="1204"/>
      <c r="CK5" s="1204"/>
      <c r="CL5" s="1204"/>
      <c r="CM5" s="1204"/>
      <c r="CN5" s="1205"/>
      <c r="CO5" s="1205"/>
      <c r="CP5" s="1205"/>
      <c r="CQ5" s="1205"/>
      <c r="CR5" s="1205"/>
      <c r="CS5" s="1205"/>
      <c r="CT5" s="1205"/>
      <c r="CU5" s="1205"/>
      <c r="CV5" s="1205"/>
      <c r="CW5" s="1205"/>
      <c r="CX5" s="1205"/>
      <c r="CZ5" s="829"/>
    </row>
    <row r="6" spans="1:116">
      <c r="A6" s="828"/>
      <c r="D6" s="830">
        <v>1994</v>
      </c>
      <c r="E6" s="831"/>
      <c r="F6" s="832"/>
      <c r="H6" s="830">
        <v>1995</v>
      </c>
      <c r="I6" s="831"/>
      <c r="J6" s="832"/>
      <c r="L6" s="832">
        <f>H6+1</f>
        <v>1996</v>
      </c>
      <c r="M6" s="831"/>
      <c r="N6" s="832"/>
      <c r="P6" s="832">
        <f>L6+1</f>
        <v>1997</v>
      </c>
      <c r="Q6" s="831"/>
      <c r="R6" s="832"/>
      <c r="S6" s="26" t="s">
        <v>617</v>
      </c>
      <c r="T6" s="832">
        <f>P6+1</f>
        <v>1998</v>
      </c>
      <c r="U6" s="831"/>
      <c r="V6" s="832"/>
      <c r="X6" s="832">
        <f>T6+1</f>
        <v>1999</v>
      </c>
      <c r="Y6" s="831"/>
      <c r="Z6" s="832"/>
      <c r="AB6" s="832">
        <f>X6+1</f>
        <v>2000</v>
      </c>
      <c r="AC6" s="831"/>
      <c r="AD6" s="832"/>
      <c r="AF6" s="832">
        <f>AB6+1</f>
        <v>2001</v>
      </c>
      <c r="AG6" s="831"/>
      <c r="AH6" s="832"/>
      <c r="AJ6" s="832">
        <f>AF6+1</f>
        <v>2002</v>
      </c>
      <c r="AK6" s="831"/>
      <c r="AL6" s="832"/>
      <c r="AN6" s="832">
        <f>AJ6+1</f>
        <v>2003</v>
      </c>
      <c r="AO6" s="831"/>
      <c r="AP6" s="832"/>
      <c r="AR6" s="832">
        <f>AN6+1</f>
        <v>2004</v>
      </c>
      <c r="AS6" s="831"/>
      <c r="AT6" s="832"/>
      <c r="AV6" s="832">
        <f>AR6+1</f>
        <v>2005</v>
      </c>
      <c r="AW6" s="831"/>
      <c r="AX6" s="832"/>
      <c r="AY6" s="833"/>
      <c r="AZ6" s="832" t="s">
        <v>333</v>
      </c>
      <c r="BA6" s="831"/>
      <c r="BB6" s="832"/>
      <c r="BC6" s="834"/>
      <c r="BD6" s="832" t="s">
        <v>381</v>
      </c>
      <c r="BE6" s="831"/>
      <c r="BF6" s="832"/>
      <c r="BG6" s="834"/>
      <c r="BH6" s="832" t="s">
        <v>285</v>
      </c>
      <c r="BI6" s="831"/>
      <c r="BJ6" s="832"/>
      <c r="BK6" s="834"/>
      <c r="BL6" s="832" t="s">
        <v>178</v>
      </c>
      <c r="BM6" s="831"/>
      <c r="BN6" s="832"/>
      <c r="BO6" s="834"/>
      <c r="BP6" s="832" t="s">
        <v>332</v>
      </c>
      <c r="BQ6" s="832"/>
      <c r="BR6" s="832"/>
      <c r="BS6" s="834"/>
      <c r="BT6" s="1678" t="s">
        <v>664</v>
      </c>
      <c r="BU6" s="1678"/>
      <c r="BV6" s="1678"/>
      <c r="BW6" s="834"/>
      <c r="BX6" s="1678" t="s">
        <v>632</v>
      </c>
      <c r="BY6" s="1678"/>
      <c r="BZ6" s="1678"/>
      <c r="CA6" s="833"/>
      <c r="CB6" s="1678" t="s">
        <v>221</v>
      </c>
      <c r="CC6" s="1678"/>
      <c r="CD6" s="1678"/>
      <c r="CE6" s="833"/>
      <c r="CF6" s="1678" t="s">
        <v>719</v>
      </c>
      <c r="CG6" s="1678"/>
      <c r="CH6" s="1678"/>
      <c r="CI6" s="833"/>
      <c r="CJ6" s="1678" t="s">
        <v>759</v>
      </c>
      <c r="CK6" s="1678"/>
      <c r="CL6" s="1678"/>
      <c r="CM6" s="833"/>
      <c r="CN6" s="1678" t="s">
        <v>784</v>
      </c>
      <c r="CO6" s="1678"/>
      <c r="CP6" s="1678"/>
      <c r="CQ6" s="833"/>
      <c r="CR6" s="1677" t="s">
        <v>207</v>
      </c>
      <c r="CS6" s="1677"/>
      <c r="CT6" s="1677"/>
      <c r="CU6" s="833"/>
      <c r="CV6" s="1677" t="s">
        <v>586</v>
      </c>
      <c r="CW6" s="1677"/>
      <c r="CX6" s="1677"/>
      <c r="CY6" s="833"/>
      <c r="CZ6" s="829"/>
      <c r="DA6" s="1619"/>
    </row>
    <row r="7" spans="1:116">
      <c r="CZ7" s="829"/>
    </row>
    <row r="8" spans="1:116">
      <c r="C8" s="837"/>
      <c r="D8" s="838"/>
      <c r="H8" s="839"/>
      <c r="I8" s="840"/>
      <c r="J8" s="840"/>
      <c r="K8" s="840"/>
      <c r="L8" s="839"/>
      <c r="M8" s="840"/>
      <c r="N8" s="840"/>
      <c r="O8" s="840"/>
      <c r="P8" s="839"/>
      <c r="Q8" s="840"/>
      <c r="R8" s="840"/>
      <c r="S8" s="840"/>
      <c r="T8" s="839"/>
      <c r="U8" s="840"/>
      <c r="V8" s="840"/>
      <c r="W8" s="840"/>
      <c r="Y8" s="840"/>
      <c r="Z8" s="840"/>
      <c r="AA8" s="840"/>
      <c r="AC8" s="840"/>
      <c r="AD8" s="840"/>
      <c r="AE8" s="840"/>
      <c r="AF8" s="839"/>
      <c r="AG8" s="840"/>
      <c r="AH8" s="840"/>
      <c r="AI8" s="840"/>
      <c r="AK8" s="840"/>
      <c r="AL8" s="840"/>
      <c r="AM8" s="840"/>
      <c r="AN8" s="839"/>
      <c r="AO8" s="840"/>
      <c r="AP8" s="840"/>
      <c r="AQ8" s="840"/>
      <c r="AR8" s="839"/>
      <c r="AS8" s="840"/>
      <c r="AT8" s="840"/>
      <c r="AU8" s="840"/>
      <c r="AV8" s="839" t="s">
        <v>714</v>
      </c>
      <c r="AW8" s="840"/>
      <c r="AX8" s="840"/>
      <c r="AY8" s="840"/>
      <c r="AZ8" s="839"/>
      <c r="BA8" s="840"/>
      <c r="BB8" s="840"/>
      <c r="BC8" s="840"/>
      <c r="BD8" s="839"/>
      <c r="BE8" s="840"/>
      <c r="BF8" s="840"/>
      <c r="BG8" s="840"/>
      <c r="BH8" s="839"/>
      <c r="BI8" s="840"/>
      <c r="BJ8" s="840"/>
      <c r="BK8" s="840"/>
      <c r="BL8" s="839"/>
      <c r="BM8" s="841"/>
      <c r="BN8" s="841"/>
      <c r="BO8" s="841"/>
      <c r="BP8" s="842"/>
      <c r="BQ8" s="841"/>
      <c r="BR8" s="841"/>
      <c r="BS8" s="841"/>
      <c r="BU8" s="841"/>
      <c r="BV8" s="841"/>
      <c r="BW8" s="841"/>
      <c r="BX8" s="842"/>
      <c r="BY8" s="841"/>
      <c r="BZ8" s="841"/>
      <c r="CA8" s="840"/>
      <c r="CB8" s="840"/>
      <c r="CC8" s="843" t="str">
        <f>+AV8</f>
        <v>1. Net Sales    (% Increase -- Total/Comparable Stores)  (b)</v>
      </c>
      <c r="CD8" s="840"/>
      <c r="CE8" s="840"/>
      <c r="CF8" s="840"/>
      <c r="CG8" s="840"/>
      <c r="CH8" s="840"/>
      <c r="CI8" s="840"/>
      <c r="CJ8" s="840"/>
      <c r="CK8" s="840"/>
      <c r="CL8" s="840"/>
      <c r="CM8" s="840"/>
      <c r="CN8" s="840"/>
      <c r="CO8" s="840"/>
      <c r="CP8" s="840"/>
      <c r="CQ8" s="840"/>
      <c r="CR8" s="840"/>
      <c r="CS8" s="840"/>
      <c r="CT8" s="840"/>
      <c r="CU8" s="840"/>
      <c r="CV8" s="840"/>
      <c r="CW8" s="840"/>
      <c r="CX8" s="840"/>
      <c r="CY8" s="840"/>
      <c r="CZ8" s="829"/>
      <c r="DA8" s="840"/>
    </row>
    <row r="9" spans="1:116">
      <c r="BM9" s="137"/>
      <c r="BN9" s="137"/>
      <c r="BO9" s="137"/>
      <c r="BP9" s="137"/>
      <c r="BQ9" s="137"/>
      <c r="BR9" s="137"/>
      <c r="BS9" s="137"/>
      <c r="BT9" s="137"/>
      <c r="BU9" s="137"/>
      <c r="BV9" s="137"/>
      <c r="BW9" s="137"/>
      <c r="BX9" s="137"/>
      <c r="BY9" s="137"/>
      <c r="BZ9" s="137"/>
      <c r="CP9" s="180"/>
      <c r="CT9" s="180"/>
      <c r="CZ9" s="829"/>
    </row>
    <row r="10" spans="1:116">
      <c r="A10" s="26" t="s">
        <v>608</v>
      </c>
      <c r="B10" s="26" t="s">
        <v>592</v>
      </c>
      <c r="D10" s="844">
        <v>13.92159</v>
      </c>
      <c r="E10" s="845">
        <f>+(D10/10.785337-1)*100</f>
        <v>29.078859566465098</v>
      </c>
      <c r="F10" s="846">
        <v>3.9</v>
      </c>
      <c r="H10" s="844">
        <v>14.659974</v>
      </c>
      <c r="I10" s="799">
        <f t="shared" ref="I10:I16" si="0">(H10/D10-1)*100</f>
        <v>5.3038769278509035</v>
      </c>
      <c r="J10" s="846">
        <v>-17.2</v>
      </c>
      <c r="L10" s="844">
        <v>17.302551999999999</v>
      </c>
      <c r="M10" s="799">
        <f>(L10/H10-1)*100</f>
        <v>18.025802774275036</v>
      </c>
      <c r="N10" s="846">
        <v>2.9</v>
      </c>
      <c r="P10" s="844">
        <v>18.719797</v>
      </c>
      <c r="Q10" s="799">
        <f>(P10/L10-1)*100</f>
        <v>8.1909593451879203</v>
      </c>
      <c r="R10" s="846">
        <v>-1.1000000000000001</v>
      </c>
      <c r="T10" s="844">
        <v>25.895907999999999</v>
      </c>
      <c r="U10" s="799">
        <f>(T10/P10-1)*100</f>
        <v>38.334341980311002</v>
      </c>
      <c r="V10" s="846">
        <v>31.7</v>
      </c>
      <c r="X10" s="844">
        <v>36.424981000000002</v>
      </c>
      <c r="Y10" s="799">
        <f>(X10/T10-1)*100</f>
        <v>40.659215347845709</v>
      </c>
      <c r="Z10" s="846">
        <v>22.6</v>
      </c>
      <c r="AB10" s="844">
        <v>56.692813999999998</v>
      </c>
      <c r="AC10" s="799">
        <f>(AB10/X10-1)*100</f>
        <v>55.642672812924722</v>
      </c>
      <c r="AD10" s="846">
        <v>30.9</v>
      </c>
      <c r="AF10" s="844">
        <v>93.233012000000002</v>
      </c>
      <c r="AG10" s="799">
        <f>(AF10/AB10-1)*100</f>
        <v>64.452962239623531</v>
      </c>
      <c r="AH10" s="846">
        <v>27.7</v>
      </c>
      <c r="AJ10" s="844">
        <v>130.453641</v>
      </c>
      <c r="AK10" s="799">
        <f>(AJ10/AF10-1)*100</f>
        <v>39.922156542577426</v>
      </c>
      <c r="AL10" s="846">
        <v>13.2</v>
      </c>
      <c r="AN10" s="844">
        <f>161.440522+5.68273+1.861345</f>
        <v>168.98459699999998</v>
      </c>
      <c r="AO10" s="799">
        <f>(AN10/AJ10-1)*100</f>
        <v>29.536129236898788</v>
      </c>
      <c r="AP10" s="846">
        <v>7.8</v>
      </c>
      <c r="AR10" s="844">
        <f>248.487+6.082+2.222</f>
        <v>256.791</v>
      </c>
      <c r="AS10" s="799">
        <f>(AR10/AN10-1)*100</f>
        <v>51.961187326440196</v>
      </c>
      <c r="AT10" s="846">
        <v>20.100000000000001</v>
      </c>
      <c r="AV10" s="844">
        <v>327.255</v>
      </c>
      <c r="AW10" s="799">
        <f>(AV10/AR10-1)*100</f>
        <v>27.4402140261925</v>
      </c>
      <c r="AX10" s="846">
        <v>10.8</v>
      </c>
      <c r="AY10" s="846"/>
      <c r="AZ10" s="844">
        <v>390.66300000000001</v>
      </c>
      <c r="BA10" s="799">
        <f>(AZ10/AV10-1)*100</f>
        <v>19.375716184626679</v>
      </c>
      <c r="BB10" s="846">
        <v>6.6</v>
      </c>
      <c r="BC10" s="846"/>
      <c r="BD10" s="844">
        <v>453.08800000000002</v>
      </c>
      <c r="BE10" s="799">
        <f>(BD10/AZ10-1)*100</f>
        <v>15.979245538993968</v>
      </c>
      <c r="BF10" s="846">
        <v>-1.6</v>
      </c>
      <c r="BG10" s="846"/>
      <c r="BH10" s="844">
        <v>409.56400000000002</v>
      </c>
      <c r="BI10" s="799">
        <f>(BH10/BD10-1)*100</f>
        <v>-9.6060809379193479</v>
      </c>
      <c r="BJ10" s="846">
        <v>-17.5</v>
      </c>
      <c r="BK10" s="846"/>
      <c r="BL10" s="844">
        <v>410.64299999999997</v>
      </c>
      <c r="BM10" s="802">
        <f t="shared" ref="BM10:BM16" si="1">(BL10/BH10-1)*100</f>
        <v>0.26345088923829252</v>
      </c>
      <c r="BN10" s="847">
        <v>-1.6</v>
      </c>
      <c r="BO10" s="847"/>
      <c r="BP10" s="848">
        <v>481.58800000000002</v>
      </c>
      <c r="BQ10" s="802">
        <f>(BP10/BL10-1)*100</f>
        <v>17.276563827947889</v>
      </c>
      <c r="BR10" s="847">
        <v>16</v>
      </c>
      <c r="BS10" s="847"/>
      <c r="BT10" s="848">
        <f>374.934+162.224</f>
        <v>537.15800000000002</v>
      </c>
      <c r="BU10" s="802">
        <f>(BT10/BP10-1)*100</f>
        <v>11.538908776796752</v>
      </c>
      <c r="BV10" s="847">
        <v>7.7</v>
      </c>
      <c r="BW10" s="847"/>
      <c r="BX10" s="848">
        <v>650.81700000000001</v>
      </c>
      <c r="BY10" s="802">
        <f t="shared" ref="BY10:BY16" si="2">(BX10/BT10-1)*100</f>
        <v>21.159323699916975</v>
      </c>
      <c r="BZ10" s="847">
        <v>9.6</v>
      </c>
      <c r="CA10" s="849"/>
      <c r="CB10" s="850">
        <v>670.72199999999998</v>
      </c>
      <c r="CC10" s="799">
        <f t="shared" ref="CC10:CC16" si="3">(CB10/BX10-1)*100</f>
        <v>3.0584634390312448</v>
      </c>
      <c r="CD10" s="846">
        <v>0</v>
      </c>
      <c r="CE10" s="849"/>
      <c r="CF10" s="850">
        <v>659.51900000000001</v>
      </c>
      <c r="CG10" s="1210">
        <f>(CF10/CB10-1)*100</f>
        <v>-1.6702896281917012</v>
      </c>
      <c r="CH10" s="846">
        <v>-2.6</v>
      </c>
      <c r="CI10" s="849"/>
      <c r="CJ10" s="850">
        <v>672.46799999999996</v>
      </c>
      <c r="CK10" s="799">
        <f>(CJ10/CF10-1)*100</f>
        <v>1.9634005995278203</v>
      </c>
      <c r="CL10" s="846">
        <v>-0.1</v>
      </c>
      <c r="CM10" s="849"/>
      <c r="CN10" s="1290">
        <v>642.97699999999998</v>
      </c>
      <c r="CO10" s="799">
        <f t="shared" ref="CO10:CO16" si="4">(CN10/CJ10-1)*100</f>
        <v>-4.3854874878804573</v>
      </c>
      <c r="CP10" s="857">
        <v>-4.2</v>
      </c>
      <c r="CQ10" s="849"/>
      <c r="CR10" s="1290">
        <v>583.72799999999995</v>
      </c>
      <c r="CS10" s="799">
        <f t="shared" ref="CS10:CS16" si="5">(CR10/CN10-1)*100</f>
        <v>-9.2147930641376057</v>
      </c>
      <c r="CT10" s="857">
        <v>-8.6999999999999993</v>
      </c>
      <c r="CU10" s="849"/>
      <c r="CV10" s="1602">
        <f>qtrSales!S180</f>
        <v>551.23565146842623</v>
      </c>
      <c r="CW10" s="799">
        <f t="shared" ref="CW10:CW16" si="6">(CV10/CR10-1)*100</f>
        <v>-5.56635085717555</v>
      </c>
      <c r="CX10" s="1605">
        <f>qtrSales!F180</f>
        <v>-4.5840588424745778</v>
      </c>
      <c r="CY10" s="829">
        <f>CS10-CT10</f>
        <v>-0.51479306413760639</v>
      </c>
      <c r="CZ10" s="829">
        <f>+CW10-CX10</f>
        <v>-0.98229201470097216</v>
      </c>
      <c r="DA10" s="829">
        <f t="shared" ref="DA10:DA16" si="7">CT10+CP10</f>
        <v>-12.899999999999999</v>
      </c>
      <c r="DB10" s="1202"/>
      <c r="DC10" s="853"/>
    </row>
    <row r="11" spans="1:116">
      <c r="A11" s="26" t="s">
        <v>609</v>
      </c>
      <c r="B11" s="26" t="s">
        <v>593</v>
      </c>
      <c r="D11" s="854">
        <v>15.980499</v>
      </c>
      <c r="E11" s="845">
        <f>+(D11/10.943047-1)*100</f>
        <v>46.033357985211978</v>
      </c>
      <c r="F11" s="846">
        <v>-1.8</v>
      </c>
      <c r="H11" s="854">
        <v>15.527196</v>
      </c>
      <c r="I11" s="799">
        <f t="shared" si="0"/>
        <v>-2.8366010347987247</v>
      </c>
      <c r="J11" s="846">
        <v>-13.5</v>
      </c>
      <c r="L11" s="854">
        <v>16.073288999999999</v>
      </c>
      <c r="M11" s="799">
        <f t="shared" ref="M11:M16" si="8">(L11/H11-1)*100</f>
        <v>3.5170097678936862</v>
      </c>
      <c r="N11" s="846">
        <v>2.2000000000000002</v>
      </c>
      <c r="P11" s="854">
        <v>20.080573999999999</v>
      </c>
      <c r="Q11" s="799">
        <f t="shared" ref="Q11:Q16" si="9">(P11/L11-1)*100</f>
        <v>24.931331726817074</v>
      </c>
      <c r="R11" s="846">
        <v>13.3</v>
      </c>
      <c r="T11" s="854">
        <v>27.358542</v>
      </c>
      <c r="U11" s="799">
        <f t="shared" ref="U11:U16" si="10">(T11/P11-1)*100</f>
        <v>36.243824504219859</v>
      </c>
      <c r="V11" s="846">
        <v>23</v>
      </c>
      <c r="X11" s="854">
        <v>36.771293</v>
      </c>
      <c r="Y11" s="799">
        <f t="shared" ref="Y11:Y16" si="11">(X11/T11-1)*100</f>
        <v>34.40516311139681</v>
      </c>
      <c r="Z11" s="846">
        <v>17.2</v>
      </c>
      <c r="AB11" s="854">
        <v>60.638316000000003</v>
      </c>
      <c r="AC11" s="799">
        <f t="shared" ref="AC11:AC16" si="12">(AB11/X11-1)*100</f>
        <v>64.906673257315163</v>
      </c>
      <c r="AD11" s="846">
        <v>34.299999999999997</v>
      </c>
      <c r="AF11" s="854">
        <v>89.492216999999997</v>
      </c>
      <c r="AG11" s="799">
        <f t="shared" ref="AG11:AG16" si="13">(AF11/AB11-1)*100</f>
        <v>47.583611985530716</v>
      </c>
      <c r="AH11" s="846">
        <v>17.399999999999999</v>
      </c>
      <c r="AJ11" s="854">
        <v>125.068123</v>
      </c>
      <c r="AK11" s="799">
        <f t="shared" ref="AK11:AK16" si="14">(AJ11/AF11-1)*100</f>
        <v>39.753072605185324</v>
      </c>
      <c r="AL11" s="846">
        <v>11.6</v>
      </c>
      <c r="AN11" s="854">
        <v>173.436476</v>
      </c>
      <c r="AO11" s="799">
        <f t="shared" ref="AO11:AO16" si="15">(AN11/AJ11-1)*100</f>
        <v>38.673605903560258</v>
      </c>
      <c r="AP11" s="846">
        <v>14.6</v>
      </c>
      <c r="AR11" s="854">
        <v>254.767</v>
      </c>
      <c r="AS11" s="799">
        <f t="shared" ref="AS11:AS16" si="16">(AR11/AN11-1)*100</f>
        <v>46.893551965389335</v>
      </c>
      <c r="AT11" s="846">
        <v>14.1</v>
      </c>
      <c r="AV11" s="854">
        <v>342.92500000000001</v>
      </c>
      <c r="AW11" s="799">
        <f t="shared" ref="AW11:AW16" si="17">(AV11/AR11-1)*100</f>
        <v>34.603382698701182</v>
      </c>
      <c r="AX11" s="846">
        <v>15.7</v>
      </c>
      <c r="AY11" s="846"/>
      <c r="AZ11" s="854">
        <v>403.41399999999999</v>
      </c>
      <c r="BA11" s="799">
        <f t="shared" ref="BA11:BA16" si="18">(AZ11/AV11-1)*100</f>
        <v>17.639133921411386</v>
      </c>
      <c r="BB11" s="846">
        <v>5.7</v>
      </c>
      <c r="BC11" s="846"/>
      <c r="BD11" s="854">
        <v>436.029</v>
      </c>
      <c r="BE11" s="799">
        <f t="shared" ref="BE11:BE16" si="19">(BD11/AZ11-1)*100</f>
        <v>8.0847466870262341</v>
      </c>
      <c r="BF11" s="846">
        <v>-5.6</v>
      </c>
      <c r="BG11" s="846"/>
      <c r="BH11" s="854">
        <v>405.21800000000002</v>
      </c>
      <c r="BI11" s="799">
        <f t="shared" ref="BI11:BI16" si="20">(BH11/BD11-1)*100</f>
        <v>-7.0662731148616214</v>
      </c>
      <c r="BJ11" s="846">
        <v>-15.9</v>
      </c>
      <c r="BK11" s="846"/>
      <c r="BL11" s="854">
        <v>419.91500000000002</v>
      </c>
      <c r="BM11" s="802">
        <f t="shared" si="1"/>
        <v>3.6269366118977908</v>
      </c>
      <c r="BN11" s="847">
        <v>2.9</v>
      </c>
      <c r="BO11" s="847"/>
      <c r="BP11" s="855">
        <v>465.4</v>
      </c>
      <c r="BQ11" s="802">
        <f t="shared" ref="BQ11:BQ16" si="21">(BP11/BL11-1)*100</f>
        <v>10.831954085945949</v>
      </c>
      <c r="BR11" s="847">
        <v>7.6</v>
      </c>
      <c r="BS11" s="847"/>
      <c r="BT11" s="855">
        <f>374.324+177.125</f>
        <v>551.44900000000007</v>
      </c>
      <c r="BU11" s="802">
        <f t="shared" ref="BU11:BU16" si="22">(BT11/BP11-1)*100</f>
        <v>18.489256553502376</v>
      </c>
      <c r="BV11" s="847">
        <v>12.8</v>
      </c>
      <c r="BW11" s="847"/>
      <c r="BX11" s="855">
        <v>641.72199999999998</v>
      </c>
      <c r="BY11" s="802">
        <f t="shared" si="2"/>
        <v>16.370144836603195</v>
      </c>
      <c r="BZ11" s="847">
        <v>5.6</v>
      </c>
      <c r="CA11" s="849"/>
      <c r="CB11" s="855">
        <v>649.50300000000004</v>
      </c>
      <c r="CC11" s="799">
        <f t="shared" si="3"/>
        <v>1.212518816559216</v>
      </c>
      <c r="CD11" s="846">
        <v>-2.6</v>
      </c>
      <c r="CE11" s="849"/>
      <c r="CF11" s="856">
        <v>648.77200000000005</v>
      </c>
      <c r="CG11" s="1210">
        <f t="shared" ref="CG11:CG16" si="23">(CF11/CB11-1)*100</f>
        <v>-0.11254759408347859</v>
      </c>
      <c r="CH11" s="857">
        <v>0.3</v>
      </c>
      <c r="CI11" s="849"/>
      <c r="CJ11" s="856">
        <v>659.52300000000002</v>
      </c>
      <c r="CK11" s="799">
        <f t="shared" ref="CK11:CK16" si="24">(CJ11/CF11-1)*100</f>
        <v>1.6571307023114379</v>
      </c>
      <c r="CL11" s="857">
        <v>0.5</v>
      </c>
      <c r="CM11" s="849"/>
      <c r="CN11" s="856">
        <v>635.73199999999997</v>
      </c>
      <c r="CO11" s="799">
        <f t="shared" si="4"/>
        <v>-3.607304066727024</v>
      </c>
      <c r="CP11" s="857">
        <v>-3.1</v>
      </c>
      <c r="CQ11" s="849"/>
      <c r="CR11" s="856">
        <v>578.58100000000002</v>
      </c>
      <c r="CS11" s="799">
        <f t="shared" si="5"/>
        <v>-8.9897944416829638</v>
      </c>
      <c r="CT11" s="857">
        <v>-8.4</v>
      </c>
      <c r="CU11" s="849"/>
      <c r="CV11" s="1603">
        <f>qtrSales!S181</f>
        <v>554.29640705447207</v>
      </c>
      <c r="CW11" s="799">
        <f t="shared" si="6"/>
        <v>-4.1972676160343951</v>
      </c>
      <c r="CX11" s="1605">
        <f>qtrSales!F181</f>
        <v>-3.1733940450861673</v>
      </c>
      <c r="CY11" s="829">
        <f>CS11-CT11</f>
        <v>-0.58979444168296347</v>
      </c>
      <c r="CZ11" s="829">
        <f t="shared" ref="CZ11:CZ13" si="25">+CW11-CX11</f>
        <v>-1.0238735709482278</v>
      </c>
      <c r="DA11" s="829">
        <f t="shared" si="7"/>
        <v>-11.5</v>
      </c>
      <c r="DB11" s="1202"/>
      <c r="DC11" s="853"/>
    </row>
    <row r="12" spans="1:116">
      <c r="A12" s="26" t="s">
        <v>610</v>
      </c>
      <c r="B12" s="26" t="s">
        <v>594</v>
      </c>
      <c r="D12" s="854">
        <v>15.275766000000001</v>
      </c>
      <c r="E12" s="845">
        <f>+(D12/11.957714-1)*100</f>
        <v>27.748213412697464</v>
      </c>
      <c r="F12" s="846">
        <v>-14</v>
      </c>
      <c r="H12" s="854">
        <v>15.269083</v>
      </c>
      <c r="I12" s="799">
        <f t="shared" si="0"/>
        <v>-4.3749033600026799E-2</v>
      </c>
      <c r="J12" s="846">
        <v>-8.1</v>
      </c>
      <c r="L12" s="854">
        <v>15.727262</v>
      </c>
      <c r="M12" s="799">
        <f t="shared" si="8"/>
        <v>3.000697553350129</v>
      </c>
      <c r="N12" s="846">
        <v>-0.3</v>
      </c>
      <c r="P12" s="854">
        <v>18.923373999999999</v>
      </c>
      <c r="Q12" s="799">
        <f t="shared" si="9"/>
        <v>20.322113283291145</v>
      </c>
      <c r="R12" s="846">
        <v>12</v>
      </c>
      <c r="T12" s="854">
        <v>26.754149000000002</v>
      </c>
      <c r="U12" s="799">
        <f t="shared" si="10"/>
        <v>41.381494653120555</v>
      </c>
      <c r="V12" s="846">
        <v>28.5</v>
      </c>
      <c r="X12" s="854">
        <v>40.008994999999999</v>
      </c>
      <c r="Y12" s="799">
        <f t="shared" si="11"/>
        <v>49.543141888011455</v>
      </c>
      <c r="Z12" s="846">
        <v>26.9</v>
      </c>
      <c r="AB12" s="854">
        <v>68.990472999999994</v>
      </c>
      <c r="AC12" s="799">
        <f t="shared" si="12"/>
        <v>72.437405638407057</v>
      </c>
      <c r="AD12" s="846">
        <v>39.1</v>
      </c>
      <c r="AF12" s="854">
        <v>93.978123999999994</v>
      </c>
      <c r="AG12" s="799">
        <f t="shared" si="13"/>
        <v>36.218987801402669</v>
      </c>
      <c r="AH12" s="846">
        <v>7</v>
      </c>
      <c r="AJ12" s="854">
        <v>137.260963</v>
      </c>
      <c r="AK12" s="799">
        <f t="shared" si="14"/>
        <v>46.056291781266047</v>
      </c>
      <c r="AL12" s="846">
        <v>18.2</v>
      </c>
      <c r="AN12" s="854">
        <v>210.56899999999999</v>
      </c>
      <c r="AO12" s="799">
        <f t="shared" si="15"/>
        <v>53.407782808576073</v>
      </c>
      <c r="AP12" s="846">
        <v>20.9</v>
      </c>
      <c r="AR12" s="854">
        <v>269.77300000000002</v>
      </c>
      <c r="AS12" s="799">
        <f t="shared" si="16"/>
        <v>28.116199440563449</v>
      </c>
      <c r="AT12" s="846">
        <v>6.1</v>
      </c>
      <c r="AV12" s="854">
        <v>358.66500000000002</v>
      </c>
      <c r="AW12" s="799">
        <f t="shared" si="17"/>
        <v>32.950665930245052</v>
      </c>
      <c r="AX12" s="846">
        <v>16</v>
      </c>
      <c r="AY12" s="846"/>
      <c r="AZ12" s="854">
        <v>402.21899999999999</v>
      </c>
      <c r="BA12" s="799">
        <f t="shared" si="18"/>
        <v>12.143364978461779</v>
      </c>
      <c r="BB12" s="846">
        <v>-1.2</v>
      </c>
      <c r="BC12" s="846"/>
      <c r="BD12" s="854">
        <v>415.91300000000001</v>
      </c>
      <c r="BE12" s="799">
        <f t="shared" si="19"/>
        <v>3.4046129098824318</v>
      </c>
      <c r="BF12" s="846">
        <v>-9.3000000000000007</v>
      </c>
      <c r="BG12" s="846"/>
      <c r="BH12" s="854">
        <v>394.24299999999999</v>
      </c>
      <c r="BI12" s="799">
        <f t="shared" si="20"/>
        <v>-5.2102242536299688</v>
      </c>
      <c r="BJ12" s="846">
        <v>-13.4</v>
      </c>
      <c r="BK12" s="846"/>
      <c r="BL12" s="854">
        <v>446.863</v>
      </c>
      <c r="BM12" s="802">
        <f t="shared" si="1"/>
        <v>13.347098109541577</v>
      </c>
      <c r="BN12" s="847">
        <v>13.8</v>
      </c>
      <c r="BO12" s="847"/>
      <c r="BP12" s="855">
        <v>483.02199999999999</v>
      </c>
      <c r="BQ12" s="802">
        <f t="shared" si="21"/>
        <v>8.0917417642543565</v>
      </c>
      <c r="BR12" s="847">
        <v>5.5</v>
      </c>
      <c r="BS12" s="847"/>
      <c r="BT12" s="855">
        <f>357.208+170.328+11.01</f>
        <v>538.54600000000005</v>
      </c>
      <c r="BU12" s="802">
        <f t="shared" si="22"/>
        <v>11.495128586275595</v>
      </c>
      <c r="BV12" s="847">
        <v>3.7</v>
      </c>
      <c r="BW12" s="847"/>
      <c r="BX12" s="855">
        <v>636.66499999999996</v>
      </c>
      <c r="BY12" s="802">
        <f t="shared" si="2"/>
        <v>18.219242181726326</v>
      </c>
      <c r="BZ12" s="847">
        <v>9.9</v>
      </c>
      <c r="CA12" s="849"/>
      <c r="CB12" s="855">
        <v>655.57899999999995</v>
      </c>
      <c r="CC12" s="799">
        <f t="shared" si="3"/>
        <v>2.9707931172594737</v>
      </c>
      <c r="CD12" s="846">
        <v>-1.4</v>
      </c>
      <c r="CE12" s="849"/>
      <c r="CF12" s="856">
        <v>645.50099999999998</v>
      </c>
      <c r="CG12" s="1210">
        <f t="shared" si="23"/>
        <v>-1.5372670570594771</v>
      </c>
      <c r="CH12" s="857">
        <v>-1.6</v>
      </c>
      <c r="CI12" s="849"/>
      <c r="CJ12" s="856">
        <v>626.73500000000001</v>
      </c>
      <c r="CK12" s="799">
        <f t="shared" si="24"/>
        <v>-2.9071992142537306</v>
      </c>
      <c r="CL12" s="857">
        <v>-3.3</v>
      </c>
      <c r="CM12" s="849"/>
      <c r="CN12" s="856">
        <v>596.91200000000003</v>
      </c>
      <c r="CO12" s="799">
        <f t="shared" si="4"/>
        <v>-4.7584704859310545</v>
      </c>
      <c r="CP12" s="857">
        <v>-4.9000000000000004</v>
      </c>
      <c r="CQ12" s="849"/>
      <c r="CR12" s="1625">
        <v>532.28700000000003</v>
      </c>
      <c r="CS12" s="799">
        <f t="shared" si="5"/>
        <v>-10.826553997909238</v>
      </c>
      <c r="CT12" s="1626">
        <v>-8.1999999999999993</v>
      </c>
      <c r="CU12" s="849"/>
      <c r="CV12" s="1603">
        <f>qtrSales!S182</f>
        <v>530.28417512178623</v>
      </c>
      <c r="CW12" s="799">
        <f t="shared" si="6"/>
        <v>-0.37626785516343686</v>
      </c>
      <c r="CX12" s="1605">
        <f>qtrSales!F182</f>
        <v>-0.52850060211878169</v>
      </c>
      <c r="CY12" s="829">
        <f>CS12-CT12</f>
        <v>-2.6265539979092392</v>
      </c>
      <c r="CZ12" s="829">
        <f t="shared" si="25"/>
        <v>0.15223274695534483</v>
      </c>
      <c r="DA12" s="829">
        <f>CT12+CP12</f>
        <v>-13.1</v>
      </c>
      <c r="DB12" s="1202"/>
      <c r="DC12" s="859"/>
      <c r="DF12" s="711"/>
      <c r="DG12" s="711"/>
      <c r="DH12" s="711"/>
    </row>
    <row r="13" spans="1:116">
      <c r="A13" s="26" t="s">
        <v>611</v>
      </c>
      <c r="B13" s="26" t="s">
        <v>595</v>
      </c>
      <c r="C13" s="122"/>
      <c r="D13" s="860">
        <v>14.093593</v>
      </c>
      <c r="E13" s="845">
        <f>+(D13/13.149173-1)*100</f>
        <v>7.1823528369426848</v>
      </c>
      <c r="F13" s="846">
        <v>-15.9</v>
      </c>
      <c r="H13" s="860">
        <v>14.886934999999999</v>
      </c>
      <c r="I13" s="799">
        <f t="shared" si="0"/>
        <v>5.6290968527330065</v>
      </c>
      <c r="J13" s="846">
        <v>0.2</v>
      </c>
      <c r="L13" s="860">
        <v>14.969502</v>
      </c>
      <c r="M13" s="799">
        <f t="shared" si="8"/>
        <v>0.5546272620925663</v>
      </c>
      <c r="N13" s="846">
        <v>-10.6</v>
      </c>
      <c r="P13" s="860">
        <v>17.615407000000001</v>
      </c>
      <c r="Q13" s="799">
        <f t="shared" si="9"/>
        <v>17.675304094952526</v>
      </c>
      <c r="R13" s="846">
        <v>20.100000000000001</v>
      </c>
      <c r="T13" s="860">
        <v>26.732994000000001</v>
      </c>
      <c r="U13" s="799">
        <f t="shared" si="10"/>
        <v>51.759161738357797</v>
      </c>
      <c r="V13" s="846">
        <v>30.4</v>
      </c>
      <c r="X13" s="860">
        <v>41.797012000000002</v>
      </c>
      <c r="Y13" s="799">
        <f t="shared" si="11"/>
        <v>56.34990977815653</v>
      </c>
      <c r="Z13" s="846">
        <v>26.5</v>
      </c>
      <c r="AB13" s="860">
        <v>73.124292999999994</v>
      </c>
      <c r="AC13" s="799">
        <f t="shared" si="12"/>
        <v>74.951006067132226</v>
      </c>
      <c r="AD13" s="846">
        <v>32.200000000000003</v>
      </c>
      <c r="AF13" s="860">
        <v>101.381987</v>
      </c>
      <c r="AG13" s="799">
        <f t="shared" si="13"/>
        <v>38.643373960552353</v>
      </c>
      <c r="AH13" s="846">
        <v>17.899999999999999</v>
      </c>
      <c r="AJ13" s="860">
        <f>131.539949+5.146256+1.639213</f>
        <v>138.32541800000001</v>
      </c>
      <c r="AK13" s="799">
        <f t="shared" si="14"/>
        <v>36.439837187251037</v>
      </c>
      <c r="AL13" s="846">
        <v>11</v>
      </c>
      <c r="AN13" s="860">
        <v>215.50899999999999</v>
      </c>
      <c r="AO13" s="799">
        <f t="shared" si="15"/>
        <v>55.798553234807471</v>
      </c>
      <c r="AP13" s="846">
        <v>20.5</v>
      </c>
      <c r="AR13" s="860">
        <f>230.958+44.975+7.429+2.189</f>
        <v>285.55099999999999</v>
      </c>
      <c r="AS13" s="799">
        <f>(AR13/AN13-1)*100</f>
        <v>32.500730827946867</v>
      </c>
      <c r="AT13" s="846">
        <v>12.9</v>
      </c>
      <c r="AV13" s="860">
        <v>375.73</v>
      </c>
      <c r="AW13" s="799">
        <f t="shared" si="17"/>
        <v>31.580698369117965</v>
      </c>
      <c r="AX13" s="846">
        <v>14.6</v>
      </c>
      <c r="AY13" s="852"/>
      <c r="AZ13" s="860">
        <f>444.631</f>
        <v>444.63099999999997</v>
      </c>
      <c r="BA13" s="799">
        <f t="shared" si="18"/>
        <v>18.337902217017522</v>
      </c>
      <c r="BB13" s="846">
        <v>-2</v>
      </c>
      <c r="BC13" s="846"/>
      <c r="BD13" s="860">
        <v>409.29700000000003</v>
      </c>
      <c r="BE13" s="799">
        <f t="shared" si="19"/>
        <v>-7.9468143246872014</v>
      </c>
      <c r="BF13" s="846">
        <v>-15.7</v>
      </c>
      <c r="BG13" s="846"/>
      <c r="BH13" s="860">
        <v>373.37900000000002</v>
      </c>
      <c r="BI13" s="799">
        <f t="shared" si="20"/>
        <v>-8.7755346362177082</v>
      </c>
      <c r="BJ13" s="846">
        <v>-13</v>
      </c>
      <c r="BK13" s="846"/>
      <c r="BL13" s="860">
        <v>435.73</v>
      </c>
      <c r="BM13" s="802">
        <f t="shared" si="1"/>
        <v>16.699118054309437</v>
      </c>
      <c r="BN13" s="847">
        <v>16.3</v>
      </c>
      <c r="BO13" s="847"/>
      <c r="BP13" s="861">
        <v>474.97399999999999</v>
      </c>
      <c r="BQ13" s="802">
        <f t="shared" si="21"/>
        <v>9.006494847726799</v>
      </c>
      <c r="BR13" s="847">
        <v>4.5</v>
      </c>
      <c r="BS13" s="847"/>
      <c r="BT13" s="861">
        <f>569.207</f>
        <v>569.20699999999999</v>
      </c>
      <c r="BU13" s="802">
        <f t="shared" si="22"/>
        <v>19.839612273513918</v>
      </c>
      <c r="BV13" s="847">
        <v>8.6999999999999993</v>
      </c>
      <c r="BW13" s="847"/>
      <c r="BX13" s="861">
        <v>651.85299999999995</v>
      </c>
      <c r="BY13" s="802">
        <f t="shared" si="2"/>
        <v>14.519498179045588</v>
      </c>
      <c r="BZ13" s="847">
        <v>3.7</v>
      </c>
      <c r="CA13" s="849"/>
      <c r="CB13" s="855">
        <v>610.23299999999995</v>
      </c>
      <c r="CC13" s="799">
        <f t="shared" si="3"/>
        <v>-6.384875117549516</v>
      </c>
      <c r="CD13" s="846">
        <v>-3.4</v>
      </c>
      <c r="CE13" s="849"/>
      <c r="CF13" s="856">
        <v>636.54200000000003</v>
      </c>
      <c r="CG13" s="1210">
        <f t="shared" si="23"/>
        <v>4.3113040428820026</v>
      </c>
      <c r="CH13" s="857">
        <v>4.3</v>
      </c>
      <c r="CI13" s="849"/>
      <c r="CJ13" s="856">
        <v>614.86</v>
      </c>
      <c r="CK13" s="799">
        <f t="shared" si="24"/>
        <v>-3.4062167146865385</v>
      </c>
      <c r="CL13" s="857">
        <v>-3.2</v>
      </c>
      <c r="CM13" s="849"/>
      <c r="CN13" s="1542">
        <v>600.78899999999999</v>
      </c>
      <c r="CO13" s="799">
        <f t="shared" si="4"/>
        <v>-2.2884884363920333</v>
      </c>
      <c r="CP13" s="1543">
        <v>-2.5</v>
      </c>
      <c r="CQ13" s="849"/>
      <c r="CR13" s="1625">
        <v>587.78300000000002</v>
      </c>
      <c r="CS13" s="799">
        <f t="shared" si="5"/>
        <v>-2.1648199284607372</v>
      </c>
      <c r="CT13" s="1626">
        <v>-5.2</v>
      </c>
      <c r="CU13" s="849"/>
      <c r="CV13" s="1604">
        <f>qtrSales!S183</f>
        <v>549.38654216099997</v>
      </c>
      <c r="CW13" s="799">
        <f t="shared" si="6"/>
        <v>-6.5324206108376863</v>
      </c>
      <c r="CX13" s="1605">
        <f>qtrSales!F183</f>
        <v>6.8901183918651521E-4</v>
      </c>
      <c r="CY13" s="829">
        <f>CS13-CT13</f>
        <v>3.0351800715392629</v>
      </c>
      <c r="CZ13" s="829">
        <f t="shared" si="25"/>
        <v>-6.5331096226768732</v>
      </c>
      <c r="DA13" s="829">
        <f t="shared" si="7"/>
        <v>-7.7</v>
      </c>
      <c r="DB13" s="1202"/>
      <c r="DC13" s="859"/>
      <c r="DH13" s="315"/>
      <c r="DJ13" s="315"/>
    </row>
    <row r="14" spans="1:116">
      <c r="B14" s="26" t="s">
        <v>612</v>
      </c>
      <c r="D14" s="798">
        <f>SUM(D10:D13)</f>
        <v>59.271447999999999</v>
      </c>
      <c r="E14" s="845">
        <f>+(D14/46.835271-1)*100</f>
        <v>26.553015995146055</v>
      </c>
      <c r="F14" s="846">
        <v>-7.4</v>
      </c>
      <c r="H14" s="798">
        <f>SUM(H10:H13)</f>
        <v>60.343188000000005</v>
      </c>
      <c r="I14" s="799">
        <f t="shared" si="0"/>
        <v>1.808189332577137</v>
      </c>
      <c r="J14" s="846">
        <v>-10.1</v>
      </c>
      <c r="L14" s="798">
        <f>SUM(L10:L13)</f>
        <v>64.072604999999996</v>
      </c>
      <c r="M14" s="799">
        <f t="shared" si="8"/>
        <v>6.1803446645874782</v>
      </c>
      <c r="N14" s="846">
        <v>-1.3</v>
      </c>
      <c r="P14" s="798">
        <f>SUM(P10:P13)</f>
        <v>75.339151999999999</v>
      </c>
      <c r="Q14" s="799">
        <f t="shared" si="9"/>
        <v>17.584031428096303</v>
      </c>
      <c r="R14" s="846">
        <v>10.7</v>
      </c>
      <c r="T14" s="798">
        <f>SUM(T10:T13)</f>
        <v>106.74159300000001</v>
      </c>
      <c r="U14" s="799">
        <f t="shared" si="10"/>
        <v>41.681436764778049</v>
      </c>
      <c r="V14" s="846">
        <v>30.3</v>
      </c>
      <c r="X14" s="798">
        <f>SUM(X10:X13)</f>
        <v>155.00228100000001</v>
      </c>
      <c r="Y14" s="799">
        <f t="shared" si="11"/>
        <v>45.212636090225857</v>
      </c>
      <c r="Z14" s="846">
        <v>23.3</v>
      </c>
      <c r="AB14" s="798">
        <f>SUM(AB10:AB13)</f>
        <v>259.44589599999995</v>
      </c>
      <c r="AC14" s="799">
        <f t="shared" si="12"/>
        <v>67.381985817357062</v>
      </c>
      <c r="AD14" s="846">
        <v>34.299999999999997</v>
      </c>
      <c r="AF14" s="798">
        <f>SUM(AF10:AF13)</f>
        <v>378.08533999999997</v>
      </c>
      <c r="AG14" s="799">
        <f t="shared" si="13"/>
        <v>45.728009511470582</v>
      </c>
      <c r="AH14" s="846">
        <v>17.100000000000001</v>
      </c>
      <c r="AJ14" s="798">
        <f>SUM(AJ10:AJ13)</f>
        <v>531.10814500000004</v>
      </c>
      <c r="AK14" s="799">
        <f t="shared" si="14"/>
        <v>40.473086049832041</v>
      </c>
      <c r="AL14" s="846">
        <v>13.5</v>
      </c>
      <c r="AN14" s="798">
        <f>SUM(AN10:AN13)</f>
        <v>768.49907299999995</v>
      </c>
      <c r="AO14" s="799">
        <f t="shared" si="15"/>
        <v>44.69728627490732</v>
      </c>
      <c r="AP14" s="846">
        <v>16.100000000000001</v>
      </c>
      <c r="AR14" s="798">
        <f>SUM(AR10:AR13)</f>
        <v>1066.8820000000001</v>
      </c>
      <c r="AS14" s="799">
        <f t="shared" si="16"/>
        <v>38.826712677114728</v>
      </c>
      <c r="AT14" s="846">
        <v>12.9</v>
      </c>
      <c r="AV14" s="798">
        <f>SUM(AV10:AV13)</f>
        <v>1404.575</v>
      </c>
      <c r="AW14" s="799">
        <f t="shared" si="17"/>
        <v>31.652328936096019</v>
      </c>
      <c r="AX14" s="846">
        <v>14.3</v>
      </c>
      <c r="AY14" s="852"/>
      <c r="AZ14" s="798">
        <f>SUM(AZ10:AZ13)</f>
        <v>1640.9270000000001</v>
      </c>
      <c r="BA14" s="799">
        <f t="shared" si="18"/>
        <v>16.827296513180158</v>
      </c>
      <c r="BB14" s="846">
        <v>2.1</v>
      </c>
      <c r="BC14" s="852"/>
      <c r="BD14" s="798">
        <f>SUM(BD10:BD13)</f>
        <v>1714.327</v>
      </c>
      <c r="BE14" s="799">
        <f t="shared" si="19"/>
        <v>4.4730813741257203</v>
      </c>
      <c r="BF14" s="846">
        <v>-8.1</v>
      </c>
      <c r="BG14" s="852"/>
      <c r="BH14" s="798">
        <f>SUM(BH10:BH13)</f>
        <v>1582.404</v>
      </c>
      <c r="BI14" s="799">
        <f t="shared" si="20"/>
        <v>-7.6953230043043108</v>
      </c>
      <c r="BJ14" s="846">
        <v>-15.1</v>
      </c>
      <c r="BK14" s="852"/>
      <c r="BL14" s="798">
        <f>SUM(BL10:BL13)</f>
        <v>1713.1510000000001</v>
      </c>
      <c r="BM14" s="802">
        <f t="shared" si="1"/>
        <v>8.2625549480410889</v>
      </c>
      <c r="BN14" s="847">
        <v>7.6</v>
      </c>
      <c r="BO14" s="795"/>
      <c r="BP14" s="805">
        <f>SUM(BP10:BP13)</f>
        <v>1904.9839999999999</v>
      </c>
      <c r="BQ14" s="802">
        <f t="shared" si="21"/>
        <v>11.197670257904878</v>
      </c>
      <c r="BR14" s="847">
        <v>8.3000000000000007</v>
      </c>
      <c r="BS14" s="795"/>
      <c r="BT14" s="805">
        <f>SUM(BT10:BT13)</f>
        <v>2196.36</v>
      </c>
      <c r="BU14" s="802">
        <f t="shared" si="22"/>
        <v>15.295456549766318</v>
      </c>
      <c r="BV14" s="847">
        <v>8.1999999999999993</v>
      </c>
      <c r="BW14" s="795"/>
      <c r="BX14" s="805">
        <f>SUM(BX10:BX13)</f>
        <v>2581.0569999999998</v>
      </c>
      <c r="BY14" s="802">
        <f t="shared" si="2"/>
        <v>17.515206978819474</v>
      </c>
      <c r="BZ14" s="795">
        <f>qtrSales!F142</f>
        <v>7.1889904612919073</v>
      </c>
      <c r="CA14" s="852"/>
      <c r="CB14" s="862">
        <f>SUM(CB10:CB13)</f>
        <v>2586.0369999999998</v>
      </c>
      <c r="CC14" s="799">
        <f t="shared" si="3"/>
        <v>0.19294420851612148</v>
      </c>
      <c r="CD14" s="846">
        <v>-1.8</v>
      </c>
      <c r="CE14" s="852"/>
      <c r="CF14" s="862">
        <f>SUM(CF10:CF13)</f>
        <v>2590.3340000000003</v>
      </c>
      <c r="CG14" s="1210">
        <f t="shared" si="23"/>
        <v>0.16616158237490186</v>
      </c>
      <c r="CH14" s="857">
        <v>0</v>
      </c>
      <c r="CI14" s="852"/>
      <c r="CJ14" s="862">
        <f>SUM(CJ10:CJ13)</f>
        <v>2573.5860000000002</v>
      </c>
      <c r="CK14" s="799">
        <f>(CJ14/CF14-1)*100</f>
        <v>-0.64655754817718458</v>
      </c>
      <c r="CL14" s="857">
        <v>-1.5</v>
      </c>
      <c r="CM14" s="852"/>
      <c r="CN14" s="862">
        <f>SUM(CN10:CN13)</f>
        <v>2476.41</v>
      </c>
      <c r="CO14" s="799">
        <f t="shared" si="4"/>
        <v>-3.7758986876677336</v>
      </c>
      <c r="CP14" s="1543">
        <v>-3.7</v>
      </c>
      <c r="CQ14" s="852"/>
      <c r="CR14" s="862">
        <f>SUM(CR10:CR13)</f>
        <v>2282.3789999999999</v>
      </c>
      <c r="CS14" s="799">
        <f t="shared" si="5"/>
        <v>-7.8351726894981049</v>
      </c>
      <c r="CT14" s="1626">
        <v>-7.7</v>
      </c>
      <c r="CU14" s="852"/>
      <c r="CV14" s="862">
        <f>SUM(CV10:CV13)</f>
        <v>2185.2027758056843</v>
      </c>
      <c r="CW14" s="799">
        <f t="shared" si="6"/>
        <v>-4.257672551066916</v>
      </c>
      <c r="CX14" s="1605">
        <f>qtrSales!F184</f>
        <v>-2.0894054329082015</v>
      </c>
      <c r="CY14" s="852"/>
      <c r="CZ14" s="852"/>
      <c r="DA14" s="829">
        <f t="shared" si="7"/>
        <v>-11.4</v>
      </c>
      <c r="DC14" s="699"/>
      <c r="DE14" s="863"/>
      <c r="DH14" s="315"/>
    </row>
    <row r="15" spans="1:116" outlineLevel="1">
      <c r="A15" s="45" t="s">
        <v>613</v>
      </c>
      <c r="B15" s="45"/>
      <c r="D15" s="794">
        <f>SUM(D10:D11)</f>
        <v>29.902089</v>
      </c>
      <c r="E15" s="845">
        <f>+(D15/21.728384-1)*100</f>
        <v>37.617638753070651</v>
      </c>
      <c r="F15" s="852">
        <f>((D10/D15)*F10)+((D11/D15)*F11)</f>
        <v>0.85376318691312814</v>
      </c>
      <c r="H15" s="794">
        <f>SUM(H10:H11)</f>
        <v>30.187170000000002</v>
      </c>
      <c r="I15" s="799">
        <f t="shared" si="0"/>
        <v>0.95338155136921454</v>
      </c>
      <c r="J15" s="852">
        <f>((H10/H15)*J10)+((H11/H15)*J11)</f>
        <v>-15.296852894789408</v>
      </c>
      <c r="L15" s="794">
        <f>SUM(L10:L11)</f>
        <v>33.375840999999994</v>
      </c>
      <c r="M15" s="799">
        <f t="shared" si="8"/>
        <v>10.563000771519793</v>
      </c>
      <c r="N15" s="852">
        <f>((L10/L15)*N10)+((L11/L15)*N11)</f>
        <v>2.5628908227361222</v>
      </c>
      <c r="P15" s="794">
        <f>SUM(P10:P11)</f>
        <v>38.800370999999998</v>
      </c>
      <c r="Q15" s="799">
        <f t="shared" si="9"/>
        <v>16.252863860419286</v>
      </c>
      <c r="R15" s="852">
        <f>((P10/P15)*R10)+((P11/P15)*R11)</f>
        <v>6.3525129050956748</v>
      </c>
      <c r="T15" s="794">
        <f>SUM(T10:T11)</f>
        <v>53.254449999999999</v>
      </c>
      <c r="U15" s="799">
        <f t="shared" si="10"/>
        <v>37.252424725526453</v>
      </c>
      <c r="V15" s="852">
        <f>((T10/T15)*V10)+((T11/T15)*V11)</f>
        <v>27.230527206646581</v>
      </c>
      <c r="X15" s="794">
        <f>SUM(X10:X11)</f>
        <v>73.196274000000003</v>
      </c>
      <c r="Y15" s="799">
        <f t="shared" si="11"/>
        <v>37.446305426119331</v>
      </c>
      <c r="Z15" s="852">
        <f>((X10/X15)*Z10)+((X11/X15)*Z11)</f>
        <v>19.887225546480686</v>
      </c>
      <c r="AB15" s="794">
        <f>SUM(AB10:AB11)</f>
        <v>117.33113</v>
      </c>
      <c r="AC15" s="799">
        <f t="shared" si="12"/>
        <v>60.296588320875458</v>
      </c>
      <c r="AD15" s="852">
        <f>((AB10/AB15)*AD10)+((AB11/AB15)*AD11)</f>
        <v>32.657166017236854</v>
      </c>
      <c r="AF15" s="794">
        <f>SUM(AF10:AF11)</f>
        <v>182.72522900000001</v>
      </c>
      <c r="AG15" s="799">
        <f t="shared" si="13"/>
        <v>55.73465371040065</v>
      </c>
      <c r="AH15" s="852">
        <f>((AF10/AF15)*AH10)+((AF11/AF15)*AH11)</f>
        <v>22.655432043267542</v>
      </c>
      <c r="AJ15" s="794">
        <f>SUM(AJ10:AJ11)</f>
        <v>255.52176400000002</v>
      </c>
      <c r="AK15" s="799">
        <f t="shared" si="14"/>
        <v>39.839345337473887</v>
      </c>
      <c r="AL15" s="852">
        <f>((AJ10/AJ15)*AL10)+((AJ11/AJ15)*AL11)</f>
        <v>12.41686124239499</v>
      </c>
      <c r="AN15" s="794">
        <f>SUM(AN10:AN11)</f>
        <v>342.42107299999998</v>
      </c>
      <c r="AO15" s="799">
        <f t="shared" si="15"/>
        <v>34.008574314632533</v>
      </c>
      <c r="AP15" s="852">
        <f>((AN10/AN15)*AP10)+((AN11/AN15)*AP11)</f>
        <v>11.244204021871049</v>
      </c>
      <c r="AR15" s="794">
        <f>SUM(AR10:AR11)</f>
        <v>511.55799999999999</v>
      </c>
      <c r="AS15" s="799">
        <f t="shared" si="16"/>
        <v>49.394427018806766</v>
      </c>
      <c r="AT15" s="852">
        <f>((AR10/AR15)*AT10)+((AR11/AR15)*AT11)</f>
        <v>17.111869621821963</v>
      </c>
      <c r="AV15" s="794">
        <f>SUM(AV10:AV11)</f>
        <v>670.18000000000006</v>
      </c>
      <c r="AW15" s="799">
        <f t="shared" si="17"/>
        <v>31.007627678581919</v>
      </c>
      <c r="AX15" s="852">
        <f>((AV10/AV15)*AX10)+((AV11/AV15)*AX11)</f>
        <v>13.307285356172967</v>
      </c>
      <c r="AY15" s="852"/>
      <c r="AZ15" s="794">
        <f>SUM(AZ10:AZ11)</f>
        <v>794.077</v>
      </c>
      <c r="BA15" s="799">
        <f t="shared" si="18"/>
        <v>18.487122862514525</v>
      </c>
      <c r="BB15" s="852">
        <f>((AZ10/AZ15)*BB10)+((AZ11/AZ15)*BB11)</f>
        <v>6.1427740634724337</v>
      </c>
      <c r="BC15" s="852"/>
      <c r="BD15" s="794">
        <f>SUM(BD10:BD11)</f>
        <v>889.11699999999996</v>
      </c>
      <c r="BE15" s="799">
        <f t="shared" si="19"/>
        <v>11.968612615653139</v>
      </c>
      <c r="BF15" s="852">
        <f>((BD10/BD15)*BF10)+((BD11/BD15)*BF11)</f>
        <v>-3.5616270974461175</v>
      </c>
      <c r="BG15" s="852"/>
      <c r="BH15" s="794">
        <f>SUM(BH10:BH11)</f>
        <v>814.78200000000004</v>
      </c>
      <c r="BI15" s="799">
        <f t="shared" si="20"/>
        <v>-8.3605419759154245</v>
      </c>
      <c r="BJ15" s="852">
        <f>((BH10/BH15)*BJ10)+((BH11/BH15)*BJ11)</f>
        <v>-16.704267153668098</v>
      </c>
      <c r="BK15" s="852"/>
      <c r="BL15" s="794">
        <f>SUM(BL10:BL11)</f>
        <v>830.55799999999999</v>
      </c>
      <c r="BM15" s="802">
        <f t="shared" si="1"/>
        <v>1.9362234315436488</v>
      </c>
      <c r="BN15" s="795">
        <f>((BL10/BL15)*BN10)+((BL11/BL15)*BN11)</f>
        <v>0.67511805316425832</v>
      </c>
      <c r="BO15" s="795"/>
      <c r="BP15" s="803">
        <f>SUM(BP10:BP11)</f>
        <v>946.98800000000006</v>
      </c>
      <c r="BQ15" s="802">
        <f t="shared" si="21"/>
        <v>14.018286501364141</v>
      </c>
      <c r="BR15" s="795">
        <f>((BP10/BP15)*BR10)+((BP11/BP15)*BR11)</f>
        <v>11.871795629934065</v>
      </c>
      <c r="BS15" s="795"/>
      <c r="BT15" s="803">
        <f>SUM(BT10:BT11)</f>
        <v>1088.607</v>
      </c>
      <c r="BU15" s="802">
        <f t="shared" si="22"/>
        <v>14.954677355996049</v>
      </c>
      <c r="BV15" s="795">
        <f>((BT10/BT15)*BV10)+((BT11/BT15)*BV11)</f>
        <v>10.283475854922852</v>
      </c>
      <c r="BW15" s="795"/>
      <c r="BX15" s="803">
        <f>SUM(BX10:BX11)</f>
        <v>1292.539</v>
      </c>
      <c r="BY15" s="802">
        <f t="shared" si="2"/>
        <v>18.733298610058547</v>
      </c>
      <c r="BZ15" s="795">
        <f>((BX10/BX15)*BZ10)+((BX11/BX15)*BZ11)</f>
        <v>7.6140730763249689</v>
      </c>
      <c r="CA15" s="852"/>
      <c r="CB15" s="794">
        <f>SUM(CB10:CB11)</f>
        <v>1320.2249999999999</v>
      </c>
      <c r="CC15" s="799">
        <f t="shared" si="3"/>
        <v>2.1419856576861518</v>
      </c>
      <c r="CD15" s="852">
        <f>((CB10/CB15)*CD10)+((CB11/CB15)*CD11)</f>
        <v>-1.2791060614667957</v>
      </c>
      <c r="CE15" s="852"/>
      <c r="CF15" s="794">
        <f>SUM(CF10:CF11)</f>
        <v>1308.2910000000002</v>
      </c>
      <c r="CG15" s="799">
        <f t="shared" si="23"/>
        <v>-0.90393682894959193</v>
      </c>
      <c r="CH15" s="852">
        <f>((CF10/CF15)*CH10)+((CF11/CF15)*CH11)</f>
        <v>-1.1619110733009705</v>
      </c>
      <c r="CI15" s="852"/>
      <c r="CJ15" s="794">
        <f>SUM(CJ10:CJ11)</f>
        <v>1331.991</v>
      </c>
      <c r="CK15" s="799">
        <f t="shared" si="24"/>
        <v>1.8115235830560517</v>
      </c>
      <c r="CL15" s="852">
        <f>qtrSales!F171</f>
        <v>0</v>
      </c>
      <c r="CM15" s="852"/>
      <c r="CN15" s="794">
        <f>SUM(CN10:CN11)</f>
        <v>1278.7089999999998</v>
      </c>
      <c r="CO15" s="799">
        <f t="shared" si="4"/>
        <v>-4.0001771783743418</v>
      </c>
      <c r="CP15" s="852">
        <f>qtrSales!J171</f>
        <v>0</v>
      </c>
      <c r="CQ15" s="852"/>
      <c r="CR15" s="794">
        <f>SUM(CR10:CR11)</f>
        <v>1162.309</v>
      </c>
      <c r="CS15" s="799">
        <f t="shared" si="5"/>
        <v>-9.1029311594741138</v>
      </c>
      <c r="CT15" s="795">
        <f>((CR10/CR15)*CT10)+((CR11/CR15)*CT11)</f>
        <v>-8.5506642381673039</v>
      </c>
      <c r="CU15" s="852"/>
      <c r="CV15" s="794">
        <f>SUM(CV10:CV11)</f>
        <v>1105.5320585228983</v>
      </c>
      <c r="CW15" s="799">
        <f t="shared" si="6"/>
        <v>-4.8848405610815826</v>
      </c>
      <c r="CX15" s="852">
        <f>qtrSales!R171</f>
        <v>0</v>
      </c>
      <c r="CY15" s="852"/>
      <c r="CZ15" s="852"/>
      <c r="DA15" s="829">
        <f t="shared" si="7"/>
        <v>-8.5506642381673039</v>
      </c>
      <c r="DB15" s="859"/>
    </row>
    <row r="16" spans="1:116" outlineLevel="1">
      <c r="A16" s="45" t="s">
        <v>614</v>
      </c>
      <c r="B16" s="45"/>
      <c r="D16" s="794">
        <f>SUM(D10:D12)</f>
        <v>45.177855000000001</v>
      </c>
      <c r="E16" s="845">
        <f>+(D16/33.686098-1)*100</f>
        <v>34.114242023519601</v>
      </c>
      <c r="F16" s="852">
        <f>((D12/D16)*F12)+((D15/D16)*F15)</f>
        <v>-4.1686667328495339</v>
      </c>
      <c r="H16" s="794">
        <f>SUM(H10:H12)</f>
        <v>45.456253000000004</v>
      </c>
      <c r="I16" s="799">
        <f t="shared" si="0"/>
        <v>0.61622668893863697</v>
      </c>
      <c r="J16" s="852">
        <f>((H12/H16)*J12)+((H15/H16)*J15)</f>
        <v>-12.879378137480884</v>
      </c>
      <c r="L16" s="794">
        <f>SUM(L10:L12)</f>
        <v>49.10310299999999</v>
      </c>
      <c r="M16" s="799">
        <f t="shared" si="8"/>
        <v>8.0227686166741243</v>
      </c>
      <c r="N16" s="852">
        <f>((L12/L16)*N12)+((L15/L16)*N15)</f>
        <v>1.6459338221456188</v>
      </c>
      <c r="P16" s="794">
        <f>SUM(P10:P12)</f>
        <v>57.723744999999994</v>
      </c>
      <c r="Q16" s="799">
        <f t="shared" si="9"/>
        <v>17.556206172958166</v>
      </c>
      <c r="R16" s="852">
        <f>((P12/P16)*R12)+((P15/P16)*R15)</f>
        <v>8.2039089026534917</v>
      </c>
      <c r="T16" s="794">
        <f>SUM(T10:T12)</f>
        <v>80.008599000000004</v>
      </c>
      <c r="U16" s="799">
        <f t="shared" si="10"/>
        <v>38.606043318914971</v>
      </c>
      <c r="V16" s="852">
        <f>((T12/T16)*V12)+((T15/T16)*V15)</f>
        <v>27.655027381494328</v>
      </c>
      <c r="X16" s="794">
        <f>SUM(X10:X12)</f>
        <v>113.205269</v>
      </c>
      <c r="Y16" s="799">
        <f t="shared" si="11"/>
        <v>41.491377695539946</v>
      </c>
      <c r="Z16" s="852">
        <f>((X12/X16)*Z12)+((X15/X16)*Z15)</f>
        <v>22.365679601892026</v>
      </c>
      <c r="AB16" s="794">
        <f>SUM(AB10:AB12)</f>
        <v>186.32160299999998</v>
      </c>
      <c r="AC16" s="799">
        <f t="shared" si="12"/>
        <v>64.587394779301292</v>
      </c>
      <c r="AD16" s="852">
        <f>((AB12/AB16)*AD12)+((AB15/AB16)*AD15)</f>
        <v>35.042794719300474</v>
      </c>
      <c r="AF16" s="794">
        <f>SUM(AF10:AF12)</f>
        <v>276.70335299999999</v>
      </c>
      <c r="AG16" s="799">
        <f t="shared" si="13"/>
        <v>48.508465226117671</v>
      </c>
      <c r="AH16" s="852">
        <f>((AF12/AF16)*AH12)+((AF15/AF16)*AH15)</f>
        <v>17.338300472997883</v>
      </c>
      <c r="AJ16" s="794">
        <f>SUM(AJ10:AJ12)</f>
        <v>392.78272700000002</v>
      </c>
      <c r="AK16" s="799">
        <f t="shared" si="14"/>
        <v>41.950837509366949</v>
      </c>
      <c r="AL16" s="852">
        <f>((AJ12/AJ16)*AL12)+((AJ15/AJ16)*AL15)</f>
        <v>14.437823826708142</v>
      </c>
      <c r="AN16" s="794">
        <f>SUM(AN10:AN12)</f>
        <v>552.99007299999994</v>
      </c>
      <c r="AO16" s="799">
        <f t="shared" si="15"/>
        <v>40.787777818956862</v>
      </c>
      <c r="AP16" s="852">
        <f>((AN12/AN16)*AP12)+((AN15/AN16)*AP15)</f>
        <v>14.920963158410983</v>
      </c>
      <c r="AR16" s="794">
        <f>SUM(AR10:AR12)</f>
        <v>781.33100000000002</v>
      </c>
      <c r="AS16" s="799">
        <f t="shared" si="16"/>
        <v>41.292048112407983</v>
      </c>
      <c r="AT16" s="852">
        <f>((AR12/AR16)*AT12)+((AR15/AR16)*AT15)</f>
        <v>13.309761291949249</v>
      </c>
      <c r="AV16" s="794">
        <f>SUM(AV10:AV12)</f>
        <v>1028.845</v>
      </c>
      <c r="AW16" s="799">
        <f t="shared" si="17"/>
        <v>31.678507572334901</v>
      </c>
      <c r="AX16" s="852">
        <f>((AV12/AV16)*AX12)+((AV15/AV16)*AX15)</f>
        <v>14.245990892700066</v>
      </c>
      <c r="AY16" s="852"/>
      <c r="AZ16" s="794">
        <f>SUM(AZ10:AZ12)</f>
        <v>1196.296</v>
      </c>
      <c r="BA16" s="799">
        <f t="shared" si="18"/>
        <v>16.275629467995657</v>
      </c>
      <c r="BB16" s="852">
        <f>((AZ12/AZ16)*BB12)+((AZ15/AZ16)*BB15)</f>
        <v>3.6739843650735264</v>
      </c>
      <c r="BC16" s="852"/>
      <c r="BD16" s="794">
        <f>SUM(BD10:BD12)</f>
        <v>1305.03</v>
      </c>
      <c r="BE16" s="799">
        <f t="shared" si="19"/>
        <v>9.089222065441982</v>
      </c>
      <c r="BF16" s="852">
        <f>((BD12/BD16)*BF12)+((BD15/BD16)*BF15)</f>
        <v>-5.3904462732657485</v>
      </c>
      <c r="BG16" s="852"/>
      <c r="BH16" s="794">
        <f>SUM(BH10:BH12)</f>
        <v>1209.0250000000001</v>
      </c>
      <c r="BI16" s="799">
        <f t="shared" si="20"/>
        <v>-7.3565358650758856</v>
      </c>
      <c r="BJ16" s="852">
        <f>((BH12/BH16)*BJ12)+((BH15/BH16)*BJ15)</f>
        <v>-15.626800438369761</v>
      </c>
      <c r="BK16" s="852"/>
      <c r="BL16" s="794">
        <f>SUM(BL10:BL12)</f>
        <v>1277.421</v>
      </c>
      <c r="BM16" s="802">
        <f t="shared" si="1"/>
        <v>5.6571204069394643</v>
      </c>
      <c r="BN16" s="795">
        <f>((BL12/BL16)*BN12)+((BL15/BL16)*BN15)</f>
        <v>5.2664189018342427</v>
      </c>
      <c r="BO16" s="795"/>
      <c r="BP16" s="803">
        <f>SUM(BP10:BP12)</f>
        <v>1430.01</v>
      </c>
      <c r="BQ16" s="802">
        <f t="shared" si="21"/>
        <v>11.945083101029329</v>
      </c>
      <c r="BR16" s="795">
        <f>((BP12/BP16)*BR12)+((BP15/BP16)*BR15)</f>
        <v>9.7195607023727124</v>
      </c>
      <c r="BS16" s="795"/>
      <c r="BT16" s="803">
        <f>SUM(BT10:BT12)</f>
        <v>1627.153</v>
      </c>
      <c r="BU16" s="802">
        <f t="shared" si="22"/>
        <v>13.786127369738676</v>
      </c>
      <c r="BV16" s="795">
        <f>((BT12/BT16)*BV12)+((BT15/BT16)*BV15)</f>
        <v>8.1045138349005903</v>
      </c>
      <c r="BW16" s="795"/>
      <c r="BX16" s="803">
        <f>SUM(BX10:BX12)</f>
        <v>1929.204</v>
      </c>
      <c r="BY16" s="802">
        <f t="shared" si="2"/>
        <v>18.563159088297155</v>
      </c>
      <c r="BZ16" s="795">
        <f>((BX12/BX16)*BZ12)+((BX15/BX16)*BZ15)</f>
        <v>8.3684617593577446</v>
      </c>
      <c r="CA16" s="852"/>
      <c r="CB16" s="794">
        <f>SUM(CB10:CB12)</f>
        <v>1975.8039999999999</v>
      </c>
      <c r="CC16" s="799">
        <f t="shared" si="3"/>
        <v>2.4155040109806958</v>
      </c>
      <c r="CD16" s="852">
        <f>((CB12/CB16)*CD12)+((CB15/CB16)*CD15)</f>
        <v>-1.319219112826981</v>
      </c>
      <c r="CE16" s="852"/>
      <c r="CF16" s="794">
        <f>SUM(CF10:CF12)</f>
        <v>1953.7920000000001</v>
      </c>
      <c r="CG16" s="799">
        <f t="shared" si="23"/>
        <v>-1.1140781170601799</v>
      </c>
      <c r="CH16" s="852">
        <f>((CF12/CF16)*CH12)+((CF15/CF16)*CH15)</f>
        <v>-1.3066485071082286</v>
      </c>
      <c r="CI16" s="852"/>
      <c r="CJ16" s="794">
        <f>SUM(CJ10:CJ12)</f>
        <v>1958.7260000000001</v>
      </c>
      <c r="CK16" s="799">
        <f t="shared" si="24"/>
        <v>0.25253455843814443</v>
      </c>
      <c r="CL16" s="852">
        <f>qtrSales!F186</f>
        <v>0</v>
      </c>
      <c r="CM16" s="852"/>
      <c r="CN16" s="794">
        <f>SUM(CN10:CN12)</f>
        <v>1875.6209999999999</v>
      </c>
      <c r="CO16" s="799">
        <f t="shared" si="4"/>
        <v>-4.2428088461581748</v>
      </c>
      <c r="CP16" s="852">
        <f>qtrSales!J186</f>
        <v>0</v>
      </c>
      <c r="CQ16" s="852"/>
      <c r="CR16" s="794">
        <f>SUM(CR10:CR12)</f>
        <v>1694.596</v>
      </c>
      <c r="CS16" s="799">
        <f t="shared" si="5"/>
        <v>-9.6514700997696217</v>
      </c>
      <c r="CT16" s="852">
        <f>qtrSales!N186</f>
        <v>0</v>
      </c>
      <c r="CU16" s="852"/>
      <c r="CV16" s="794">
        <f>SUM(CV10:CV12)</f>
        <v>1635.8162336446844</v>
      </c>
      <c r="CW16" s="799">
        <f t="shared" si="6"/>
        <v>-3.4686595716805435</v>
      </c>
      <c r="CX16" s="852">
        <f>qtrSales!R186</f>
        <v>0</v>
      </c>
      <c r="CY16" s="852"/>
      <c r="CZ16" s="852"/>
      <c r="DA16" s="829">
        <f t="shared" si="7"/>
        <v>0</v>
      </c>
      <c r="DB16" s="864"/>
    </row>
    <row r="17" spans="1:114">
      <c r="AZ17" s="236"/>
      <c r="BD17" s="196"/>
      <c r="BH17" s="196"/>
      <c r="BL17" s="196"/>
      <c r="BM17" s="137"/>
      <c r="BN17" s="137"/>
      <c r="BO17" s="137"/>
      <c r="BP17" s="865"/>
      <c r="BQ17" s="137"/>
      <c r="BR17" s="137"/>
      <c r="BS17" s="137"/>
      <c r="BT17" s="808"/>
      <c r="BU17" s="137"/>
      <c r="BV17" s="137"/>
      <c r="BW17" s="137"/>
      <c r="BX17" s="673"/>
      <c r="BY17" s="137"/>
      <c r="BZ17" s="137"/>
      <c r="CD17" s="859"/>
      <c r="CJ17" s="236"/>
      <c r="CS17" s="22"/>
      <c r="CT17" s="859"/>
      <c r="CW17" s="22"/>
      <c r="CX17" s="859"/>
      <c r="DI17" s="22"/>
    </row>
    <row r="18" spans="1:114">
      <c r="C18" s="837"/>
      <c r="D18" s="838"/>
      <c r="H18" s="839"/>
      <c r="I18" s="840"/>
      <c r="J18" s="840"/>
      <c r="K18" s="840"/>
      <c r="L18" s="839"/>
      <c r="M18" s="840"/>
      <c r="N18" s="840"/>
      <c r="O18" s="840"/>
      <c r="P18" s="839"/>
      <c r="Q18" s="840"/>
      <c r="R18" s="840"/>
      <c r="S18" s="840"/>
      <c r="T18" s="839"/>
      <c r="U18" s="840"/>
      <c r="V18" s="840"/>
      <c r="W18" s="840"/>
      <c r="Y18" s="840"/>
      <c r="Z18" s="840"/>
      <c r="AA18" s="840"/>
      <c r="AC18" s="840"/>
      <c r="AD18" s="840"/>
      <c r="AE18" s="840"/>
      <c r="AF18" s="839"/>
      <c r="AG18" s="840"/>
      <c r="AH18" s="840"/>
      <c r="AI18" s="840"/>
      <c r="AK18" s="840"/>
      <c r="AL18" s="840"/>
      <c r="AM18" s="840"/>
      <c r="AN18" s="839"/>
      <c r="AO18" s="840"/>
      <c r="AP18" s="840"/>
      <c r="AQ18" s="840"/>
      <c r="AR18" s="839"/>
      <c r="AS18" s="840"/>
      <c r="AT18" s="840"/>
      <c r="AU18" s="840"/>
      <c r="AV18" s="839" t="s">
        <v>615</v>
      </c>
      <c r="AW18" s="840"/>
      <c r="AX18" s="840"/>
      <c r="AY18" s="840"/>
      <c r="AZ18" s="839"/>
      <c r="BA18" s="840"/>
      <c r="BB18" s="840"/>
      <c r="BC18" s="840"/>
      <c r="BD18" s="839"/>
      <c r="BE18" s="840"/>
      <c r="BF18" s="840"/>
      <c r="BG18" s="840"/>
      <c r="BH18" s="839"/>
      <c r="BI18" s="840"/>
      <c r="BJ18" s="840"/>
      <c r="BK18" s="840"/>
      <c r="BL18" s="839"/>
      <c r="BM18" s="841"/>
      <c r="BN18" s="841"/>
      <c r="BO18" s="841"/>
      <c r="BP18" s="842"/>
      <c r="BQ18" s="841"/>
      <c r="BR18" s="841"/>
      <c r="BS18" s="841"/>
      <c r="BU18" s="841"/>
      <c r="BV18" s="841"/>
      <c r="BW18" s="841"/>
      <c r="BX18" s="842"/>
      <c r="BY18" s="841"/>
      <c r="BZ18" s="841"/>
      <c r="CA18" s="840"/>
      <c r="CB18" s="840"/>
      <c r="CC18" s="843" t="str">
        <f>+AV18</f>
        <v>2.  Cost of Goods Sold   (% Gross Margin)</v>
      </c>
      <c r="CD18" s="840"/>
      <c r="CE18" s="840"/>
      <c r="CF18" s="840"/>
      <c r="CG18" s="840"/>
      <c r="CH18" s="840"/>
      <c r="CI18" s="840"/>
      <c r="CJ18" s="840"/>
      <c r="CK18" s="840"/>
      <c r="CL18" s="840"/>
      <c r="CM18" s="840"/>
      <c r="CN18" s="840"/>
      <c r="CO18" s="840"/>
      <c r="CP18" s="840"/>
      <c r="CQ18" s="840"/>
      <c r="CR18" s="840"/>
      <c r="CS18" s="840"/>
      <c r="CT18"/>
      <c r="CU18" s="840"/>
      <c r="CV18" s="840"/>
      <c r="CW18" s="840"/>
      <c r="CX18" s="1565"/>
      <c r="CY18" s="840"/>
      <c r="CZ18" s="840"/>
      <c r="DA18" s="840"/>
      <c r="DE18" s="236"/>
      <c r="DH18" s="711"/>
    </row>
    <row r="19" spans="1:114">
      <c r="AR19" s="866"/>
      <c r="AZ19" s="866"/>
      <c r="BM19" s="867"/>
      <c r="BN19" s="137"/>
      <c r="BO19" s="137"/>
      <c r="BP19" s="137"/>
      <c r="BQ19" s="868"/>
      <c r="BR19" s="137"/>
      <c r="BS19" s="137"/>
      <c r="BT19" s="137"/>
      <c r="BU19" s="868"/>
      <c r="BV19" s="137"/>
      <c r="BW19" s="137"/>
      <c r="BX19" s="137"/>
      <c r="BY19" s="868"/>
      <c r="BZ19" s="137"/>
      <c r="CH19" s="28" t="s">
        <v>763</v>
      </c>
      <c r="DC19" s="807" t="s">
        <v>499</v>
      </c>
      <c r="DD19" s="807" t="s">
        <v>500</v>
      </c>
      <c r="DE19" s="807" t="s">
        <v>501</v>
      </c>
      <c r="DF19" s="72"/>
      <c r="DH19" s="315"/>
      <c r="DJ19" s="315"/>
    </row>
    <row r="20" spans="1:114">
      <c r="A20" s="26" t="str">
        <f>$A$10</f>
        <v>1Q</v>
      </c>
      <c r="B20" s="26" t="str">
        <f>$B$10</f>
        <v>Apr</v>
      </c>
      <c r="D20" s="844">
        <v>4.8706820000000004</v>
      </c>
      <c r="E20" s="869">
        <f t="shared" ref="E20:E26" si="26">((D10-D20)/D10)*100</f>
        <v>65.013464697638696</v>
      </c>
      <c r="H20" s="844">
        <v>6.8648230000000003</v>
      </c>
      <c r="I20" s="869">
        <f t="shared" ref="I20:I26" si="27">((H10-H20)/H10)*100</f>
        <v>53.173020634279432</v>
      </c>
      <c r="L20" s="844">
        <v>7.4399050000000004</v>
      </c>
      <c r="M20" s="869">
        <f t="shared" ref="M20:M26" si="28">((L10-L20)/L10)*100</f>
        <v>57.001111743516219</v>
      </c>
      <c r="P20" s="844">
        <v>8.1163600000000002</v>
      </c>
      <c r="Q20" s="869">
        <f t="shared" ref="Q20:Q26" si="29">((P10-P20)/P10)*100</f>
        <v>56.642905903306541</v>
      </c>
      <c r="T20" s="844">
        <v>10.769152999999999</v>
      </c>
      <c r="U20" s="869">
        <f t="shared" ref="U20:U26" si="30">((T10-T20)/T10)*100</f>
        <v>58.413688371151153</v>
      </c>
      <c r="X20" s="844">
        <v>14.900623</v>
      </c>
      <c r="Y20" s="869">
        <f t="shared" ref="Y20:Y26" si="31">((X10-X20)/X10)*100</f>
        <v>59.092297124327956</v>
      </c>
      <c r="AB20" s="844">
        <v>22.763994</v>
      </c>
      <c r="AC20" s="869">
        <f t="shared" ref="AC20:AC26" si="32">((AB10-AB20)/AB10)*100</f>
        <v>59.846773525829931</v>
      </c>
      <c r="AF20" s="844">
        <v>36.941296000000001</v>
      </c>
      <c r="AG20" s="869">
        <f t="shared" ref="AG20:AG26" si="33">((AF10-AF20)/AF10)*100</f>
        <v>60.377450853995796</v>
      </c>
      <c r="AJ20" s="844">
        <v>48.989590999999997</v>
      </c>
      <c r="AK20" s="869">
        <f t="shared" ref="AK20:AK26" si="34">((AJ10-AJ20)/AJ10)*100</f>
        <v>62.446743054109163</v>
      </c>
      <c r="AN20" s="844">
        <v>64.689212999999995</v>
      </c>
      <c r="AO20" s="869">
        <f t="shared" ref="AO20:AO26" si="35">((AN10-AN20)/AN10)*100</f>
        <v>61.718870152408037</v>
      </c>
      <c r="AP20" s="869">
        <f>+AO20-AK20</f>
        <v>-0.72787290170112584</v>
      </c>
      <c r="AR20" s="844">
        <v>96.954999999999998</v>
      </c>
      <c r="AS20" s="869">
        <f t="shared" ref="AS20:AS25" si="36">((AR10-AR20)/AR10)*100</f>
        <v>62.243614456892971</v>
      </c>
      <c r="AT20" s="869">
        <f>+AS20-AO20</f>
        <v>0.52474430448493337</v>
      </c>
      <c r="AV20" s="844">
        <v>125.19799999999999</v>
      </c>
      <c r="AW20" s="869">
        <f t="shared" ref="AW20:AW26" si="37">((AV10-AV20)/AV10)*100</f>
        <v>61.742983300484333</v>
      </c>
      <c r="AX20" s="869">
        <f>+AW20-AS20</f>
        <v>-0.50063115640863742</v>
      </c>
      <c r="AY20" s="870"/>
      <c r="AZ20" s="844">
        <v>149.55699999999999</v>
      </c>
      <c r="BA20" s="869">
        <f t="shared" ref="BA20:BA26" si="38">((AZ10-AZ20)/AZ10)*100</f>
        <v>61.717132157383737</v>
      </c>
      <c r="BB20" s="869">
        <f>+BA20-AW20</f>
        <v>-2.5851143100595664E-2</v>
      </c>
      <c r="BC20" s="42"/>
      <c r="BD20" s="844">
        <v>173.32300000000001</v>
      </c>
      <c r="BE20" s="869">
        <f t="shared" ref="BE20:BE26" si="39">((BD10-BD20)/BD10)*100</f>
        <v>61.746283282717698</v>
      </c>
      <c r="BF20" s="871">
        <f>+(BE20-BA20)*100</f>
        <v>2.9151125333960692</v>
      </c>
      <c r="BG20" s="42"/>
      <c r="BH20" s="844">
        <f>180.762</f>
        <v>180.762</v>
      </c>
      <c r="BI20" s="869">
        <f t="shared" ref="BI20:BI26" si="40">((BH10-BH20)/BH10)*100</f>
        <v>55.864773271088289</v>
      </c>
      <c r="BJ20" s="871">
        <f>+(BI20-BE20)*100</f>
        <v>-588.15100116294093</v>
      </c>
      <c r="BK20" s="42"/>
      <c r="BL20" s="844">
        <v>177.255</v>
      </c>
      <c r="BM20" s="868">
        <f t="shared" ref="BM20:BM26" si="41">((BL10-BL20)/BL10)*100</f>
        <v>56.834768886843314</v>
      </c>
      <c r="BN20" s="872">
        <f>+(BM20-BI20)*100</f>
        <v>96.999561575502469</v>
      </c>
      <c r="BO20" s="873"/>
      <c r="BP20" s="848">
        <v>200.00800000000001</v>
      </c>
      <c r="BQ20" s="868">
        <f t="shared" ref="BQ20:BQ26" si="42">((BP10-BP20)/BP10)*100</f>
        <v>58.469064843808404</v>
      </c>
      <c r="BR20" s="872">
        <f>+(BQ20-BM20)*100</f>
        <v>163.42959569650901</v>
      </c>
      <c r="BS20" s="873"/>
      <c r="BT20" s="848">
        <v>219.495</v>
      </c>
      <c r="BU20" s="868">
        <f t="shared" ref="BU20:BU26" si="43">((BT10-BT20)/BT10)*100</f>
        <v>59.137721117436584</v>
      </c>
      <c r="BV20" s="872">
        <f>+(BU20-BQ20)*100</f>
        <v>66.865627362818003</v>
      </c>
      <c r="BW20" s="873"/>
      <c r="BX20" s="848">
        <v>272.221</v>
      </c>
      <c r="BY20" s="868">
        <f t="shared" ref="BY20:BY26" si="44">((BX10-BX20)/BX10)*100</f>
        <v>58.172420204143407</v>
      </c>
      <c r="BZ20" s="872">
        <f>+(BY20-BU20)*100</f>
        <v>-96.530091329317713</v>
      </c>
      <c r="CA20" s="869"/>
      <c r="CB20" s="850">
        <v>283.87799999999999</v>
      </c>
      <c r="CC20" s="869">
        <f t="shared" ref="CC20:CC26" si="45">((CB10-CB20)/CB10)*100</f>
        <v>57.675758361884654</v>
      </c>
      <c r="CD20" s="871">
        <f>+(CC20-BY20)*100</f>
        <v>-49.666184225875298</v>
      </c>
      <c r="CE20" s="869"/>
      <c r="CF20" s="850">
        <v>384.233</v>
      </c>
      <c r="CG20" s="869">
        <f t="shared" ref="CG20:CG26" si="46">((CF10-CF20)/CF10)*100</f>
        <v>41.740419912087447</v>
      </c>
      <c r="CH20" s="1208">
        <v>-150</v>
      </c>
      <c r="CI20" s="869"/>
      <c r="CJ20" s="850">
        <v>385.47300000000001</v>
      </c>
      <c r="CK20" s="869">
        <f t="shared" ref="CK20:CK26" si="47">((CJ10-CJ20)/CJ10)*100</f>
        <v>42.677867199628828</v>
      </c>
      <c r="CL20" s="871">
        <f>+(CK20-CG20)*100</f>
        <v>93.744728754138151</v>
      </c>
      <c r="CM20" s="869"/>
      <c r="CN20" s="1291">
        <v>380.642</v>
      </c>
      <c r="CO20" s="869">
        <f t="shared" ref="CO20:CO26" si="48">((CN10-CN20)/CN10)*100</f>
        <v>40.800059722198462</v>
      </c>
      <c r="CP20" s="871">
        <f>+(CO20-CK20)*100</f>
        <v>-187.78074774303661</v>
      </c>
      <c r="CQ20" s="869"/>
      <c r="CR20" s="1291">
        <v>346.315</v>
      </c>
      <c r="CS20" s="869">
        <f t="shared" ref="CS20:CS26" si="49">((CR10-CR20)/CR10)*100</f>
        <v>40.671854014198388</v>
      </c>
      <c r="CT20" s="871">
        <f>+(CS20-CO20)*100</f>
        <v>-12.820570800007403</v>
      </c>
      <c r="CU20" s="869"/>
      <c r="CV20" s="182">
        <f t="shared" ref="CV20:CV21" si="50">CV10*(1-CW20/100)</f>
        <v>317.51173524581355</v>
      </c>
      <c r="CW20" s="1606">
        <v>42.4</v>
      </c>
      <c r="CX20" s="871">
        <f>+(CW20-CS20)*100</f>
        <v>172.81459858016106</v>
      </c>
      <c r="CY20" s="869">
        <f>AVERAGE(CH20,CL20)</f>
        <v>-28.127635622930924</v>
      </c>
      <c r="CZ20" s="869">
        <f>CP20+CL20</f>
        <v>-94.036018988898462</v>
      </c>
      <c r="DA20" s="869">
        <f>MAX(BM20,BI20,BE20,BA20,AW20,AS20)</f>
        <v>62.243614456892971</v>
      </c>
      <c r="DB20" s="869">
        <f>BQ20-AW20</f>
        <v>-3.2739184566759292</v>
      </c>
      <c r="DC20" s="874">
        <v>0</v>
      </c>
      <c r="DD20" s="874">
        <v>0</v>
      </c>
      <c r="DE20" s="874">
        <v>10</v>
      </c>
      <c r="DF20" s="137">
        <f>+DE20+DD20+DC20</f>
        <v>10</v>
      </c>
      <c r="DG20" s="875"/>
      <c r="DH20" s="315"/>
    </row>
    <row r="21" spans="1:114">
      <c r="A21" s="26" t="str">
        <f>$A$11</f>
        <v>2Q</v>
      </c>
      <c r="B21" s="26" t="str">
        <f>$B$11</f>
        <v>Jul</v>
      </c>
      <c r="D21" s="854">
        <v>5.7125760000000003</v>
      </c>
      <c r="E21" s="869">
        <f t="shared" si="26"/>
        <v>64.252830903465536</v>
      </c>
      <c r="H21" s="854">
        <v>6.3458410000000001</v>
      </c>
      <c r="I21" s="869">
        <f t="shared" si="27"/>
        <v>59.130798632283643</v>
      </c>
      <c r="L21" s="854">
        <v>5.9928679999999996</v>
      </c>
      <c r="M21" s="869">
        <f t="shared" si="28"/>
        <v>62.715359625525302</v>
      </c>
      <c r="P21" s="854">
        <v>9.1625300000000003</v>
      </c>
      <c r="Q21" s="869">
        <f t="shared" si="29"/>
        <v>54.371174847890302</v>
      </c>
      <c r="T21" s="854">
        <v>11.012071000000001</v>
      </c>
      <c r="U21" s="869">
        <f t="shared" si="30"/>
        <v>59.749057533840812</v>
      </c>
      <c r="X21" s="854">
        <v>15.494349</v>
      </c>
      <c r="Y21" s="869">
        <f t="shared" si="31"/>
        <v>57.862920403696435</v>
      </c>
      <c r="AB21" s="854">
        <v>25.643951999999999</v>
      </c>
      <c r="AC21" s="869">
        <f t="shared" si="32"/>
        <v>57.709986537225078</v>
      </c>
      <c r="AF21" s="854">
        <v>35.807668</v>
      </c>
      <c r="AG21" s="869">
        <f t="shared" si="33"/>
        <v>59.987952918855505</v>
      </c>
      <c r="AJ21" s="854">
        <v>49.589568</v>
      </c>
      <c r="AK21" s="869">
        <f t="shared" si="34"/>
        <v>60.349954240538175</v>
      </c>
      <c r="AN21" s="854">
        <v>65.833765999999997</v>
      </c>
      <c r="AO21" s="869">
        <f t="shared" si="35"/>
        <v>62.041568464525312</v>
      </c>
      <c r="AP21" s="869">
        <f>+AO21-AK21</f>
        <v>1.6916142239871377</v>
      </c>
      <c r="AR21" s="854">
        <v>98.081999999999994</v>
      </c>
      <c r="AS21" s="869">
        <f t="shared" si="36"/>
        <v>61.501293338619213</v>
      </c>
      <c r="AT21" s="869">
        <f>+AS21-AO21</f>
        <v>-0.54027512590609916</v>
      </c>
      <c r="AV21" s="854">
        <v>136.429</v>
      </c>
      <c r="AW21" s="869">
        <f t="shared" si="37"/>
        <v>60.216082233724578</v>
      </c>
      <c r="AX21" s="869">
        <f>+AW21-AS21</f>
        <v>-1.2852111048946355</v>
      </c>
      <c r="AZ21" s="854">
        <v>159.583</v>
      </c>
      <c r="BA21" s="869">
        <f t="shared" si="38"/>
        <v>60.44187856643547</v>
      </c>
      <c r="BB21" s="869">
        <f>+BA21-AW21</f>
        <v>0.2257963327108925</v>
      </c>
      <c r="BC21" s="42"/>
      <c r="BD21" s="854">
        <v>184.3</v>
      </c>
      <c r="BE21" s="869">
        <f t="shared" si="39"/>
        <v>57.732169190581359</v>
      </c>
      <c r="BF21" s="871">
        <f>+(BE21-BA21)*100</f>
        <v>-270.97093758541109</v>
      </c>
      <c r="BG21" s="42"/>
      <c r="BH21" s="854">
        <v>191.857</v>
      </c>
      <c r="BI21" s="869">
        <f t="shared" si="40"/>
        <v>52.653386572166092</v>
      </c>
      <c r="BJ21" s="871">
        <f>+(BI21-BE21)*100</f>
        <v>-507.87826184152675</v>
      </c>
      <c r="BK21" s="42"/>
      <c r="BL21" s="854">
        <v>188.874</v>
      </c>
      <c r="BM21" s="868">
        <f t="shared" si="41"/>
        <v>55.020897086315088</v>
      </c>
      <c r="BN21" s="872">
        <f>+(BM21-BI21)*100</f>
        <v>236.75105141489965</v>
      </c>
      <c r="BO21" s="873"/>
      <c r="BP21" s="855">
        <v>206.16399999999999</v>
      </c>
      <c r="BQ21" s="868">
        <f t="shared" si="42"/>
        <v>55.701761925225611</v>
      </c>
      <c r="BR21" s="872">
        <f>+(BQ21-BM21)*100</f>
        <v>68.086483891052296</v>
      </c>
      <c r="BS21" s="873"/>
      <c r="BT21" s="855">
        <v>242.12200000000001</v>
      </c>
      <c r="BU21" s="868">
        <f t="shared" si="43"/>
        <v>56.09349187322853</v>
      </c>
      <c r="BV21" s="872">
        <f>+(BU21-BQ21)*100</f>
        <v>39.17299480029186</v>
      </c>
      <c r="BW21" s="873"/>
      <c r="BX21" s="855">
        <v>279.54199999999997</v>
      </c>
      <c r="BY21" s="868">
        <f t="shared" si="44"/>
        <v>56.438769435986302</v>
      </c>
      <c r="BZ21" s="872">
        <f>+(BY21-BU21)*100</f>
        <v>34.527756275777222</v>
      </c>
      <c r="CA21" s="869"/>
      <c r="CB21" s="854">
        <v>293.36099999999999</v>
      </c>
      <c r="CC21" s="869">
        <f t="shared" si="45"/>
        <v>54.833003080817186</v>
      </c>
      <c r="CD21" s="871">
        <f>+(CC21-BY21)*100</f>
        <v>-160.57663551691164</v>
      </c>
      <c r="CE21" s="869"/>
      <c r="CF21" s="876">
        <v>405.803</v>
      </c>
      <c r="CG21" s="869">
        <f t="shared" si="46"/>
        <v>37.450598977761068</v>
      </c>
      <c r="CH21" s="1208">
        <v>-246</v>
      </c>
      <c r="CI21" s="869"/>
      <c r="CJ21" s="876">
        <v>404.24400000000003</v>
      </c>
      <c r="CK21" s="869">
        <f t="shared" si="47"/>
        <v>38.706610686814557</v>
      </c>
      <c r="CL21" s="871">
        <f>+(CK21-CG21)*100</f>
        <v>125.60117090534888</v>
      </c>
      <c r="CM21" s="869"/>
      <c r="CN21" s="1291">
        <v>394.92200000000003</v>
      </c>
      <c r="CO21" s="869">
        <f t="shared" si="48"/>
        <v>37.879169209666955</v>
      </c>
      <c r="CP21" s="871">
        <f>+(CO21-CK21)*100</f>
        <v>-82.744147714760174</v>
      </c>
      <c r="CQ21" s="869"/>
      <c r="CR21" s="1291">
        <v>369.48</v>
      </c>
      <c r="CS21" s="869">
        <f t="shared" si="49"/>
        <v>36.140315703419226</v>
      </c>
      <c r="CT21" s="871">
        <f>+(CS21-CO21)*100</f>
        <v>-173.88535062477288</v>
      </c>
      <c r="CU21" s="869"/>
      <c r="CV21" s="182">
        <f t="shared" si="50"/>
        <v>344.77236518788169</v>
      </c>
      <c r="CW21" s="1606">
        <v>37.799999999999997</v>
      </c>
      <c r="CX21" s="871">
        <f>+(CW21-CS21)*100</f>
        <v>165.9684296580771</v>
      </c>
      <c r="CY21" s="869">
        <f>AVERAGE(CH21,CL21)</f>
        <v>-60.19941454732556</v>
      </c>
      <c r="CZ21" s="869">
        <f>CP21+CL21</f>
        <v>42.857023190588706</v>
      </c>
      <c r="DA21" s="869">
        <f>MAX(BM21,BI21,BE21,BA21,AW21,AS21)</f>
        <v>61.501293338619213</v>
      </c>
      <c r="DB21" s="869">
        <f>BQ21-AW21</f>
        <v>-4.5143203084989665</v>
      </c>
      <c r="DC21" s="874">
        <v>0</v>
      </c>
      <c r="DD21" s="874">
        <v>-10</v>
      </c>
      <c r="DE21" s="874">
        <v>30</v>
      </c>
      <c r="DF21" s="137">
        <f>+DE21+DD21+DC21</f>
        <v>20</v>
      </c>
      <c r="DG21" s="875"/>
      <c r="DH21" s="711"/>
      <c r="DI21" s="22"/>
    </row>
    <row r="22" spans="1:114">
      <c r="A22" s="26" t="str">
        <f>$A$12</f>
        <v>3Q</v>
      </c>
      <c r="B22" s="26" t="str">
        <f>$B$12</f>
        <v>Oct</v>
      </c>
      <c r="D22" s="854">
        <v>5.7272179999999997</v>
      </c>
      <c r="E22" s="869">
        <f t="shared" si="26"/>
        <v>62.507817938557054</v>
      </c>
      <c r="H22" s="854">
        <v>6.5280420000000001</v>
      </c>
      <c r="I22" s="869">
        <f t="shared" si="27"/>
        <v>57.246666351869322</v>
      </c>
      <c r="L22" s="854">
        <v>6.3588990000000001</v>
      </c>
      <c r="M22" s="869">
        <f t="shared" si="28"/>
        <v>59.56766664152984</v>
      </c>
      <c r="P22" s="854">
        <v>8.0391870000000001</v>
      </c>
      <c r="Q22" s="869">
        <f t="shared" si="29"/>
        <v>57.517158409488708</v>
      </c>
      <c r="T22" s="854">
        <v>11.040692999999999</v>
      </c>
      <c r="U22" s="869">
        <f t="shared" si="30"/>
        <v>58.73278196963021</v>
      </c>
      <c r="X22" s="854">
        <v>16.600677999999998</v>
      </c>
      <c r="Y22" s="869">
        <f t="shared" si="31"/>
        <v>58.507635595445471</v>
      </c>
      <c r="AB22" s="854">
        <v>28.321331000000001</v>
      </c>
      <c r="AC22" s="869">
        <f t="shared" si="32"/>
        <v>58.948924730520389</v>
      </c>
      <c r="AF22" s="854">
        <v>38.435836999999999</v>
      </c>
      <c r="AG22" s="869">
        <f t="shared" si="33"/>
        <v>59.101293615948322</v>
      </c>
      <c r="AJ22" s="854">
        <v>54.885266999999999</v>
      </c>
      <c r="AK22" s="869">
        <f t="shared" si="34"/>
        <v>60.0139283592233</v>
      </c>
      <c r="AL22" s="870"/>
      <c r="AN22" s="854">
        <v>81.201999999999998</v>
      </c>
      <c r="AO22" s="869">
        <f t="shared" si="35"/>
        <v>61.436868674876166</v>
      </c>
      <c r="AP22" s="869">
        <f>+AO22-AK22</f>
        <v>1.4229403156528662</v>
      </c>
      <c r="AR22" s="854">
        <v>101.568</v>
      </c>
      <c r="AS22" s="869">
        <f t="shared" si="36"/>
        <v>62.350568811556393</v>
      </c>
      <c r="AT22" s="869">
        <f>+AS22-AO22</f>
        <v>0.91370013668022665</v>
      </c>
      <c r="AV22" s="854">
        <v>133.30799999999999</v>
      </c>
      <c r="AW22" s="869">
        <f t="shared" si="37"/>
        <v>62.832169294466986</v>
      </c>
      <c r="AX22" s="869">
        <f>+AW22-AS22</f>
        <v>0.48160048291059354</v>
      </c>
      <c r="AZ22" s="854">
        <v>161.43100000000001</v>
      </c>
      <c r="BA22" s="869">
        <f t="shared" si="38"/>
        <v>59.864899470189123</v>
      </c>
      <c r="BB22" s="869">
        <f>+BA22-AW22</f>
        <v>-2.9672698242778637</v>
      </c>
      <c r="BC22" s="42"/>
      <c r="BD22" s="854">
        <v>173.44900000000001</v>
      </c>
      <c r="BE22" s="869">
        <f t="shared" si="39"/>
        <v>58.296807264980899</v>
      </c>
      <c r="BF22" s="871">
        <f>+(BE22-BA22)*100</f>
        <v>-156.80922052082238</v>
      </c>
      <c r="BG22" s="42"/>
      <c r="BH22" s="854">
        <v>182.87</v>
      </c>
      <c r="BI22" s="869">
        <f t="shared" si="40"/>
        <v>53.614902484000979</v>
      </c>
      <c r="BJ22" s="871">
        <f>+(BI22-BE22)*100</f>
        <v>-468.19047809799201</v>
      </c>
      <c r="BK22" s="42"/>
      <c r="BL22" s="854">
        <v>189.58500000000001</v>
      </c>
      <c r="BM22" s="868">
        <f t="shared" si="41"/>
        <v>57.574245350364663</v>
      </c>
      <c r="BN22" s="872">
        <f>+(BM22-BI22)*100</f>
        <v>395.93428663636843</v>
      </c>
      <c r="BO22" s="873"/>
      <c r="BP22" s="855">
        <v>207.95500000000001</v>
      </c>
      <c r="BQ22" s="868">
        <f t="shared" si="42"/>
        <v>56.94709557742712</v>
      </c>
      <c r="BR22" s="872">
        <f>+(BQ22-BM22)*100</f>
        <v>-62.714977293754259</v>
      </c>
      <c r="BS22" s="873"/>
      <c r="BT22" s="855">
        <v>237.03800000000001</v>
      </c>
      <c r="BU22" s="868">
        <f t="shared" si="43"/>
        <v>55.985561121984006</v>
      </c>
      <c r="BV22" s="872">
        <f>+(BU22-BQ22)*100</f>
        <v>-96.153445544311467</v>
      </c>
      <c r="BW22" s="873"/>
      <c r="BX22" s="855">
        <v>272.36900000000003</v>
      </c>
      <c r="BY22" s="868">
        <f t="shared" si="44"/>
        <v>57.21941680475603</v>
      </c>
      <c r="BZ22" s="872">
        <f>+(BY22-BU22)*100</f>
        <v>123.3855682772024</v>
      </c>
      <c r="CA22" s="869"/>
      <c r="CB22" s="854">
        <v>291.56900000000002</v>
      </c>
      <c r="CC22" s="869">
        <f t="shared" si="45"/>
        <v>55.524963429273967</v>
      </c>
      <c r="CD22" s="871">
        <f>+(CC22-BY22)*100</f>
        <v>-169.44533754820625</v>
      </c>
      <c r="CE22" s="869"/>
      <c r="CF22" s="876">
        <v>389.35399999999998</v>
      </c>
      <c r="CG22" s="869">
        <f t="shared" si="46"/>
        <v>39.681890500556932</v>
      </c>
      <c r="CH22" s="1208">
        <v>-87</v>
      </c>
      <c r="CI22" s="869"/>
      <c r="CJ22" s="876">
        <v>382.54399999999998</v>
      </c>
      <c r="CK22" s="869">
        <f t="shared" si="47"/>
        <v>38.96240037655469</v>
      </c>
      <c r="CL22" s="871">
        <f>+(CK22-CG22)*100</f>
        <v>-71.949012400224177</v>
      </c>
      <c r="CM22" s="869"/>
      <c r="CN22" s="1291">
        <v>366.61799999999999</v>
      </c>
      <c r="CO22" s="869">
        <f t="shared" si="48"/>
        <v>38.580896346530146</v>
      </c>
      <c r="CP22" s="871">
        <f>+(CO22-CK22)*100</f>
        <v>-38.150403002454425</v>
      </c>
      <c r="CQ22" s="869"/>
      <c r="CR22" s="1627">
        <v>335.58499999999998</v>
      </c>
      <c r="CS22" s="869">
        <f t="shared" si="49"/>
        <v>36.954124372753803</v>
      </c>
      <c r="CT22" s="871">
        <f>+(CS22-CO22)*100</f>
        <v>-162.67719737763429</v>
      </c>
      <c r="CU22" s="869"/>
      <c r="CV22" s="182">
        <f>CV12*(1-CW22/100)</f>
        <v>326.12476769989854</v>
      </c>
      <c r="CW22" s="1302">
        <v>38.5</v>
      </c>
      <c r="CX22" s="871">
        <f>+(CW22-CS22)*100</f>
        <v>154.58756272461969</v>
      </c>
      <c r="CY22" s="869">
        <f>AVERAGE(CH22,CL22)</f>
        <v>-79.474506200112089</v>
      </c>
      <c r="CZ22" s="869">
        <f>CP22+CL22</f>
        <v>-110.0994154026786</v>
      </c>
      <c r="DA22" s="869">
        <f>MAX(BM22,BI22,BE22,BA22,AW22,AS22)</f>
        <v>62.832169294466986</v>
      </c>
      <c r="DB22" s="869">
        <f>BQ22-AW22</f>
        <v>-5.8850737170398659</v>
      </c>
      <c r="DC22" s="874">
        <v>0</v>
      </c>
      <c r="DD22" s="874">
        <v>-60</v>
      </c>
      <c r="DE22" s="874">
        <f>10+20</f>
        <v>30</v>
      </c>
      <c r="DF22" s="137">
        <f>+DE22+DD22+DC22</f>
        <v>-30</v>
      </c>
      <c r="DG22" s="875"/>
    </row>
    <row r="23" spans="1:114">
      <c r="A23" s="26" t="str">
        <f>$A$13</f>
        <v>4Q</v>
      </c>
      <c r="B23" s="26" t="str">
        <f>$B$13</f>
        <v>Jan</v>
      </c>
      <c r="C23" s="122"/>
      <c r="D23" s="860">
        <v>6.1079670000000004</v>
      </c>
      <c r="E23" s="869">
        <f t="shared" si="26"/>
        <v>56.661392165929584</v>
      </c>
      <c r="H23" s="860">
        <v>6.37662</v>
      </c>
      <c r="I23" s="869">
        <f t="shared" si="27"/>
        <v>57.166334104367344</v>
      </c>
      <c r="L23" s="860">
        <v>6.9208030000000003</v>
      </c>
      <c r="M23" s="869">
        <f t="shared" si="28"/>
        <v>53.767313034194451</v>
      </c>
      <c r="P23" s="860">
        <v>7.922085</v>
      </c>
      <c r="Q23" s="869">
        <f t="shared" si="29"/>
        <v>55.027522213934667</v>
      </c>
      <c r="T23" s="860">
        <v>11.374509</v>
      </c>
      <c r="U23" s="869">
        <f t="shared" si="30"/>
        <v>57.451421266170186</v>
      </c>
      <c r="X23" s="860">
        <v>17.954280000000001</v>
      </c>
      <c r="Y23" s="869">
        <f t="shared" si="31"/>
        <v>57.044106406457949</v>
      </c>
      <c r="AB23" s="860">
        <v>31.941299999999998</v>
      </c>
      <c r="AC23" s="869">
        <f t="shared" si="32"/>
        <v>56.319167420873384</v>
      </c>
      <c r="AF23" s="860">
        <v>42.752777999999999</v>
      </c>
      <c r="AG23" s="869">
        <f t="shared" si="33"/>
        <v>57.830005837230239</v>
      </c>
      <c r="AJ23" s="860">
        <v>56.305675000000001</v>
      </c>
      <c r="AK23" s="869">
        <f t="shared" si="34"/>
        <v>59.29477328599144</v>
      </c>
      <c r="AL23" s="869"/>
      <c r="AN23" s="860">
        <v>85.751999999999995</v>
      </c>
      <c r="AO23" s="869">
        <f t="shared" si="35"/>
        <v>60.209550413207801</v>
      </c>
      <c r="AP23" s="869">
        <f>+AO23-AK23</f>
        <v>0.91477712721636095</v>
      </c>
      <c r="AR23" s="860">
        <v>115.304</v>
      </c>
      <c r="AS23" s="869">
        <f t="shared" si="36"/>
        <v>59.620523128968209</v>
      </c>
      <c r="AT23" s="869">
        <f>+AS23-AO23</f>
        <v>-0.58902728423959161</v>
      </c>
      <c r="AV23" s="860">
        <v>152.59700000000001</v>
      </c>
      <c r="AW23" s="869">
        <f t="shared" si="37"/>
        <v>59.386527559683813</v>
      </c>
      <c r="AX23" s="869">
        <f>+AW23-AS23</f>
        <v>-0.2339955692843958</v>
      </c>
      <c r="AZ23" s="860">
        <v>203.17099999999999</v>
      </c>
      <c r="BA23" s="869">
        <f t="shared" si="38"/>
        <v>54.305705180250584</v>
      </c>
      <c r="BB23" s="869">
        <f>+BA23-AW23</f>
        <v>-5.0808223794332292</v>
      </c>
      <c r="BC23" s="42"/>
      <c r="BD23" s="860">
        <v>214.19300000000001</v>
      </c>
      <c r="BE23" s="869">
        <f t="shared" si="39"/>
        <v>47.66807477210925</v>
      </c>
      <c r="BF23" s="871">
        <f>+(BE23-BA23)*100</f>
        <v>-663.76304081413332</v>
      </c>
      <c r="BG23" s="42"/>
      <c r="BH23" s="860">
        <v>207.423</v>
      </c>
      <c r="BI23" s="869">
        <f t="shared" si="40"/>
        <v>44.447063171737035</v>
      </c>
      <c r="BJ23" s="871">
        <f>+(BI23-BE23)*100</f>
        <v>-322.10116003722146</v>
      </c>
      <c r="BK23" s="42"/>
      <c r="BL23" s="860">
        <v>197.697</v>
      </c>
      <c r="BM23" s="868">
        <f t="shared" si="41"/>
        <v>54.628554380005966</v>
      </c>
      <c r="BN23" s="872">
        <f>+(BM23-BI23)*100</f>
        <v>1018.1491208268931</v>
      </c>
      <c r="BO23" s="873"/>
      <c r="BP23" s="861">
        <v>222.251</v>
      </c>
      <c r="BQ23" s="868">
        <f t="shared" si="42"/>
        <v>53.207754529721626</v>
      </c>
      <c r="BR23" s="872">
        <f>+(BQ23-BM23)*100</f>
        <v>-142.07998502843395</v>
      </c>
      <c r="BS23" s="873"/>
      <c r="BT23" s="861">
        <v>271.334</v>
      </c>
      <c r="BU23" s="868">
        <f t="shared" si="43"/>
        <v>52.331225722803829</v>
      </c>
      <c r="BV23" s="872">
        <f>+(BU23-BQ23)*100</f>
        <v>-87.6528806917797</v>
      </c>
      <c r="BW23" s="873"/>
      <c r="BX23" s="861">
        <v>305.125</v>
      </c>
      <c r="BY23" s="868">
        <f t="shared" si="44"/>
        <v>53.191133583798802</v>
      </c>
      <c r="BZ23" s="872">
        <f>+(BY23-BU23)*100</f>
        <v>85.990786099497285</v>
      </c>
      <c r="CA23" s="869"/>
      <c r="CB23" s="860">
        <v>300.59800000000001</v>
      </c>
      <c r="CC23" s="869">
        <f t="shared" si="45"/>
        <v>50.740454875432818</v>
      </c>
      <c r="CD23" s="871">
        <f>+(CC23-BY23)*100</f>
        <v>-245.06787083659844</v>
      </c>
      <c r="CE23" s="869"/>
      <c r="CF23" s="1068">
        <v>413.39600000000002</v>
      </c>
      <c r="CG23" s="869">
        <f t="shared" si="46"/>
        <v>35.055974311200202</v>
      </c>
      <c r="CH23" s="1208">
        <v>-78</v>
      </c>
      <c r="CI23" s="869"/>
      <c r="CJ23" s="1068">
        <v>401.59699999999998</v>
      </c>
      <c r="CK23" s="869">
        <f t="shared" si="47"/>
        <v>34.68480629736851</v>
      </c>
      <c r="CL23" s="871">
        <f>+(CK23-CG23)*100</f>
        <v>-37.116801383169218</v>
      </c>
      <c r="CM23" s="869"/>
      <c r="CN23" s="1544">
        <v>387.392</v>
      </c>
      <c r="CO23" s="869">
        <f t="shared" si="48"/>
        <v>35.519458578635756</v>
      </c>
      <c r="CP23" s="871">
        <f>+(CO23-CK23)*100</f>
        <v>83.465228126724611</v>
      </c>
      <c r="CQ23" s="869"/>
      <c r="CR23" s="1646">
        <v>366.22199999999998</v>
      </c>
      <c r="CS23" s="1630">
        <f t="shared" si="49"/>
        <v>37.694353188166389</v>
      </c>
      <c r="CT23" s="871">
        <f>+(CS23-CO23)*100</f>
        <v>217.48946095306323</v>
      </c>
      <c r="CU23" s="869"/>
      <c r="CV23" s="877">
        <f>CV13*(1-CW23/100)</f>
        <v>340.07026959765898</v>
      </c>
      <c r="CW23" s="1302">
        <v>38.1</v>
      </c>
      <c r="CX23" s="871">
        <f>+(CW23-CS23)*100</f>
        <v>40.564681183361273</v>
      </c>
      <c r="CY23" s="869">
        <f>AVERAGE(CH23,CL23)</f>
        <v>-57.558400691584609</v>
      </c>
      <c r="CZ23" s="869">
        <f>CP23+CL23</f>
        <v>46.348426743555393</v>
      </c>
      <c r="DA23" s="869">
        <f>MAX(BM23,BI23,BE23,BA23,AW23,AS23)</f>
        <v>59.620523128968209</v>
      </c>
      <c r="DB23" s="869">
        <f>BQ23-AW23</f>
        <v>-6.178773029962187</v>
      </c>
      <c r="DC23" s="874">
        <v>0</v>
      </c>
      <c r="DD23" s="874">
        <v>-70</v>
      </c>
      <c r="DE23" s="874">
        <f>10+30</f>
        <v>40</v>
      </c>
      <c r="DF23" s="137">
        <f>+DE23+DD23+DC23</f>
        <v>-30</v>
      </c>
      <c r="DG23" s="875"/>
    </row>
    <row r="24" spans="1:114">
      <c r="B24" s="26" t="str">
        <f>$B$14</f>
        <v>Year</v>
      </c>
      <c r="D24" s="798">
        <f>SUM(D20:D23)</f>
        <v>22.418443000000003</v>
      </c>
      <c r="E24" s="869">
        <f t="shared" si="26"/>
        <v>62.176657131777844</v>
      </c>
      <c r="H24" s="798">
        <f>SUM(H20:H23)</f>
        <v>26.115326</v>
      </c>
      <c r="I24" s="869">
        <f t="shared" si="27"/>
        <v>56.721998181468301</v>
      </c>
      <c r="L24" s="798">
        <f>SUM(L20:L23)</f>
        <v>26.712475000000001</v>
      </c>
      <c r="M24" s="869">
        <f t="shared" si="28"/>
        <v>58.309054236205938</v>
      </c>
      <c r="P24" s="798">
        <f>SUM(P20:P23)</f>
        <v>33.240162000000005</v>
      </c>
      <c r="Q24" s="869">
        <f t="shared" si="29"/>
        <v>55.879298986534906</v>
      </c>
      <c r="T24" s="798">
        <f>SUM(T20:T23)</f>
        <v>44.196426000000002</v>
      </c>
      <c r="U24" s="869">
        <f t="shared" si="30"/>
        <v>58.594934965979007</v>
      </c>
      <c r="X24" s="798">
        <f>SUM(X20:X23)</f>
        <v>64.949929999999995</v>
      </c>
      <c r="Y24" s="869">
        <f t="shared" si="31"/>
        <v>58.097435998377343</v>
      </c>
      <c r="AA24" s="692"/>
      <c r="AB24" s="798">
        <f>SUM(AB20:AB23)</f>
        <v>108.67057699999999</v>
      </c>
      <c r="AC24" s="869">
        <f t="shared" si="32"/>
        <v>58.114358841120385</v>
      </c>
      <c r="AE24" s="692"/>
      <c r="AF24" s="798">
        <f>SUM(AF20:AF23)</f>
        <v>153.937579</v>
      </c>
      <c r="AG24" s="869">
        <f t="shared" si="33"/>
        <v>59.284964870629466</v>
      </c>
      <c r="AH24" s="869"/>
      <c r="AI24" s="692"/>
      <c r="AJ24" s="798">
        <f>SUM(AJ20:AJ23)</f>
        <v>209.77010100000001</v>
      </c>
      <c r="AK24" s="869">
        <f t="shared" si="34"/>
        <v>60.503316890385861</v>
      </c>
      <c r="AM24" s="692"/>
      <c r="AN24" s="798">
        <f>SUM(AN20:AN23)</f>
        <v>297.47697899999997</v>
      </c>
      <c r="AO24" s="869">
        <f t="shared" si="35"/>
        <v>61.291172696053465</v>
      </c>
      <c r="AP24" s="869">
        <f>+AO24-AK24</f>
        <v>0.78785580566760416</v>
      </c>
      <c r="AQ24" s="692"/>
      <c r="AR24" s="798">
        <f>SUM(AR20:AR23)</f>
        <v>411.90899999999999</v>
      </c>
      <c r="AS24" s="869">
        <f>((AR14-AR24)/AR14)*100</f>
        <v>61.391325376189684</v>
      </c>
      <c r="AT24" s="869">
        <f>+AS24-AO24</f>
        <v>0.10015268013621892</v>
      </c>
      <c r="AU24" s="692"/>
      <c r="AV24" s="798">
        <f>SUM(AV20:AV23)</f>
        <v>547.53200000000004</v>
      </c>
      <c r="AW24" s="869">
        <f t="shared" si="37"/>
        <v>61.017959169143687</v>
      </c>
      <c r="AX24" s="869">
        <f>+AW24-AS24</f>
        <v>-0.3733662070459971</v>
      </c>
      <c r="AY24" s="870"/>
      <c r="AZ24" s="798">
        <f>SUM(AZ20:AZ23)</f>
        <v>673.74199999999996</v>
      </c>
      <c r="BA24" s="869">
        <f t="shared" si="38"/>
        <v>58.941378866945335</v>
      </c>
      <c r="BB24" s="869">
        <f>+BA24-AW24</f>
        <v>-2.0765803021983515</v>
      </c>
      <c r="BD24" s="798">
        <f>SUM(BD20:BD23)</f>
        <v>745.2650000000001</v>
      </c>
      <c r="BE24" s="869">
        <f t="shared" si="39"/>
        <v>56.527255301934808</v>
      </c>
      <c r="BF24" s="871">
        <f>+(BE24-BA24)*100</f>
        <v>-241.41235650105273</v>
      </c>
      <c r="BH24" s="798">
        <f>SUM(BH20:BH23)</f>
        <v>762.91200000000003</v>
      </c>
      <c r="BI24" s="869">
        <f t="shared" si="40"/>
        <v>51.787786178498031</v>
      </c>
      <c r="BJ24" s="871">
        <f>+(BI24-BE24)*100</f>
        <v>-473.9469123436777</v>
      </c>
      <c r="BL24" s="798">
        <f>SUM(BL20:BL23)</f>
        <v>753.41100000000006</v>
      </c>
      <c r="BM24" s="868">
        <f t="shared" si="41"/>
        <v>56.021915172684722</v>
      </c>
      <c r="BN24" s="872">
        <f>+(BM24-BI24)*100</f>
        <v>423.41289941866904</v>
      </c>
      <c r="BO24" s="137"/>
      <c r="BP24" s="805">
        <f>SUM(BP20:BP23)</f>
        <v>836.37800000000004</v>
      </c>
      <c r="BQ24" s="868">
        <f t="shared" si="42"/>
        <v>56.09527429101766</v>
      </c>
      <c r="BR24" s="872">
        <f>+(BQ24-BM24)*100</f>
        <v>7.3359118332938067</v>
      </c>
      <c r="BS24" s="137"/>
      <c r="BT24" s="805">
        <f>SUM(BT20:BT23)</f>
        <v>969.98900000000003</v>
      </c>
      <c r="BU24" s="868">
        <f t="shared" si="43"/>
        <v>55.836520424702698</v>
      </c>
      <c r="BV24" s="872">
        <f>+(BU24-BQ24)*100</f>
        <v>-25.875386631496156</v>
      </c>
      <c r="BW24" s="137"/>
      <c r="BX24" s="805">
        <f>SUM(BX20:BX23)</f>
        <v>1129.2570000000001</v>
      </c>
      <c r="BY24" s="868">
        <f t="shared" si="44"/>
        <v>56.248273478656216</v>
      </c>
      <c r="BZ24" s="872">
        <f>+(BY24-BU24)*100</f>
        <v>41.175305395351813</v>
      </c>
      <c r="CA24" s="869"/>
      <c r="CB24" s="798">
        <f>SUM(CB20:CB23)</f>
        <v>1169.4059999999999</v>
      </c>
      <c r="CC24" s="869">
        <f t="shared" si="45"/>
        <v>54.779997347292394</v>
      </c>
      <c r="CD24" s="871">
        <f>+(CC24-BY24)*100</f>
        <v>-146.82761313638224</v>
      </c>
      <c r="CE24" s="869"/>
      <c r="CF24" s="798">
        <f>SUM(CF20:CF23)</f>
        <v>1592.7860000000001</v>
      </c>
      <c r="CG24" s="869">
        <f t="shared" si="46"/>
        <v>38.510400589267647</v>
      </c>
      <c r="CH24" s="1208">
        <v>-146</v>
      </c>
      <c r="CI24" s="869"/>
      <c r="CJ24" s="798">
        <f>SUM(CJ20:CJ23)</f>
        <v>1573.8579999999999</v>
      </c>
      <c r="CK24" s="869">
        <f t="shared" si="47"/>
        <v>38.845719552406649</v>
      </c>
      <c r="CL24" s="871">
        <f>+(CK24-CG24)*100</f>
        <v>33.531896313900234</v>
      </c>
      <c r="CM24" s="869"/>
      <c r="CN24" s="798">
        <f>SUM(CN20:CN23)</f>
        <v>1529.5740000000001</v>
      </c>
      <c r="CO24" s="869">
        <f t="shared" si="48"/>
        <v>38.234218081820046</v>
      </c>
      <c r="CP24" s="871">
        <f>+(CO24-CK24)*100</f>
        <v>-61.150147058660309</v>
      </c>
      <c r="CQ24" s="869"/>
      <c r="CR24" s="798">
        <f>SUM(CR20:CR23)</f>
        <v>1417.6020000000001</v>
      </c>
      <c r="CS24" s="869">
        <f t="shared" si="49"/>
        <v>37.889281315679817</v>
      </c>
      <c r="CT24" s="871">
        <f>+(CS24-CO24)*100</f>
        <v>-34.493676614022917</v>
      </c>
      <c r="CU24" s="869"/>
      <c r="CV24" s="798">
        <f>SUM(CV20:CV23)</f>
        <v>1328.4791377312529</v>
      </c>
      <c r="CW24" s="869">
        <f>((CV14-CV24)/CV14)*100</f>
        <v>39.205681393048629</v>
      </c>
      <c r="CX24" s="871">
        <f>+(CW24-CS24)*100</f>
        <v>131.64000773688116</v>
      </c>
      <c r="CY24" s="878"/>
      <c r="CZ24" s="869"/>
      <c r="DA24" s="869"/>
      <c r="DB24" s="42"/>
      <c r="DE24" s="237"/>
      <c r="DG24" s="875"/>
    </row>
    <row r="25" spans="1:114" hidden="1" outlineLevel="1">
      <c r="A25" s="26" t="str">
        <f>$A$15</f>
        <v>6 Mos</v>
      </c>
      <c r="D25" s="794">
        <f>SUM(D20:D21)</f>
        <v>10.583258000000001</v>
      </c>
      <c r="E25" s="869">
        <f t="shared" si="26"/>
        <v>64.606961072184617</v>
      </c>
      <c r="H25" s="794">
        <f>SUM(H20:H21)</f>
        <v>13.210664000000001</v>
      </c>
      <c r="I25" s="869">
        <f t="shared" si="27"/>
        <v>56.237487647898099</v>
      </c>
      <c r="L25" s="794">
        <f>SUM(L20:L21)</f>
        <v>13.432773000000001</v>
      </c>
      <c r="M25" s="869">
        <f t="shared" si="28"/>
        <v>59.753005175210404</v>
      </c>
      <c r="P25" s="794">
        <f>SUM(P20:P21)</f>
        <v>17.278890000000001</v>
      </c>
      <c r="Q25" s="869">
        <f t="shared" si="29"/>
        <v>55.467204166681803</v>
      </c>
      <c r="T25" s="794">
        <f>SUM(T20:T21)</f>
        <v>21.781224000000002</v>
      </c>
      <c r="U25" s="869">
        <f t="shared" si="30"/>
        <v>59.099710916176953</v>
      </c>
      <c r="X25" s="794">
        <f>SUM(X20:X21)</f>
        <v>30.394971999999999</v>
      </c>
      <c r="Y25" s="869">
        <f t="shared" si="31"/>
        <v>58.474700501831563</v>
      </c>
      <c r="AB25" s="794">
        <f>SUM(AB20:AB21)</f>
        <v>48.407945999999995</v>
      </c>
      <c r="AC25" s="869">
        <f t="shared" si="32"/>
        <v>58.742453089815129</v>
      </c>
      <c r="AF25" s="794">
        <f>SUM(AF20:AF21)</f>
        <v>72.748964000000001</v>
      </c>
      <c r="AG25" s="869">
        <f t="shared" si="33"/>
        <v>60.186688834304327</v>
      </c>
      <c r="AJ25" s="794">
        <f>SUM(AJ20:AJ21)</f>
        <v>98.579159000000004</v>
      </c>
      <c r="AK25" s="869">
        <f t="shared" si="34"/>
        <v>61.420445187596627</v>
      </c>
      <c r="AN25" s="794">
        <f>SUM(AN20:AN21)</f>
        <v>130.52297899999999</v>
      </c>
      <c r="AO25" s="869">
        <f t="shared" si="35"/>
        <v>61.882317038355872</v>
      </c>
      <c r="AR25" s="794">
        <f>SUM(AR20:AR21)</f>
        <v>195.03699999999998</v>
      </c>
      <c r="AS25" s="869">
        <f t="shared" si="36"/>
        <v>61.873922409580153</v>
      </c>
      <c r="AV25" s="794">
        <f>SUM(AV20:AV21)</f>
        <v>261.62700000000001</v>
      </c>
      <c r="AW25" s="869">
        <f t="shared" si="37"/>
        <v>60.961681936196243</v>
      </c>
      <c r="AZ25" s="794">
        <f>SUM(AZ20:AZ21)</f>
        <v>309.14</v>
      </c>
      <c r="BA25" s="869">
        <f t="shared" si="38"/>
        <v>61.069266582459889</v>
      </c>
      <c r="BD25" s="794">
        <f>SUM(BD20:BD21)</f>
        <v>357.62300000000005</v>
      </c>
      <c r="BE25" s="869">
        <f t="shared" si="39"/>
        <v>59.77773453887395</v>
      </c>
      <c r="BH25" s="794">
        <f>SUM(BH20:BH21)</f>
        <v>372.61900000000003</v>
      </c>
      <c r="BI25" s="869">
        <f t="shared" si="40"/>
        <v>54.267644596959677</v>
      </c>
      <c r="BJ25" s="869">
        <f>+BI25-BE25</f>
        <v>-5.5100899419142735</v>
      </c>
      <c r="BL25" s="794">
        <f>SUM(BL20:BL21)</f>
        <v>366.12900000000002</v>
      </c>
      <c r="BM25" s="868">
        <f t="shared" si="41"/>
        <v>55.917708335841688</v>
      </c>
      <c r="BN25" s="868">
        <f>+BM25-BI25</f>
        <v>1.650063738882011</v>
      </c>
      <c r="BO25" s="137"/>
      <c r="BP25" s="803">
        <f>SUM(BP20:BP21)</f>
        <v>406.17200000000003</v>
      </c>
      <c r="BQ25" s="868">
        <f t="shared" si="42"/>
        <v>57.109065795976299</v>
      </c>
      <c r="BR25" s="868">
        <f>+BQ25-BM25</f>
        <v>1.1913574601346113</v>
      </c>
      <c r="BS25" s="137"/>
      <c r="BT25" s="803">
        <f>SUM(BT20:BT21)</f>
        <v>461.61700000000002</v>
      </c>
      <c r="BU25" s="868">
        <f t="shared" si="43"/>
        <v>57.595624499934317</v>
      </c>
      <c r="BV25" s="868">
        <f>+BU25-BQ25</f>
        <v>0.4865587039580177</v>
      </c>
      <c r="BW25" s="137"/>
      <c r="BX25" s="803">
        <f>SUM(BX20:BX21)</f>
        <v>551.76299999999992</v>
      </c>
      <c r="BY25" s="868">
        <f t="shared" si="44"/>
        <v>57.311694269960135</v>
      </c>
      <c r="BZ25" s="868">
        <f>+BY25-BU25</f>
        <v>-0.28393022997418171</v>
      </c>
      <c r="CA25" s="869"/>
      <c r="CB25" s="794">
        <f>SUM(CB20:CB21)</f>
        <v>577.23900000000003</v>
      </c>
      <c r="CC25" s="869">
        <f t="shared" si="45"/>
        <v>56.277225472930745</v>
      </c>
      <c r="CD25" s="869">
        <f>+CC25-BY25</f>
        <v>-1.0344687970293904</v>
      </c>
      <c r="CE25" s="869"/>
      <c r="CF25" s="794">
        <f>SUM(CF20:CF21)</f>
        <v>790.03600000000006</v>
      </c>
      <c r="CG25" s="869">
        <f t="shared" si="46"/>
        <v>39.613128883405913</v>
      </c>
      <c r="CH25" s="869">
        <f>+CG25-CC25</f>
        <v>-16.664096589524831</v>
      </c>
      <c r="CI25" s="869"/>
      <c r="CJ25" s="794">
        <f>SUM(CJ20:CJ21)</f>
        <v>789.7170000000001</v>
      </c>
      <c r="CK25" s="869">
        <f t="shared" si="47"/>
        <v>40.711536339209495</v>
      </c>
      <c r="CL25" s="869">
        <f>+CK25-CG25</f>
        <v>1.0984074558035815</v>
      </c>
      <c r="CM25" s="869"/>
      <c r="CN25" s="794">
        <f>SUM(CN20:CN21)</f>
        <v>775.56400000000008</v>
      </c>
      <c r="CO25" s="869">
        <f t="shared" si="48"/>
        <v>39.347889160082538</v>
      </c>
      <c r="CP25" s="869">
        <f>+CO25-CK25</f>
        <v>-1.3636471791269571</v>
      </c>
      <c r="CQ25" s="869"/>
      <c r="CR25" s="794">
        <f>SUM(CR20:CR21)</f>
        <v>715.79500000000007</v>
      </c>
      <c r="CS25" s="869">
        <f t="shared" si="49"/>
        <v>38.416118261150856</v>
      </c>
      <c r="CT25" s="869">
        <f>+CS25-CO25</f>
        <v>-0.9317708989316813</v>
      </c>
      <c r="CU25" s="869"/>
      <c r="CV25" s="794">
        <f>SUM(CV20:CV21)</f>
        <v>662.28410043369524</v>
      </c>
      <c r="CW25" s="869">
        <f>((CV15-CV25)/CV15)*100</f>
        <v>40.093632262589182</v>
      </c>
      <c r="CX25" s="869">
        <f>+CW25-CS25</f>
        <v>1.6775140014383254</v>
      </c>
      <c r="CY25" s="869"/>
      <c r="CZ25" s="869"/>
      <c r="DA25" s="869"/>
      <c r="DG25" s="875"/>
    </row>
    <row r="26" spans="1:114" hidden="1" outlineLevel="1">
      <c r="A26" s="26" t="str">
        <f>$A$16</f>
        <v>9 Mos</v>
      </c>
      <c r="D26" s="794">
        <f>SUM(D20:D22)</f>
        <v>16.310476000000001</v>
      </c>
      <c r="E26" s="869">
        <f t="shared" si="26"/>
        <v>63.897188124580062</v>
      </c>
      <c r="H26" s="794">
        <f>SUM(H20:H22)</f>
        <v>19.738706000000001</v>
      </c>
      <c r="I26" s="869">
        <f t="shared" si="27"/>
        <v>56.576478048025649</v>
      </c>
      <c r="L26" s="794">
        <f>SUM(L20:L22)</f>
        <v>19.791672000000002</v>
      </c>
      <c r="M26" s="869">
        <f t="shared" si="28"/>
        <v>59.693642986269104</v>
      </c>
      <c r="P26" s="794">
        <f>SUM(P20:P22)</f>
        <v>25.318077000000002</v>
      </c>
      <c r="Q26" s="869">
        <f t="shared" si="29"/>
        <v>56.139233516467094</v>
      </c>
      <c r="T26" s="794">
        <f>SUM(T20:T22)</f>
        <v>32.821916999999999</v>
      </c>
      <c r="U26" s="869">
        <f t="shared" si="30"/>
        <v>58.977013208292774</v>
      </c>
      <c r="X26" s="794">
        <f>SUM(X20:X22)</f>
        <v>46.995649999999998</v>
      </c>
      <c r="Y26" s="869">
        <f t="shared" si="31"/>
        <v>58.486340419366876</v>
      </c>
      <c r="AB26" s="794">
        <f>SUM(AB20:AB22)</f>
        <v>76.729276999999996</v>
      </c>
      <c r="AC26" s="869">
        <f t="shared" si="32"/>
        <v>58.818904644138335</v>
      </c>
      <c r="AF26" s="794">
        <f>SUM(AF20:AF22)</f>
        <v>111.18480099999999</v>
      </c>
      <c r="AG26" s="869">
        <f t="shared" si="33"/>
        <v>59.818050705008986</v>
      </c>
      <c r="AJ26" s="794">
        <f>SUM(AJ20:AJ22)</f>
        <v>153.464426</v>
      </c>
      <c r="AK26" s="869">
        <f t="shared" si="34"/>
        <v>60.928926999378973</v>
      </c>
      <c r="AN26" s="794">
        <f>SUM(AN20:AN22)</f>
        <v>211.72497899999999</v>
      </c>
      <c r="AO26" s="869">
        <f t="shared" si="35"/>
        <v>61.712698050548909</v>
      </c>
      <c r="AR26" s="794">
        <f>SUM(AR20:AR22)</f>
        <v>296.60499999999996</v>
      </c>
      <c r="AS26" s="869">
        <f>((AR16-AR26)/AR16)*100</f>
        <v>62.038495848750408</v>
      </c>
      <c r="AV26" s="794">
        <f>SUM(AV20:AV22)</f>
        <v>394.935</v>
      </c>
      <c r="AW26" s="869">
        <f t="shared" si="37"/>
        <v>61.613751342524878</v>
      </c>
      <c r="AZ26" s="794">
        <f>SUM(AZ20:AZ22)</f>
        <v>470.57100000000003</v>
      </c>
      <c r="BA26" s="869">
        <f t="shared" si="38"/>
        <v>60.66433391067094</v>
      </c>
      <c r="BD26" s="794">
        <f>SUM(BD20:BD22)</f>
        <v>531.07200000000012</v>
      </c>
      <c r="BE26" s="869">
        <f t="shared" si="39"/>
        <v>59.305763085906058</v>
      </c>
      <c r="BH26" s="794">
        <f>SUM(BH20:BH22)</f>
        <v>555.48900000000003</v>
      </c>
      <c r="BI26" s="869">
        <f t="shared" si="40"/>
        <v>54.054796220094701</v>
      </c>
      <c r="BJ26" s="869">
        <f>+BI26-BE26</f>
        <v>-5.2509668658113569</v>
      </c>
      <c r="BL26" s="794">
        <f>SUM(BL20:BL22)</f>
        <v>555.71400000000006</v>
      </c>
      <c r="BM26" s="868">
        <f t="shared" si="41"/>
        <v>56.497192389979503</v>
      </c>
      <c r="BN26" s="868">
        <f>+BM26-BI26</f>
        <v>2.4423961698848018</v>
      </c>
      <c r="BO26" s="137"/>
      <c r="BP26" s="803">
        <f>SUM(BP20:BP22)</f>
        <v>614.12700000000007</v>
      </c>
      <c r="BQ26" s="868">
        <f t="shared" si="42"/>
        <v>57.054356263242909</v>
      </c>
      <c r="BR26" s="868">
        <f>+BQ26-BM26</f>
        <v>0.55716387326340566</v>
      </c>
      <c r="BS26" s="137"/>
      <c r="BT26" s="803">
        <f>SUM(BT20:BT22)</f>
        <v>698.65499999999997</v>
      </c>
      <c r="BU26" s="868">
        <f t="shared" si="43"/>
        <v>57.062734727465703</v>
      </c>
      <c r="BV26" s="868">
        <f>+BU26-BQ26</f>
        <v>8.3784642227939798E-3</v>
      </c>
      <c r="BW26" s="137"/>
      <c r="BX26" s="803">
        <f>SUM(BX20:BX22)</f>
        <v>824.13199999999995</v>
      </c>
      <c r="BY26" s="868">
        <f t="shared" si="44"/>
        <v>57.281241382456194</v>
      </c>
      <c r="BZ26" s="868">
        <f>+BY26-BU26</f>
        <v>0.21850665499049171</v>
      </c>
      <c r="CA26" s="869"/>
      <c r="CB26" s="794">
        <f>SUM(CB20:CB22)</f>
        <v>868.80799999999999</v>
      </c>
      <c r="CC26" s="869">
        <f t="shared" si="45"/>
        <v>56.027622173049551</v>
      </c>
      <c r="CD26" s="869">
        <f>+CC26-BY26</f>
        <v>-1.2536192094066436</v>
      </c>
      <c r="CE26" s="869"/>
      <c r="CF26" s="794">
        <f>SUM(CF20:CF22)</f>
        <v>1179.3900000000001</v>
      </c>
      <c r="CG26" s="869">
        <f t="shared" si="46"/>
        <v>39.635846599842765</v>
      </c>
      <c r="CH26" s="869">
        <f>+CG26-CC26</f>
        <v>-16.391775573206786</v>
      </c>
      <c r="CI26" s="869"/>
      <c r="CJ26" s="794">
        <f>SUM(CJ20:CJ22)</f>
        <v>1172.261</v>
      </c>
      <c r="CK26" s="869">
        <f t="shared" si="47"/>
        <v>40.151864017733978</v>
      </c>
      <c r="CL26" s="869">
        <f>+CK26-CG26</f>
        <v>0.51601741789121292</v>
      </c>
      <c r="CM26" s="869"/>
      <c r="CN26" s="794">
        <f>SUM(CN20:CN22)</f>
        <v>1142.182</v>
      </c>
      <c r="CO26" s="869">
        <f t="shared" si="48"/>
        <v>39.103795489600508</v>
      </c>
      <c r="CP26" s="869">
        <f>+CO26-CK26</f>
        <v>-1.0480685281334701</v>
      </c>
      <c r="CQ26" s="869"/>
      <c r="CR26" s="794">
        <f>SUM(CR20:CR22)</f>
        <v>1051.3800000000001</v>
      </c>
      <c r="CS26" s="869">
        <f t="shared" si="49"/>
        <v>37.956893560471045</v>
      </c>
      <c r="CT26" s="869">
        <f>+CS26-CO26</f>
        <v>-1.1469019291294629</v>
      </c>
      <c r="CU26" s="869"/>
      <c r="CV26" s="794">
        <f>SUM(CV20:CV22)</f>
        <v>988.40886813359384</v>
      </c>
      <c r="CW26" s="869">
        <f>((CV16-CV26)/CV16)*100</f>
        <v>39.577022907312333</v>
      </c>
      <c r="CX26" s="869">
        <f>+CW26-CS26</f>
        <v>1.6201293468412885</v>
      </c>
      <c r="CY26" s="869"/>
      <c r="CZ26" s="869"/>
      <c r="DA26" s="869"/>
      <c r="DG26" s="875"/>
    </row>
    <row r="27" spans="1:114" collapsed="1">
      <c r="X27" s="879"/>
      <c r="BD27" s="180"/>
      <c r="BE27" s="869"/>
      <c r="BH27" s="180"/>
      <c r="BI27" s="869"/>
      <c r="BJ27" s="869"/>
      <c r="BL27" s="180"/>
      <c r="BM27" s="868"/>
      <c r="BN27" s="868"/>
      <c r="BO27" s="137"/>
      <c r="BP27" s="858"/>
      <c r="BQ27" s="868"/>
      <c r="BR27" s="868"/>
      <c r="BS27" s="137"/>
      <c r="BT27" s="858"/>
      <c r="BU27" s="868"/>
      <c r="BV27" s="868"/>
      <c r="BW27" s="137"/>
      <c r="BX27" s="858"/>
      <c r="BY27" s="868"/>
      <c r="BZ27" s="868"/>
      <c r="CA27" s="869"/>
      <c r="CB27" s="869"/>
      <c r="CC27" s="869"/>
      <c r="CD27" s="869"/>
      <c r="CE27" s="869"/>
      <c r="CF27" s="869"/>
      <c r="CG27" s="869"/>
      <c r="CH27" s="869"/>
      <c r="CI27" s="869"/>
      <c r="CJ27" s="869"/>
      <c r="CK27" s="869"/>
      <c r="CL27" s="869"/>
      <c r="CM27" s="869"/>
      <c r="CN27" s="869"/>
      <c r="CO27" s="869"/>
      <c r="CP27" s="869"/>
      <c r="CQ27" s="869"/>
      <c r="CR27" s="869"/>
      <c r="CS27" s="869"/>
      <c r="CT27" s="869"/>
      <c r="CU27" s="869"/>
      <c r="CV27" s="869"/>
      <c r="CW27" s="869"/>
      <c r="CX27" s="869"/>
      <c r="CY27" s="869"/>
      <c r="CZ27" s="869"/>
      <c r="DA27" s="869"/>
    </row>
    <row r="28" spans="1:114">
      <c r="C28" s="837"/>
      <c r="D28" s="838"/>
      <c r="H28" s="839"/>
      <c r="I28" s="840"/>
      <c r="J28" s="840"/>
      <c r="K28" s="840"/>
      <c r="L28" s="839"/>
      <c r="M28" s="840"/>
      <c r="N28" s="840"/>
      <c r="O28" s="840"/>
      <c r="P28" s="839"/>
      <c r="Q28" s="840"/>
      <c r="R28" s="840"/>
      <c r="S28" s="840"/>
      <c r="T28" s="839"/>
      <c r="U28" s="840"/>
      <c r="V28" s="840"/>
      <c r="W28" s="840"/>
      <c r="Y28" s="840"/>
      <c r="Z28" s="840"/>
      <c r="AA28" s="840"/>
      <c r="AC28" s="840"/>
      <c r="AD28" s="840"/>
      <c r="AE28" s="840"/>
      <c r="AF28" s="839"/>
      <c r="AG28" s="840"/>
      <c r="AH28" s="840"/>
      <c r="AI28" s="840"/>
      <c r="AK28" s="840"/>
      <c r="AL28" s="840"/>
      <c r="AM28" s="840"/>
      <c r="AN28" s="839"/>
      <c r="AO28" s="840"/>
      <c r="AP28" s="840"/>
      <c r="AQ28" s="840"/>
      <c r="AR28" s="839"/>
      <c r="AS28" s="840"/>
      <c r="AT28" s="840"/>
      <c r="AU28" s="840"/>
      <c r="AV28" s="839" t="s">
        <v>616</v>
      </c>
      <c r="AW28" s="840"/>
      <c r="AX28" s="840"/>
      <c r="AY28" s="840"/>
      <c r="AZ28" s="839"/>
      <c r="BA28" s="840"/>
      <c r="BB28" s="840"/>
      <c r="BC28" s="840"/>
      <c r="BD28" s="839"/>
      <c r="BE28" s="840"/>
      <c r="BF28" s="840"/>
      <c r="BG28" s="840"/>
      <c r="BH28" s="839"/>
      <c r="BI28" s="840"/>
      <c r="BJ28" s="840"/>
      <c r="BK28" s="840"/>
      <c r="BL28" s="839"/>
      <c r="BM28" s="841"/>
      <c r="BN28" s="841"/>
      <c r="BO28" s="841"/>
      <c r="BP28" s="842"/>
      <c r="BQ28" s="841"/>
      <c r="BR28" s="841"/>
      <c r="BS28" s="841"/>
      <c r="BU28" s="841"/>
      <c r="BV28" s="841"/>
      <c r="BW28" s="841"/>
      <c r="BX28" s="842"/>
      <c r="BY28" s="841"/>
      <c r="BZ28" s="841"/>
      <c r="CA28" s="840"/>
      <c r="CB28" s="840"/>
      <c r="CC28" s="843" t="str">
        <f>+AV28</f>
        <v>3.  Selling, General &amp; Administrative Expenses   (% of Sales)</v>
      </c>
      <c r="CD28" s="840"/>
      <c r="CE28" s="840"/>
      <c r="CF28" s="840"/>
      <c r="CG28" s="840"/>
      <c r="CH28" s="840"/>
      <c r="CI28" s="840"/>
      <c r="CJ28" s="1121"/>
      <c r="CK28" s="840"/>
      <c r="CL28" s="840"/>
      <c r="CM28" s="840"/>
      <c r="CN28" s="1121"/>
      <c r="CO28" s="840"/>
      <c r="CP28" s="840"/>
      <c r="CQ28" s="840"/>
      <c r="CR28" s="1121"/>
      <c r="CS28" s="840"/>
      <c r="CT28" s="840"/>
      <c r="CU28" s="840"/>
      <c r="CV28" s="1121"/>
      <c r="CW28" s="840"/>
      <c r="CX28" s="840"/>
      <c r="CY28" s="840"/>
      <c r="CZ28" s="840"/>
      <c r="DA28" s="880"/>
      <c r="DC28" s="236"/>
    </row>
    <row r="29" spans="1:114">
      <c r="AO29" s="870"/>
      <c r="AS29" s="870"/>
      <c r="AW29" s="870"/>
      <c r="BA29" s="870"/>
      <c r="BE29" s="870"/>
      <c r="BI29" s="870"/>
      <c r="BM29" s="867"/>
      <c r="BN29" s="137"/>
      <c r="BO29" s="137"/>
      <c r="BP29" s="137"/>
      <c r="BQ29" s="881"/>
      <c r="BR29" s="137"/>
      <c r="BS29" s="137"/>
      <c r="BT29" s="137"/>
      <c r="BU29" s="881"/>
      <c r="BV29" s="137"/>
      <c r="BW29" s="137"/>
      <c r="BX29" s="137"/>
      <c r="BY29" s="881"/>
      <c r="BZ29" s="137"/>
      <c r="CH29" s="28" t="s">
        <v>763</v>
      </c>
      <c r="CP29" s="180"/>
      <c r="CT29" s="180"/>
    </row>
    <row r="30" spans="1:114">
      <c r="A30" s="26" t="str">
        <f>$A$10</f>
        <v>1Q</v>
      </c>
      <c r="B30" s="26" t="str">
        <f>$B$10</f>
        <v>Apr</v>
      </c>
      <c r="D30" s="844">
        <f>6.828138-D74</f>
        <v>6.6305420000000002</v>
      </c>
      <c r="E30" s="869">
        <f t="shared" ref="E30:E36" si="51">D30/D10*100</f>
        <v>47.627763782728842</v>
      </c>
      <c r="F30" s="42"/>
      <c r="H30" s="844">
        <f>7.320173-H74</f>
        <v>6.9295479999999996</v>
      </c>
      <c r="I30" s="869">
        <f t="shared" ref="I30:I36" si="52">H30/H10*100</f>
        <v>47.268487652160907</v>
      </c>
      <c r="J30" s="42">
        <f t="shared" ref="J30:J36" si="53">IF(D30&lt;0,"       NM",(H30/D30-1)*100)</f>
        <v>4.5095257672751243</v>
      </c>
      <c r="L30" s="844">
        <f>7.9561-L74</f>
        <v>7.5094450000000004</v>
      </c>
      <c r="M30" s="869">
        <f t="shared" ref="M30:M36" si="54">L30/L10*100</f>
        <v>43.400794287455405</v>
      </c>
      <c r="N30" s="42">
        <f t="shared" ref="N30:N36" si="55">IF(H30&lt;0,"       NM",(L30/H30-1)*100)</f>
        <v>8.3684679000708417</v>
      </c>
      <c r="P30" s="844">
        <f>8.815301-P74</f>
        <v>8.2856909999999999</v>
      </c>
      <c r="Q30" s="869">
        <f t="shared" ref="Q30:Q36" si="56">P30/P10*100</f>
        <v>44.26164984588241</v>
      </c>
      <c r="R30" s="42">
        <f t="shared" ref="R30:R36" si="57">(P30/L30-1)*100</f>
        <v>10.336929027378172</v>
      </c>
      <c r="T30" s="844">
        <f>11.166931-T74</f>
        <v>10.620886</v>
      </c>
      <c r="U30" s="869">
        <f t="shared" ref="U30:U36" si="58">T30/T10*100</f>
        <v>41.013761710923596</v>
      </c>
      <c r="V30" s="42">
        <f t="shared" ref="V30:V36" si="59">(T30/P30-1)*100</f>
        <v>28.183467136295583</v>
      </c>
      <c r="W30" s="45"/>
      <c r="X30" s="844">
        <f>14.724977-X74</f>
        <v>14.041017</v>
      </c>
      <c r="Y30" s="869">
        <f t="shared" ref="Y30:Y36" si="60">X30/X10*100</f>
        <v>38.547767533495758</v>
      </c>
      <c r="Z30" s="42">
        <f t="shared" ref="Z30:Z36" si="61">(X30/T30-1)*100</f>
        <v>32.201936825232849</v>
      </c>
      <c r="AB30" s="844">
        <f>21.968219-AB74</f>
        <v>20.822989</v>
      </c>
      <c r="AC30" s="869">
        <f t="shared" ref="AC30:AC36" si="62">AB30/AB10*100</f>
        <v>36.7295033194154</v>
      </c>
      <c r="AD30" s="42">
        <f t="shared" ref="AD30:AD36" si="63">(AB30/X30-1)*100</f>
        <v>48.301145137848621</v>
      </c>
      <c r="AF30" s="844">
        <f>36.429193-AF74</f>
        <v>34.412641000000001</v>
      </c>
      <c r="AG30" s="869">
        <f t="shared" ref="AG30:AG36" si="64">AF30/AF10*100</f>
        <v>36.910360677825146</v>
      </c>
      <c r="AH30" s="42">
        <f t="shared" ref="AH30:AH36" si="65">(AF30/AB30-1)*100</f>
        <v>65.262734374973746</v>
      </c>
      <c r="AJ30" s="844">
        <f>46.409208</f>
        <v>46.409208</v>
      </c>
      <c r="AK30" s="869">
        <f t="shared" ref="AK30:AK36" si="66">AJ30/AJ10*100</f>
        <v>35.575249294881694</v>
      </c>
      <c r="AL30" s="42">
        <f t="shared" ref="AL30:AL36" si="67">(AJ30/AF30-1)*100</f>
        <v>34.860930900363044</v>
      </c>
      <c r="AN30" s="844">
        <v>62.284362000000002</v>
      </c>
      <c r="AO30" s="869">
        <f t="shared" ref="AO30:AO36" si="68">AN30/AN10*100</f>
        <v>36.858011384315702</v>
      </c>
      <c r="AP30" s="42">
        <f t="shared" ref="AP30:AP36" si="69">(AN30/AJ30-1)*100</f>
        <v>34.206905664065637</v>
      </c>
      <c r="AR30" s="844">
        <v>95.805000000000007</v>
      </c>
      <c r="AS30" s="869">
        <f t="shared" ref="AS30:AS36" si="70">AR30/AR10*100</f>
        <v>37.308550533313081</v>
      </c>
      <c r="AT30" s="42">
        <f t="shared" ref="AT30:AT36" si="71">(AR30/AN30-1)*100</f>
        <v>53.818706531825768</v>
      </c>
      <c r="AV30" s="844">
        <v>119.274</v>
      </c>
      <c r="AW30" s="869">
        <f t="shared" ref="AW30:AW36" si="72">AV30/AV10*100</f>
        <v>36.446807535408169</v>
      </c>
      <c r="AX30" s="42">
        <f>(AV30/AR30-1)*100</f>
        <v>24.496633787380606</v>
      </c>
      <c r="AY30" s="42"/>
      <c r="AZ30" s="882">
        <f>+AZ40+AZ48+AZ56</f>
        <v>161.14999999999998</v>
      </c>
      <c r="BA30" s="869">
        <f t="shared" ref="BA30:BA36" si="73">AZ30/AZ10*100</f>
        <v>41.250387162336843</v>
      </c>
      <c r="BB30" s="42">
        <f>(AZ30/AV30-1)*100</f>
        <v>35.109076579975508</v>
      </c>
      <c r="BC30" s="869"/>
      <c r="BD30" s="882">
        <f>+BD40+BD48+BD56</f>
        <v>205.10300000000001</v>
      </c>
      <c r="BE30" s="869">
        <f t="shared" ref="BE30:BE36" si="74">BD30/BD10*100</f>
        <v>45.267806695388089</v>
      </c>
      <c r="BF30" s="42">
        <f>(BD30/AZ30-1)*100</f>
        <v>27.274588892336361</v>
      </c>
      <c r="BG30" s="869"/>
      <c r="BH30" s="882">
        <f>+BH40+BH48+BH56</f>
        <v>212.10900000000001</v>
      </c>
      <c r="BI30" s="869">
        <f t="shared" ref="BI30:BI36" si="75">BH30/BH10*100</f>
        <v>51.788975593558028</v>
      </c>
      <c r="BJ30" s="42">
        <f>(BH30/BD30-1)*100</f>
        <v>3.4158447219202026</v>
      </c>
      <c r="BK30" s="869"/>
      <c r="BL30" s="882">
        <f>+BL40+BL48+BL56</f>
        <v>203.56299999999999</v>
      </c>
      <c r="BM30" s="868">
        <f t="shared" ref="BM30:BM36" si="76">BL30/BL10*100</f>
        <v>49.571769152280694</v>
      </c>
      <c r="BN30" s="873">
        <f t="shared" ref="BN30:BN36" si="77">(BL30/BH30-1)*100</f>
        <v>-4.0290605301991018</v>
      </c>
      <c r="BO30" s="868"/>
      <c r="BP30" s="883">
        <f>+BP40+BP48+BP56</f>
        <v>226.52800000000002</v>
      </c>
      <c r="BQ30" s="868">
        <f t="shared" ref="BQ30:BQ36" si="78">BP30/BP10*100</f>
        <v>47.03771688663339</v>
      </c>
      <c r="BR30" s="873">
        <f t="shared" ref="BR30:BR36" si="79">(BP30/BL30-1)*100</f>
        <v>11.281519726079914</v>
      </c>
      <c r="BS30" s="868"/>
      <c r="BT30" s="882">
        <f>+BT40+BT48+BT56</f>
        <v>244.84499999999997</v>
      </c>
      <c r="BU30" s="868">
        <f t="shared" ref="BU30:BU36" si="80">BT30/BT10*100</f>
        <v>45.581560732596358</v>
      </c>
      <c r="BV30" s="873">
        <f t="shared" ref="BV30:BV36" si="81">(BT30/BP30-1)*100</f>
        <v>8.0859761265715377</v>
      </c>
      <c r="BW30" s="868"/>
      <c r="BX30" s="848">
        <f>291.676+0.558</f>
        <v>292.23399999999998</v>
      </c>
      <c r="BY30" s="868">
        <f t="shared" ref="BY30:BY36" si="82">BX30/BX10*100</f>
        <v>44.902637761459822</v>
      </c>
      <c r="BZ30" s="873">
        <f t="shared" ref="BZ30:BZ36" si="83">(BX30/BT30-1)*100</f>
        <v>19.354693785864541</v>
      </c>
      <c r="CA30" s="42"/>
      <c r="CB30" s="850">
        <f>304.899+0.914</f>
        <v>305.81299999999999</v>
      </c>
      <c r="CC30" s="869">
        <f t="shared" ref="CC30:CC36" si="84">CB30/CB10*100</f>
        <v>45.594598060001012</v>
      </c>
      <c r="CD30" s="42">
        <f t="shared" ref="CD30:CD36" si="85">(CB30/BX30-1)*100</f>
        <v>4.646618805477809</v>
      </c>
      <c r="CE30" s="42"/>
      <c r="CF30" s="850">
        <v>209.52199999999999</v>
      </c>
      <c r="CG30" s="869">
        <f t="shared" ref="CG30:CG36" si="86">CF30/CF10*100</f>
        <v>31.768910372559393</v>
      </c>
      <c r="CH30" s="1207">
        <v>4.3</v>
      </c>
      <c r="CI30" s="42"/>
      <c r="CJ30" s="850">
        <v>215.05500000000001</v>
      </c>
      <c r="CK30" s="869">
        <f t="shared" ref="CK30:CK36" si="87">CJ30/CJ10*100</f>
        <v>31.979960384732063</v>
      </c>
      <c r="CL30" s="42">
        <f>(CJ30/CF30-1)*100</f>
        <v>2.640772806674252</v>
      </c>
      <c r="CM30" s="42"/>
      <c r="CN30" s="1291">
        <f>208.141</f>
        <v>208.14099999999999</v>
      </c>
      <c r="CO30" s="886">
        <f t="shared" ref="CO30:CO36" si="88">CN30/CN10*100</f>
        <v>32.371453411241767</v>
      </c>
      <c r="CP30" s="47">
        <f t="shared" ref="CP30:CP36" si="89">(CN30/CJ30-1)*100</f>
        <v>-3.2149915137988039</v>
      </c>
      <c r="CQ30" s="42"/>
      <c r="CR30" s="1291">
        <v>182.53899999999999</v>
      </c>
      <c r="CS30" s="1293">
        <f t="shared" ref="CS30:CS36" si="90">CR30/CR10*100</f>
        <v>31.27124277060549</v>
      </c>
      <c r="CT30" s="47">
        <f t="shared" ref="CT30:CT36" si="91">(CR30/CN30-1)*100</f>
        <v>-12.300315651409388</v>
      </c>
      <c r="CU30" s="42"/>
      <c r="CV30" s="182">
        <f t="shared" ref="CV30:CV31" si="92">+CV10*CW30/100</f>
        <v>191.83000671101232</v>
      </c>
      <c r="CW30" s="1607">
        <v>34.799999999999997</v>
      </c>
      <c r="CX30" s="47">
        <f t="shared" ref="CX30:CX36" si="93">(CV30/CR30-1)*100</f>
        <v>5.0898748820867423</v>
      </c>
      <c r="CY30" s="42">
        <f>CR30-CN30</f>
        <v>-25.602000000000004</v>
      </c>
      <c r="CZ30" s="42">
        <f>CV30-CR30</f>
        <v>9.2910067110123293</v>
      </c>
      <c r="DA30" s="42">
        <f>+(BQ30-BU30)*100</f>
        <v>145.6156154037032</v>
      </c>
      <c r="DB30" s="42"/>
      <c r="DC30" s="869">
        <f>BL30-BH30</f>
        <v>-8.5460000000000207</v>
      </c>
      <c r="DF30" s="884"/>
      <c r="DG30" s="885"/>
      <c r="DH30" s="122"/>
      <c r="DI30" s="886"/>
      <c r="DJ30" s="886"/>
    </row>
    <row r="31" spans="1:114">
      <c r="A31" s="26" t="str">
        <f>$A$11</f>
        <v>2Q</v>
      </c>
      <c r="B31" s="26" t="str">
        <f>$B$11</f>
        <v>Jul</v>
      </c>
      <c r="D31" s="854">
        <f>7.559003-D75</f>
        <v>7.3387069999999994</v>
      </c>
      <c r="E31" s="869">
        <f t="shared" si="51"/>
        <v>45.922890142541853</v>
      </c>
      <c r="F31" s="42"/>
      <c r="H31" s="854">
        <f>7.852066-H75</f>
        <v>7.4272789999999995</v>
      </c>
      <c r="I31" s="869">
        <f t="shared" si="52"/>
        <v>47.834000420938843</v>
      </c>
      <c r="J31" s="42">
        <f t="shared" si="53"/>
        <v>1.2069156051604191</v>
      </c>
      <c r="L31" s="854">
        <f>8.426631-L75</f>
        <v>7.96922</v>
      </c>
      <c r="M31" s="869">
        <f t="shared" si="54"/>
        <v>49.580518336975096</v>
      </c>
      <c r="N31" s="42">
        <f t="shared" si="55"/>
        <v>7.2966290885262408</v>
      </c>
      <c r="P31" s="854">
        <f>9.220508-P75</f>
        <v>8.687405</v>
      </c>
      <c r="Q31" s="869">
        <f t="shared" si="56"/>
        <v>43.262732429859831</v>
      </c>
      <c r="R31" s="42">
        <f t="shared" si="57"/>
        <v>9.0119861165835591</v>
      </c>
      <c r="T31" s="854">
        <f>11.794759-T75</f>
        <v>11.211663000000001</v>
      </c>
      <c r="U31" s="869">
        <f t="shared" si="58"/>
        <v>40.980484267034413</v>
      </c>
      <c r="V31" s="42">
        <f t="shared" si="59"/>
        <v>29.056524934661176</v>
      </c>
      <c r="X31" s="854">
        <f>14.954637-X75</f>
        <v>14.174068</v>
      </c>
      <c r="Y31" s="869">
        <f t="shared" si="60"/>
        <v>38.546558588516319</v>
      </c>
      <c r="Z31" s="42">
        <f t="shared" si="61"/>
        <v>26.42252982452289</v>
      </c>
      <c r="AB31" s="854">
        <f>23.267122-AB75</f>
        <v>21.948853</v>
      </c>
      <c r="AC31" s="869">
        <f t="shared" si="62"/>
        <v>36.196343249373875</v>
      </c>
      <c r="AD31" s="42">
        <f t="shared" si="63"/>
        <v>54.852177935085386</v>
      </c>
      <c r="AF31" s="854">
        <f>35.942236-AF75</f>
        <v>33.587946000000002</v>
      </c>
      <c r="AG31" s="869">
        <f t="shared" si="64"/>
        <v>37.53169507466778</v>
      </c>
      <c r="AH31" s="42">
        <f t="shared" si="65"/>
        <v>53.028251635746074</v>
      </c>
      <c r="AJ31" s="854">
        <f>45.74111</f>
        <v>45.741109999999999</v>
      </c>
      <c r="AK31" s="869">
        <f t="shared" si="66"/>
        <v>36.572956323970736</v>
      </c>
      <c r="AL31" s="42">
        <f t="shared" si="67"/>
        <v>36.183111643683105</v>
      </c>
      <c r="AN31" s="854">
        <v>63.410017000000003</v>
      </c>
      <c r="AO31" s="869">
        <f t="shared" si="68"/>
        <v>36.560946383620021</v>
      </c>
      <c r="AP31" s="42">
        <f t="shared" si="69"/>
        <v>38.628067836569777</v>
      </c>
      <c r="AR31" s="854">
        <v>92.994</v>
      </c>
      <c r="AS31" s="869">
        <f t="shared" si="70"/>
        <v>36.501587725254844</v>
      </c>
      <c r="AT31" s="42">
        <f t="shared" si="71"/>
        <v>46.655062401260672</v>
      </c>
      <c r="AV31" s="854">
        <v>120.056</v>
      </c>
      <c r="AW31" s="869">
        <f t="shared" si="72"/>
        <v>35.009404388714735</v>
      </c>
      <c r="AX31" s="42">
        <f t="shared" ref="AX31:AX36" si="94">(AV31/AR31-1)*100</f>
        <v>29.100802202292609</v>
      </c>
      <c r="AY31" s="42"/>
      <c r="AZ31" s="180">
        <f>+AZ41+AZ49+AZ57</f>
        <v>160.30000000000001</v>
      </c>
      <c r="BA31" s="869">
        <f t="shared" si="73"/>
        <v>39.735854481996171</v>
      </c>
      <c r="BB31" s="42">
        <f t="shared" ref="BB31:BB36" si="95">(AZ31/AV31-1)*100</f>
        <v>33.521023522356245</v>
      </c>
      <c r="BC31" s="869"/>
      <c r="BD31" s="180">
        <f>+BD41+BD49+BD57</f>
        <v>193.97399999999999</v>
      </c>
      <c r="BE31" s="869">
        <f t="shared" si="74"/>
        <v>44.486490577461588</v>
      </c>
      <c r="BF31" s="42">
        <f t="shared" ref="BF31:BF36" si="96">(BD31/AZ31-1)*100</f>
        <v>21.00686213349967</v>
      </c>
      <c r="BG31" s="869"/>
      <c r="BH31" s="180">
        <f>+BH41+BH49+BH57</f>
        <v>205.48</v>
      </c>
      <c r="BI31" s="869">
        <f t="shared" si="75"/>
        <v>50.708507519409295</v>
      </c>
      <c r="BJ31" s="42">
        <f t="shared" ref="BJ31:BJ36" si="97">(BH31/BD31-1)*100</f>
        <v>5.9317228082114148</v>
      </c>
      <c r="BK31" s="869"/>
      <c r="BL31" s="180">
        <f>+BL41+BL49+BL57</f>
        <v>202.04900000000001</v>
      </c>
      <c r="BM31" s="868">
        <f t="shared" si="76"/>
        <v>48.116642653870421</v>
      </c>
      <c r="BN31" s="873">
        <f t="shared" si="77"/>
        <v>-1.6697488806696414</v>
      </c>
      <c r="BO31" s="868"/>
      <c r="BP31" s="858">
        <f>+BP41+BP49+BP57</f>
        <v>211.846</v>
      </c>
      <c r="BQ31" s="868">
        <f t="shared" si="78"/>
        <v>45.519123334765801</v>
      </c>
      <c r="BR31" s="873">
        <f t="shared" si="79"/>
        <v>4.8488238001672901</v>
      </c>
      <c r="BS31" s="868"/>
      <c r="BT31" s="858">
        <f>+BT41+BT49+BT57</f>
        <v>240.35600000000002</v>
      </c>
      <c r="BU31" s="868">
        <f t="shared" si="80"/>
        <v>43.586260923494287</v>
      </c>
      <c r="BV31" s="873">
        <f t="shared" si="81"/>
        <v>13.457889221415575</v>
      </c>
      <c r="BW31" s="868"/>
      <c r="BX31" s="855">
        <f>276.121+0.283</f>
        <v>276.404</v>
      </c>
      <c r="BY31" s="868">
        <f t="shared" si="82"/>
        <v>43.072233771009877</v>
      </c>
      <c r="BZ31" s="873">
        <f t="shared" si="83"/>
        <v>14.997753332556684</v>
      </c>
      <c r="CA31" s="42"/>
      <c r="CB31" s="854">
        <v>286.262</v>
      </c>
      <c r="CC31" s="869">
        <f t="shared" si="84"/>
        <v>44.074007356394041</v>
      </c>
      <c r="CD31" s="42">
        <f t="shared" si="85"/>
        <v>3.5665185742608685</v>
      </c>
      <c r="CE31" s="42"/>
      <c r="CF31" s="876">
        <v>194.44</v>
      </c>
      <c r="CG31" s="869">
        <f t="shared" si="86"/>
        <v>29.970467282805053</v>
      </c>
      <c r="CH31" s="1207">
        <v>6.5</v>
      </c>
      <c r="CI31" s="42"/>
      <c r="CJ31" s="876">
        <v>194.50800000000001</v>
      </c>
      <c r="CK31" s="1178">
        <f t="shared" si="87"/>
        <v>29.492223925473411</v>
      </c>
      <c r="CL31" s="42">
        <f t="shared" ref="CL31:CL36" si="98">(CJ31/CF31-1)*100</f>
        <v>3.4972227936647116E-2</v>
      </c>
      <c r="CM31" s="42"/>
      <c r="CN31" s="1291">
        <v>186.626</v>
      </c>
      <c r="CO31" s="886">
        <f t="shared" si="88"/>
        <v>29.356080864263561</v>
      </c>
      <c r="CP31" s="47">
        <f>(CN31/CJ31-1)*100</f>
        <v>-4.0522754848129612</v>
      </c>
      <c r="CQ31" s="42"/>
      <c r="CR31" s="1291">
        <v>173.642</v>
      </c>
      <c r="CS31" s="1293">
        <f t="shared" si="90"/>
        <v>30.011701040995121</v>
      </c>
      <c r="CT31" s="47">
        <f t="shared" si="91"/>
        <v>-6.9572299679573124</v>
      </c>
      <c r="CU31" s="42"/>
      <c r="CV31" s="182">
        <f t="shared" si="92"/>
        <v>166.28892211634164</v>
      </c>
      <c r="CW31" s="1607">
        <v>30</v>
      </c>
      <c r="CX31" s="47">
        <f t="shared" si="93"/>
        <v>-4.2346194374968888</v>
      </c>
      <c r="CY31" s="42">
        <f>CR31-CN31</f>
        <v>-12.984000000000009</v>
      </c>
      <c r="CZ31" s="42">
        <f t="shared" ref="CZ31:CZ33" si="99">CV31-CR31</f>
        <v>-7.3530778836583579</v>
      </c>
      <c r="DA31" s="42">
        <f>+(BQ31-BU31)*100</f>
        <v>193.28624112715147</v>
      </c>
      <c r="DB31" s="42"/>
      <c r="DC31" s="869">
        <f>BL31-BH31</f>
        <v>-3.4309999999999832</v>
      </c>
      <c r="DF31" s="884"/>
      <c r="DG31" s="885"/>
      <c r="DH31" s="122"/>
      <c r="DI31" s="886"/>
      <c r="DJ31" s="886"/>
    </row>
    <row r="32" spans="1:114">
      <c r="A32" s="26" t="str">
        <f>$A$12</f>
        <v>3Q</v>
      </c>
      <c r="B32" s="26" t="str">
        <f>$B$12</f>
        <v>Oct</v>
      </c>
      <c r="D32" s="854">
        <f>7.596802-D76</f>
        <v>7.3646020000000005</v>
      </c>
      <c r="E32" s="869">
        <f t="shared" si="51"/>
        <v>48.211016062958805</v>
      </c>
      <c r="F32" s="42"/>
      <c r="H32" s="854">
        <f>7.664398-H76</f>
        <v>7.2422740000000001</v>
      </c>
      <c r="I32" s="869">
        <f t="shared" si="52"/>
        <v>47.43096884076143</v>
      </c>
      <c r="J32" s="42">
        <f t="shared" si="53"/>
        <v>-1.6610266243851424</v>
      </c>
      <c r="L32" s="854">
        <f>8.177078-L76</f>
        <v>7.7025480000000002</v>
      </c>
      <c r="M32" s="869">
        <f t="shared" si="54"/>
        <v>48.975772133763655</v>
      </c>
      <c r="N32" s="42">
        <f t="shared" si="55"/>
        <v>6.3553795396307899</v>
      </c>
      <c r="P32" s="854">
        <f>9.220152-P76</f>
        <v>8.6847550000000009</v>
      </c>
      <c r="Q32" s="869">
        <f t="shared" si="56"/>
        <v>45.894326244357906</v>
      </c>
      <c r="R32" s="42">
        <f t="shared" si="57"/>
        <v>12.751715406382424</v>
      </c>
      <c r="T32" s="854">
        <f>11.734126-T76</f>
        <v>11.121532999999999</v>
      </c>
      <c r="U32" s="869">
        <f t="shared" si="58"/>
        <v>41.569376772178394</v>
      </c>
      <c r="V32" s="42">
        <f t="shared" si="59"/>
        <v>28.058108720395669</v>
      </c>
      <c r="X32" s="854">
        <f>16.881195-X76</f>
        <v>16.030180000000001</v>
      </c>
      <c r="Y32" s="869">
        <f t="shared" si="60"/>
        <v>40.066440059291672</v>
      </c>
      <c r="Z32" s="42">
        <f t="shared" si="61"/>
        <v>44.136424358044898</v>
      </c>
      <c r="AB32" s="854">
        <f>28.143889-AB76</f>
        <v>26.598717000000001</v>
      </c>
      <c r="AC32" s="869">
        <f t="shared" si="62"/>
        <v>38.554188489184597</v>
      </c>
      <c r="AD32" s="42">
        <f t="shared" si="63"/>
        <v>65.928997678129605</v>
      </c>
      <c r="AF32" s="854">
        <f>41.330633-AF76</f>
        <v>38.651195000000001</v>
      </c>
      <c r="AG32" s="869">
        <f t="shared" si="64"/>
        <v>41.127863969704272</v>
      </c>
      <c r="AH32" s="42">
        <f t="shared" si="65"/>
        <v>45.31225321883008</v>
      </c>
      <c r="AJ32" s="854">
        <f>53.665916</f>
        <v>53.665916000000003</v>
      </c>
      <c r="AK32" s="869">
        <f t="shared" si="66"/>
        <v>39.097726569206714</v>
      </c>
      <c r="AL32" s="42">
        <f t="shared" si="67"/>
        <v>38.846718710766901</v>
      </c>
      <c r="AN32" s="854">
        <f>80.815</f>
        <v>80.814999999999998</v>
      </c>
      <c r="AO32" s="869">
        <f t="shared" si="68"/>
        <v>38.379343588087515</v>
      </c>
      <c r="AP32" s="42">
        <f t="shared" si="69"/>
        <v>50.589062897948111</v>
      </c>
      <c r="AR32" s="854">
        <v>101.976</v>
      </c>
      <c r="AS32" s="869">
        <f t="shared" si="70"/>
        <v>37.800669451724225</v>
      </c>
      <c r="AT32" s="42">
        <f t="shared" si="71"/>
        <v>26.184495452576883</v>
      </c>
      <c r="AV32" s="854">
        <v>131.71100000000001</v>
      </c>
      <c r="AW32" s="869">
        <f t="shared" si="72"/>
        <v>36.722568413421996</v>
      </c>
      <c r="AX32" s="42">
        <f t="shared" si="94"/>
        <v>29.158821683533386</v>
      </c>
      <c r="AY32" s="42"/>
      <c r="AZ32" s="180">
        <f>+AZ42+AZ50+AZ58</f>
        <v>175.43200000000002</v>
      </c>
      <c r="BA32" s="869">
        <f t="shared" si="73"/>
        <v>43.616040018000149</v>
      </c>
      <c r="BB32" s="42">
        <f t="shared" si="95"/>
        <v>33.194645853421513</v>
      </c>
      <c r="BC32" s="869"/>
      <c r="BD32" s="180">
        <f>+BD42+BD50+BD58</f>
        <v>219.18100000000001</v>
      </c>
      <c r="BE32" s="869">
        <f t="shared" si="74"/>
        <v>52.698761519837078</v>
      </c>
      <c r="BF32" s="42">
        <f t="shared" si="96"/>
        <v>24.937867663824154</v>
      </c>
      <c r="BG32" s="869"/>
      <c r="BH32" s="180">
        <f>+BH42+BH50+BH58</f>
        <v>213.072</v>
      </c>
      <c r="BI32" s="869">
        <f t="shared" si="75"/>
        <v>54.045854967621501</v>
      </c>
      <c r="BJ32" s="42">
        <f t="shared" si="97"/>
        <v>-2.7871941454779448</v>
      </c>
      <c r="BK32" s="869"/>
      <c r="BL32" s="180">
        <f>+BL42+BL50+BL58</f>
        <v>220.96699999999998</v>
      </c>
      <c r="BM32" s="868">
        <f t="shared" si="76"/>
        <v>49.44848868668921</v>
      </c>
      <c r="BN32" s="873">
        <f t="shared" si="77"/>
        <v>3.705320267327461</v>
      </c>
      <c r="BO32" s="868"/>
      <c r="BP32" s="858">
        <f>+BP42+BP50+BP58</f>
        <v>230.90600000000001</v>
      </c>
      <c r="BQ32" s="868">
        <f t="shared" si="78"/>
        <v>47.804447830533604</v>
      </c>
      <c r="BR32" s="873">
        <f t="shared" si="79"/>
        <v>4.4979567084677985</v>
      </c>
      <c r="BS32" s="868"/>
      <c r="BT32" s="180">
        <f>+BT42+BT50+BT58</f>
        <v>254.52199999999999</v>
      </c>
      <c r="BU32" s="868">
        <f t="shared" si="80"/>
        <v>47.260958209697954</v>
      </c>
      <c r="BV32" s="873">
        <f t="shared" si="81"/>
        <v>10.227538478861531</v>
      </c>
      <c r="BW32" s="868"/>
      <c r="BX32" s="855">
        <f>297.19+0.48</f>
        <v>297.67</v>
      </c>
      <c r="BY32" s="868">
        <f t="shared" si="82"/>
        <v>46.754572655949367</v>
      </c>
      <c r="BZ32" s="873">
        <f>(BX32/BT32-1)*100</f>
        <v>16.952562057503883</v>
      </c>
      <c r="CA32" s="42"/>
      <c r="CB32" s="854">
        <v>308.52800000000002</v>
      </c>
      <c r="CC32" s="869">
        <f t="shared" si="84"/>
        <v>47.061910158806192</v>
      </c>
      <c r="CD32" s="42">
        <f t="shared" si="85"/>
        <v>3.6476635200053842</v>
      </c>
      <c r="CE32" s="42"/>
      <c r="CF32" s="876">
        <v>209.98400000000001</v>
      </c>
      <c r="CG32" s="869">
        <f t="shared" si="86"/>
        <v>32.53039112255442</v>
      </c>
      <c r="CH32" s="1207">
        <v>4.2</v>
      </c>
      <c r="CI32" s="42"/>
      <c r="CJ32" s="876">
        <v>215.64400000000001</v>
      </c>
      <c r="CK32" s="1178">
        <f t="shared" si="87"/>
        <v>34.407524711401152</v>
      </c>
      <c r="CL32" s="42">
        <f t="shared" si="98"/>
        <v>2.6954434623590373</v>
      </c>
      <c r="CM32" s="42"/>
      <c r="CN32" s="1291">
        <f>188.35+10.82-6.806</f>
        <v>192.36399999999998</v>
      </c>
      <c r="CO32" s="886">
        <f t="shared" si="88"/>
        <v>32.226525853057062</v>
      </c>
      <c r="CP32" s="47">
        <f t="shared" si="89"/>
        <v>-10.795570477268102</v>
      </c>
      <c r="CQ32" s="42"/>
      <c r="CR32" s="1627">
        <v>171.42400000000001</v>
      </c>
      <c r="CS32" s="1628">
        <f t="shared" si="90"/>
        <v>32.205182542500566</v>
      </c>
      <c r="CT32" s="47">
        <f t="shared" si="91"/>
        <v>-10.885612692603585</v>
      </c>
      <c r="CU32" s="42"/>
      <c r="CV32" s="182">
        <f>+CV12*CW32/100</f>
        <v>177.1149144906766</v>
      </c>
      <c r="CW32" s="1303">
        <v>33.4</v>
      </c>
      <c r="CX32" s="47">
        <f t="shared" si="93"/>
        <v>3.3197886472586147</v>
      </c>
      <c r="CY32" s="42">
        <f t="shared" ref="CY32:CY36" si="100">CR32-CN32</f>
        <v>-20.939999999999969</v>
      </c>
      <c r="CZ32" s="42">
        <f t="shared" si="99"/>
        <v>5.6909144906765903</v>
      </c>
      <c r="DA32" s="42"/>
      <c r="DB32" s="42"/>
      <c r="DC32" s="869">
        <f>BL32-BH32</f>
        <v>7.8949999999999818</v>
      </c>
      <c r="DF32" s="884"/>
      <c r="DG32" s="885"/>
      <c r="DH32" s="182"/>
      <c r="DI32" s="886"/>
      <c r="DJ32" s="886"/>
    </row>
    <row r="33" spans="1:114">
      <c r="A33" s="26" t="str">
        <f>$A$13</f>
        <v>4Q</v>
      </c>
      <c r="B33" s="26" t="str">
        <f>$B$13</f>
        <v>Jan</v>
      </c>
      <c r="C33" s="122"/>
      <c r="D33" s="860">
        <f>9.184424-D77</f>
        <v>8.7598160000000007</v>
      </c>
      <c r="E33" s="869">
        <f t="shared" si="51"/>
        <v>62.154597482700126</v>
      </c>
      <c r="F33" s="42"/>
      <c r="H33" s="860">
        <f>7.906226-H77</f>
        <v>7.401942</v>
      </c>
      <c r="I33" s="869">
        <f t="shared" si="52"/>
        <v>49.721060782491492</v>
      </c>
      <c r="J33" s="42">
        <f t="shared" si="53"/>
        <v>-15.501170344217286</v>
      </c>
      <c r="L33" s="860">
        <f>9.178714-L77</f>
        <v>8.6611139999999995</v>
      </c>
      <c r="M33" s="869">
        <f t="shared" si="54"/>
        <v>57.858397694191822</v>
      </c>
      <c r="N33" s="42">
        <f t="shared" si="55"/>
        <v>17.011373501710757</v>
      </c>
      <c r="P33" s="860">
        <f>9.92871-P77</f>
        <v>9.4126740000000009</v>
      </c>
      <c r="Q33" s="869">
        <f t="shared" si="56"/>
        <v>53.434325985201482</v>
      </c>
      <c r="R33" s="42">
        <f t="shared" si="57"/>
        <v>8.6774057009294747</v>
      </c>
      <c r="T33" s="860">
        <f>12.715241-T77</f>
        <v>12.049176000000001</v>
      </c>
      <c r="U33" s="869">
        <f t="shared" si="58"/>
        <v>45.072302788082773</v>
      </c>
      <c r="V33" s="42">
        <f t="shared" si="59"/>
        <v>28.010127621545156</v>
      </c>
      <c r="X33" s="860">
        <f>18.685462-X77</f>
        <v>17.693467000000002</v>
      </c>
      <c r="Y33" s="869">
        <f t="shared" si="60"/>
        <v>42.331894442597957</v>
      </c>
      <c r="Z33" s="42">
        <f t="shared" si="61"/>
        <v>46.843792471783964</v>
      </c>
      <c r="AB33" s="860">
        <f>32.032614-AB77</f>
        <v>30.063541000000001</v>
      </c>
      <c r="AC33" s="869">
        <f t="shared" si="62"/>
        <v>41.112932196144456</v>
      </c>
      <c r="AD33" s="42">
        <f t="shared" si="63"/>
        <v>69.9132284249322</v>
      </c>
      <c r="AF33" s="860">
        <f>39.849932</f>
        <v>39.849932000000003</v>
      </c>
      <c r="AG33" s="869">
        <f t="shared" si="64"/>
        <v>39.306718263472199</v>
      </c>
      <c r="AH33" s="42">
        <f t="shared" si="65"/>
        <v>32.552356357489629</v>
      </c>
      <c r="AJ33" s="860">
        <f>53.698788</f>
        <v>53.698788</v>
      </c>
      <c r="AK33" s="869">
        <f t="shared" si="66"/>
        <v>38.820622251797566</v>
      </c>
      <c r="AL33" s="42">
        <f t="shared" si="67"/>
        <v>34.752521033160086</v>
      </c>
      <c r="AN33" s="860">
        <v>82.596000000000004</v>
      </c>
      <c r="AO33" s="869">
        <f t="shared" si="68"/>
        <v>38.326009586606595</v>
      </c>
      <c r="AP33" s="42">
        <f t="shared" si="69"/>
        <v>53.813527411456661</v>
      </c>
      <c r="AR33" s="860">
        <v>107.342</v>
      </c>
      <c r="AS33" s="869">
        <f>AR33/AR13*100</f>
        <v>37.59118336129098</v>
      </c>
      <c r="AT33" s="42">
        <f t="shared" si="71"/>
        <v>29.960288633832132</v>
      </c>
      <c r="AV33" s="860">
        <v>143.488</v>
      </c>
      <c r="AW33" s="869">
        <f t="shared" si="72"/>
        <v>38.189125169669708</v>
      </c>
      <c r="AX33" s="42">
        <f t="shared" si="94"/>
        <v>33.673678522852192</v>
      </c>
      <c r="AY33" s="42"/>
      <c r="AZ33" s="877">
        <f>+AZ43+AZ51+AZ59</f>
        <v>206.60300000000001</v>
      </c>
      <c r="BA33" s="869">
        <f t="shared" si="73"/>
        <v>46.466170824796301</v>
      </c>
      <c r="BB33" s="42">
        <f t="shared" si="95"/>
        <v>43.986256690454951</v>
      </c>
      <c r="BC33" s="869"/>
      <c r="BD33" s="877">
        <f>+BD43+BD51+BD59</f>
        <v>229.34599999999998</v>
      </c>
      <c r="BE33" s="869">
        <f t="shared" si="74"/>
        <v>56.034126807672656</v>
      </c>
      <c r="BF33" s="42">
        <f t="shared" si="96"/>
        <v>11.008068614686128</v>
      </c>
      <c r="BG33" s="869"/>
      <c r="BH33" s="877">
        <f>+BH43+BH51+BH59</f>
        <v>204.76</v>
      </c>
      <c r="BI33" s="869">
        <f t="shared" si="75"/>
        <v>54.839720498474733</v>
      </c>
      <c r="BJ33" s="42">
        <f t="shared" si="97"/>
        <v>-10.720047439240265</v>
      </c>
      <c r="BK33" s="869"/>
      <c r="BL33" s="877">
        <f>+BL43+BL51+BL59</f>
        <v>209.982</v>
      </c>
      <c r="BM33" s="868">
        <f t="shared" si="76"/>
        <v>48.190852133201751</v>
      </c>
      <c r="BN33" s="873">
        <f t="shared" si="77"/>
        <v>2.5503027935143585</v>
      </c>
      <c r="BO33" s="868"/>
      <c r="BP33" s="887">
        <f>+BP43+BP51+BP59</f>
        <v>221.16799999999998</v>
      </c>
      <c r="BQ33" s="868">
        <f t="shared" si="78"/>
        <v>46.564232989595219</v>
      </c>
      <c r="BR33" s="873">
        <f t="shared" si="79"/>
        <v>5.3271232772332811</v>
      </c>
      <c r="BS33" s="868"/>
      <c r="BT33" s="860">
        <f>259.138</f>
        <v>259.13799999999998</v>
      </c>
      <c r="BU33" s="868">
        <f t="shared" si="80"/>
        <v>45.526144267375486</v>
      </c>
      <c r="BV33" s="873">
        <f t="shared" si="81"/>
        <v>17.167944729798169</v>
      </c>
      <c r="BW33" s="868"/>
      <c r="BX33" s="861">
        <v>296.11799999999999</v>
      </c>
      <c r="BY33" s="868">
        <f t="shared" si="82"/>
        <v>45.427113168152943</v>
      </c>
      <c r="BZ33" s="873">
        <f t="shared" si="83"/>
        <v>14.270388750395547</v>
      </c>
      <c r="CA33" s="42"/>
      <c r="CB33" s="860">
        <v>302.37799999999999</v>
      </c>
      <c r="CC33" s="869">
        <f t="shared" si="84"/>
        <v>49.551236986528096</v>
      </c>
      <c r="CD33" s="42">
        <f t="shared" si="85"/>
        <v>2.1140221128063796</v>
      </c>
      <c r="CE33" s="42"/>
      <c r="CF33" s="1068">
        <v>207.27099999999999</v>
      </c>
      <c r="CG33" s="869">
        <f t="shared" si="86"/>
        <v>32.562030470888018</v>
      </c>
      <c r="CH33" s="1207">
        <v>5.0999999999999996</v>
      </c>
      <c r="CI33" s="42"/>
      <c r="CJ33" s="1068">
        <v>205.56899999999999</v>
      </c>
      <c r="CK33" s="1178">
        <f t="shared" si="87"/>
        <v>33.433464528510555</v>
      </c>
      <c r="CL33" s="42">
        <f t="shared" si="98"/>
        <v>-0.82114719377047729</v>
      </c>
      <c r="CM33" s="42"/>
      <c r="CN33" s="1544">
        <v>191.99</v>
      </c>
      <c r="CO33" s="886">
        <f t="shared" si="88"/>
        <v>31.956310784651521</v>
      </c>
      <c r="CP33" s="42">
        <f>(CN33/CJ33-1)*100</f>
        <v>-6.605567960149628</v>
      </c>
      <c r="CQ33" s="42"/>
      <c r="CR33" s="1646">
        <v>192.00200000000001</v>
      </c>
      <c r="CS33" s="1630">
        <f t="shared" si="90"/>
        <v>32.665456469479381</v>
      </c>
      <c r="CT33" s="42">
        <f t="shared" si="91"/>
        <v>6.2503255377821532E-3</v>
      </c>
      <c r="CU33" s="42"/>
      <c r="CV33" s="877">
        <f>+CV13*CW33/100</f>
        <v>178.001239660164</v>
      </c>
      <c r="CW33" s="1302">
        <v>32.4</v>
      </c>
      <c r="CX33" s="42">
        <f t="shared" si="93"/>
        <v>-7.2919867188029341</v>
      </c>
      <c r="CY33" s="42">
        <f t="shared" si="100"/>
        <v>1.2000000000000455E-2</v>
      </c>
      <c r="CZ33" s="42">
        <f t="shared" si="99"/>
        <v>-14.000760339836006</v>
      </c>
      <c r="DA33" s="42"/>
      <c r="DB33" s="42"/>
      <c r="DC33" s="869">
        <f>BL33-BH33</f>
        <v>5.2220000000000084</v>
      </c>
      <c r="DF33" s="884"/>
      <c r="DG33" s="885"/>
      <c r="DH33" s="182"/>
      <c r="DI33" s="886"/>
      <c r="DJ33" s="886"/>
    </row>
    <row r="34" spans="1:114">
      <c r="B34" s="26" t="str">
        <f>$B$14</f>
        <v>Year</v>
      </c>
      <c r="D34" s="798">
        <f>SUM(D30:D33)</f>
        <v>30.093667</v>
      </c>
      <c r="E34" s="869">
        <f t="shared" si="51"/>
        <v>50.77261989617665</v>
      </c>
      <c r="F34" s="42"/>
      <c r="H34" s="798">
        <f>SUM(H30:H33)</f>
        <v>29.001042999999996</v>
      </c>
      <c r="I34" s="869">
        <f t="shared" si="52"/>
        <v>48.060177065885206</v>
      </c>
      <c r="J34" s="42">
        <f t="shared" si="53"/>
        <v>-3.6307439701516064</v>
      </c>
      <c r="L34" s="798">
        <f>SUM(L30:L33)</f>
        <v>31.842326999999997</v>
      </c>
      <c r="M34" s="869">
        <f t="shared" si="54"/>
        <v>49.697256729299518</v>
      </c>
      <c r="N34" s="42">
        <f t="shared" si="55"/>
        <v>9.7971786738842539</v>
      </c>
      <c r="P34" s="798">
        <f>SUM(P30:P33)</f>
        <v>35.070525000000004</v>
      </c>
      <c r="Q34" s="869">
        <f t="shared" si="56"/>
        <v>46.550198759869247</v>
      </c>
      <c r="R34" s="42">
        <f t="shared" si="57"/>
        <v>10.138071881492849</v>
      </c>
      <c r="T34" s="798">
        <f>SUM(T30:T33)</f>
        <v>45.003258000000002</v>
      </c>
      <c r="U34" s="869">
        <f t="shared" si="58"/>
        <v>42.160939082106445</v>
      </c>
      <c r="V34" s="42">
        <f t="shared" si="59"/>
        <v>28.322167974388734</v>
      </c>
      <c r="X34" s="798">
        <f>SUM(X30:X33)</f>
        <v>61.938732000000002</v>
      </c>
      <c r="Y34" s="869">
        <f t="shared" si="60"/>
        <v>39.959884203252464</v>
      </c>
      <c r="Z34" s="42">
        <f t="shared" si="61"/>
        <v>37.631662134328138</v>
      </c>
      <c r="AB34" s="798">
        <f>SUM(AB30:AB33)</f>
        <v>99.434100000000001</v>
      </c>
      <c r="AC34" s="869">
        <f t="shared" si="62"/>
        <v>38.325562875737305</v>
      </c>
      <c r="AD34" s="42">
        <f t="shared" si="63"/>
        <v>60.536221503533525</v>
      </c>
      <c r="AF34" s="798">
        <f>SUM(AF30:AF33)</f>
        <v>146.50171399999999</v>
      </c>
      <c r="AG34" s="869">
        <f t="shared" si="64"/>
        <v>38.748319096424105</v>
      </c>
      <c r="AH34" s="42">
        <f t="shared" si="65"/>
        <v>47.335485512515319</v>
      </c>
      <c r="AJ34" s="798">
        <f>SUM(AJ30:AJ33)</f>
        <v>199.51502200000002</v>
      </c>
      <c r="AK34" s="869">
        <f t="shared" si="66"/>
        <v>37.565799711092737</v>
      </c>
      <c r="AL34" s="42">
        <f t="shared" si="67"/>
        <v>36.18613499634553</v>
      </c>
      <c r="AN34" s="798">
        <f>SUM(AN30:AN33)</f>
        <v>289.10537899999997</v>
      </c>
      <c r="AO34" s="869">
        <f t="shared" si="68"/>
        <v>37.619483114197585</v>
      </c>
      <c r="AP34" s="42">
        <f t="shared" si="69"/>
        <v>44.904065920409721</v>
      </c>
      <c r="AR34" s="798">
        <f>SUM(AR30:AR33)</f>
        <v>398.11699999999996</v>
      </c>
      <c r="AS34" s="869">
        <f t="shared" si="70"/>
        <v>37.315935595501657</v>
      </c>
      <c r="AT34" s="42">
        <f t="shared" si="71"/>
        <v>37.706535027838406</v>
      </c>
      <c r="AV34" s="798">
        <f>SUM(AV30:AV33)</f>
        <v>514.529</v>
      </c>
      <c r="AW34" s="869">
        <f t="shared" si="72"/>
        <v>36.632362102415321</v>
      </c>
      <c r="AX34" s="42">
        <f t="shared" si="94"/>
        <v>29.240650361577124</v>
      </c>
      <c r="AY34" s="42"/>
      <c r="AZ34" s="798">
        <f>SUM(AZ30:AZ33)</f>
        <v>703.48500000000001</v>
      </c>
      <c r="BA34" s="869">
        <f t="shared" si="73"/>
        <v>42.871194148185751</v>
      </c>
      <c r="BB34" s="42">
        <f t="shared" si="95"/>
        <v>36.724071918200927</v>
      </c>
      <c r="BC34" s="869"/>
      <c r="BD34" s="798">
        <f>SUM(BD30:BD33)</f>
        <v>847.60400000000004</v>
      </c>
      <c r="BE34" s="869">
        <f t="shared" si="74"/>
        <v>49.442375929446371</v>
      </c>
      <c r="BF34" s="42">
        <f t="shared" si="96"/>
        <v>20.486435389525013</v>
      </c>
      <c r="BG34" s="869"/>
      <c r="BH34" s="798">
        <f>SUM(BH30:BH33)</f>
        <v>835.42100000000005</v>
      </c>
      <c r="BI34" s="869">
        <f t="shared" si="75"/>
        <v>52.794419124319717</v>
      </c>
      <c r="BJ34" s="42">
        <f t="shared" si="97"/>
        <v>-1.4373457416435031</v>
      </c>
      <c r="BK34" s="869"/>
      <c r="BL34" s="798">
        <f>SUM(BL30:BL33)</f>
        <v>836.56099999999992</v>
      </c>
      <c r="BM34" s="868">
        <f t="shared" si="76"/>
        <v>48.831714192152347</v>
      </c>
      <c r="BN34" s="873">
        <f t="shared" si="77"/>
        <v>0.1364581450549851</v>
      </c>
      <c r="BO34" s="868"/>
      <c r="BP34" s="805">
        <f>SUM(BP30:BP33)</f>
        <v>890.44799999999998</v>
      </c>
      <c r="BQ34" s="868">
        <f t="shared" si="78"/>
        <v>46.743069758066206</v>
      </c>
      <c r="BR34" s="873">
        <f t="shared" si="79"/>
        <v>6.4414908177646391</v>
      </c>
      <c r="BS34" s="868"/>
      <c r="BT34" s="805">
        <f>SUM(BT30:BT33)</f>
        <v>998.86099999999988</v>
      </c>
      <c r="BU34" s="868">
        <f t="shared" si="80"/>
        <v>45.478018175526778</v>
      </c>
      <c r="BV34" s="873">
        <f t="shared" si="81"/>
        <v>12.175107361687587</v>
      </c>
      <c r="BW34" s="868"/>
      <c r="BX34" s="805">
        <f>SUM(BX30:BX33)</f>
        <v>1162.4259999999999</v>
      </c>
      <c r="BY34" s="868">
        <f t="shared" si="82"/>
        <v>45.036820186458492</v>
      </c>
      <c r="BZ34" s="873">
        <f t="shared" si="83"/>
        <v>16.375151297327672</v>
      </c>
      <c r="CA34" s="42"/>
      <c r="CB34" s="798">
        <f>SUM(CB30:CB33)</f>
        <v>1202.981</v>
      </c>
      <c r="CC34" s="869">
        <f t="shared" si="84"/>
        <v>46.518321276919089</v>
      </c>
      <c r="CD34" s="42">
        <f t="shared" si="85"/>
        <v>3.4888242348330101</v>
      </c>
      <c r="CE34" s="42"/>
      <c r="CF34" s="798">
        <f>SUM(CF30:CF33)</f>
        <v>821.21699999999998</v>
      </c>
      <c r="CG34" s="869">
        <f t="shared" si="86"/>
        <v>31.703131719693285</v>
      </c>
      <c r="CH34" s="1207">
        <v>5</v>
      </c>
      <c r="CI34" s="42"/>
      <c r="CJ34" s="798">
        <f>SUM(CJ30:CJ33)</f>
        <v>830.77599999999995</v>
      </c>
      <c r="CK34" s="869">
        <f t="shared" si="87"/>
        <v>32.280871904028068</v>
      </c>
      <c r="CL34" s="42">
        <f t="shared" si="98"/>
        <v>1.1640041548092617</v>
      </c>
      <c r="CM34" s="42"/>
      <c r="CN34" s="798">
        <f>SUM(CN30:CN33)</f>
        <v>779.12099999999998</v>
      </c>
      <c r="CO34" s="869">
        <f t="shared" si="88"/>
        <v>31.4617127212376</v>
      </c>
      <c r="CP34" s="42">
        <f t="shared" si="89"/>
        <v>-6.2176808188970316</v>
      </c>
      <c r="CQ34" s="42"/>
      <c r="CR34" s="798">
        <f>SUM(CR30:CR33)</f>
        <v>719.60699999999997</v>
      </c>
      <c r="CS34" s="869">
        <f t="shared" si="90"/>
        <v>31.528812699380776</v>
      </c>
      <c r="CT34" s="42">
        <f t="shared" si="91"/>
        <v>-7.6386081237702523</v>
      </c>
      <c r="CU34" s="42"/>
      <c r="CV34" s="798">
        <f>SUM(CV30:CV33)</f>
        <v>713.23508297819444</v>
      </c>
      <c r="CW34" s="869">
        <f>CV34/CV14*100</f>
        <v>32.639308849277143</v>
      </c>
      <c r="CX34" s="42">
        <f t="shared" si="93"/>
        <v>-0.88547179527235231</v>
      </c>
      <c r="CY34" s="42">
        <f>CR34-CN34</f>
        <v>-59.51400000000001</v>
      </c>
      <c r="CZ34" s="42">
        <f>CV34-CR34</f>
        <v>-6.3719170218055297</v>
      </c>
      <c r="DA34" s="42"/>
      <c r="DB34" s="869"/>
      <c r="DC34" s="869"/>
      <c r="DF34" s="888"/>
      <c r="DG34" s="886"/>
      <c r="DH34" s="122"/>
      <c r="DI34" s="122"/>
      <c r="DJ34" s="122"/>
    </row>
    <row r="35" spans="1:114" ht="10.5" hidden="1" customHeight="1" outlineLevel="1">
      <c r="A35" s="26" t="str">
        <f>$A$15</f>
        <v>6 Mos</v>
      </c>
      <c r="D35" s="794">
        <f>SUM(D30:D31)</f>
        <v>13.969249</v>
      </c>
      <c r="E35" s="869">
        <f t="shared" si="51"/>
        <v>46.716632406518485</v>
      </c>
      <c r="F35" s="42"/>
      <c r="H35" s="794">
        <f>SUM(H30:H31)</f>
        <v>14.356826999999999</v>
      </c>
      <c r="I35" s="869">
        <f t="shared" si="52"/>
        <v>47.559367108609379</v>
      </c>
      <c r="J35" s="42">
        <f t="shared" si="53"/>
        <v>2.7745084936205089</v>
      </c>
      <c r="L35" s="794">
        <f>SUM(L30:L31)</f>
        <v>15.478664999999999</v>
      </c>
      <c r="M35" s="869">
        <f t="shared" si="54"/>
        <v>46.376853844671665</v>
      </c>
      <c r="N35" s="42">
        <f t="shared" si="55"/>
        <v>7.8139689222416653</v>
      </c>
      <c r="P35" s="794">
        <f>SUM(P30:P31)</f>
        <v>16.973095999999998</v>
      </c>
      <c r="Q35" s="869">
        <f t="shared" si="56"/>
        <v>43.744674503241214</v>
      </c>
      <c r="R35" s="42">
        <f t="shared" si="57"/>
        <v>9.6547796596153432</v>
      </c>
      <c r="T35" s="794">
        <f>SUM(T30:T31)</f>
        <v>21.832549</v>
      </c>
      <c r="U35" s="869">
        <f t="shared" si="58"/>
        <v>40.996666006314967</v>
      </c>
      <c r="V35" s="42">
        <f t="shared" si="59"/>
        <v>28.630327666796916</v>
      </c>
      <c r="X35" s="794">
        <f>SUM(X30:X31)</f>
        <v>28.215085000000002</v>
      </c>
      <c r="Y35" s="869">
        <f t="shared" si="60"/>
        <v>38.547160201077993</v>
      </c>
      <c r="Z35" s="42">
        <f t="shared" si="61"/>
        <v>29.234039506793287</v>
      </c>
      <c r="AB35" s="794">
        <f>SUM(AB30:AB31)</f>
        <v>42.771841999999999</v>
      </c>
      <c r="AC35" s="869">
        <f t="shared" si="62"/>
        <v>36.453958979172874</v>
      </c>
      <c r="AD35" s="42">
        <f t="shared" si="63"/>
        <v>51.592107555231514</v>
      </c>
      <c r="AF35" s="794">
        <f>SUM(AF30:AF31)</f>
        <v>68.000586999999996</v>
      </c>
      <c r="AG35" s="869">
        <f t="shared" si="64"/>
        <v>37.214667822361839</v>
      </c>
      <c r="AH35" s="42">
        <f t="shared" si="65"/>
        <v>58.984471606343256</v>
      </c>
      <c r="AJ35" s="794">
        <f>SUM(AJ30:AJ31)</f>
        <v>92.150317999999999</v>
      </c>
      <c r="AK35" s="869">
        <f t="shared" si="66"/>
        <v>36.063588696890804</v>
      </c>
      <c r="AL35" s="42">
        <f t="shared" si="67"/>
        <v>35.514003724703144</v>
      </c>
      <c r="AN35" s="794">
        <f>SUM(AN30:AN31)</f>
        <v>125.694379</v>
      </c>
      <c r="AO35" s="869">
        <f t="shared" si="68"/>
        <v>36.707547785763758</v>
      </c>
      <c r="AP35" s="42">
        <f t="shared" si="69"/>
        <v>36.40145984086567</v>
      </c>
      <c r="AR35" s="794">
        <f>SUM(AR30:AR31)</f>
        <v>188.79900000000001</v>
      </c>
      <c r="AS35" s="869">
        <f t="shared" si="70"/>
        <v>36.906665519843301</v>
      </c>
      <c r="AT35" s="42">
        <f t="shared" si="71"/>
        <v>50.204807487851141</v>
      </c>
      <c r="AV35" s="794">
        <f>SUM(AV30:AV31)</f>
        <v>239.32999999999998</v>
      </c>
      <c r="AW35" s="869">
        <f t="shared" si="72"/>
        <v>35.711301441403798</v>
      </c>
      <c r="AX35" s="42">
        <f t="shared" si="94"/>
        <v>26.764442608276507</v>
      </c>
      <c r="AY35" s="42"/>
      <c r="AZ35" s="794">
        <f>SUM(AZ30:AZ31)</f>
        <v>321.45</v>
      </c>
      <c r="BA35" s="869">
        <f t="shared" si="73"/>
        <v>40.48096091436976</v>
      </c>
      <c r="BB35" s="42">
        <f t="shared" si="95"/>
        <v>34.312455605231285</v>
      </c>
      <c r="BC35" s="42"/>
      <c r="BD35" s="794">
        <f>SUM(BD30:BD31)</f>
        <v>399.077</v>
      </c>
      <c r="BE35" s="869">
        <f t="shared" si="74"/>
        <v>44.884643978239083</v>
      </c>
      <c r="BF35" s="42">
        <f t="shared" si="96"/>
        <v>24.149012288069692</v>
      </c>
      <c r="BG35" s="42"/>
      <c r="BH35" s="794">
        <f>SUM(BH30:BH31)</f>
        <v>417.589</v>
      </c>
      <c r="BI35" s="869">
        <f t="shared" si="75"/>
        <v>51.251623133549828</v>
      </c>
      <c r="BJ35" s="42">
        <f t="shared" si="97"/>
        <v>4.6387038090393684</v>
      </c>
      <c r="BK35" s="42"/>
      <c r="BL35" s="794">
        <f>SUM(BL30:BL31)</f>
        <v>405.61199999999997</v>
      </c>
      <c r="BM35" s="868">
        <f t="shared" si="76"/>
        <v>48.836083693131606</v>
      </c>
      <c r="BN35" s="873">
        <f t="shared" si="77"/>
        <v>-2.8681311049860159</v>
      </c>
      <c r="BO35" s="873"/>
      <c r="BP35" s="803">
        <f>SUM(BP30:BP31)</f>
        <v>438.37400000000002</v>
      </c>
      <c r="BQ35" s="868">
        <f t="shared" si="78"/>
        <v>46.291399679826988</v>
      </c>
      <c r="BR35" s="873">
        <f t="shared" si="79"/>
        <v>8.0771772038302778</v>
      </c>
      <c r="BS35" s="873"/>
      <c r="BT35" s="803">
        <f>SUM(BT30:BT31)</f>
        <v>485.20100000000002</v>
      </c>
      <c r="BU35" s="868">
        <f t="shared" si="80"/>
        <v>44.570813893351783</v>
      </c>
      <c r="BV35" s="873">
        <f t="shared" si="81"/>
        <v>10.681974752152268</v>
      </c>
      <c r="BW35" s="873"/>
      <c r="BX35" s="803">
        <f>SUM(BX30:BX31)</f>
        <v>568.63799999999992</v>
      </c>
      <c r="BY35" s="868">
        <f t="shared" si="82"/>
        <v>43.99387562000063</v>
      </c>
      <c r="BZ35" s="873">
        <f t="shared" si="83"/>
        <v>17.196378408123625</v>
      </c>
      <c r="CA35" s="42"/>
      <c r="CB35" s="794">
        <f>SUM(CB30:CB31)</f>
        <v>592.07500000000005</v>
      </c>
      <c r="CC35" s="869">
        <f t="shared" si="84"/>
        <v>44.846522373080354</v>
      </c>
      <c r="CD35" s="42">
        <f t="shared" si="85"/>
        <v>4.1216028475058231</v>
      </c>
      <c r="CE35" s="42"/>
      <c r="CF35" s="794">
        <f>SUM(CF30:CF31)</f>
        <v>403.96199999999999</v>
      </c>
      <c r="CG35" s="869">
        <f t="shared" si="86"/>
        <v>30.877075513016592</v>
      </c>
      <c r="CH35" s="42">
        <f>(CF35/CB35-1)*100</f>
        <v>-31.7718194485496</v>
      </c>
      <c r="CI35" s="42"/>
      <c r="CJ35" s="794">
        <f>SUM(CJ30:CJ31)</f>
        <v>409.56299999999999</v>
      </c>
      <c r="CK35" s="869">
        <f t="shared" si="87"/>
        <v>30.748180730950885</v>
      </c>
      <c r="CL35" s="42">
        <f t="shared" si="98"/>
        <v>1.3865165535372093</v>
      </c>
      <c r="CM35" s="42"/>
      <c r="CN35" s="794">
        <f>SUM(CN30:CN31)</f>
        <v>394.767</v>
      </c>
      <c r="CO35" s="869">
        <f t="shared" si="88"/>
        <v>30.872309493403115</v>
      </c>
      <c r="CP35" s="42">
        <f t="shared" si="89"/>
        <v>-3.6126310237985293</v>
      </c>
      <c r="CQ35" s="42"/>
      <c r="CR35" s="794">
        <f>SUM(CR30:CR31)</f>
        <v>356.18099999999998</v>
      </c>
      <c r="CS35" s="869">
        <f t="shared" si="90"/>
        <v>30.644260691434035</v>
      </c>
      <c r="CT35" s="42">
        <f t="shared" si="91"/>
        <v>-9.7743732378846264</v>
      </c>
      <c r="CU35" s="42"/>
      <c r="CV35" s="794">
        <f>SUM(CV30:CV31)</f>
        <v>358.11892882735395</v>
      </c>
      <c r="CW35" s="869">
        <f>CV35/CV15*100</f>
        <v>32.393355404440896</v>
      </c>
      <c r="CX35" s="42">
        <f t="shared" si="93"/>
        <v>0.54408540246502213</v>
      </c>
      <c r="CY35" s="42">
        <f t="shared" si="100"/>
        <v>-38.586000000000013</v>
      </c>
      <c r="CZ35" s="42"/>
      <c r="DA35" s="42"/>
      <c r="DC35" s="869"/>
      <c r="DF35" s="889"/>
      <c r="DG35" s="886"/>
      <c r="DH35" s="122"/>
      <c r="DI35" s="122"/>
      <c r="DJ35" s="122"/>
    </row>
    <row r="36" spans="1:114" hidden="1" outlineLevel="1">
      <c r="A36" s="26" t="str">
        <f>$A$16</f>
        <v>9 Mos</v>
      </c>
      <c r="D36" s="794">
        <f>SUM(D30:D32)</f>
        <v>21.333850999999999</v>
      </c>
      <c r="E36" s="869">
        <f t="shared" si="51"/>
        <v>47.221921005324397</v>
      </c>
      <c r="F36" s="42"/>
      <c r="H36" s="794">
        <f>SUM(H30:H32)</f>
        <v>21.599100999999997</v>
      </c>
      <c r="I36" s="869">
        <f t="shared" si="52"/>
        <v>47.516237205033143</v>
      </c>
      <c r="J36" s="42">
        <f t="shared" si="53"/>
        <v>1.2433292048397604</v>
      </c>
      <c r="L36" s="794">
        <f>SUM(L30:L32)</f>
        <v>23.181213</v>
      </c>
      <c r="M36" s="869">
        <f t="shared" si="54"/>
        <v>47.209262925807366</v>
      </c>
      <c r="N36" s="42">
        <f t="shared" si="55"/>
        <v>7.3248974575377046</v>
      </c>
      <c r="P36" s="794">
        <f>SUM(P30:P32)</f>
        <v>25.657851000000001</v>
      </c>
      <c r="Q36" s="869">
        <f t="shared" si="56"/>
        <v>44.449387336182021</v>
      </c>
      <c r="R36" s="42">
        <f t="shared" si="57"/>
        <v>10.683815381015659</v>
      </c>
      <c r="T36" s="794">
        <f>SUM(T30:T32)</f>
        <v>32.954082</v>
      </c>
      <c r="U36" s="869">
        <f t="shared" si="58"/>
        <v>41.188175286008942</v>
      </c>
      <c r="V36" s="42">
        <f t="shared" si="59"/>
        <v>28.436641088920499</v>
      </c>
      <c r="X36" s="794">
        <f>SUM(X30:X32)</f>
        <v>44.245265000000003</v>
      </c>
      <c r="Y36" s="869">
        <f t="shared" si="60"/>
        <v>39.084103938660313</v>
      </c>
      <c r="Z36" s="42">
        <f t="shared" si="61"/>
        <v>34.263381999231555</v>
      </c>
      <c r="AB36" s="794">
        <f>SUM(AB30:AB32)</f>
        <v>69.370559</v>
      </c>
      <c r="AC36" s="869">
        <f t="shared" si="62"/>
        <v>37.231624182623634</v>
      </c>
      <c r="AD36" s="42">
        <f t="shared" si="63"/>
        <v>56.786401889558121</v>
      </c>
      <c r="AF36" s="794">
        <f>SUM(AF30:AF32)</f>
        <v>106.651782</v>
      </c>
      <c r="AG36" s="869">
        <f t="shared" si="64"/>
        <v>38.543725922974268</v>
      </c>
      <c r="AH36" s="42">
        <f t="shared" si="65"/>
        <v>53.742140091447155</v>
      </c>
      <c r="AJ36" s="794">
        <f>SUM(AJ30:AJ32)</f>
        <v>145.81623400000001</v>
      </c>
      <c r="AK36" s="869">
        <f t="shared" si="66"/>
        <v>37.123891652190707</v>
      </c>
      <c r="AL36" s="42">
        <f t="shared" si="67"/>
        <v>36.721798047406295</v>
      </c>
      <c r="AN36" s="794">
        <f>SUM(AN30:AN32)</f>
        <v>206.509379</v>
      </c>
      <c r="AO36" s="869">
        <f t="shared" si="68"/>
        <v>37.344138544779995</v>
      </c>
      <c r="AP36" s="42">
        <f t="shared" si="69"/>
        <v>41.623036979545077</v>
      </c>
      <c r="AR36" s="794">
        <f>SUM(AR30:AR32)</f>
        <v>290.77499999999998</v>
      </c>
      <c r="AS36" s="869">
        <f t="shared" si="70"/>
        <v>37.215341513391884</v>
      </c>
      <c r="AT36" s="42">
        <f t="shared" si="71"/>
        <v>40.804742819937488</v>
      </c>
      <c r="AV36" s="794">
        <f>SUM(AV30:AV32)</f>
        <v>371.041</v>
      </c>
      <c r="AW36" s="869">
        <f t="shared" si="72"/>
        <v>36.063838576267557</v>
      </c>
      <c r="AX36" s="42">
        <f t="shared" si="94"/>
        <v>27.604161293096041</v>
      </c>
      <c r="AY36" s="42"/>
      <c r="AZ36" s="794">
        <f>SUM(AZ30:AZ32)</f>
        <v>496.88200000000001</v>
      </c>
      <c r="BA36" s="869">
        <f t="shared" si="73"/>
        <v>41.53503815109304</v>
      </c>
      <c r="BB36" s="42">
        <f t="shared" si="95"/>
        <v>33.915658916400069</v>
      </c>
      <c r="BC36" s="42"/>
      <c r="BD36" s="794">
        <f>SUM(BD30:BD32)</f>
        <v>618.25800000000004</v>
      </c>
      <c r="BE36" s="869">
        <f t="shared" si="74"/>
        <v>47.375002873497166</v>
      </c>
      <c r="BF36" s="42">
        <f t="shared" si="96"/>
        <v>24.427530077563688</v>
      </c>
      <c r="BG36" s="42"/>
      <c r="BH36" s="794">
        <f>SUM(BH30:BH32)</f>
        <v>630.66100000000006</v>
      </c>
      <c r="BI36" s="869">
        <f t="shared" si="75"/>
        <v>52.162775790409633</v>
      </c>
      <c r="BJ36" s="42">
        <f t="shared" si="97"/>
        <v>2.0061204222185491</v>
      </c>
      <c r="BK36" s="42"/>
      <c r="BL36" s="794">
        <f>SUM(BL30:BL32)</f>
        <v>626.57899999999995</v>
      </c>
      <c r="BM36" s="868">
        <f t="shared" si="76"/>
        <v>49.050313091768487</v>
      </c>
      <c r="BN36" s="873">
        <f t="shared" si="77"/>
        <v>-0.64725740136144516</v>
      </c>
      <c r="BO36" s="873"/>
      <c r="BP36" s="803">
        <f>SUM(BP30:BP32)</f>
        <v>669.28</v>
      </c>
      <c r="BQ36" s="868">
        <f t="shared" si="78"/>
        <v>46.802469912797811</v>
      </c>
      <c r="BR36" s="873">
        <f t="shared" si="79"/>
        <v>6.814942728690232</v>
      </c>
      <c r="BS36" s="873"/>
      <c r="BT36" s="803">
        <f>SUM(BT30:BT32)</f>
        <v>739.72299999999996</v>
      </c>
      <c r="BU36" s="868">
        <f t="shared" si="80"/>
        <v>45.461182814400367</v>
      </c>
      <c r="BV36" s="873">
        <f t="shared" si="81"/>
        <v>10.525191250298827</v>
      </c>
      <c r="BW36" s="873"/>
      <c r="BX36" s="803">
        <f>SUM(BX30:BX32)</f>
        <v>866.30799999999999</v>
      </c>
      <c r="BY36" s="868">
        <f t="shared" si="82"/>
        <v>44.904945252031411</v>
      </c>
      <c r="BZ36" s="873">
        <f t="shared" si="83"/>
        <v>17.112486701102991</v>
      </c>
      <c r="CA36" s="42"/>
      <c r="CB36" s="794">
        <f>SUM(CB30:CB32)</f>
        <v>900.60300000000007</v>
      </c>
      <c r="CC36" s="869">
        <f t="shared" si="84"/>
        <v>45.581596150225437</v>
      </c>
      <c r="CD36" s="42">
        <f t="shared" si="85"/>
        <v>3.9587536996080086</v>
      </c>
      <c r="CE36" s="42"/>
      <c r="CF36" s="794">
        <f>SUM(CF30:CF32)</f>
        <v>613.94600000000003</v>
      </c>
      <c r="CG36" s="869">
        <f t="shared" si="86"/>
        <v>31.423304015985327</v>
      </c>
      <c r="CH36" s="42">
        <f>(CF36/CB36-1)*100</f>
        <v>-31.82945204490769</v>
      </c>
      <c r="CI36" s="42"/>
      <c r="CJ36" s="794">
        <f>SUM(CJ30:CJ32)</f>
        <v>625.20699999999999</v>
      </c>
      <c r="CK36" s="869">
        <f t="shared" si="87"/>
        <v>31.919063717947278</v>
      </c>
      <c r="CL36" s="42">
        <f t="shared" si="98"/>
        <v>1.8342004019897384</v>
      </c>
      <c r="CM36" s="42"/>
      <c r="CN36" s="794">
        <f>SUM(CN30:CN32)</f>
        <v>587.13099999999997</v>
      </c>
      <c r="CO36" s="869">
        <f t="shared" si="88"/>
        <v>31.303285685114425</v>
      </c>
      <c r="CP36" s="42">
        <f t="shared" si="89"/>
        <v>-6.090142944656729</v>
      </c>
      <c r="CQ36" s="42"/>
      <c r="CR36" s="794">
        <f>SUM(CR30:CR32)</f>
        <v>527.60500000000002</v>
      </c>
      <c r="CS36" s="869">
        <f t="shared" si="90"/>
        <v>31.134559505628477</v>
      </c>
      <c r="CT36" s="42">
        <f t="shared" si="91"/>
        <v>-10.138452917662322</v>
      </c>
      <c r="CU36" s="42"/>
      <c r="CV36" s="794">
        <f>SUM(CV30:CV32)</f>
        <v>535.23384331803049</v>
      </c>
      <c r="CW36" s="869">
        <f>CV36/CV16*100</f>
        <v>32.719680383994074</v>
      </c>
      <c r="CX36" s="42">
        <f t="shared" si="93"/>
        <v>1.4459384043044476</v>
      </c>
      <c r="CY36" s="42">
        <f t="shared" si="100"/>
        <v>-59.525999999999954</v>
      </c>
      <c r="CZ36" s="42"/>
      <c r="DA36" s="42"/>
      <c r="DC36" s="869"/>
      <c r="DE36" s="26">
        <f>7*0.4</f>
        <v>2.8000000000000003</v>
      </c>
      <c r="DF36" s="889"/>
      <c r="DG36" s="886"/>
      <c r="DH36" s="122"/>
      <c r="DI36" s="122"/>
      <c r="DJ36" s="122"/>
    </row>
    <row r="37" spans="1:114" collapsed="1">
      <c r="D37" s="794"/>
      <c r="E37" s="869"/>
      <c r="F37" s="42"/>
      <c r="H37" s="794"/>
      <c r="I37" s="869"/>
      <c r="J37" s="42"/>
      <c r="L37" s="794"/>
      <c r="M37" s="869"/>
      <c r="N37" s="42"/>
      <c r="P37" s="794"/>
      <c r="Q37" s="869"/>
      <c r="R37" s="42"/>
      <c r="T37" s="794"/>
      <c r="U37" s="869"/>
      <c r="V37" s="42"/>
      <c r="X37" s="794"/>
      <c r="Y37" s="869"/>
      <c r="Z37" s="42"/>
      <c r="AB37" s="794"/>
      <c r="AC37" s="869"/>
      <c r="AD37" s="42"/>
      <c r="AF37" s="794"/>
      <c r="AG37" s="869"/>
      <c r="AH37" s="42"/>
      <c r="AJ37" s="794"/>
      <c r="AK37" s="869"/>
      <c r="AL37" s="42"/>
      <c r="AN37" s="794"/>
      <c r="AO37" s="869"/>
      <c r="AP37" s="42"/>
      <c r="AR37" s="794"/>
      <c r="AS37" s="869"/>
      <c r="AT37" s="42"/>
      <c r="AV37" s="794"/>
      <c r="AW37" s="869"/>
      <c r="AX37" s="42"/>
      <c r="AY37" s="42"/>
      <c r="AZ37" s="890"/>
      <c r="BA37" s="870"/>
      <c r="BB37" s="42"/>
      <c r="BC37" s="42"/>
      <c r="BD37" s="794"/>
      <c r="BE37" s="870"/>
      <c r="BF37" s="42"/>
      <c r="BG37" s="42"/>
      <c r="BH37" s="794"/>
      <c r="BI37" s="869"/>
      <c r="BJ37" s="42"/>
      <c r="BK37" s="42"/>
      <c r="BL37" s="794"/>
      <c r="BM37" s="868"/>
      <c r="BN37" s="873"/>
      <c r="BO37" s="873"/>
      <c r="BP37" s="803"/>
      <c r="BQ37" s="868"/>
      <c r="BR37" s="873" t="s">
        <v>367</v>
      </c>
      <c r="BS37" s="873"/>
      <c r="BT37" s="803"/>
      <c r="BU37" s="868"/>
      <c r="BV37" s="873" t="s">
        <v>367</v>
      </c>
      <c r="BW37" s="873"/>
      <c r="BX37" s="803"/>
      <c r="BY37" s="872"/>
      <c r="BZ37" s="873" t="s">
        <v>367</v>
      </c>
      <c r="CA37" s="42"/>
      <c r="CB37" s="42"/>
      <c r="CC37" s="42"/>
      <c r="CD37" s="42"/>
      <c r="CE37" s="42"/>
      <c r="CF37" s="42"/>
      <c r="CG37" s="42"/>
      <c r="CH37" s="42"/>
      <c r="CI37" s="42"/>
      <c r="CJ37" s="42"/>
      <c r="CK37" s="42"/>
      <c r="CL37" s="42"/>
      <c r="CM37" s="42"/>
      <c r="CN37" s="42"/>
      <c r="CO37" s="42"/>
      <c r="CP37" s="42"/>
      <c r="CQ37" s="42"/>
      <c r="CR37" s="42"/>
      <c r="CS37" s="42"/>
      <c r="CT37" s="42"/>
      <c r="CU37" s="42"/>
      <c r="CV37" s="42"/>
      <c r="CW37" s="42"/>
      <c r="CX37" s="42"/>
      <c r="CY37" s="42"/>
      <c r="CZ37" s="42"/>
      <c r="DA37" s="42"/>
      <c r="DC37" s="869"/>
      <c r="DF37" s="889"/>
      <c r="DG37" s="886"/>
      <c r="DH37" s="122"/>
      <c r="DI37" s="122"/>
      <c r="DJ37" s="122"/>
    </row>
    <row r="38" spans="1:114" hidden="1" outlineLevel="1">
      <c r="D38" s="794"/>
      <c r="E38" s="869"/>
      <c r="F38" s="42"/>
      <c r="H38" s="794"/>
      <c r="I38" s="869"/>
      <c r="J38" s="42"/>
      <c r="L38" s="794"/>
      <c r="M38" s="869"/>
      <c r="N38" s="42"/>
      <c r="P38" s="794"/>
      <c r="Q38" s="869"/>
      <c r="R38" s="42"/>
      <c r="T38" s="794"/>
      <c r="U38" s="869"/>
      <c r="V38" s="42"/>
      <c r="X38" s="794"/>
      <c r="Y38" s="869"/>
      <c r="Z38" s="42"/>
      <c r="AB38" s="794"/>
      <c r="AC38" s="869"/>
      <c r="AD38" s="42"/>
      <c r="AF38" s="794"/>
      <c r="AG38" s="869"/>
      <c r="AH38" s="42"/>
      <c r="AK38" s="891"/>
      <c r="AL38" s="891"/>
      <c r="AM38" s="891"/>
      <c r="AN38" s="891"/>
      <c r="AO38" s="891"/>
      <c r="AP38" s="891"/>
      <c r="AQ38" s="891"/>
      <c r="AR38" s="891"/>
      <c r="AS38" s="891"/>
      <c r="AT38" s="891"/>
      <c r="AU38" s="891"/>
      <c r="AW38" s="891"/>
      <c r="AX38" s="891"/>
      <c r="AY38" s="891"/>
      <c r="AZ38" s="891"/>
      <c r="BA38" s="891"/>
      <c r="BB38" s="891"/>
      <c r="BC38" s="891"/>
      <c r="BD38" s="891"/>
      <c r="BE38" s="891"/>
      <c r="BF38" s="891"/>
      <c r="BG38" s="891"/>
      <c r="BH38" s="891"/>
      <c r="BI38" s="891"/>
      <c r="BJ38" s="891"/>
      <c r="BK38" s="891"/>
      <c r="BL38" s="891"/>
      <c r="BM38" s="892"/>
      <c r="BN38" s="892"/>
      <c r="BO38" s="892"/>
      <c r="BP38" s="892"/>
      <c r="BQ38" s="892"/>
      <c r="BR38" s="892"/>
      <c r="BS38" s="892"/>
      <c r="BT38" s="892"/>
      <c r="BV38" s="892"/>
      <c r="BW38" s="892"/>
      <c r="BX38" s="892"/>
      <c r="BY38" s="892"/>
      <c r="BZ38" s="892"/>
      <c r="CA38" s="891"/>
      <c r="CB38" s="891"/>
      <c r="CC38" s="891"/>
      <c r="CD38" s="891"/>
      <c r="CE38" s="891"/>
      <c r="CF38" s="891"/>
      <c r="CG38" s="891"/>
      <c r="CH38" s="891"/>
      <c r="CI38" s="891"/>
      <c r="CJ38" s="893" t="s">
        <v>567</v>
      </c>
      <c r="CK38" s="891"/>
      <c r="CL38" s="891"/>
      <c r="CM38" s="891"/>
      <c r="CN38" s="891"/>
      <c r="CO38" s="891"/>
      <c r="CP38" s="891"/>
      <c r="CQ38" s="891"/>
      <c r="CR38" s="891"/>
      <c r="CS38" s="891"/>
      <c r="CT38" s="891"/>
      <c r="CU38" s="891"/>
      <c r="CV38" s="891"/>
      <c r="CW38" s="891"/>
      <c r="CX38" s="891"/>
      <c r="CY38" s="891"/>
      <c r="CZ38" s="891"/>
      <c r="DA38" s="891"/>
      <c r="DC38" s="869"/>
      <c r="DF38" s="889"/>
      <c r="DG38" s="886"/>
      <c r="DH38" s="122"/>
      <c r="DI38" s="122"/>
      <c r="DJ38" s="122"/>
    </row>
    <row r="39" spans="1:114" hidden="1" outlineLevel="1">
      <c r="D39" s="794"/>
      <c r="E39" s="869"/>
      <c r="F39" s="42"/>
      <c r="H39" s="794"/>
      <c r="I39" s="869"/>
      <c r="J39" s="42"/>
      <c r="L39" s="794"/>
      <c r="M39" s="869"/>
      <c r="N39" s="42"/>
      <c r="P39" s="794"/>
      <c r="Q39" s="869"/>
      <c r="R39" s="42"/>
      <c r="T39" s="794"/>
      <c r="U39" s="869"/>
      <c r="V39" s="42"/>
      <c r="X39" s="794"/>
      <c r="Y39" s="869"/>
      <c r="Z39" s="42"/>
      <c r="AB39" s="794"/>
      <c r="AC39" s="869"/>
      <c r="AD39" s="42"/>
      <c r="AF39" s="794"/>
      <c r="AG39" s="869"/>
      <c r="AH39" s="42"/>
      <c r="AJ39" s="794"/>
      <c r="AK39" s="869"/>
      <c r="AL39" s="42"/>
      <c r="AN39" s="794"/>
      <c r="AO39" s="869"/>
      <c r="AP39" s="42"/>
      <c r="AR39" s="794"/>
      <c r="AS39" s="869"/>
      <c r="AT39" s="42"/>
      <c r="AV39" s="794"/>
      <c r="AW39" s="869"/>
      <c r="AX39" s="42"/>
      <c r="AY39" s="42"/>
      <c r="AZ39" s="890"/>
      <c r="BA39" s="870"/>
      <c r="BB39" s="42"/>
      <c r="BC39" s="42"/>
      <c r="BD39" s="794"/>
      <c r="BE39" s="869"/>
      <c r="BF39" s="42"/>
      <c r="BG39" s="42"/>
      <c r="BH39" s="794"/>
      <c r="BI39" s="869"/>
      <c r="BJ39" s="42"/>
      <c r="BK39" s="42"/>
      <c r="BL39" s="794"/>
      <c r="BM39" s="867"/>
      <c r="BN39" s="873"/>
      <c r="BO39" s="873"/>
      <c r="BP39" s="803"/>
      <c r="BQ39" s="868"/>
      <c r="BR39" s="873"/>
      <c r="BS39" s="873"/>
      <c r="BT39" s="803"/>
      <c r="BU39" s="868"/>
      <c r="BV39" s="873"/>
      <c r="BW39" s="873"/>
      <c r="BX39" s="803"/>
      <c r="BY39" s="868"/>
      <c r="BZ39" s="873"/>
      <c r="CA39" s="42"/>
      <c r="CB39" s="42"/>
      <c r="CC39" s="42"/>
      <c r="CD39" s="42"/>
      <c r="CE39" s="42"/>
      <c r="CF39" s="42"/>
      <c r="CG39" s="42"/>
      <c r="CH39" s="42"/>
      <c r="CI39" s="42"/>
      <c r="CJ39" s="42"/>
      <c r="CK39" s="42"/>
      <c r="CL39" s="42"/>
      <c r="CM39" s="42"/>
      <c r="CN39" s="42"/>
      <c r="CO39" s="42"/>
      <c r="CP39" s="42"/>
      <c r="CQ39" s="42"/>
      <c r="CR39" s="42"/>
      <c r="CS39" s="42"/>
      <c r="CT39" s="42"/>
      <c r="CU39" s="42"/>
      <c r="CV39" s="42"/>
      <c r="CW39" s="42"/>
      <c r="CX39" s="42"/>
      <c r="CY39" s="42"/>
      <c r="CZ39" s="42"/>
      <c r="DA39" s="42"/>
      <c r="DC39" s="869"/>
      <c r="DF39" s="889"/>
      <c r="DG39" s="886"/>
      <c r="DH39" s="122"/>
      <c r="DI39" s="122"/>
      <c r="DJ39" s="122"/>
    </row>
    <row r="40" spans="1:114" hidden="1" outlineLevel="1">
      <c r="A40" s="26" t="str">
        <f>$A$10</f>
        <v>1Q</v>
      </c>
      <c r="B40" s="26" t="str">
        <f>$B$10</f>
        <v>Apr</v>
      </c>
      <c r="D40" s="844">
        <f>6.828138-D84</f>
        <v>4.6053680000000004</v>
      </c>
      <c r="E40" s="869">
        <f>D40/D20*100</f>
        <v>94.552836748529259</v>
      </c>
      <c r="F40" s="42"/>
      <c r="H40" s="844">
        <f>7.320173-H84</f>
        <v>6.8451949999999995</v>
      </c>
      <c r="I40" s="869">
        <f>H40/H20*100</f>
        <v>99.714078571290173</v>
      </c>
      <c r="J40" s="42">
        <f>IF(D40&lt;0,"       NM",(H40/D40-1)*100)</f>
        <v>48.635136214956098</v>
      </c>
      <c r="L40" s="844">
        <f>7.9561-L84</f>
        <v>6.0495530000000013</v>
      </c>
      <c r="M40" s="869">
        <f>L40/L20*100</f>
        <v>81.312234497617936</v>
      </c>
      <c r="N40" s="42">
        <f>IF(H40&lt;0,"       NM",(L40/H40-1)*100)</f>
        <v>-11.623365002750074</v>
      </c>
      <c r="P40" s="844">
        <f>8.815301-P84</f>
        <v>7.0271650000000001</v>
      </c>
      <c r="Q40" s="869">
        <f>P40/P20*100</f>
        <v>86.580252724127561</v>
      </c>
      <c r="R40" s="42">
        <f>(P40/L40-1)*100</f>
        <v>16.1600700084783</v>
      </c>
      <c r="T40" s="844">
        <f>11.166931-T84</f>
        <v>7.2071070000000006</v>
      </c>
      <c r="U40" s="869">
        <f>T40/T20*100</f>
        <v>66.923619712710931</v>
      </c>
      <c r="V40" s="42">
        <f>(T40/P40-1)*100</f>
        <v>2.5606627992939002</v>
      </c>
      <c r="W40" s="45"/>
      <c r="X40" s="844">
        <f>14.724977-X84</f>
        <v>7.9255959999999979</v>
      </c>
      <c r="Y40" s="869">
        <f>X40/X20*100</f>
        <v>53.18969549125562</v>
      </c>
      <c r="Z40" s="42">
        <f>(X40/T40-1)*100</f>
        <v>9.9691734838957871</v>
      </c>
      <c r="AB40" s="844">
        <f>21.968219-AB84</f>
        <v>10.007617999999999</v>
      </c>
      <c r="AC40" s="869">
        <f>AB40/AB20*100</f>
        <v>43.962487426415585</v>
      </c>
      <c r="AD40" s="42">
        <f>(AB40/X40-1)*100</f>
        <v>26.269595371755038</v>
      </c>
      <c r="AF40" s="844"/>
      <c r="AG40" s="869"/>
      <c r="AH40" s="42"/>
      <c r="AJ40" s="844"/>
      <c r="AK40" s="869"/>
      <c r="AL40" s="42"/>
      <c r="AN40" s="844"/>
      <c r="AO40" s="869"/>
      <c r="AP40" s="42"/>
      <c r="AR40" s="844"/>
      <c r="AS40" s="869"/>
      <c r="AT40" s="42"/>
      <c r="AV40" s="844"/>
      <c r="AW40" s="869"/>
      <c r="AX40" s="42"/>
      <c r="AY40" s="42"/>
      <c r="AZ40" s="844">
        <f>236.344-AZ41</f>
        <v>111.68799999999999</v>
      </c>
      <c r="BA40" s="869">
        <f>AZ40/AZ10*100</f>
        <v>28.589346828340535</v>
      </c>
      <c r="BB40" s="894" t="s">
        <v>172</v>
      </c>
      <c r="BC40" s="869"/>
      <c r="BD40" s="844">
        <v>154.69300000000001</v>
      </c>
      <c r="BE40" s="869">
        <f>BD40/BD10*100</f>
        <v>34.141932692986792</v>
      </c>
      <c r="BF40" s="42">
        <f>(BD40/AZ40-1)*100</f>
        <v>38.504584198839645</v>
      </c>
      <c r="BG40" s="869"/>
      <c r="BH40" s="844">
        <f>160.985</f>
        <v>160.98500000000001</v>
      </c>
      <c r="BI40" s="869">
        <f>BH40/BH10*100</f>
        <v>39.306433182603939</v>
      </c>
      <c r="BJ40" s="42">
        <f>(BH40/BD40-1)*100</f>
        <v>4.0674109365000266</v>
      </c>
      <c r="BK40" s="869"/>
      <c r="BL40" s="844">
        <f>160.195</f>
        <v>160.19499999999999</v>
      </c>
      <c r="BM40" s="868">
        <f>BL40/BL10*100</f>
        <v>39.010770912934106</v>
      </c>
      <c r="BN40" s="873">
        <f>(BL40/BH40-1)*100</f>
        <v>-0.49072894990217497</v>
      </c>
      <c r="BO40" s="868"/>
      <c r="BP40" s="801">
        <v>168.648</v>
      </c>
      <c r="BQ40" s="868">
        <f>BP40/BP10*100</f>
        <v>35.019144995307187</v>
      </c>
      <c r="BR40" s="873">
        <f>(BP40/BL40-1)*100</f>
        <v>5.2766940291519626</v>
      </c>
      <c r="BS40" s="868"/>
      <c r="BT40" s="855">
        <f>180.114+1.402</f>
        <v>181.51599999999999</v>
      </c>
      <c r="BU40" s="868">
        <f>BT40/BT10*100</f>
        <v>33.791919695880914</v>
      </c>
      <c r="BV40" s="873">
        <f>(BT40/BP40-1)*100</f>
        <v>7.6300934490773686</v>
      </c>
      <c r="BW40" s="868"/>
      <c r="BX40" s="895">
        <f>+BX30-BX48-BX56</f>
        <v>205.61696999999998</v>
      </c>
      <c r="BY40" s="868">
        <f>BX40/BX10*100</f>
        <v>31.593669188112784</v>
      </c>
      <c r="BZ40" s="873">
        <f>(BX40/BT40-1)*100</f>
        <v>13.27760087265033</v>
      </c>
      <c r="CA40" s="42"/>
      <c r="CB40" s="896">
        <f>+CB30-CB48-CB56</f>
        <v>210.18392090000003</v>
      </c>
      <c r="CC40" s="869">
        <f>CB40/CB10*100</f>
        <v>31.336965374626153</v>
      </c>
      <c r="CD40" s="42">
        <f>(CB40/BX40-1)*100</f>
        <v>2.2210962937543766</v>
      </c>
      <c r="CE40" s="42"/>
      <c r="CF40" s="896">
        <f>+CF30-CF48-CF56</f>
        <v>104.48297627734186</v>
      </c>
      <c r="CG40" s="869">
        <f>CF40/CF10*100</f>
        <v>15.842299657377856</v>
      </c>
      <c r="CH40" s="42">
        <f>(CF40/CB40-1)*100</f>
        <v>-50.289738706010681</v>
      </c>
      <c r="CI40" s="42"/>
      <c r="CJ40" s="896">
        <f>+CJ30-CJ48-CJ56</f>
        <v>98.671764080490036</v>
      </c>
      <c r="CK40" s="869">
        <f>CJ40/CJ10*100</f>
        <v>14.673079474486524</v>
      </c>
      <c r="CL40" s="42">
        <f>(CJ40/CF40-1)*100</f>
        <v>-5.5618746746134207</v>
      </c>
      <c r="CM40" s="42"/>
      <c r="CN40" s="896">
        <f>+CN30-CN48-CN56</f>
        <v>81.170544455783102</v>
      </c>
      <c r="CO40" s="869">
        <f>CN40/CN10*100</f>
        <v>12.62417543019161</v>
      </c>
      <c r="CP40" s="42">
        <f>(CN40/CJ40-1)*100</f>
        <v>-17.736806256378035</v>
      </c>
      <c r="CQ40" s="42"/>
      <c r="CR40" s="895">
        <f>+CR30-CR48-CR56</f>
        <v>40.864095702381888</v>
      </c>
      <c r="CS40" s="869">
        <f>CR40/CR10*100</f>
        <v>7.0005371855353671</v>
      </c>
      <c r="CT40" s="42">
        <f>(CR40/CN40-1)*100</f>
        <v>-49.656496729990238</v>
      </c>
      <c r="CU40" s="42"/>
      <c r="CV40" s="895">
        <f>+CV30-CV48-CV56</f>
        <v>32.656808396846785</v>
      </c>
      <c r="CW40" s="869">
        <f>CV40/CV10*100</f>
        <v>5.9242917815371579</v>
      </c>
      <c r="CX40" s="42">
        <f>(CV40/CR40-1)*100</f>
        <v>-20.084348287821562</v>
      </c>
      <c r="CY40" s="42"/>
      <c r="CZ40" s="42"/>
      <c r="DA40" s="42"/>
      <c r="DB40" s="237"/>
      <c r="DC40" s="869">
        <f>BL40-BH40</f>
        <v>-0.79000000000002046</v>
      </c>
      <c r="DF40" s="884"/>
      <c r="DG40" s="875"/>
      <c r="DH40" s="122"/>
      <c r="DI40" s="886"/>
      <c r="DJ40" s="886"/>
    </row>
    <row r="41" spans="1:114" hidden="1" outlineLevel="1">
      <c r="A41" s="26" t="str">
        <f>$A$11</f>
        <v>2Q</v>
      </c>
      <c r="B41" s="26" t="str">
        <f>$B$11</f>
        <v>Jul</v>
      </c>
      <c r="D41" s="854">
        <f>7.559003-D85</f>
        <v>4.8500829999999997</v>
      </c>
      <c r="E41" s="869">
        <f>D41/D21*100</f>
        <v>84.901855135056408</v>
      </c>
      <c r="F41" s="42"/>
      <c r="H41" s="854">
        <f>7.852066-H85</f>
        <v>6.5227769999999996</v>
      </c>
      <c r="I41" s="869">
        <f>H41/H21*100</f>
        <v>102.78821987503311</v>
      </c>
      <c r="J41" s="42">
        <f>IF(D41&lt;0,"       NM",(H41/D41-1)*100)</f>
        <v>34.48794587639015</v>
      </c>
      <c r="L41" s="854">
        <f>8.426631-L85</f>
        <v>6.7728410000000014</v>
      </c>
      <c r="M41" s="869">
        <f>L41/L21*100</f>
        <v>113.01502052105941</v>
      </c>
      <c r="N41" s="42">
        <f>IF(H41&lt;0,"       NM",(L41/H41-1)*100)</f>
        <v>3.8337045709212703</v>
      </c>
      <c r="P41" s="854">
        <f>9.220508-P85</f>
        <v>7.5229720000000029</v>
      </c>
      <c r="Q41" s="869">
        <f>P41/P21*100</f>
        <v>82.105837579795121</v>
      </c>
      <c r="R41" s="42">
        <f>(P41/L41-1)*100</f>
        <v>11.075573751103885</v>
      </c>
      <c r="T41" s="854">
        <f>11.794759-T85</f>
        <v>7.2430470000000016</v>
      </c>
      <c r="U41" s="869">
        <f>T41/T21*100</f>
        <v>65.773704147021945</v>
      </c>
      <c r="V41" s="42">
        <f>(T41/P41-1)*100</f>
        <v>-3.720936353345472</v>
      </c>
      <c r="X41" s="854">
        <f>14.954637-X85</f>
        <v>8.6323299999999996</v>
      </c>
      <c r="Y41" s="869">
        <f>X41/X21*100</f>
        <v>55.712763408130286</v>
      </c>
      <c r="Z41" s="42">
        <f>(X41/T41-1)*100</f>
        <v>19.180919300951626</v>
      </c>
      <c r="AB41" s="854">
        <f>23.267122-AB85</f>
        <v>11.539879999999997</v>
      </c>
      <c r="AC41" s="869">
        <f>AB41/AB21*100</f>
        <v>45.000396194783072</v>
      </c>
      <c r="AD41" s="42">
        <f>(AB41/X41-1)*100</f>
        <v>33.682099734370638</v>
      </c>
      <c r="AF41" s="854"/>
      <c r="AG41" s="869"/>
      <c r="AH41" s="42"/>
      <c r="AJ41" s="854"/>
      <c r="AK41" s="869"/>
      <c r="AL41" s="42"/>
      <c r="AN41" s="854"/>
      <c r="AO41" s="869"/>
      <c r="AP41" s="42"/>
      <c r="AR41" s="854"/>
      <c r="AS41" s="869"/>
      <c r="AT41" s="42"/>
      <c r="AV41" s="854"/>
      <c r="AW41" s="869"/>
      <c r="AX41" s="42"/>
      <c r="AY41" s="42"/>
      <c r="AZ41" s="854">
        <v>124.65600000000001</v>
      </c>
      <c r="BA41" s="869">
        <f>AZ41/AZ11*100</f>
        <v>30.900266227746187</v>
      </c>
      <c r="BB41" s="894" t="s">
        <v>172</v>
      </c>
      <c r="BC41" s="869"/>
      <c r="BD41" s="854">
        <v>151.25899999999999</v>
      </c>
      <c r="BE41" s="869">
        <f>BD41/BD11*100</f>
        <v>34.690123822039361</v>
      </c>
      <c r="BF41" s="42">
        <f>(BD41/AZ41-1)*100</f>
        <v>21.341130791939399</v>
      </c>
      <c r="BG41" s="869"/>
      <c r="BH41" s="854">
        <v>159.95699999999999</v>
      </c>
      <c r="BI41" s="869">
        <f>BH41/BH11*100</f>
        <v>39.474307656619395</v>
      </c>
      <c r="BJ41" s="42">
        <f>(BH41/BD41-1)*100</f>
        <v>5.7504016289939841</v>
      </c>
      <c r="BK41" s="869"/>
      <c r="BL41" s="854">
        <v>157.18</v>
      </c>
      <c r="BM41" s="868">
        <f>BL41/BL11*100</f>
        <v>37.431384923139206</v>
      </c>
      <c r="BN41" s="873">
        <f>(BL41/BH41-1)*100</f>
        <v>-1.7360915746106653</v>
      </c>
      <c r="BO41" s="868"/>
      <c r="BP41" s="855">
        <v>164.85300000000001</v>
      </c>
      <c r="BQ41" s="868">
        <f>BP41/BP11*100</f>
        <v>35.42178770949721</v>
      </c>
      <c r="BR41" s="873">
        <f>(BP41/BL41-1)*100</f>
        <v>4.8816643338847276</v>
      </c>
      <c r="BS41" s="868"/>
      <c r="BT41" s="855">
        <v>183.46100000000001</v>
      </c>
      <c r="BU41" s="868">
        <f>BT41/BT11*100</f>
        <v>33.268897033089182</v>
      </c>
      <c r="BV41" s="873">
        <f>(BT41/BP41-1)*100</f>
        <v>11.287632011549675</v>
      </c>
      <c r="BW41" s="868"/>
      <c r="BX41" s="895">
        <f>+BX31-BX49-BX57</f>
        <v>199.70077199999997</v>
      </c>
      <c r="BY41" s="868">
        <f>BX41/BX11*100</f>
        <v>31.119514680811939</v>
      </c>
      <c r="BZ41" s="873">
        <f>(BX41/BT41-1)*100</f>
        <v>8.8518933179258639</v>
      </c>
      <c r="CA41" s="42"/>
      <c r="CB41" s="896">
        <f>+CB31-CB49-CB57</f>
        <v>190.36782944800001</v>
      </c>
      <c r="CC41" s="869">
        <f>CB41/CB11*100</f>
        <v>29.309769076971158</v>
      </c>
      <c r="CD41" s="42">
        <f>(CB41/BX41-1)*100</f>
        <v>-4.6734634315785062</v>
      </c>
      <c r="CE41" s="42"/>
      <c r="CF41" s="896">
        <f>+CF31-CF49-CF57</f>
        <v>89.535172071985556</v>
      </c>
      <c r="CG41" s="869">
        <f>CF41/CF11*100</f>
        <v>13.800714591872884</v>
      </c>
      <c r="CH41" s="42">
        <f>(CF41/CB41-1)*100</f>
        <v>-52.967277963085365</v>
      </c>
      <c r="CI41" s="42"/>
      <c r="CJ41" s="896">
        <f>+CJ31-CJ49-CJ57</f>
        <v>80.40746704821278</v>
      </c>
      <c r="CK41" s="869">
        <f>CJ41/CJ11*100</f>
        <v>12.191760870843439</v>
      </c>
      <c r="CL41" s="42">
        <f>(CJ41/CF41-1)*100</f>
        <v>-10.194546804951887</v>
      </c>
      <c r="CM41" s="42"/>
      <c r="CN41" s="896">
        <f>+CN31-CN49-CN57</f>
        <v>64.169437493637545</v>
      </c>
      <c r="CO41" s="869">
        <f>CN41/CN11*100</f>
        <v>10.093787554132488</v>
      </c>
      <c r="CP41" s="42">
        <f>(CN41/CJ41-1)*100</f>
        <v>-20.194678617147353</v>
      </c>
      <c r="CQ41" s="42"/>
      <c r="CR41" s="895">
        <f>+CR31-CR49-CR57</f>
        <v>39.895290547657737</v>
      </c>
      <c r="CS41" s="869">
        <f>CR41/CR11*100</f>
        <v>6.8953682453550558</v>
      </c>
      <c r="CT41" s="42">
        <f>(CR41/CN41-1)*100</f>
        <v>-37.828205909373303</v>
      </c>
      <c r="CU41" s="42"/>
      <c r="CV41" s="895">
        <f>+CV31-CV49-CV57</f>
        <v>19.513383088338671</v>
      </c>
      <c r="CW41" s="869">
        <f>CV41/CV11*100</f>
        <v>3.5203877997392543</v>
      </c>
      <c r="CX41" s="42">
        <f>(CV41/CR41-1)*100</f>
        <v>-51.088504882478404</v>
      </c>
      <c r="CY41" s="42"/>
      <c r="CZ41" s="42"/>
      <c r="DA41" s="42"/>
      <c r="DB41" s="870"/>
      <c r="DC41" s="869">
        <f>BL41-BH41</f>
        <v>-2.7769999999999868</v>
      </c>
      <c r="DF41" s="884"/>
      <c r="DG41" s="875"/>
      <c r="DH41" s="122"/>
      <c r="DI41" s="886"/>
      <c r="DJ41" s="886"/>
    </row>
    <row r="42" spans="1:114" hidden="1" outlineLevel="1">
      <c r="A42" s="26" t="str">
        <f>$A$12</f>
        <v>3Q</v>
      </c>
      <c r="B42" s="26" t="str">
        <f>$B$12</f>
        <v>Oct</v>
      </c>
      <c r="D42" s="854">
        <f>7.596802-D86</f>
        <v>5.6450560000000003</v>
      </c>
      <c r="E42" s="869">
        <f>D42/D22*100</f>
        <v>98.565411688537097</v>
      </c>
      <c r="F42" s="42"/>
      <c r="H42" s="854">
        <f>7.664398-H86</f>
        <v>6.5877550000000014</v>
      </c>
      <c r="I42" s="869">
        <f>H42/H22*100</f>
        <v>100.91471531586349</v>
      </c>
      <c r="J42" s="42">
        <f>IF(D42&lt;0,"       NM",(H42/D42-1)*100)</f>
        <v>16.69955089905222</v>
      </c>
      <c r="L42" s="854">
        <f>8.177078-L86</f>
        <v>6.985793000000001</v>
      </c>
      <c r="M42" s="869">
        <f>L42/L22*100</f>
        <v>109.85853054121478</v>
      </c>
      <c r="N42" s="42">
        <f>IF(H42&lt;0,"       NM",(L42/H42-1)*100)</f>
        <v>6.0420886933408857</v>
      </c>
      <c r="P42" s="854">
        <f>9.220152-P86</f>
        <v>7.5561170000000022</v>
      </c>
      <c r="Q42" s="869">
        <f>P42/P22*100</f>
        <v>93.991059046144869</v>
      </c>
      <c r="R42" s="42">
        <f>(P42/L42-1)*100</f>
        <v>8.1640552475574566</v>
      </c>
      <c r="T42" s="854">
        <f>11.734126-T86</f>
        <v>7.7547959999999971</v>
      </c>
      <c r="U42" s="869">
        <f>T42/T22*100</f>
        <v>70.238308410531815</v>
      </c>
      <c r="V42" s="42">
        <f>(T42/P42-1)*100</f>
        <v>2.6293796138942227</v>
      </c>
      <c r="X42" s="854">
        <f>16.881195-X86</f>
        <v>10.354073000000003</v>
      </c>
      <c r="Y42" s="869">
        <f>X42/X22*100</f>
        <v>62.371386277114723</v>
      </c>
      <c r="Z42" s="42">
        <f>(X42/T42-1)*100</f>
        <v>33.518315633319126</v>
      </c>
      <c r="AB42" s="854">
        <f>28.143889-AB86</f>
        <v>15.618636000000008</v>
      </c>
      <c r="AC42" s="869">
        <f>AB42/AB22*100</f>
        <v>55.147958971278598</v>
      </c>
      <c r="AD42" s="42">
        <f>(AB42/X42-1)*100</f>
        <v>50.845334005275042</v>
      </c>
      <c r="AF42" s="854"/>
      <c r="AG42" s="869"/>
      <c r="AH42" s="42"/>
      <c r="AJ42" s="854"/>
      <c r="AK42" s="869"/>
      <c r="AL42" s="42"/>
      <c r="AN42" s="854"/>
      <c r="AO42" s="869"/>
      <c r="AP42" s="42"/>
      <c r="AR42" s="854"/>
      <c r="AS42" s="869"/>
      <c r="AT42" s="42"/>
      <c r="AV42" s="854"/>
      <c r="AW42" s="869"/>
      <c r="AX42" s="42"/>
      <c r="AY42" s="42"/>
      <c r="AZ42" s="854">
        <v>132.86500000000001</v>
      </c>
      <c r="BA42" s="869">
        <f>AZ42/AZ12*100</f>
        <v>33.032999435630842</v>
      </c>
      <c r="BB42" s="894" t="s">
        <v>172</v>
      </c>
      <c r="BC42" s="869"/>
      <c r="BD42" s="854">
        <v>161.708</v>
      </c>
      <c r="BE42" s="869">
        <f>BD42/BD12*100</f>
        <v>38.880246590032044</v>
      </c>
      <c r="BF42" s="42">
        <f>(BD42/AZ42-1)*100</f>
        <v>21.708501110149392</v>
      </c>
      <c r="BG42" s="869"/>
      <c r="BH42" s="854">
        <v>164.494</v>
      </c>
      <c r="BI42" s="869">
        <f>BH42/BH12*100</f>
        <v>41.724012855015815</v>
      </c>
      <c r="BJ42" s="42">
        <f>(BH42/BD42-1)*100</f>
        <v>1.7228584856655127</v>
      </c>
      <c r="BK42" s="869"/>
      <c r="BL42" s="854">
        <v>165.10599999999999</v>
      </c>
      <c r="BM42" s="868">
        <f>BL42/BL12*100</f>
        <v>36.947789367210973</v>
      </c>
      <c r="BN42" s="873">
        <f>(BL42/BH42-1)*100</f>
        <v>0.37205004437852462</v>
      </c>
      <c r="BO42" s="868"/>
      <c r="BP42" s="855">
        <v>169.726</v>
      </c>
      <c r="BQ42" s="868">
        <f>BP42/BP12*100</f>
        <v>35.138358087209276</v>
      </c>
      <c r="BR42" s="873">
        <f>(BP42/BL42-1)*100</f>
        <v>2.7982023669642642</v>
      </c>
      <c r="BS42" s="868"/>
      <c r="BT42" s="855">
        <v>184.41399999999999</v>
      </c>
      <c r="BU42" s="868">
        <f>BT42/BT12*100</f>
        <v>34.242943035506713</v>
      </c>
      <c r="BV42" s="873">
        <f>(BT42/BP42-1)*100</f>
        <v>8.6539481281594952</v>
      </c>
      <c r="BW42" s="868"/>
      <c r="BX42" s="895">
        <f>+BX32-BX50-BX58</f>
        <v>206.77799400000004</v>
      </c>
      <c r="BY42" s="868">
        <f>BX42/BX12*100</f>
        <v>32.478303974617738</v>
      </c>
      <c r="BZ42" s="873">
        <f>(BX42/BT42-1)*100</f>
        <v>12.12705868318027</v>
      </c>
      <c r="CA42" s="42"/>
      <c r="CB42" s="896">
        <f>+CB32-CB50-CB58</f>
        <v>220.47502000000003</v>
      </c>
      <c r="CC42" s="869">
        <f>CB42/CB12*100</f>
        <v>33.630579991122353</v>
      </c>
      <c r="CD42" s="42">
        <f>(CB42/BX42-1)*100</f>
        <v>6.6240249917503213</v>
      </c>
      <c r="CE42" s="42"/>
      <c r="CF42" s="896">
        <f>+CF32-CF50-CF58</f>
        <v>116.73892678703555</v>
      </c>
      <c r="CG42" s="869">
        <f>CF42/CF12*100</f>
        <v>18.085010989454016</v>
      </c>
      <c r="CH42" s="42">
        <f>(CF42/CB42-1)*100</f>
        <v>-47.051177595069262</v>
      </c>
      <c r="CI42" s="42"/>
      <c r="CJ42" s="896">
        <f>+CJ32-CJ50-CJ58</f>
        <v>118.10344790399996</v>
      </c>
      <c r="CK42" s="869">
        <f>CJ42/CJ12*100</f>
        <v>18.844240054249397</v>
      </c>
      <c r="CL42" s="42">
        <f>(CJ42/CF42-1)*100</f>
        <v>1.1688655656854507</v>
      </c>
      <c r="CM42" s="42"/>
      <c r="CN42" s="896">
        <f>+CN32-CN50-CN58</f>
        <v>89.65987778706301</v>
      </c>
      <c r="CO42" s="869">
        <f>CN42/CN12*100</f>
        <v>15.020619084063147</v>
      </c>
      <c r="CP42" s="42">
        <f>(CN42/CJ42-1)*100</f>
        <v>-24.083606890170749</v>
      </c>
      <c r="CQ42" s="42"/>
      <c r="CR42" s="895">
        <f>+CR32-CR50-CR58</f>
        <v>62.14281862536064</v>
      </c>
      <c r="CS42" s="869">
        <f>CR42/CR12*100</f>
        <v>11.674682760495866</v>
      </c>
      <c r="CT42" s="42">
        <f>(CR42/CN42-1)*100</f>
        <v>-30.69049372011613</v>
      </c>
      <c r="CU42" s="42"/>
      <c r="CV42" s="895">
        <f>+CV32-CV50-CV58</f>
        <v>60.467426854930537</v>
      </c>
      <c r="CW42" s="869">
        <f>CV42/CV12*100</f>
        <v>11.402834497379345</v>
      </c>
      <c r="CX42" s="42">
        <f>(CV42/CR42-1)*100</f>
        <v>-2.6960344050863005</v>
      </c>
      <c r="CY42" s="42"/>
      <c r="CZ42" s="42"/>
      <c r="DA42" s="42"/>
      <c r="DB42" s="869"/>
      <c r="DC42" s="869">
        <f>BL42-BH42</f>
        <v>0.61199999999999477</v>
      </c>
      <c r="DF42" s="884"/>
      <c r="DG42" s="875"/>
      <c r="DH42" s="182"/>
      <c r="DI42" s="886"/>
      <c r="DJ42" s="886"/>
    </row>
    <row r="43" spans="1:114" hidden="1" outlineLevel="1">
      <c r="A43" s="26" t="str">
        <f>$A$13</f>
        <v>4Q</v>
      </c>
      <c r="B43" s="26" t="str">
        <f>$B$13</f>
        <v>Jan</v>
      </c>
      <c r="C43" s="122"/>
      <c r="D43" s="860">
        <f>9.184424-D87</f>
        <v>10.383222</v>
      </c>
      <c r="E43" s="869">
        <f>D43/D23*100</f>
        <v>169.99472983400204</v>
      </c>
      <c r="F43" s="42"/>
      <c r="H43" s="860">
        <f>7.906226-H87</f>
        <v>7.3021370000000019</v>
      </c>
      <c r="I43" s="869">
        <f>H43/H23*100</f>
        <v>114.5142254046815</v>
      </c>
      <c r="J43" s="42">
        <f>IF(D43&lt;0,"       NM",(H43/D43-1)*100)</f>
        <v>-29.673688957050114</v>
      </c>
      <c r="L43" s="860">
        <f>9.178714-L87</f>
        <v>10.308729</v>
      </c>
      <c r="M43" s="869">
        <f>L43/L23*100</f>
        <v>148.95278770397019</v>
      </c>
      <c r="N43" s="42">
        <f>IF(H43&lt;0,"       NM",(L43/H43-1)*100)</f>
        <v>41.174138474805353</v>
      </c>
      <c r="P43" s="860">
        <f>9.92871-P87</f>
        <v>10.164097999999999</v>
      </c>
      <c r="Q43" s="869">
        <f>P43/P23*100</f>
        <v>128.30079455092945</v>
      </c>
      <c r="R43" s="42">
        <f>(P43/L43-1)*100</f>
        <v>-1.4029954614191542</v>
      </c>
      <c r="T43" s="860">
        <f>12.715241-T87</f>
        <v>10.071997</v>
      </c>
      <c r="U43" s="869">
        <f>T43/T23*100</f>
        <v>88.548850767976006</v>
      </c>
      <c r="V43" s="42">
        <f>(T43/P43-1)*100</f>
        <v>-0.90614041698534598</v>
      </c>
      <c r="X43" s="860">
        <f>18.685462-X87</f>
        <v>13.528192000000001</v>
      </c>
      <c r="Y43" s="869">
        <f>X43/X23*100</f>
        <v>75.348006157863196</v>
      </c>
      <c r="Z43" s="42">
        <f>(X43/T43-1)*100</f>
        <v>34.314893064404231</v>
      </c>
      <c r="AB43" s="860">
        <f>32.032614-AB87</f>
        <v>22.882235000000009</v>
      </c>
      <c r="AC43" s="869">
        <f>AB43/AB23*100</f>
        <v>71.638396057768489</v>
      </c>
      <c r="AD43" s="42">
        <f>(AB43/X43-1)*100</f>
        <v>69.144812551448183</v>
      </c>
      <c r="AF43" s="860"/>
      <c r="AG43" s="869"/>
      <c r="AH43" s="42"/>
      <c r="AJ43" s="860"/>
      <c r="AK43" s="869"/>
      <c r="AL43" s="42"/>
      <c r="AN43" s="860"/>
      <c r="AO43" s="869"/>
      <c r="AP43" s="42"/>
      <c r="AR43" s="860"/>
      <c r="AS43" s="869"/>
      <c r="AT43" s="42"/>
      <c r="AV43" s="860"/>
      <c r="AW43" s="869"/>
      <c r="AX43" s="42"/>
      <c r="AY43" s="42"/>
      <c r="AZ43" s="860">
        <v>156.321</v>
      </c>
      <c r="BA43" s="869">
        <f>AZ43/AZ13*100</f>
        <v>35.157467652952676</v>
      </c>
      <c r="BB43" s="894" t="s">
        <v>172</v>
      </c>
      <c r="BC43" s="869"/>
      <c r="BD43" s="860">
        <v>165.62799999999999</v>
      </c>
      <c r="BE43" s="869">
        <f>BD43/BD13*100</f>
        <v>40.466458341986375</v>
      </c>
      <c r="BF43" s="42">
        <f>(BD43/AZ43-1)*100</f>
        <v>5.9537746048195617</v>
      </c>
      <c r="BG43" s="869"/>
      <c r="BH43" s="860">
        <v>159.916</v>
      </c>
      <c r="BI43" s="869">
        <f>BH43/BH13*100</f>
        <v>42.829403903272542</v>
      </c>
      <c r="BJ43" s="42">
        <f>(BH43/BD43-1)*100</f>
        <v>-3.4486922501026362</v>
      </c>
      <c r="BK43" s="869"/>
      <c r="BL43" s="860">
        <v>164.559</v>
      </c>
      <c r="BM43" s="868">
        <f>BL43/BL13*100</f>
        <v>37.76627728180295</v>
      </c>
      <c r="BN43" s="873">
        <f>(BL43/BH43-1)*100</f>
        <v>2.9033992846244194</v>
      </c>
      <c r="BO43" s="868"/>
      <c r="BP43" s="861">
        <v>170.738</v>
      </c>
      <c r="BQ43" s="868">
        <f>BP43/BP13*100</f>
        <v>35.946809720110991</v>
      </c>
      <c r="BR43" s="873">
        <f>(BP43/BL43-1)*100</f>
        <v>3.7548842664333115</v>
      </c>
      <c r="BS43" s="868"/>
      <c r="BT43" s="897">
        <f>BP43*1.11</f>
        <v>189.51918000000001</v>
      </c>
      <c r="BU43" s="868">
        <f>BT43/BT13*100</f>
        <v>33.295300303755923</v>
      </c>
      <c r="BV43" s="873">
        <f>(BT43/BP43-1)*100</f>
        <v>11.000000000000011</v>
      </c>
      <c r="BW43" s="868"/>
      <c r="BX43" s="897">
        <f>+BX33-BX51-BX59+1.836</f>
        <v>215.52195800000004</v>
      </c>
      <c r="BY43" s="868">
        <f>BX43/BX13*100</f>
        <v>33.062969411815253</v>
      </c>
      <c r="BZ43" s="873">
        <f>(BX43/BT43-1)*100</f>
        <v>13.720393893641813</v>
      </c>
      <c r="CA43" s="42"/>
      <c r="CB43" s="898">
        <f>+CB33-CB51-CB59</f>
        <v>212.45346040000001</v>
      </c>
      <c r="CC43" s="869">
        <f>CB43/CB13*100</f>
        <v>34.815137889953512</v>
      </c>
      <c r="CD43" s="42">
        <f>(CB43/BX43-1)*100</f>
        <v>-1.4237517274226064</v>
      </c>
      <c r="CE43" s="42"/>
      <c r="CF43" s="898">
        <f>+CF33-CF51-CF59</f>
        <v>107.65713995294703</v>
      </c>
      <c r="CG43" s="869">
        <f>CF43/CF13*100</f>
        <v>16.912810144962474</v>
      </c>
      <c r="CH43" s="42">
        <f>(CF43/CB43-1)*100</f>
        <v>-49.326718543320546</v>
      </c>
      <c r="CI43" s="42"/>
      <c r="CJ43" s="898">
        <f>+CJ33-CJ51-CJ59</f>
        <v>100.133415329</v>
      </c>
      <c r="CK43" s="869">
        <f>CJ43/CJ13*100</f>
        <v>16.285563433789807</v>
      </c>
      <c r="CL43" s="42">
        <f>(CJ43/CF43-1)*100</f>
        <v>-6.9885979018533995</v>
      </c>
      <c r="CM43" s="42"/>
      <c r="CN43" s="898">
        <f>+CN33-CN51-CN59</f>
        <v>78.657157609551106</v>
      </c>
      <c r="CO43" s="869">
        <f>CN43/CN13*100</f>
        <v>13.092309880765313</v>
      </c>
      <c r="CP43" s="42">
        <f>(CN43/CJ43-1)*100</f>
        <v>-21.447643275609995</v>
      </c>
      <c r="CQ43" s="42"/>
      <c r="CR43" s="897">
        <f>+CR33-CR51-CR59</f>
        <v>68.742820253803615</v>
      </c>
      <c r="CS43" s="869">
        <f>CR43/CR13*100</f>
        <v>11.695271937739541</v>
      </c>
      <c r="CT43" s="42">
        <f>(CR43/CN43-1)*100</f>
        <v>-12.604494819100386</v>
      </c>
      <c r="CU43" s="42"/>
      <c r="CV43" s="897">
        <f>+CV33-CV51-CV59</f>
        <v>43.326771954858003</v>
      </c>
      <c r="CW43" s="869">
        <f>CV43/CV13*100</f>
        <v>7.8863912072605737</v>
      </c>
      <c r="CX43" s="42">
        <f>(CV43/CR43-1)*100</f>
        <v>-36.972658679273948</v>
      </c>
      <c r="CY43" s="869"/>
      <c r="CZ43" s="869"/>
      <c r="DA43" s="42">
        <f>206.6*0.09</f>
        <v>18.593999999999998</v>
      </c>
      <c r="DB43" s="869"/>
      <c r="DC43" s="869">
        <f>BL43-BH43</f>
        <v>4.6430000000000007</v>
      </c>
      <c r="DF43" s="884"/>
      <c r="DG43" s="875"/>
      <c r="DH43" s="182"/>
      <c r="DI43" s="886"/>
      <c r="DJ43" s="886"/>
    </row>
    <row r="44" spans="1:114" hidden="1" outlineLevel="1">
      <c r="B44" s="26" t="str">
        <f>$B$14</f>
        <v>Year</v>
      </c>
      <c r="D44" s="798">
        <f>SUM(D40:D43)</f>
        <v>25.483729</v>
      </c>
      <c r="E44" s="869">
        <f>D44/D24*100</f>
        <v>113.67305481473444</v>
      </c>
      <c r="F44" s="42"/>
      <c r="H44" s="798">
        <f>SUM(H40:H43)</f>
        <v>27.257864000000001</v>
      </c>
      <c r="I44" s="869">
        <f>H44/H24*100</f>
        <v>104.37497123336696</v>
      </c>
      <c r="J44" s="42">
        <f>IF(D44&lt;0,"       NM",(H44/D44-1)*100)</f>
        <v>6.9618343532063198</v>
      </c>
      <c r="L44" s="798">
        <f>SUM(L40:L43)</f>
        <v>30.116916000000003</v>
      </c>
      <c r="M44" s="869">
        <f>L44/L24*100</f>
        <v>112.74476064086163</v>
      </c>
      <c r="N44" s="42">
        <f>IF(H44&lt;0,"       NM",(L44/H44-1)*100)</f>
        <v>10.488906981119284</v>
      </c>
      <c r="P44" s="798">
        <f>SUM(P40:P43)</f>
        <v>32.270352000000003</v>
      </c>
      <c r="Q44" s="869">
        <f>P44/P24*100</f>
        <v>97.082414941299007</v>
      </c>
      <c r="R44" s="42">
        <f>(P44/L44-1)*100</f>
        <v>7.1502540299942963</v>
      </c>
      <c r="T44" s="798">
        <f>SUM(T40:T43)</f>
        <v>32.276946999999993</v>
      </c>
      <c r="U44" s="869">
        <f>T44/T24*100</f>
        <v>73.030672208653229</v>
      </c>
      <c r="V44" s="42">
        <f>(T44/P44-1)*100</f>
        <v>2.0436715409832829E-2</v>
      </c>
      <c r="X44" s="798">
        <f>SUM(X40:X43)</f>
        <v>40.440190999999999</v>
      </c>
      <c r="Y44" s="869">
        <f>X44/X24*100</f>
        <v>62.263640622861338</v>
      </c>
      <c r="Z44" s="42">
        <f>(X44/T44-1)*100</f>
        <v>25.29125198860973</v>
      </c>
      <c r="AB44" s="798">
        <f>SUM(AB40:AB43)</f>
        <v>60.048369000000015</v>
      </c>
      <c r="AC44" s="869">
        <f>AB44/AB24*100</f>
        <v>55.257246862690366</v>
      </c>
      <c r="AD44" s="42">
        <f>(AB44/X44-1)*100</f>
        <v>48.4868580368476</v>
      </c>
      <c r="AF44" s="798"/>
      <c r="AG44" s="869"/>
      <c r="AH44" s="42"/>
      <c r="AJ44" s="798"/>
      <c r="AK44" s="869"/>
      <c r="AL44" s="42"/>
      <c r="AN44" s="798"/>
      <c r="AO44" s="869"/>
      <c r="AP44" s="42"/>
      <c r="AR44" s="798"/>
      <c r="AS44" s="869"/>
      <c r="AT44" s="42"/>
      <c r="AV44" s="798"/>
      <c r="AW44" s="869"/>
      <c r="AX44" s="42"/>
      <c r="AY44" s="42"/>
      <c r="AZ44" s="798">
        <f>SUM(AZ40:AZ43)</f>
        <v>525.53</v>
      </c>
      <c r="BA44" s="869">
        <f>AZ44/AZ14*100</f>
        <v>32.026409462456279</v>
      </c>
      <c r="BB44" s="894" t="s">
        <v>172</v>
      </c>
      <c r="BC44" s="869"/>
      <c r="BD44" s="798">
        <f>SUM(BD40:BD43)</f>
        <v>633.28800000000001</v>
      </c>
      <c r="BE44" s="869">
        <f>BD44/BD14*100</f>
        <v>36.940910339742651</v>
      </c>
      <c r="BF44" s="42">
        <f>(BD44/AZ44-1)*100</f>
        <v>20.50463341769262</v>
      </c>
      <c r="BG44" s="869"/>
      <c r="BH44" s="798">
        <f>SUM(BH40:BH43)</f>
        <v>645.35200000000009</v>
      </c>
      <c r="BI44" s="869">
        <f>BH44/BH14*100</f>
        <v>40.783011165290283</v>
      </c>
      <c r="BJ44" s="42">
        <f>(BH44/BD44-1)*100</f>
        <v>1.9049784616162135</v>
      </c>
      <c r="BK44" s="869"/>
      <c r="BL44" s="798">
        <f>SUM(BL40:BL43)</f>
        <v>647.04</v>
      </c>
      <c r="BM44" s="868">
        <f>BL44/BL14*100</f>
        <v>37.768999930537348</v>
      </c>
      <c r="BN44" s="873">
        <f>(BL44/BH44-1)*100</f>
        <v>0.26156268207115918</v>
      </c>
      <c r="BO44" s="868"/>
      <c r="BP44" s="805">
        <f>SUM(BP40:BP43)</f>
        <v>673.96499999999992</v>
      </c>
      <c r="BQ44" s="868">
        <f>BP44/BP14*100</f>
        <v>35.379037304250325</v>
      </c>
      <c r="BR44" s="873">
        <f>(BP44/BL44-1)*100</f>
        <v>4.1612574183976125</v>
      </c>
      <c r="BS44" s="868"/>
      <c r="BT44" s="805">
        <f>SUM(BT40:BT43)</f>
        <v>738.91017999999997</v>
      </c>
      <c r="BU44" s="868">
        <f>BT44/BT14*100</f>
        <v>33.642489391538724</v>
      </c>
      <c r="BV44" s="873">
        <f>(BT44/BP44-1)*100</f>
        <v>9.6362837832825186</v>
      </c>
      <c r="BW44" s="868"/>
      <c r="BX44" s="805">
        <f>SUM(BX40:BX43)</f>
        <v>827.61769400000003</v>
      </c>
      <c r="BY44" s="868">
        <f>BX44/BX14*100</f>
        <v>32.065068458387401</v>
      </c>
      <c r="BZ44" s="873">
        <f>(BX44/BT44-1)*100</f>
        <v>12.005182280747583</v>
      </c>
      <c r="CA44" s="42"/>
      <c r="CB44" s="798">
        <f>SUM(CB40:CB43)</f>
        <v>833.48023074800017</v>
      </c>
      <c r="CC44" s="869">
        <f>CB44/CB14*100</f>
        <v>32.230019553007175</v>
      </c>
      <c r="CD44" s="42">
        <f>(CB44/BX44-1)*100</f>
        <v>0.7083629060255614</v>
      </c>
      <c r="CE44" s="42"/>
      <c r="CF44" s="798">
        <f>SUM(CF40:CF43)</f>
        <v>418.41421508931001</v>
      </c>
      <c r="CG44" s="869">
        <f>CF44/CF14*100</f>
        <v>16.152905960749074</v>
      </c>
      <c r="CH44" s="42">
        <f>(CF44/CB44-1)*100</f>
        <v>-49.799143440533975</v>
      </c>
      <c r="CI44" s="42"/>
      <c r="CJ44" s="798">
        <f>SUM(CJ40:CJ43)</f>
        <v>397.31609436170277</v>
      </c>
      <c r="CK44" s="869">
        <f>CJ44/CJ14*100</f>
        <v>15.438228773458619</v>
      </c>
      <c r="CL44" s="42">
        <f>(CJ44/CF44-1)*100</f>
        <v>-5.0424005606749978</v>
      </c>
      <c r="CM44" s="42"/>
      <c r="CN44" s="798">
        <f>SUM(CN40:CN43)</f>
        <v>313.65701734603476</v>
      </c>
      <c r="CO44" s="869">
        <f>CN44/CN14*100</f>
        <v>12.665795136751781</v>
      </c>
      <c r="CP44" s="42">
        <f>(CN44/CJ44-1)*100</f>
        <v>-21.056050384787007</v>
      </c>
      <c r="CQ44" s="42"/>
      <c r="CR44" s="805">
        <f>SUM(CR40:CR43)</f>
        <v>211.64502512920387</v>
      </c>
      <c r="CS44" s="869">
        <f>CR44/CR14*100</f>
        <v>9.273000896398182</v>
      </c>
      <c r="CT44" s="42">
        <f>(CR44/CN44-1)*100</f>
        <v>-32.523420990224025</v>
      </c>
      <c r="CU44" s="42"/>
      <c r="CV44" s="805">
        <f>SUM(CV40:CV43)</f>
        <v>155.96439029497401</v>
      </c>
      <c r="CW44" s="869">
        <f>CV44/CV14*100</f>
        <v>7.1372959993367182</v>
      </c>
      <c r="CX44" s="42">
        <f>(CV44/CR44-1)*100</f>
        <v>-26.308501605571998</v>
      </c>
      <c r="CY44" s="42"/>
      <c r="CZ44" s="42"/>
      <c r="DA44" s="42">
        <f>+(206.6-DA43)*(640.7/600)</f>
        <v>200.75907366666669</v>
      </c>
      <c r="DB44" s="869"/>
      <c r="DC44" s="886"/>
      <c r="DF44" s="888"/>
      <c r="DG44" s="875"/>
      <c r="DH44" s="122"/>
      <c r="DI44" s="122"/>
      <c r="DJ44" s="122"/>
    </row>
    <row r="45" spans="1:114" hidden="1" outlineLevel="1">
      <c r="D45" s="794"/>
      <c r="E45" s="869"/>
      <c r="F45" s="42"/>
      <c r="H45" s="794"/>
      <c r="I45" s="869"/>
      <c r="J45" s="42"/>
      <c r="L45" s="794"/>
      <c r="M45" s="869"/>
      <c r="N45" s="42"/>
      <c r="P45" s="794"/>
      <c r="Q45" s="869"/>
      <c r="R45" s="42"/>
      <c r="T45" s="794"/>
      <c r="U45" s="869"/>
      <c r="V45" s="42"/>
      <c r="X45" s="794"/>
      <c r="Y45" s="869"/>
      <c r="Z45" s="42"/>
      <c r="AB45" s="794"/>
      <c r="AC45" s="869"/>
      <c r="AD45" s="42"/>
      <c r="AF45" s="794"/>
      <c r="AG45" s="869"/>
      <c r="AH45" s="42"/>
      <c r="AJ45" s="794"/>
      <c r="AK45" s="869"/>
      <c r="AL45" s="42"/>
      <c r="AN45" s="794"/>
      <c r="AO45" s="869"/>
      <c r="AP45" s="42"/>
      <c r="AR45" s="794"/>
      <c r="AS45" s="869"/>
      <c r="AT45" s="42"/>
      <c r="AV45" s="794"/>
      <c r="AW45" s="869"/>
      <c r="AX45" s="42"/>
      <c r="AY45" s="42"/>
      <c r="AZ45" s="890"/>
      <c r="BA45" s="870"/>
      <c r="BB45" s="42"/>
      <c r="BC45" s="42"/>
      <c r="BD45" s="794" t="s">
        <v>220</v>
      </c>
      <c r="BE45" s="869"/>
      <c r="BF45" s="42"/>
      <c r="BG45" s="42"/>
      <c r="BH45" s="794"/>
      <c r="BI45" s="869"/>
      <c r="BJ45" s="42"/>
      <c r="BK45" s="42"/>
      <c r="BL45" s="794"/>
      <c r="BM45" s="868"/>
      <c r="BN45" s="873"/>
      <c r="BO45" s="873"/>
      <c r="BP45" s="803"/>
      <c r="BQ45" s="867"/>
      <c r="BR45" s="873"/>
      <c r="BS45" s="873"/>
      <c r="BT45" s="803"/>
      <c r="BU45" s="867"/>
      <c r="BV45" s="873"/>
      <c r="BW45" s="873"/>
      <c r="BX45" s="803"/>
      <c r="BY45" s="867"/>
      <c r="BZ45" s="873"/>
      <c r="CA45" s="42"/>
      <c r="CB45" s="42"/>
      <c r="CC45" s="42"/>
      <c r="CD45" s="42"/>
      <c r="CE45" s="42"/>
      <c r="CF45" s="42"/>
      <c r="CG45" s="42"/>
      <c r="CH45" s="42"/>
      <c r="CI45" s="42"/>
      <c r="CJ45" s="42"/>
      <c r="CK45" s="42"/>
      <c r="CL45" s="42"/>
      <c r="CM45" s="42"/>
      <c r="CN45" s="42"/>
      <c r="CO45" s="42"/>
      <c r="CP45" s="42"/>
      <c r="CQ45" s="42"/>
      <c r="CR45" s="873"/>
      <c r="CS45" s="42"/>
      <c r="CT45" s="42"/>
      <c r="CU45" s="42"/>
      <c r="CV45" s="873"/>
      <c r="CW45" s="42"/>
      <c r="CX45" s="42"/>
      <c r="CY45" s="42"/>
      <c r="CZ45" s="42"/>
      <c r="DA45" s="42"/>
      <c r="DC45" s="869"/>
      <c r="DF45" s="889"/>
      <c r="DG45" s="886"/>
      <c r="DH45" s="122"/>
      <c r="DI45" s="122"/>
      <c r="DJ45" s="122"/>
    </row>
    <row r="46" spans="1:114" hidden="1" outlineLevel="1">
      <c r="D46" s="794"/>
      <c r="E46" s="869"/>
      <c r="F46" s="42"/>
      <c r="H46" s="794"/>
      <c r="I46" s="869"/>
      <c r="J46" s="42"/>
      <c r="L46" s="794"/>
      <c r="M46" s="869"/>
      <c r="N46" s="42"/>
      <c r="P46" s="794"/>
      <c r="Q46" s="869"/>
      <c r="R46" s="42"/>
      <c r="T46" s="794"/>
      <c r="U46" s="869"/>
      <c r="V46" s="42"/>
      <c r="X46" s="794"/>
      <c r="Y46" s="869"/>
      <c r="Z46" s="42"/>
      <c r="AB46" s="794"/>
      <c r="AC46" s="869"/>
      <c r="AD46" s="42"/>
      <c r="AF46" s="794"/>
      <c r="AG46" s="869"/>
      <c r="AH46" s="42"/>
      <c r="AK46" s="880"/>
      <c r="AL46" s="899"/>
      <c r="AM46" s="840"/>
      <c r="AN46" s="900"/>
      <c r="AO46" s="880"/>
      <c r="AP46" s="899"/>
      <c r="AQ46" s="840"/>
      <c r="AR46" s="900"/>
      <c r="AS46" s="880"/>
      <c r="AT46" s="899"/>
      <c r="AU46" s="840"/>
      <c r="AW46" s="880"/>
      <c r="AX46" s="899"/>
      <c r="AY46" s="899"/>
      <c r="AZ46" s="901"/>
      <c r="BA46" s="902"/>
      <c r="BB46" s="899"/>
      <c r="BC46" s="899"/>
      <c r="BD46" s="900"/>
      <c r="BE46" s="880"/>
      <c r="BF46" s="899"/>
      <c r="BG46" s="899"/>
      <c r="BH46" s="900"/>
      <c r="BI46" s="880"/>
      <c r="BJ46" s="899"/>
      <c r="BK46" s="899"/>
      <c r="BL46" s="900"/>
      <c r="BM46" s="903"/>
      <c r="BN46" s="904"/>
      <c r="BO46" s="904"/>
      <c r="BP46" s="905"/>
      <c r="BQ46" s="903"/>
      <c r="BR46" s="904"/>
      <c r="BS46" s="904"/>
      <c r="BU46" s="903"/>
      <c r="BV46" s="904"/>
      <c r="BW46" s="904"/>
      <c r="BX46" s="905"/>
      <c r="BY46" s="903"/>
      <c r="BZ46" s="904"/>
      <c r="CA46" s="899"/>
      <c r="CB46" s="899"/>
      <c r="CC46" s="899"/>
      <c r="CD46" s="899"/>
      <c r="CE46" s="899"/>
      <c r="CF46" s="899"/>
      <c r="CG46" s="899"/>
      <c r="CH46" s="899"/>
      <c r="CI46" s="899"/>
      <c r="CJ46" s="893" t="s">
        <v>28</v>
      </c>
      <c r="CK46" s="899"/>
      <c r="CL46" s="899"/>
      <c r="CM46" s="899"/>
      <c r="CN46" s="899"/>
      <c r="CO46" s="899"/>
      <c r="CP46" s="899"/>
      <c r="CQ46" s="899"/>
      <c r="CR46" s="904"/>
      <c r="CS46" s="899"/>
      <c r="CT46" s="899"/>
      <c r="CU46" s="899"/>
      <c r="CV46" s="904"/>
      <c r="CW46" s="899"/>
      <c r="CX46" s="899"/>
      <c r="CY46" s="899"/>
      <c r="CZ46" s="899"/>
      <c r="DA46" s="899"/>
      <c r="DC46" s="880"/>
      <c r="DF46" s="889"/>
      <c r="DG46" s="886"/>
      <c r="DH46" s="122"/>
      <c r="DI46" s="122"/>
      <c r="DJ46" s="122"/>
    </row>
    <row r="47" spans="1:114" hidden="1" outlineLevel="1">
      <c r="D47" s="794"/>
      <c r="E47" s="869"/>
      <c r="F47" s="42"/>
      <c r="H47" s="794"/>
      <c r="I47" s="869"/>
      <c r="J47" s="42"/>
      <c r="L47" s="794"/>
      <c r="M47" s="869"/>
      <c r="N47" s="42"/>
      <c r="P47" s="794"/>
      <c r="Q47" s="869"/>
      <c r="R47" s="42"/>
      <c r="T47" s="794"/>
      <c r="U47" s="869"/>
      <c r="V47" s="42"/>
      <c r="X47" s="794"/>
      <c r="Y47" s="869"/>
      <c r="Z47" s="42"/>
      <c r="AB47" s="794"/>
      <c r="AC47" s="869"/>
      <c r="AD47" s="42"/>
      <c r="AF47" s="794"/>
      <c r="AG47" s="869"/>
      <c r="AH47" s="42"/>
      <c r="AJ47" s="794"/>
      <c r="AK47" s="869"/>
      <c r="AL47" s="42"/>
      <c r="AN47" s="794"/>
      <c r="AO47" s="869"/>
      <c r="AP47" s="42"/>
      <c r="AR47" s="794"/>
      <c r="AS47" s="869"/>
      <c r="AT47" s="42"/>
      <c r="AV47" s="794"/>
      <c r="AW47" s="869"/>
      <c r="AX47" s="42"/>
      <c r="AY47" s="42"/>
      <c r="AZ47" s="890"/>
      <c r="BA47" s="870"/>
      <c r="BB47" s="42"/>
      <c r="BC47" s="42"/>
      <c r="BD47" s="794"/>
      <c r="BE47" s="869"/>
      <c r="BF47" s="42"/>
      <c r="BG47" s="42"/>
      <c r="BH47" s="794"/>
      <c r="BI47" s="869"/>
      <c r="BJ47" s="42"/>
      <c r="BK47" s="42"/>
      <c r="BL47" s="794"/>
      <c r="BM47" s="867"/>
      <c r="BN47" s="873"/>
      <c r="BO47" s="873"/>
      <c r="BP47" s="906"/>
      <c r="BQ47" s="868"/>
      <c r="BR47" s="873"/>
      <c r="BS47" s="873"/>
      <c r="BT47" s="906"/>
      <c r="BU47" s="868"/>
      <c r="BV47" s="873"/>
      <c r="BW47" s="873"/>
      <c r="BX47" s="906"/>
      <c r="BY47" s="868"/>
      <c r="BZ47" s="873"/>
      <c r="CA47" s="42"/>
      <c r="CB47" s="42"/>
      <c r="CC47" s="42"/>
      <c r="CD47" s="42"/>
      <c r="CE47" s="42"/>
      <c r="CF47" s="42"/>
      <c r="CG47" s="42"/>
      <c r="CH47" s="42"/>
      <c r="CI47" s="42"/>
      <c r="CJ47" s="42"/>
      <c r="CK47" s="42"/>
      <c r="CL47" s="42"/>
      <c r="CM47" s="42"/>
      <c r="CN47" s="42"/>
      <c r="CO47" s="42"/>
      <c r="CP47" s="42"/>
      <c r="CQ47" s="42"/>
      <c r="CR47" s="873"/>
      <c r="CS47" s="42"/>
      <c r="CT47" s="42"/>
      <c r="CU47" s="42"/>
      <c r="CV47" s="873"/>
      <c r="CW47" s="42"/>
      <c r="CX47" s="42"/>
      <c r="CY47" s="42"/>
      <c r="CZ47" s="42"/>
      <c r="DA47" s="42"/>
      <c r="DC47" s="869"/>
      <c r="DF47" s="889"/>
      <c r="DG47" s="886"/>
      <c r="DH47" s="122"/>
      <c r="DI47" s="122"/>
      <c r="DJ47" s="122"/>
    </row>
    <row r="48" spans="1:114" hidden="1" outlineLevel="1">
      <c r="A48" s="26" t="str">
        <f>$A$10</f>
        <v>1Q</v>
      </c>
      <c r="B48" s="26" t="str">
        <f>$B$10</f>
        <v>Apr</v>
      </c>
      <c r="D48" s="844">
        <f>6.828138-D92</f>
        <v>6.828138</v>
      </c>
      <c r="E48" s="869" t="e">
        <f>D48/D28*100</f>
        <v>#DIV/0!</v>
      </c>
      <c r="F48" s="42"/>
      <c r="H48" s="844">
        <f>7.320173-H92</f>
        <v>7.3201729999999996</v>
      </c>
      <c r="I48" s="869" t="e">
        <f>H48/H28*100</f>
        <v>#DIV/0!</v>
      </c>
      <c r="J48" s="42">
        <f>IF(D48&lt;0,"       NM",(H48/D48-1)*100)</f>
        <v>7.205990857243938</v>
      </c>
      <c r="L48" s="844">
        <f>7.9561-L92</f>
        <v>7.9561000000000002</v>
      </c>
      <c r="M48" s="869" t="e">
        <f>L48/L28*100</f>
        <v>#DIV/0!</v>
      </c>
      <c r="N48" s="42">
        <f>IF(H48&lt;0,"       NM",(L48/H48-1)*100)</f>
        <v>8.6873220072804394</v>
      </c>
      <c r="P48" s="844">
        <f>8.815301-P92</f>
        <v>8.8153009999999998</v>
      </c>
      <c r="Q48" s="869" t="e">
        <f>P48/P28*100</f>
        <v>#DIV/0!</v>
      </c>
      <c r="R48" s="42">
        <f>(P48/L48-1)*100</f>
        <v>10.799273513404795</v>
      </c>
      <c r="T48" s="844">
        <f>11.166931-T92</f>
        <v>11.166931</v>
      </c>
      <c r="U48" s="869" t="e">
        <f>T48/T28*100</f>
        <v>#DIV/0!</v>
      </c>
      <c r="V48" s="42">
        <f>(T48/P48-1)*100</f>
        <v>26.676684097343916</v>
      </c>
      <c r="W48" s="45"/>
      <c r="X48" s="844">
        <f>14.724977-X92</f>
        <v>14.724977000000001</v>
      </c>
      <c r="Y48" s="869" t="e">
        <f>X48/X28*100</f>
        <v>#DIV/0!</v>
      </c>
      <c r="Z48" s="42">
        <f>(X48/T48-1)*100</f>
        <v>31.86234427346244</v>
      </c>
      <c r="AB48" s="844">
        <f>21.968219-AB92</f>
        <v>21.968219000000001</v>
      </c>
      <c r="AC48" s="869" t="e">
        <f>AB48/AB28*100</f>
        <v>#DIV/0!</v>
      </c>
      <c r="AD48" s="42">
        <f>(AB48/X48-1)*100</f>
        <v>49.190175305536975</v>
      </c>
      <c r="AF48" s="844"/>
      <c r="AG48" s="869"/>
      <c r="AH48" s="42"/>
      <c r="AJ48" s="844"/>
      <c r="AK48" s="869"/>
      <c r="AL48" s="42"/>
      <c r="AN48" s="844"/>
      <c r="AO48" s="869"/>
      <c r="AP48" s="42"/>
      <c r="AR48" s="844"/>
      <c r="AS48" s="869"/>
      <c r="AT48" s="42"/>
      <c r="AV48" s="844"/>
      <c r="AW48" s="869"/>
      <c r="AX48" s="42"/>
      <c r="AY48" s="42"/>
      <c r="AZ48" s="844">
        <f>30.585-AZ49</f>
        <v>19.314</v>
      </c>
      <c r="BA48" s="869">
        <f>AZ48/AZ10*100</f>
        <v>4.943903057110604</v>
      </c>
      <c r="BB48" s="894" t="s">
        <v>172</v>
      </c>
      <c r="BC48" s="869"/>
      <c r="BD48" s="844">
        <v>20.939</v>
      </c>
      <c r="BE48" s="869">
        <f>BD48/BD10*100</f>
        <v>4.6213980507097956</v>
      </c>
      <c r="BF48" s="42">
        <f>(BD48/AZ48-1)*100</f>
        <v>8.4135859997928932</v>
      </c>
      <c r="BG48" s="869"/>
      <c r="BH48" s="844">
        <v>22.843</v>
      </c>
      <c r="BI48" s="869">
        <f>BH48/BH10*100</f>
        <v>5.5773944975632626</v>
      </c>
      <c r="BJ48" s="42">
        <f>(BH48/BD48-1)*100</f>
        <v>9.0930798987535191</v>
      </c>
      <c r="BK48" s="869"/>
      <c r="BL48" s="844">
        <v>17.834</v>
      </c>
      <c r="BM48" s="868">
        <f>BL48/BL10*100</f>
        <v>4.34294508855624</v>
      </c>
      <c r="BN48" s="873">
        <f>(BL48/BH48-1)*100</f>
        <v>-21.927942914678454</v>
      </c>
      <c r="BO48" s="868"/>
      <c r="BP48" s="855">
        <v>29.08</v>
      </c>
      <c r="BQ48" s="868">
        <f>BP48/BP10*100</f>
        <v>6.0383564374527596</v>
      </c>
      <c r="BR48" s="873">
        <f>(BP48/BL48-1)*100</f>
        <v>63.059324885051012</v>
      </c>
      <c r="BS48" s="868"/>
      <c r="BT48" s="855">
        <v>30.898</v>
      </c>
      <c r="BU48" s="868">
        <f>BT48/BT10*100</f>
        <v>5.7521250730697489</v>
      </c>
      <c r="BV48" s="873">
        <f>(BT48/BP48-1)*100</f>
        <v>6.2517193947730476</v>
      </c>
      <c r="BW48" s="868"/>
      <c r="BX48" s="895">
        <v>48.024139999999996</v>
      </c>
      <c r="BY48" s="868">
        <f>BX48/BX10*100</f>
        <v>7.3790543270996292</v>
      </c>
      <c r="BZ48" s="873">
        <f>(BX48/BT48-1)*100</f>
        <v>55.427988866593303</v>
      </c>
      <c r="CA48" s="42"/>
      <c r="CB48" s="895">
        <v>49.703539999999997</v>
      </c>
      <c r="CC48" s="869">
        <f>CB48/CB10*100</f>
        <v>7.4104532131046845</v>
      </c>
      <c r="CD48" s="42">
        <f>(CB48/BX48-1)*100</f>
        <v>3.4969913047896428</v>
      </c>
      <c r="CE48" s="42"/>
      <c r="CF48" s="895">
        <v>50.387632193658128</v>
      </c>
      <c r="CG48" s="869">
        <f>CF48/CF10*100</f>
        <v>7.6400577077624945</v>
      </c>
      <c r="CH48" s="42">
        <f>(CF48/CB48-1)*100</f>
        <v>1.3763450121623722</v>
      </c>
      <c r="CI48" s="42"/>
      <c r="CJ48" s="895">
        <v>51.348079999999996</v>
      </c>
      <c r="CK48" s="869">
        <f>CJ48/CJ10*100</f>
        <v>7.6357655680270282</v>
      </c>
      <c r="CL48" s="42">
        <f>(CJ48/CF48-1)*100</f>
        <v>1.9061181574290265</v>
      </c>
      <c r="CM48" s="42"/>
      <c r="CN48" s="895">
        <v>49.578619999999994</v>
      </c>
      <c r="CO48" s="869">
        <f>CN48/CN10*100</f>
        <v>7.7107921434203712</v>
      </c>
      <c r="CP48" s="42">
        <f>(CN48/CJ48-1)*100</f>
        <v>-3.4460100552932138</v>
      </c>
      <c r="CQ48" s="42"/>
      <c r="CR48" s="895">
        <v>49.578619999999994</v>
      </c>
      <c r="CS48" s="869">
        <f>CR48/CR10*100</f>
        <v>8.49344557739221</v>
      </c>
      <c r="CT48" s="42">
        <f>(CR48/CN48-1)*100</f>
        <v>0</v>
      </c>
      <c r="CU48" s="42"/>
      <c r="CV48" s="895">
        <v>49.578619999999994</v>
      </c>
      <c r="CW48" s="869">
        <f>CV48/CV10*100</f>
        <v>8.9940880761119946</v>
      </c>
      <c r="CX48" s="42">
        <f>(CV48/CR48-1)*100</f>
        <v>0</v>
      </c>
      <c r="CY48" s="42"/>
      <c r="CZ48" s="42"/>
      <c r="DA48" s="42">
        <f>+BT48-BP48</f>
        <v>1.8180000000000014</v>
      </c>
      <c r="DB48" s="42">
        <v>1</v>
      </c>
      <c r="DC48" s="869">
        <f>BL48-BH48</f>
        <v>-5.0090000000000003</v>
      </c>
      <c r="DF48" s="884"/>
      <c r="DG48" s="885"/>
      <c r="DH48" s="122"/>
      <c r="DI48" s="886"/>
      <c r="DJ48" s="886"/>
    </row>
    <row r="49" spans="1:114" hidden="1" outlineLevel="1">
      <c r="A49" s="26" t="str">
        <f>$A$11</f>
        <v>2Q</v>
      </c>
      <c r="B49" s="26" t="str">
        <f>$B$11</f>
        <v>Jul</v>
      </c>
      <c r="D49" s="854">
        <f>7.559003-D93</f>
        <v>7.5590029999999997</v>
      </c>
      <c r="E49" s="869" t="e">
        <f>D49/D29*100</f>
        <v>#DIV/0!</v>
      </c>
      <c r="F49" s="42"/>
      <c r="H49" s="854">
        <f>7.852066-H93</f>
        <v>7.8520659999999998</v>
      </c>
      <c r="I49" s="869" t="e">
        <f>H49/H29*100</f>
        <v>#DIV/0!</v>
      </c>
      <c r="J49" s="42">
        <f>IF(D49&lt;0,"       NM",(H49/D49-1)*100)</f>
        <v>3.8770060019820196</v>
      </c>
      <c r="L49" s="854">
        <f>8.426631-L93</f>
        <v>8.4266310000000004</v>
      </c>
      <c r="M49" s="869" t="e">
        <f>L49/L29*100</f>
        <v>#DIV/0!</v>
      </c>
      <c r="N49" s="42">
        <f>IF(H49&lt;0,"       NM",(L49/H49-1)*100)</f>
        <v>7.3173735421989683</v>
      </c>
      <c r="P49" s="854">
        <f>9.220508-P93</f>
        <v>9.2205080000000006</v>
      </c>
      <c r="Q49" s="869" t="e">
        <f>P49/P29*100</f>
        <v>#DIV/0!</v>
      </c>
      <c r="R49" s="42">
        <f>(P49/L49-1)*100</f>
        <v>9.4210485780141582</v>
      </c>
      <c r="T49" s="854">
        <f>11.794759-T93</f>
        <v>11.794759000000001</v>
      </c>
      <c r="U49" s="869" t="e">
        <f>T49/T29*100</f>
        <v>#DIV/0!</v>
      </c>
      <c r="V49" s="42">
        <f>(T49/P49-1)*100</f>
        <v>27.918754584888372</v>
      </c>
      <c r="X49" s="854">
        <f>14.954637-X93</f>
        <v>14.954637</v>
      </c>
      <c r="Y49" s="869" t="e">
        <f>X49/X29*100</f>
        <v>#DIV/0!</v>
      </c>
      <c r="Z49" s="42">
        <f>(X49/T49-1)*100</f>
        <v>26.790526198966845</v>
      </c>
      <c r="AB49" s="854">
        <f>23.267122-AB93</f>
        <v>23.267122000000001</v>
      </c>
      <c r="AC49" s="869" t="e">
        <f>AB49/AB29*100</f>
        <v>#DIV/0!</v>
      </c>
      <c r="AD49" s="42">
        <f>(AB49/X49-1)*100</f>
        <v>55.584665813018397</v>
      </c>
      <c r="AF49" s="854"/>
      <c r="AG49" s="869"/>
      <c r="AH49" s="42"/>
      <c r="AJ49" s="854"/>
      <c r="AK49" s="869"/>
      <c r="AL49" s="42"/>
      <c r="AN49" s="854"/>
      <c r="AO49" s="869"/>
      <c r="AP49" s="42"/>
      <c r="AR49" s="854"/>
      <c r="AS49" s="869"/>
      <c r="AT49" s="42"/>
      <c r="AV49" s="854"/>
      <c r="AW49" s="869"/>
      <c r="AX49" s="42"/>
      <c r="AY49" s="42"/>
      <c r="AZ49" s="854">
        <v>11.271000000000001</v>
      </c>
      <c r="BA49" s="869">
        <f>AZ49/AZ11*100</f>
        <v>2.7939040291115336</v>
      </c>
      <c r="BB49" s="894" t="s">
        <v>172</v>
      </c>
      <c r="BC49" s="869"/>
      <c r="BD49" s="854">
        <v>14.791</v>
      </c>
      <c r="BE49" s="869">
        <f>BD49/BD11*100</f>
        <v>3.3922055643087958</v>
      </c>
      <c r="BF49" s="42">
        <f>(BD49/AZ49-1)*100</f>
        <v>31.230591784225005</v>
      </c>
      <c r="BG49" s="869"/>
      <c r="BH49" s="854">
        <v>16.786000000000001</v>
      </c>
      <c r="BI49" s="869">
        <f>BH49/BH11*100</f>
        <v>4.1424615885770129</v>
      </c>
      <c r="BJ49" s="42">
        <f>(BH49/BD49-1)*100</f>
        <v>13.487931850449609</v>
      </c>
      <c r="BK49" s="869"/>
      <c r="BL49" s="854">
        <v>16.167999999999999</v>
      </c>
      <c r="BM49" s="868">
        <f>BL49/BL11*100</f>
        <v>3.8503030375194971</v>
      </c>
      <c r="BN49" s="873">
        <f>(BL49/BH49-1)*100</f>
        <v>-3.6816394614559877</v>
      </c>
      <c r="BO49" s="868"/>
      <c r="BP49" s="855">
        <v>18.010999999999999</v>
      </c>
      <c r="BQ49" s="868">
        <f>BP49/BP11*100</f>
        <v>3.8700042973785993</v>
      </c>
      <c r="BR49" s="873">
        <f>(BP49/BL49-1)*100</f>
        <v>11.399059871350815</v>
      </c>
      <c r="BS49" s="868"/>
      <c r="BT49" s="855">
        <v>21.073</v>
      </c>
      <c r="BU49" s="868">
        <f>BT49/BT11*100</f>
        <v>3.8213869278936037</v>
      </c>
      <c r="BV49" s="873">
        <f>(BT49/BP49-1)*100</f>
        <v>17.000721781133766</v>
      </c>
      <c r="BW49" s="868"/>
      <c r="BX49" s="895">
        <v>35.364640000000001</v>
      </c>
      <c r="BY49" s="868">
        <f>BX49/BX11*100</f>
        <v>5.5108972421079541</v>
      </c>
      <c r="BZ49" s="873">
        <f>(BX49/BT49-1)*100</f>
        <v>67.819674464955156</v>
      </c>
      <c r="CA49" s="42"/>
      <c r="CB49" s="895">
        <v>48.189440000000005</v>
      </c>
      <c r="CC49" s="869">
        <f>CB49/CB11*100</f>
        <v>7.4194330126265777</v>
      </c>
      <c r="CD49" s="42">
        <f>(CB49/BX49-1)*100</f>
        <v>36.264472082848862</v>
      </c>
      <c r="CE49" s="42"/>
      <c r="CF49" s="895">
        <v>49.853568871006452</v>
      </c>
      <c r="CG49" s="869">
        <f>CF49/CF11*100</f>
        <v>7.6842972370889076</v>
      </c>
      <c r="CH49" s="42">
        <f>(CF49/CB49-1)*100</f>
        <v>3.4533060998559906</v>
      </c>
      <c r="CI49" s="42"/>
      <c r="CJ49" s="895">
        <v>50.571379999999998</v>
      </c>
      <c r="CK49" s="869">
        <f>CJ49/CJ11*100</f>
        <v>7.6678720833086942</v>
      </c>
      <c r="CL49" s="42">
        <f>(CJ49/CF49-1)*100</f>
        <v>1.4398390030026631</v>
      </c>
      <c r="CM49" s="42"/>
      <c r="CN49" s="895">
        <v>49.143919999999994</v>
      </c>
      <c r="CO49" s="869">
        <f>CN49/CN11*100</f>
        <v>7.7302888638608724</v>
      </c>
      <c r="CP49" s="42">
        <f>(CN49/CJ49-1)*100</f>
        <v>-2.8226637279821221</v>
      </c>
      <c r="CQ49" s="42"/>
      <c r="CR49" s="895">
        <v>49.143919999999994</v>
      </c>
      <c r="CS49" s="869">
        <f>CR49/CR11*100</f>
        <v>8.4938703483176941</v>
      </c>
      <c r="CT49" s="42">
        <f>(CR49/CN49-1)*100</f>
        <v>0</v>
      </c>
      <c r="CU49" s="42"/>
      <c r="CV49" s="895">
        <v>49.143919999999994</v>
      </c>
      <c r="CW49" s="869">
        <f>CV49/CV11*100</f>
        <v>8.8660000993242054</v>
      </c>
      <c r="CX49" s="42">
        <f>(CV49/CR49-1)*100</f>
        <v>0</v>
      </c>
      <c r="CY49" s="42"/>
      <c r="CZ49" s="42"/>
      <c r="DA49" s="42">
        <f>+BT49-BP49</f>
        <v>3.0620000000000012</v>
      </c>
      <c r="DB49" s="42">
        <v>1</v>
      </c>
      <c r="DC49" s="869">
        <f>BL49-BH49</f>
        <v>-0.6180000000000021</v>
      </c>
      <c r="DF49" s="884"/>
      <c r="DG49" s="885"/>
      <c r="DH49" s="122"/>
      <c r="DI49" s="886"/>
      <c r="DJ49" s="886"/>
    </row>
    <row r="50" spans="1:114" hidden="1" outlineLevel="1">
      <c r="A50" s="26" t="str">
        <f>$A$12</f>
        <v>3Q</v>
      </c>
      <c r="B50" s="26" t="str">
        <f>$B$12</f>
        <v>Oct</v>
      </c>
      <c r="D50" s="854">
        <f>7.596802-D94</f>
        <v>7.6107339999999999</v>
      </c>
      <c r="E50" s="869">
        <f>D50/D30*100</f>
        <v>114.78298455842675</v>
      </c>
      <c r="F50" s="42"/>
      <c r="H50" s="854">
        <f>7.664398-H94</f>
        <v>7.8209590000000002</v>
      </c>
      <c r="I50" s="869">
        <f>H50/H30*100</f>
        <v>112.8639126246041</v>
      </c>
      <c r="J50" s="42">
        <f>IF(D50&lt;0,"       NM",(H50/D50-1)*100)</f>
        <v>2.7622171527739603</v>
      </c>
      <c r="L50" s="854">
        <f>8.177078-L94</f>
        <v>8.283256999999999</v>
      </c>
      <c r="M50" s="869">
        <f>L50/L30*100</f>
        <v>110.30451651220561</v>
      </c>
      <c r="N50" s="42">
        <f>IF(H50&lt;0,"       NM",(L50/H50-1)*100)</f>
        <v>5.9110142375122798</v>
      </c>
      <c r="P50" s="854">
        <f>9.220152-P94</f>
        <v>9.3368320000000011</v>
      </c>
      <c r="Q50" s="869">
        <f>P50/P30*100</f>
        <v>112.68622013541179</v>
      </c>
      <c r="R50" s="42">
        <f>(P50/L50-1)*100</f>
        <v>12.719332504110437</v>
      </c>
      <c r="T50" s="854">
        <f>11.734126-T94</f>
        <v>11.813445</v>
      </c>
      <c r="U50" s="869">
        <f>T50/T30*100</f>
        <v>111.22843235489015</v>
      </c>
      <c r="V50" s="42">
        <f>(T50/P50-1)*100</f>
        <v>26.525196126480566</v>
      </c>
      <c r="X50" s="854">
        <f>16.881195-X94</f>
        <v>16.879123000000003</v>
      </c>
      <c r="Y50" s="869">
        <f>X50/X30*100</f>
        <v>120.21296605509417</v>
      </c>
      <c r="Z50" s="42">
        <f>(X50/T50-1)*100</f>
        <v>42.880616111557671</v>
      </c>
      <c r="AB50" s="854">
        <f>28.143889-AB94</f>
        <v>28.046568000000001</v>
      </c>
      <c r="AC50" s="869">
        <f>AB50/AB30*100</f>
        <v>134.69040395689592</v>
      </c>
      <c r="AD50" s="42">
        <f>(AB50/X50-1)*100</f>
        <v>66.161286934161183</v>
      </c>
      <c r="AF50" s="854"/>
      <c r="AG50" s="869"/>
      <c r="AH50" s="42"/>
      <c r="AJ50" s="854"/>
      <c r="AK50" s="869"/>
      <c r="AL50" s="42"/>
      <c r="AN50" s="854"/>
      <c r="AO50" s="869"/>
      <c r="AP50" s="42"/>
      <c r="AR50" s="854"/>
      <c r="AS50" s="869"/>
      <c r="AT50" s="42"/>
      <c r="AV50" s="854"/>
      <c r="AW50" s="869"/>
      <c r="AX50" s="42"/>
      <c r="AY50" s="42"/>
      <c r="AZ50" s="854">
        <v>14.896000000000001</v>
      </c>
      <c r="BA50" s="869">
        <f>AZ50/AZ12*100</f>
        <v>3.70345508292746</v>
      </c>
      <c r="BB50" s="894" t="s">
        <v>172</v>
      </c>
      <c r="BC50" s="869"/>
      <c r="BD50" s="854">
        <v>28.919</v>
      </c>
      <c r="BE50" s="869">
        <f>BD50/BD12*100</f>
        <v>6.9531368339051669</v>
      </c>
      <c r="BF50" s="42">
        <f>(BD50/AZ50-1)*100</f>
        <v>94.139366272824915</v>
      </c>
      <c r="BG50" s="869"/>
      <c r="BH50" s="854">
        <v>22.042999999999999</v>
      </c>
      <c r="BI50" s="869">
        <f>BH50/BH12*100</f>
        <v>5.5912216577085703</v>
      </c>
      <c r="BJ50" s="42">
        <f>(BH50/BD50-1)*100</f>
        <v>-23.776755766105328</v>
      </c>
      <c r="BK50" s="869"/>
      <c r="BL50" s="854">
        <v>24.974</v>
      </c>
      <c r="BM50" s="868">
        <f>BL50/BL12*100</f>
        <v>5.5887374877758953</v>
      </c>
      <c r="BN50" s="873">
        <f>(BL50/BH50-1)*100</f>
        <v>13.296738193530832</v>
      </c>
      <c r="BO50" s="868"/>
      <c r="BP50" s="855">
        <v>31.928000000000001</v>
      </c>
      <c r="BQ50" s="868">
        <f>BP50/BP12*100</f>
        <v>6.6100508879512745</v>
      </c>
      <c r="BR50" s="873">
        <f>(BP50/BL50-1)*100</f>
        <v>27.844958757107396</v>
      </c>
      <c r="BS50" s="868"/>
      <c r="BT50" s="855">
        <v>39.008000000000003</v>
      </c>
      <c r="BU50" s="868">
        <f>BT50/BT12*100</f>
        <v>7.2432067084334486</v>
      </c>
      <c r="BV50" s="873">
        <f>(BT50/BP50-1)*100</f>
        <v>22.174893510398409</v>
      </c>
      <c r="BW50" s="868"/>
      <c r="BX50" s="895">
        <v>56.060005999999994</v>
      </c>
      <c r="BY50" s="868">
        <f>BX50/BX12*100</f>
        <v>8.805259594920404</v>
      </c>
      <c r="BZ50" s="873">
        <f>(BX50/BT50-1)*100</f>
        <v>43.714125307629168</v>
      </c>
      <c r="CA50" s="42"/>
      <c r="CB50" s="895">
        <v>49.041139999999999</v>
      </c>
      <c r="CC50" s="869">
        <f>CB50/CB12*100</f>
        <v>7.4805843384245074</v>
      </c>
      <c r="CD50" s="42">
        <f>(CB50/BX50-1)*100</f>
        <v>-12.52027336565037</v>
      </c>
      <c r="CE50" s="42"/>
      <c r="CF50" s="895">
        <v>49.551812412964424</v>
      </c>
      <c r="CG50" s="869">
        <f>CF50/CF12*100</f>
        <v>7.6764888687956212</v>
      </c>
      <c r="CH50" s="42">
        <f>(CF50/CB50-1)*100</f>
        <v>1.0413143188849672</v>
      </c>
      <c r="CI50" s="42"/>
      <c r="CJ50" s="895">
        <v>48.604100000000003</v>
      </c>
      <c r="CK50" s="869">
        <f>CJ50/CJ12*100</f>
        <v>7.7551277653234623</v>
      </c>
      <c r="CL50" s="42">
        <f>(CJ50/CF50-1)*100</f>
        <v>-1.9125686161914568</v>
      </c>
      <c r="CM50" s="42"/>
      <c r="CN50" s="895">
        <v>47.895295865416934</v>
      </c>
      <c r="CO50" s="869">
        <f>CN50/CN12*100</f>
        <v>8.0238453683988471</v>
      </c>
      <c r="CP50" s="42">
        <f>(CN50/CJ50-1)*100</f>
        <v>-1.4583216942255284</v>
      </c>
      <c r="CQ50" s="42"/>
      <c r="CR50" s="895">
        <v>47.895295865416934</v>
      </c>
      <c r="CS50" s="869">
        <f>CR50/CR12*100</f>
        <v>8.9980209671506035</v>
      </c>
      <c r="CT50" s="42">
        <f>(CR50/CN50-1)*100</f>
        <v>0</v>
      </c>
      <c r="CU50" s="42"/>
      <c r="CV50" s="895">
        <v>47.895295865416934</v>
      </c>
      <c r="CW50" s="869">
        <f>CV50/CV12*100</f>
        <v>9.0320055005256741</v>
      </c>
      <c r="CX50" s="42">
        <f>(CV50/CR50-1)*100</f>
        <v>0</v>
      </c>
      <c r="CY50" s="42"/>
      <c r="CZ50" s="42"/>
      <c r="DA50" s="42">
        <f>+BT50-BP50</f>
        <v>7.0800000000000018</v>
      </c>
      <c r="DB50" s="42">
        <v>1</v>
      </c>
      <c r="DC50" s="869">
        <f>BL50-BH50</f>
        <v>2.9310000000000009</v>
      </c>
      <c r="DF50" s="884"/>
      <c r="DG50" s="885"/>
      <c r="DH50" s="182"/>
      <c r="DI50" s="886"/>
      <c r="DJ50" s="886"/>
    </row>
    <row r="51" spans="1:114" hidden="1" outlineLevel="1">
      <c r="A51" s="26" t="str">
        <f>$A$13</f>
        <v>4Q</v>
      </c>
      <c r="B51" s="26" t="str">
        <f>$B$13</f>
        <v>Jan</v>
      </c>
      <c r="C51" s="122"/>
      <c r="D51" s="860">
        <f>9.184424-D95</f>
        <v>9.1831619999999994</v>
      </c>
      <c r="E51" s="869">
        <f>D51/D31*100</f>
        <v>125.13324213652351</v>
      </c>
      <c r="F51" s="42"/>
      <c r="H51" s="860">
        <f>7.906226-H95</f>
        <v>8.0388909999999996</v>
      </c>
      <c r="I51" s="869">
        <f>H51/H31*100</f>
        <v>108.23467113595706</v>
      </c>
      <c r="J51" s="42">
        <f>IF(D51&lt;0,"       NM",(H51/D51-1)*100)</f>
        <v>-12.46053374643723</v>
      </c>
      <c r="L51" s="860">
        <f>9.178714-L95</f>
        <v>9.264505999999999</v>
      </c>
      <c r="M51" s="869">
        <f>L51/L31*100</f>
        <v>116.25361076742766</v>
      </c>
      <c r="N51" s="42">
        <f>IF(H51&lt;0,"       NM",(L51/H51-1)*100)</f>
        <v>15.246070633374664</v>
      </c>
      <c r="P51" s="860">
        <f>9.92871-P95</f>
        <v>10.01469</v>
      </c>
      <c r="Q51" s="869">
        <f>P51/P31*100</f>
        <v>115.27826779112979</v>
      </c>
      <c r="R51" s="42">
        <f>(P51/L51-1)*100</f>
        <v>8.0973988251505258</v>
      </c>
      <c r="T51" s="860">
        <f>12.715241-T95</f>
        <v>12.745871000000001</v>
      </c>
      <c r="U51" s="869">
        <f>T51/T31*100</f>
        <v>113.68403599002217</v>
      </c>
      <c r="V51" s="42">
        <f>(T51/P51-1)*100</f>
        <v>27.271747802478163</v>
      </c>
      <c r="X51" s="860">
        <f>18.685462-X95</f>
        <v>18.643103</v>
      </c>
      <c r="Y51" s="869">
        <f>X51/X31*100</f>
        <v>131.52965683528538</v>
      </c>
      <c r="Z51" s="42">
        <f>(X51/T51-1)*100</f>
        <v>46.267783504163809</v>
      </c>
      <c r="AB51" s="860">
        <f>32.032614-AB95</f>
        <v>31.861430000000002</v>
      </c>
      <c r="AC51" s="869">
        <f>AB51/AB31*100</f>
        <v>145.1621640547686</v>
      </c>
      <c r="AD51" s="42">
        <f>(AB51/X51-1)*100</f>
        <v>70.901968411588996</v>
      </c>
      <c r="AF51" s="860"/>
      <c r="AG51" s="869"/>
      <c r="AH51" s="42"/>
      <c r="AJ51" s="860"/>
      <c r="AK51" s="869"/>
      <c r="AL51" s="42"/>
      <c r="AN51" s="860"/>
      <c r="AO51" s="869"/>
      <c r="AP51" s="42"/>
      <c r="AR51" s="860"/>
      <c r="AS51" s="869"/>
      <c r="AT51" s="42"/>
      <c r="AV51" s="860"/>
      <c r="AW51" s="869"/>
      <c r="AX51" s="42"/>
      <c r="AY51" s="42"/>
      <c r="AZ51" s="860">
        <v>20.983000000000001</v>
      </c>
      <c r="BA51" s="869">
        <f>AZ51/AZ13*100</f>
        <v>4.7191941182688577</v>
      </c>
      <c r="BB51" s="894" t="s">
        <v>172</v>
      </c>
      <c r="BC51" s="869"/>
      <c r="BD51" s="860">
        <v>31.068999999999999</v>
      </c>
      <c r="BE51" s="869">
        <f>BD51/BD13*100</f>
        <v>7.5908203578330644</v>
      </c>
      <c r="BF51" s="42">
        <f>(BD51/AZ51-1)*100</f>
        <v>48.067483200686254</v>
      </c>
      <c r="BG51" s="869"/>
      <c r="BH51" s="860">
        <v>18.652999999999999</v>
      </c>
      <c r="BI51" s="869">
        <f>BH51/BH13*100</f>
        <v>4.9957282011039714</v>
      </c>
      <c r="BJ51" s="42">
        <f>(BH51/BD51-1)*100</f>
        <v>-39.962663748430913</v>
      </c>
      <c r="BK51" s="869"/>
      <c r="BL51" s="860">
        <v>19.099</v>
      </c>
      <c r="BM51" s="868">
        <f>BL51/BL13*100</f>
        <v>4.383218965873362</v>
      </c>
      <c r="BN51" s="873">
        <f>(BL51/BH51-1)*100</f>
        <v>2.3910362944298491</v>
      </c>
      <c r="BO51" s="868"/>
      <c r="BP51" s="861">
        <v>23.462</v>
      </c>
      <c r="BQ51" s="868">
        <f>BP51/BP13*100</f>
        <v>4.9396388012817543</v>
      </c>
      <c r="BR51" s="873">
        <f>(BP51/BL51-1)*100</f>
        <v>22.84412796481492</v>
      </c>
      <c r="BS51" s="868"/>
      <c r="BT51" s="897">
        <v>29.413922079334867</v>
      </c>
      <c r="BU51" s="868">
        <f>BT51/BT13*100</f>
        <v>5.167526414702361</v>
      </c>
      <c r="BV51" s="873">
        <f>(BT51/BP51-1)*100</f>
        <v>25.368349157509449</v>
      </c>
      <c r="BW51" s="868"/>
      <c r="BX51" s="897">
        <v>44.595937999999997</v>
      </c>
      <c r="BY51" s="868">
        <f>BX51/BX13*100</f>
        <v>6.8414102566069346</v>
      </c>
      <c r="BZ51" s="873">
        <f>(BX51/BT51-1)*100</f>
        <v>51.615068129018567</v>
      </c>
      <c r="CA51" s="42"/>
      <c r="CB51" s="898">
        <v>46.413019999999996</v>
      </c>
      <c r="CC51" s="869">
        <f>CB51/CB13*100</f>
        <v>7.6057866421514406</v>
      </c>
      <c r="CD51" s="42">
        <f>(CB51/BX51-1)*100</f>
        <v>4.074545982192368</v>
      </c>
      <c r="CE51" s="42"/>
      <c r="CF51" s="898">
        <v>49.575612507052973</v>
      </c>
      <c r="CG51" s="869">
        <f>CF51/CF13*100</f>
        <v>7.7882704530184919</v>
      </c>
      <c r="CH51" s="42">
        <f>(CF51/CB51-1)*100</f>
        <v>6.8140200897355507</v>
      </c>
      <c r="CI51" s="42"/>
      <c r="CJ51" s="898">
        <v>47.891599999999997</v>
      </c>
      <c r="CK51" s="869">
        <f>CJ51/CJ13*100</f>
        <v>7.7890251439352038</v>
      </c>
      <c r="CL51" s="42">
        <f>(CJ51/CF51-1)*100</f>
        <v>-3.3968566839459591</v>
      </c>
      <c r="CM51" s="42"/>
      <c r="CN51" s="898">
        <v>47.157260018798958</v>
      </c>
      <c r="CO51" s="869">
        <f>CN51/CN13*100</f>
        <v>7.8492216100492787</v>
      </c>
      <c r="CP51" s="42">
        <f>(CN51/CJ51-1)*100</f>
        <v>-1.5333377485843847</v>
      </c>
      <c r="CQ51" s="42"/>
      <c r="CR51" s="897">
        <v>47.157260018798958</v>
      </c>
      <c r="CS51" s="869">
        <f>CR51/CR13*100</f>
        <v>8.0229030133227663</v>
      </c>
      <c r="CT51" s="42">
        <f>(CR51/CN51-1)*100</f>
        <v>0</v>
      </c>
      <c r="CU51" s="42"/>
      <c r="CV51" s="897">
        <v>47.157260018798958</v>
      </c>
      <c r="CW51" s="869">
        <f>CV51/CV13*100</f>
        <v>8.5836212575042161</v>
      </c>
      <c r="CX51" s="42">
        <f>(CV51/CR51-1)*100</f>
        <v>0</v>
      </c>
      <c r="CY51" s="869"/>
      <c r="CZ51" s="869"/>
      <c r="DA51" s="42">
        <f>+BT51-BP51</f>
        <v>5.9519220793348673</v>
      </c>
      <c r="DB51" s="42">
        <v>1</v>
      </c>
      <c r="DC51" s="869">
        <f>BL51-BH51</f>
        <v>0.44600000000000151</v>
      </c>
      <c r="DF51" s="884"/>
      <c r="DG51" s="885"/>
      <c r="DH51" s="182"/>
      <c r="DI51" s="886"/>
      <c r="DJ51" s="886"/>
    </row>
    <row r="52" spans="1:114" hidden="1" outlineLevel="1">
      <c r="B52" s="26" t="str">
        <f>$B$14</f>
        <v>Year</v>
      </c>
      <c r="D52" s="798">
        <f>SUM(D48:D51)</f>
        <v>31.181037</v>
      </c>
      <c r="E52" s="869">
        <f>D52/D32*100</f>
        <v>423.3906598075497</v>
      </c>
      <c r="F52" s="42"/>
      <c r="H52" s="798">
        <f>SUM(H48:H51)</f>
        <v>31.032088999999999</v>
      </c>
      <c r="I52" s="869">
        <f>H52/H32*100</f>
        <v>428.48543150949547</v>
      </c>
      <c r="J52" s="42">
        <f>IF(D52&lt;0,"       NM",(H52/D52-1)*100)</f>
        <v>-0.47768776901165877</v>
      </c>
      <c r="L52" s="798">
        <f>SUM(L48:L51)</f>
        <v>33.930493999999996</v>
      </c>
      <c r="M52" s="869">
        <f>L52/L32*100</f>
        <v>440.50999747096665</v>
      </c>
      <c r="N52" s="42">
        <f>IF(H52&lt;0,"       NM",(L52/H52-1)*100)</f>
        <v>9.34002541691601</v>
      </c>
      <c r="P52" s="798">
        <f>SUM(P48:P51)</f>
        <v>37.387331000000003</v>
      </c>
      <c r="Q52" s="869">
        <f>P52/P32*100</f>
        <v>430.49379055598001</v>
      </c>
      <c r="R52" s="42">
        <f>(P52/L52-1)*100</f>
        <v>10.187994905113996</v>
      </c>
      <c r="T52" s="798">
        <f>SUM(T48:T51)</f>
        <v>47.521006</v>
      </c>
      <c r="U52" s="869">
        <f>T52/T32*100</f>
        <v>427.28827042099323</v>
      </c>
      <c r="V52" s="42">
        <f>(T52/P52-1)*100</f>
        <v>27.104569192168327</v>
      </c>
      <c r="X52" s="798">
        <f>SUM(X48:X51)</f>
        <v>65.201840000000004</v>
      </c>
      <c r="Y52" s="869">
        <f>X52/X32*100</f>
        <v>406.7442786044823</v>
      </c>
      <c r="Z52" s="42">
        <f>(X52/T52-1)*100</f>
        <v>37.206354596112725</v>
      </c>
      <c r="AB52" s="798">
        <f>SUM(AB48:AB51)</f>
        <v>105.14333900000001</v>
      </c>
      <c r="AC52" s="869">
        <f>AB52/AB32*100</f>
        <v>395.29477681197937</v>
      </c>
      <c r="AD52" s="42">
        <f>(AB52/X52-1)*100</f>
        <v>61.258239031291154</v>
      </c>
      <c r="AF52" s="798"/>
      <c r="AG52" s="869"/>
      <c r="AH52" s="42"/>
      <c r="AJ52" s="798"/>
      <c r="AK52" s="869"/>
      <c r="AL52" s="42"/>
      <c r="AN52" s="798"/>
      <c r="AO52" s="869"/>
      <c r="AP52" s="42"/>
      <c r="AR52" s="798"/>
      <c r="AS52" s="869"/>
      <c r="AT52" s="42"/>
      <c r="AV52" s="798"/>
      <c r="AW52" s="869"/>
      <c r="AX52" s="42"/>
      <c r="AY52" s="42"/>
      <c r="AZ52" s="798">
        <f>SUM(AZ48:AZ51)</f>
        <v>66.463999999999999</v>
      </c>
      <c r="BA52" s="869">
        <f>AZ52/AZ14*100</f>
        <v>4.0503934666197825</v>
      </c>
      <c r="BB52" s="894" t="s">
        <v>172</v>
      </c>
      <c r="BC52" s="869"/>
      <c r="BD52" s="798">
        <f>SUM(BD48:BD51)</f>
        <v>95.718000000000004</v>
      </c>
      <c r="BE52" s="869">
        <f>BD52/BD14*100</f>
        <v>5.5834155327425865</v>
      </c>
      <c r="BF52" s="42">
        <f>(BD52/AZ52-1)*100</f>
        <v>44.014805007221966</v>
      </c>
      <c r="BG52" s="869"/>
      <c r="BH52" s="798">
        <f>SUM(BH48:BH51)</f>
        <v>80.325000000000003</v>
      </c>
      <c r="BI52" s="869">
        <f>BH52/BH14*100</f>
        <v>5.076137320178665</v>
      </c>
      <c r="BJ52" s="42">
        <f>(BH52/BD52-1)*100</f>
        <v>-16.081614743308471</v>
      </c>
      <c r="BK52" s="869"/>
      <c r="BL52" s="798">
        <f>SUM(BL48:BL51)</f>
        <v>78.075000000000003</v>
      </c>
      <c r="BM52" s="868">
        <f>BL52/BL14*100</f>
        <v>4.5573916134654802</v>
      </c>
      <c r="BN52" s="873">
        <f>(BL52/BH52-1)*100</f>
        <v>-2.8011204481792729</v>
      </c>
      <c r="BO52" s="868"/>
      <c r="BP52" s="805">
        <f>SUM(BP48:BP51)</f>
        <v>102.48099999999999</v>
      </c>
      <c r="BQ52" s="868">
        <f>BP52/BP14*100</f>
        <v>5.3796252356975174</v>
      </c>
      <c r="BR52" s="873">
        <f>(BP52/BL52-1)*100</f>
        <v>31.259686199167458</v>
      </c>
      <c r="BS52" s="868"/>
      <c r="BT52" s="805">
        <f>SUM(BT48:BT51)</f>
        <v>120.39292207933488</v>
      </c>
      <c r="BU52" s="868">
        <f>BT52/BT14*100</f>
        <v>5.4814748984380923</v>
      </c>
      <c r="BV52" s="873">
        <f>(BT52/BP52-1)*100</f>
        <v>17.478285808427785</v>
      </c>
      <c r="BW52" s="868"/>
      <c r="BX52" s="805">
        <f>SUM(BX48:BX51)</f>
        <v>184.04472399999997</v>
      </c>
      <c r="BY52" s="868">
        <f>BX52/BX14*100</f>
        <v>7.1305951011542943</v>
      </c>
      <c r="BZ52" s="873">
        <f>(BX52/BT52-1)*100</f>
        <v>52.870053173658093</v>
      </c>
      <c r="CA52" s="42"/>
      <c r="CB52" s="798">
        <f>SUM(CB48:CB51)</f>
        <v>193.34714</v>
      </c>
      <c r="CC52" s="869">
        <f>CB52/CB14*100</f>
        <v>7.4765805748332301</v>
      </c>
      <c r="CD52" s="42">
        <f>(CB52/BX52-1)*100</f>
        <v>5.0544323128763002</v>
      </c>
      <c r="CE52" s="42"/>
      <c r="CF52" s="798">
        <f>SUM(CF48:CF51)</f>
        <v>199.36862598468198</v>
      </c>
      <c r="CG52" s="869">
        <f>CF52/CF14*100</f>
        <v>7.6966378075059811</v>
      </c>
      <c r="CH52" s="42">
        <f>(CF52/CB52-1)*100</f>
        <v>3.114339309431724</v>
      </c>
      <c r="CI52" s="42"/>
      <c r="CJ52" s="798">
        <f>SUM(CJ48:CJ51)</f>
        <v>198.41515999999996</v>
      </c>
      <c r="CK52" s="869">
        <f>CJ52/CJ14*100</f>
        <v>7.7096766923662132</v>
      </c>
      <c r="CL52" s="42">
        <f>(CJ52/CF52-1)*100</f>
        <v>-0.47824274254429922</v>
      </c>
      <c r="CM52" s="42"/>
      <c r="CN52" s="798">
        <f>SUM(CN48:CN51)</f>
        <v>193.77509588421586</v>
      </c>
      <c r="CO52" s="869">
        <f>CN52/CN14*100</f>
        <v>7.8248390163266928</v>
      </c>
      <c r="CP52" s="42">
        <f>(CN52/CJ52-1)*100</f>
        <v>-2.3385633012034446</v>
      </c>
      <c r="CQ52" s="42"/>
      <c r="CR52" s="805">
        <f>SUM(CR48:CR51)</f>
        <v>193.77509588421586</v>
      </c>
      <c r="CS52" s="869">
        <f>CR52/CR14*100</f>
        <v>8.4900490183363875</v>
      </c>
      <c r="CT52" s="42">
        <f>(CR52/CN52-1)*100</f>
        <v>0</v>
      </c>
      <c r="CU52" s="42"/>
      <c r="CV52" s="805">
        <f>SUM(CV48:CV51)</f>
        <v>193.77509588421586</v>
      </c>
      <c r="CW52" s="869">
        <f>CV52/CV14*100</f>
        <v>8.8676024957350226</v>
      </c>
      <c r="CX52" s="42">
        <f>(CV52/CR52-1)*100</f>
        <v>0</v>
      </c>
      <c r="CY52" s="42"/>
      <c r="CZ52" s="42"/>
      <c r="DA52" s="42">
        <f>SUM(DA48:DA51)</f>
        <v>17.911922079334872</v>
      </c>
      <c r="DB52" s="42">
        <f>SUM(DB48:DB51)</f>
        <v>4</v>
      </c>
      <c r="DC52" s="869"/>
      <c r="DF52" s="888"/>
      <c r="DG52" s="886"/>
      <c r="DH52" s="122"/>
      <c r="DI52" s="122"/>
      <c r="DJ52" s="122"/>
    </row>
    <row r="53" spans="1:114" hidden="1" outlineLevel="1">
      <c r="D53" s="794"/>
      <c r="E53" s="869"/>
      <c r="F53" s="42"/>
      <c r="H53" s="794"/>
      <c r="I53" s="869"/>
      <c r="J53" s="42"/>
      <c r="L53" s="794"/>
      <c r="M53" s="869"/>
      <c r="N53" s="42"/>
      <c r="P53" s="794"/>
      <c r="Q53" s="869"/>
      <c r="R53" s="42"/>
      <c r="T53" s="794"/>
      <c r="U53" s="869"/>
      <c r="V53" s="42"/>
      <c r="X53" s="794"/>
      <c r="Y53" s="869"/>
      <c r="Z53" s="42"/>
      <c r="AB53" s="794"/>
      <c r="AC53" s="869"/>
      <c r="AD53" s="42"/>
      <c r="AF53" s="794"/>
      <c r="AG53" s="869"/>
      <c r="AH53" s="42"/>
      <c r="AJ53" s="794"/>
      <c r="AK53" s="869"/>
      <c r="AL53" s="42"/>
      <c r="AN53" s="794"/>
      <c r="AO53" s="869"/>
      <c r="AP53" s="42"/>
      <c r="AR53" s="794"/>
      <c r="AS53" s="869"/>
      <c r="AT53" s="42"/>
      <c r="AV53" s="794"/>
      <c r="AW53" s="869"/>
      <c r="AX53" s="42"/>
      <c r="AY53" s="42"/>
      <c r="AZ53" s="890"/>
      <c r="BA53" s="870"/>
      <c r="BB53" s="42"/>
      <c r="BC53" s="42"/>
      <c r="BD53" s="794"/>
      <c r="BE53" s="869"/>
      <c r="BF53" s="42"/>
      <c r="BG53" s="42"/>
      <c r="BH53" s="794"/>
      <c r="BI53" s="869"/>
      <c r="BJ53" s="42"/>
      <c r="BK53" s="42"/>
      <c r="BL53" s="794"/>
      <c r="BM53" s="868"/>
      <c r="BN53" s="873"/>
      <c r="BO53" s="873"/>
      <c r="BP53" s="803"/>
      <c r="BQ53" s="868"/>
      <c r="BR53" s="873"/>
      <c r="BS53" s="873"/>
      <c r="BT53" s="803"/>
      <c r="BU53" s="868"/>
      <c r="BV53" s="873"/>
      <c r="BW53" s="873"/>
      <c r="BX53" s="803"/>
      <c r="BY53" s="868"/>
      <c r="BZ53" s="873"/>
      <c r="CA53" s="42"/>
      <c r="CB53" s="42"/>
      <c r="CC53" s="42"/>
      <c r="CD53" s="42"/>
      <c r="CE53" s="42"/>
      <c r="CF53" s="42"/>
      <c r="CG53" s="42"/>
      <c r="CH53" s="42"/>
      <c r="CI53" s="42"/>
      <c r="CJ53" s="42"/>
      <c r="CK53" s="42"/>
      <c r="CL53" s="42"/>
      <c r="CM53" s="42"/>
      <c r="CN53" s="42"/>
      <c r="CO53" s="42"/>
      <c r="CP53" s="42"/>
      <c r="CQ53" s="42"/>
      <c r="CR53" s="873"/>
      <c r="CS53" s="42"/>
      <c r="CT53" s="42"/>
      <c r="CU53" s="42"/>
      <c r="CV53" s="873"/>
      <c r="CW53" s="42"/>
      <c r="CX53" s="42"/>
      <c r="CY53" s="42"/>
      <c r="CZ53" s="42"/>
      <c r="DA53" s="42"/>
      <c r="DB53" s="42">
        <f>SUM(DA52:DB52)</f>
        <v>21.911922079334872</v>
      </c>
      <c r="DC53" s="869"/>
      <c r="DF53" s="889"/>
      <c r="DG53" s="886"/>
      <c r="DH53" s="122"/>
      <c r="DI53" s="122"/>
      <c r="DJ53" s="122"/>
    </row>
    <row r="54" spans="1:114" hidden="1" outlineLevel="1">
      <c r="D54" s="794"/>
      <c r="E54" s="869"/>
      <c r="F54" s="42"/>
      <c r="H54" s="794"/>
      <c r="I54" s="869"/>
      <c r="J54" s="42"/>
      <c r="L54" s="794"/>
      <c r="M54" s="869"/>
      <c r="N54" s="42"/>
      <c r="P54" s="794"/>
      <c r="Q54" s="869"/>
      <c r="R54" s="42"/>
      <c r="T54" s="794"/>
      <c r="U54" s="869"/>
      <c r="V54" s="42"/>
      <c r="X54" s="794"/>
      <c r="Y54" s="869"/>
      <c r="Z54" s="42"/>
      <c r="AB54" s="794"/>
      <c r="AC54" s="869"/>
      <c r="AD54" s="42"/>
      <c r="AF54" s="794"/>
      <c r="AG54" s="869"/>
      <c r="AH54" s="42"/>
      <c r="AK54" s="880"/>
      <c r="AL54" s="899"/>
      <c r="AM54" s="840"/>
      <c r="AN54" s="900"/>
      <c r="AO54" s="880"/>
      <c r="AP54" s="899"/>
      <c r="AQ54" s="840"/>
      <c r="AR54" s="900"/>
      <c r="AS54" s="880"/>
      <c r="AT54" s="899"/>
      <c r="AU54" s="840"/>
      <c r="AW54" s="880"/>
      <c r="AX54" s="899"/>
      <c r="AY54" s="899"/>
      <c r="AZ54" s="901"/>
      <c r="BA54" s="902"/>
      <c r="BB54" s="899"/>
      <c r="BC54" s="899"/>
      <c r="BD54" s="900"/>
      <c r="BE54" s="880"/>
      <c r="BF54" s="899"/>
      <c r="BG54" s="899"/>
      <c r="BH54" s="900"/>
      <c r="BI54" s="880"/>
      <c r="BJ54" s="899"/>
      <c r="BK54" s="899"/>
      <c r="BL54" s="900"/>
      <c r="BM54" s="903"/>
      <c r="BN54" s="904"/>
      <c r="BO54" s="904"/>
      <c r="BP54" s="905"/>
      <c r="BQ54" s="903"/>
      <c r="BR54" s="904"/>
      <c r="BS54" s="904"/>
      <c r="BU54" s="903"/>
      <c r="BV54" s="904"/>
      <c r="BW54" s="904"/>
      <c r="BX54" s="905"/>
      <c r="BY54" s="903"/>
      <c r="BZ54" s="904"/>
      <c r="CA54" s="899"/>
      <c r="CB54" s="899"/>
      <c r="CC54" s="899"/>
      <c r="CD54" s="899"/>
      <c r="CE54" s="899"/>
      <c r="CF54" s="899"/>
      <c r="CG54" s="899"/>
      <c r="CH54" s="899"/>
      <c r="CI54" s="899"/>
      <c r="CJ54" s="899"/>
      <c r="CK54" s="893" t="s">
        <v>29</v>
      </c>
      <c r="CL54" s="899"/>
      <c r="CM54" s="899"/>
      <c r="CN54" s="899"/>
      <c r="CO54" s="899"/>
      <c r="CP54" s="899"/>
      <c r="CQ54" s="899"/>
      <c r="CR54" s="904"/>
      <c r="CS54" s="899"/>
      <c r="CT54" s="899"/>
      <c r="CU54" s="899"/>
      <c r="CV54" s="904"/>
      <c r="CW54" s="899"/>
      <c r="CX54" s="899"/>
      <c r="CY54" s="899"/>
      <c r="CZ54" s="899"/>
      <c r="DA54" s="899"/>
      <c r="DB54" s="189"/>
      <c r="DC54" s="880"/>
      <c r="DF54" s="889"/>
      <c r="DG54" s="886"/>
      <c r="DH54" s="122"/>
      <c r="DI54" s="122"/>
      <c r="DJ54" s="122"/>
    </row>
    <row r="55" spans="1:114" hidden="1" outlineLevel="1">
      <c r="D55" s="794"/>
      <c r="E55" s="869"/>
      <c r="F55" s="42"/>
      <c r="H55" s="794"/>
      <c r="I55" s="869"/>
      <c r="J55" s="42"/>
      <c r="L55" s="794"/>
      <c r="M55" s="869"/>
      <c r="N55" s="42"/>
      <c r="P55" s="794"/>
      <c r="Q55" s="869"/>
      <c r="R55" s="42"/>
      <c r="T55" s="794"/>
      <c r="U55" s="869"/>
      <c r="V55" s="42"/>
      <c r="X55" s="794"/>
      <c r="Y55" s="869"/>
      <c r="Z55" s="42"/>
      <c r="AB55" s="794"/>
      <c r="AC55" s="869"/>
      <c r="AD55" s="42"/>
      <c r="AF55" s="794"/>
      <c r="AG55" s="869"/>
      <c r="AH55" s="42"/>
      <c r="AJ55" s="794"/>
      <c r="AK55" s="869"/>
      <c r="AL55" s="42"/>
      <c r="AN55" s="794"/>
      <c r="AO55" s="869"/>
      <c r="AP55" s="42"/>
      <c r="AR55" s="794"/>
      <c r="AS55" s="869"/>
      <c r="AT55" s="42"/>
      <c r="AV55" s="794"/>
      <c r="AW55" s="869"/>
      <c r="AX55" s="42"/>
      <c r="AY55" s="42"/>
      <c r="AZ55" s="890"/>
      <c r="BA55" s="870"/>
      <c r="BB55" s="42"/>
      <c r="BC55" s="42"/>
      <c r="BD55" s="794"/>
      <c r="BE55" s="869"/>
      <c r="BF55" s="42"/>
      <c r="BG55" s="42"/>
      <c r="BH55" s="794"/>
      <c r="BI55" s="869"/>
      <c r="BJ55" s="42"/>
      <c r="BK55" s="42"/>
      <c r="BL55" s="794"/>
      <c r="BM55" s="867"/>
      <c r="BN55" s="873"/>
      <c r="BO55" s="873"/>
      <c r="BP55" s="803"/>
      <c r="BQ55" s="868"/>
      <c r="BR55" s="873"/>
      <c r="BS55" s="873"/>
      <c r="BT55" s="803"/>
      <c r="BU55" s="868"/>
      <c r="BV55" s="873"/>
      <c r="BW55" s="873"/>
      <c r="BX55" s="803"/>
      <c r="BY55" s="868"/>
      <c r="BZ55" s="873"/>
      <c r="CA55" s="42"/>
      <c r="CB55" s="42"/>
      <c r="CC55" s="42"/>
      <c r="CD55" s="42"/>
      <c r="CE55" s="42"/>
      <c r="CF55" s="42"/>
      <c r="CG55" s="42"/>
      <c r="CH55" s="42"/>
      <c r="CI55" s="42"/>
      <c r="CJ55" s="42"/>
      <c r="CK55" s="42"/>
      <c r="CL55" s="42"/>
      <c r="CM55" s="42"/>
      <c r="CN55" s="42"/>
      <c r="CO55" s="42"/>
      <c r="CP55" s="42"/>
      <c r="CQ55" s="42"/>
      <c r="CR55" s="873"/>
      <c r="CS55" s="42"/>
      <c r="CT55" s="42"/>
      <c r="CU55" s="42"/>
      <c r="CV55" s="873"/>
      <c r="CW55" s="42"/>
      <c r="CX55" s="42"/>
      <c r="CY55" s="42"/>
      <c r="CZ55" s="42"/>
      <c r="DA55" s="42"/>
      <c r="DC55" s="869"/>
      <c r="DF55" s="889"/>
      <c r="DG55" s="886"/>
      <c r="DH55" s="122"/>
      <c r="DI55" s="122"/>
      <c r="DJ55" s="122"/>
    </row>
    <row r="56" spans="1:114" hidden="1" outlineLevel="1">
      <c r="A56" s="26" t="str">
        <f>$A$10</f>
        <v>1Q</v>
      </c>
      <c r="B56" s="26" t="str">
        <f>$B$10</f>
        <v>Apr</v>
      </c>
      <c r="D56" s="844">
        <f>6.828138-D100</f>
        <v>6.8372890000000002</v>
      </c>
      <c r="E56" s="869">
        <f>D56/D36*100</f>
        <v>32.049014498132571</v>
      </c>
      <c r="F56" s="42"/>
      <c r="H56" s="844">
        <f>7.320173-H100</f>
        <v>7.7593989999999993</v>
      </c>
      <c r="I56" s="869">
        <f>H56/H36*100</f>
        <v>35.924638715287273</v>
      </c>
      <c r="J56" s="42">
        <f>IF(D56&lt;0,"       NM",(H56/D56-1)*100)</f>
        <v>13.486485652427426</v>
      </c>
      <c r="L56" s="844">
        <f>7.9561-L100</f>
        <v>8.2463920000000002</v>
      </c>
      <c r="M56" s="869">
        <f>L56/L36*100</f>
        <v>35.573600052766871</v>
      </c>
      <c r="N56" s="42">
        <f>IF(H56&lt;0,"       NM",(L56/H56-1)*100)</f>
        <v>6.2761690692797245</v>
      </c>
      <c r="P56" s="844">
        <f>8.815301-P100</f>
        <v>9.0884640000000001</v>
      </c>
      <c r="Q56" s="869">
        <f>P56/P36*100</f>
        <v>35.421766226641502</v>
      </c>
      <c r="R56" s="42">
        <f>(P56/L56-1)*100</f>
        <v>10.211399118547849</v>
      </c>
      <c r="T56" s="844">
        <f>11.166931-T100</f>
        <v>11.303768</v>
      </c>
      <c r="U56" s="869">
        <f>T56/T36*100</f>
        <v>34.301571501824874</v>
      </c>
      <c r="V56" s="42">
        <f>(T56/P56-1)*100</f>
        <v>24.374899873069864</v>
      </c>
      <c r="W56" s="45"/>
      <c r="X56" s="844">
        <f>14.724977-X100</f>
        <v>14.629359000000001</v>
      </c>
      <c r="Y56" s="869">
        <f>X56/X36*100</f>
        <v>33.064236365179418</v>
      </c>
      <c r="Z56" s="42">
        <f>(X56/T56-1)*100</f>
        <v>29.420198645265906</v>
      </c>
      <c r="AB56" s="844">
        <f>21.968219-AB100</f>
        <v>21.611871000000001</v>
      </c>
      <c r="AC56" s="869">
        <f>AB56/AB36*100</f>
        <v>31.154240806968268</v>
      </c>
      <c r="AD56" s="42">
        <f>(AB56/X56-1)*100</f>
        <v>47.729445972308149</v>
      </c>
      <c r="AF56" s="844"/>
      <c r="AG56" s="869"/>
      <c r="AH56" s="42"/>
      <c r="AJ56" s="844"/>
      <c r="AK56" s="869"/>
      <c r="AL56" s="42"/>
      <c r="AN56" s="844"/>
      <c r="AO56" s="869"/>
      <c r="AP56" s="42"/>
      <c r="AR56" s="844"/>
      <c r="AS56" s="869"/>
      <c r="AT56" s="42"/>
      <c r="AV56" s="844"/>
      <c r="AW56" s="869"/>
      <c r="AX56" s="42"/>
      <c r="AY56" s="42"/>
      <c r="AZ56" s="844">
        <f>54.521-AZ57</f>
        <v>30.148</v>
      </c>
      <c r="BA56" s="869">
        <f>AZ56/AZ10*100</f>
        <v>7.7171372768857047</v>
      </c>
      <c r="BB56" s="894" t="s">
        <v>172</v>
      </c>
      <c r="BC56" s="869"/>
      <c r="BD56" s="844">
        <v>29.471</v>
      </c>
      <c r="BE56" s="869">
        <f>BD56/BD10*100</f>
        <v>6.5044759516915036</v>
      </c>
      <c r="BF56" s="42">
        <f>(BD56/AZ56-1)*100</f>
        <v>-2.2455884304099727</v>
      </c>
      <c r="BG56" s="869"/>
      <c r="BH56" s="844">
        <v>28.280999999999999</v>
      </c>
      <c r="BI56" s="869">
        <f>BH56/BH10*100</f>
        <v>6.9051479133908247</v>
      </c>
      <c r="BJ56" s="42">
        <f>(BH56/BD56-1)*100</f>
        <v>-4.0378677343829601</v>
      </c>
      <c r="BK56" s="869"/>
      <c r="BL56" s="844">
        <v>25.533999999999999</v>
      </c>
      <c r="BM56" s="868">
        <f>BL56/BL10*100</f>
        <v>6.2180531507903458</v>
      </c>
      <c r="BN56" s="873">
        <f>(BL56/BH56-1)*100</f>
        <v>-9.7132350341218476</v>
      </c>
      <c r="BO56" s="868"/>
      <c r="BP56" s="855">
        <v>28.8</v>
      </c>
      <c r="BQ56" s="868">
        <f>BP56/BP10*100</f>
        <v>5.9802154538734351</v>
      </c>
      <c r="BR56" s="873">
        <f>(BP56/BL56-1)*100</f>
        <v>12.790788752251903</v>
      </c>
      <c r="BS56" s="868"/>
      <c r="BT56" s="855">
        <v>32.430999999999997</v>
      </c>
      <c r="BU56" s="868">
        <f>BT56/BT10*100</f>
        <v>6.0375159636457054</v>
      </c>
      <c r="BV56" s="873">
        <f>(BT56/BP56-1)*100</f>
        <v>12.607638888888872</v>
      </c>
      <c r="BW56" s="868"/>
      <c r="BX56" s="895">
        <f>BT56*1.19</f>
        <v>38.592889999999997</v>
      </c>
      <c r="BY56" s="868">
        <f>BX56/BX10*100</f>
        <v>5.9299142462474084</v>
      </c>
      <c r="BZ56" s="873">
        <f>(BX56/BT56-1)*100</f>
        <v>18.999999999999993</v>
      </c>
      <c r="CA56" s="42"/>
      <c r="CB56" s="896">
        <f>BX56*1.19</f>
        <v>45.925539099999995</v>
      </c>
      <c r="CC56" s="869">
        <f>CB56/CB10*100</f>
        <v>6.84717947227018</v>
      </c>
      <c r="CD56" s="42">
        <f>(CB56/BX56-1)*100</f>
        <v>18.999999999999993</v>
      </c>
      <c r="CE56" s="42"/>
      <c r="CF56" s="896">
        <f>CB56*1.19</f>
        <v>54.651391528999994</v>
      </c>
      <c r="CG56" s="869">
        <f>CF56/CF10*100</f>
        <v>8.2865530074190428</v>
      </c>
      <c r="CH56" s="42">
        <f>(CF56/CB56-1)*100</f>
        <v>18.999999999999993</v>
      </c>
      <c r="CI56" s="42"/>
      <c r="CJ56" s="896">
        <f>CF56*1.19</f>
        <v>65.03515591950999</v>
      </c>
      <c r="CK56" s="869">
        <f>CJ56/CJ10*100</f>
        <v>9.6711153422185134</v>
      </c>
      <c r="CL56" s="42">
        <f>(CJ56/CF56-1)*100</f>
        <v>18.999999999999993</v>
      </c>
      <c r="CM56" s="42"/>
      <c r="CN56" s="896">
        <f>CJ56*1.19</f>
        <v>77.391835544216889</v>
      </c>
      <c r="CO56" s="869">
        <f>CN56/CN10*100</f>
        <v>12.03648583762979</v>
      </c>
      <c r="CP56" s="42">
        <f>(CN56/CJ56-1)*100</f>
        <v>18.999999999999993</v>
      </c>
      <c r="CQ56" s="42"/>
      <c r="CR56" s="895">
        <f>CN56*1.19</f>
        <v>92.096284297618098</v>
      </c>
      <c r="CS56" s="869">
        <f>CR56/CR10*100</f>
        <v>15.77726000767791</v>
      </c>
      <c r="CT56" s="42">
        <f>(CR56/CN56-1)*100</f>
        <v>18.999999999999993</v>
      </c>
      <c r="CU56" s="42"/>
      <c r="CV56" s="895">
        <f>CR56*1.19</f>
        <v>109.59457831416553</v>
      </c>
      <c r="CW56" s="869">
        <f>CV56/CV10*100</f>
        <v>19.881620142350844</v>
      </c>
      <c r="CX56" s="42">
        <f>(CV56/CR56-1)*100</f>
        <v>18.999999999999993</v>
      </c>
      <c r="CY56" s="42"/>
      <c r="CZ56" s="42"/>
      <c r="DA56" s="42"/>
      <c r="DB56" s="870"/>
      <c r="DC56" s="869">
        <f>BL56-BH56</f>
        <v>-2.7469999999999999</v>
      </c>
      <c r="DF56" s="884"/>
      <c r="DG56" s="885"/>
      <c r="DH56" s="122"/>
      <c r="DI56" s="886"/>
      <c r="DJ56" s="886"/>
    </row>
    <row r="57" spans="1:114" hidden="1" outlineLevel="1">
      <c r="A57" s="26" t="str">
        <f>$A$11</f>
        <v>2Q</v>
      </c>
      <c r="B57" s="26" t="str">
        <f>$B$11</f>
        <v>Jul</v>
      </c>
      <c r="D57" s="854">
        <f>7.559003-D101</f>
        <v>7.5590029999999997</v>
      </c>
      <c r="E57" s="869" t="e">
        <f>D57/D37*100</f>
        <v>#DIV/0!</v>
      </c>
      <c r="F57" s="42"/>
      <c r="H57" s="854">
        <f>7.852066-H101</f>
        <v>7.8520659999999998</v>
      </c>
      <c r="I57" s="869" t="e">
        <f>H57/H37*100</f>
        <v>#DIV/0!</v>
      </c>
      <c r="J57" s="42">
        <f>IF(D57&lt;0,"       NM",(H57/D57-1)*100)</f>
        <v>3.8770060019820196</v>
      </c>
      <c r="L57" s="854">
        <f>8.426631-L101</f>
        <v>8.4266310000000004</v>
      </c>
      <c r="M57" s="869" t="e">
        <f>L57/L37*100</f>
        <v>#DIV/0!</v>
      </c>
      <c r="N57" s="42">
        <f>IF(H57&lt;0,"       NM",(L57/H57-1)*100)</f>
        <v>7.3173735421989683</v>
      </c>
      <c r="P57" s="854">
        <f>9.220508-P101</f>
        <v>9.2205080000000006</v>
      </c>
      <c r="Q57" s="869" t="e">
        <f>P57/P37*100</f>
        <v>#DIV/0!</v>
      </c>
      <c r="R57" s="42">
        <f>(P57/L57-1)*100</f>
        <v>9.4210485780141582</v>
      </c>
      <c r="T57" s="854">
        <f>11.794759-T101</f>
        <v>11.794759000000001</v>
      </c>
      <c r="U57" s="869" t="e">
        <f>T57/T37*100</f>
        <v>#DIV/0!</v>
      </c>
      <c r="V57" s="42">
        <f>(T57/P57-1)*100</f>
        <v>27.918754584888372</v>
      </c>
      <c r="X57" s="854">
        <f>14.954637-X101</f>
        <v>14.954637</v>
      </c>
      <c r="Y57" s="869" t="e">
        <f>X57/X37*100</f>
        <v>#DIV/0!</v>
      </c>
      <c r="Z57" s="42">
        <f>(X57/T57-1)*100</f>
        <v>26.790526198966845</v>
      </c>
      <c r="AB57" s="854">
        <f>23.267122-AB101</f>
        <v>23.267122000000001</v>
      </c>
      <c r="AC57" s="869" t="e">
        <f>AB57/AB37*100</f>
        <v>#DIV/0!</v>
      </c>
      <c r="AD57" s="42">
        <f>(AB57/X57-1)*100</f>
        <v>55.584665813018397</v>
      </c>
      <c r="AF57" s="854"/>
      <c r="AG57" s="869"/>
      <c r="AH57" s="42"/>
      <c r="AJ57" s="854"/>
      <c r="AK57" s="869"/>
      <c r="AL57" s="42"/>
      <c r="AN57" s="854"/>
      <c r="AO57" s="869"/>
      <c r="AP57" s="42"/>
      <c r="AR57" s="854"/>
      <c r="AS57" s="869"/>
      <c r="AT57" s="42"/>
      <c r="AV57" s="854"/>
      <c r="AW57" s="869"/>
      <c r="AX57" s="42"/>
      <c r="AY57" s="42"/>
      <c r="AZ57" s="854">
        <v>24.373000000000001</v>
      </c>
      <c r="BA57" s="869">
        <f>AZ57/AZ11*100</f>
        <v>6.0416842251384439</v>
      </c>
      <c r="BB57" s="894" t="s">
        <v>172</v>
      </c>
      <c r="BC57" s="869"/>
      <c r="BD57" s="854">
        <v>27.923999999999999</v>
      </c>
      <c r="BE57" s="869">
        <f>BD57/BD11*100</f>
        <v>6.4041611911134346</v>
      </c>
      <c r="BF57" s="42">
        <f>(BD57/AZ57-1)*100</f>
        <v>14.569400566200287</v>
      </c>
      <c r="BG57" s="869"/>
      <c r="BH57" s="854">
        <v>28.736999999999998</v>
      </c>
      <c r="BI57" s="869">
        <f>BH57/BH11*100</f>
        <v>7.0917382742128918</v>
      </c>
      <c r="BJ57" s="42">
        <f>(BH57/BD57-1)*100</f>
        <v>2.9114740008594708</v>
      </c>
      <c r="BK57" s="869"/>
      <c r="BL57" s="854">
        <v>28.701000000000001</v>
      </c>
      <c r="BM57" s="868">
        <f>BL57/BL11*100</f>
        <v>6.8349546932117216</v>
      </c>
      <c r="BN57" s="873">
        <f>(BL57/BH57-1)*100</f>
        <v>-0.12527403695583583</v>
      </c>
      <c r="BO57" s="868"/>
      <c r="BP57" s="855">
        <v>28.981999999999999</v>
      </c>
      <c r="BQ57" s="868">
        <f>BP57/BP11*100</f>
        <v>6.2273313278899876</v>
      </c>
      <c r="BR57" s="873">
        <f>(BP57/BL57-1)*100</f>
        <v>0.97905996306748566</v>
      </c>
      <c r="BS57" s="868"/>
      <c r="BT57" s="855">
        <v>35.822000000000003</v>
      </c>
      <c r="BU57" s="868">
        <f>BT57/BT11*100</f>
        <v>6.4959769625114916</v>
      </c>
      <c r="BV57" s="873">
        <f>(BT57/BP57-1)*100</f>
        <v>23.600855703540134</v>
      </c>
      <c r="BW57" s="868"/>
      <c r="BX57" s="895">
        <f>BT57*1.154</f>
        <v>41.338588000000001</v>
      </c>
      <c r="BY57" s="868">
        <f>BX57/BX11*100</f>
        <v>6.4418218480899831</v>
      </c>
      <c r="BZ57" s="873">
        <f>(BX57/BT57-1)*100</f>
        <v>15.399999999999991</v>
      </c>
      <c r="CA57" s="42"/>
      <c r="CB57" s="896">
        <f>BX57*1.154</f>
        <v>47.704730552000001</v>
      </c>
      <c r="CC57" s="869">
        <f>CB57/CB11*100</f>
        <v>7.3448052667963042</v>
      </c>
      <c r="CD57" s="42">
        <f>(CB57/BX57-1)*100</f>
        <v>15.399999999999991</v>
      </c>
      <c r="CE57" s="42"/>
      <c r="CF57" s="896">
        <f>CB57*1.154</f>
        <v>55.051259057007996</v>
      </c>
      <c r="CG57" s="869">
        <f>CF57/CF11*100</f>
        <v>8.4854554538432598</v>
      </c>
      <c r="CH57" s="42">
        <f>(CF57/CB57-1)*100</f>
        <v>15.399999999999991</v>
      </c>
      <c r="CI57" s="42"/>
      <c r="CJ57" s="896">
        <f>CF57*1.154</f>
        <v>63.529152951787225</v>
      </c>
      <c r="CK57" s="869">
        <f>CJ57/CJ11*100</f>
        <v>9.6325909713212763</v>
      </c>
      <c r="CL57" s="42">
        <f>(CJ57/CF57-1)*100</f>
        <v>15.399999999999991</v>
      </c>
      <c r="CM57" s="42"/>
      <c r="CN57" s="896">
        <f>CJ57*1.154</f>
        <v>73.312642506362451</v>
      </c>
      <c r="CO57" s="869">
        <f>CN57/CN11*100</f>
        <v>11.532004446270198</v>
      </c>
      <c r="CP57" s="42">
        <f>(CN57/CJ57-1)*100</f>
        <v>15.399999999999991</v>
      </c>
      <c r="CQ57" s="42"/>
      <c r="CR57" s="895">
        <f>CN57*1.154</f>
        <v>84.602789452342265</v>
      </c>
      <c r="CS57" s="869">
        <f>CR57/CR11*100</f>
        <v>14.622462447322373</v>
      </c>
      <c r="CT57" s="42">
        <f>(CR57/CN57-1)*100</f>
        <v>15.399999999999991</v>
      </c>
      <c r="CU57" s="42"/>
      <c r="CV57" s="895">
        <f>CR57*1.154</f>
        <v>97.631619028002973</v>
      </c>
      <c r="CW57" s="869">
        <f>CV57/CV11*100</f>
        <v>17.613612100936543</v>
      </c>
      <c r="CX57" s="42">
        <f>(CV57/CR57-1)*100</f>
        <v>15.399999999999991</v>
      </c>
      <c r="CY57" s="42"/>
      <c r="CZ57" s="42"/>
      <c r="DA57" s="42"/>
      <c r="DB57" s="870">
        <f>BM57-BI57</f>
        <v>-0.25678358100117027</v>
      </c>
      <c r="DC57" s="869">
        <f>BL57-BH57</f>
        <v>-3.5999999999997812E-2</v>
      </c>
      <c r="DF57" s="884"/>
      <c r="DG57" s="885"/>
      <c r="DH57" s="122"/>
      <c r="DI57" s="886"/>
      <c r="DJ57" s="886"/>
    </row>
    <row r="58" spans="1:114" hidden="1" outlineLevel="1">
      <c r="A58" s="26" t="str">
        <f>$A$12</f>
        <v>3Q</v>
      </c>
      <c r="B58" s="26" t="str">
        <f>$B$12</f>
        <v>Oct</v>
      </c>
      <c r="D58" s="854">
        <f>7.596802-D102</f>
        <v>7.5968020000000003</v>
      </c>
      <c r="E58" s="869" t="e">
        <f>D58/D38*100</f>
        <v>#DIV/0!</v>
      </c>
      <c r="F58" s="42"/>
      <c r="H58" s="854">
        <f>7.664398-H102</f>
        <v>7.6643980000000003</v>
      </c>
      <c r="I58" s="869" t="e">
        <f>H58/H38*100</f>
        <v>#DIV/0!</v>
      </c>
      <c r="J58" s="42">
        <f>IF(D58&lt;0,"       NM",(H58/D58-1)*100)</f>
        <v>0.88979546919873975</v>
      </c>
      <c r="L58" s="854">
        <f>8.177078-L102</f>
        <v>8.1770779999999998</v>
      </c>
      <c r="M58" s="869" t="e">
        <f>L58/L38*100</f>
        <v>#DIV/0!</v>
      </c>
      <c r="N58" s="42">
        <f>IF(H58&lt;0,"       NM",(L58/H58-1)*100)</f>
        <v>6.6891098296304463</v>
      </c>
      <c r="P58" s="854">
        <f>9.220152-P102</f>
        <v>9.2201520000000006</v>
      </c>
      <c r="Q58" s="869" t="e">
        <f>P58/P38*100</f>
        <v>#DIV/0!</v>
      </c>
      <c r="R58" s="42">
        <f>(P58/L58-1)*100</f>
        <v>12.756072523705919</v>
      </c>
      <c r="T58" s="854">
        <f>11.734126-T102</f>
        <v>11.734126</v>
      </c>
      <c r="U58" s="869" t="e">
        <f>T58/T38*100</f>
        <v>#DIV/0!</v>
      </c>
      <c r="V58" s="42">
        <f>(T58/P58-1)*100</f>
        <v>27.266079778294316</v>
      </c>
      <c r="X58" s="854">
        <f>16.881195-X102</f>
        <v>16.881195000000002</v>
      </c>
      <c r="Y58" s="869" t="e">
        <f>X58/X38*100</f>
        <v>#DIV/0!</v>
      </c>
      <c r="Z58" s="42">
        <f>(X58/T58-1)*100</f>
        <v>43.86410202174411</v>
      </c>
      <c r="AB58" s="854">
        <f>28.143889-AB102</f>
        <v>28.143889000000001</v>
      </c>
      <c r="AC58" s="869" t="e">
        <f>AB58/AB38*100</f>
        <v>#DIV/0!</v>
      </c>
      <c r="AD58" s="42">
        <f>(AB58/X58-1)*100</f>
        <v>66.7173976723804</v>
      </c>
      <c r="AF58" s="854"/>
      <c r="AG58" s="869"/>
      <c r="AH58" s="42"/>
      <c r="AJ58" s="854"/>
      <c r="AK58" s="869"/>
      <c r="AL58" s="42"/>
      <c r="AN58" s="854"/>
      <c r="AO58" s="869"/>
      <c r="AP58" s="42"/>
      <c r="AR58" s="854"/>
      <c r="AS58" s="869"/>
      <c r="AT58" s="42"/>
      <c r="AV58" s="854"/>
      <c r="AW58" s="869"/>
      <c r="AX58" s="42"/>
      <c r="AY58" s="42"/>
      <c r="AZ58" s="854">
        <v>27.670999999999999</v>
      </c>
      <c r="BA58" s="869">
        <f>AZ58/AZ12*100</f>
        <v>6.8795854994418466</v>
      </c>
      <c r="BB58" s="894" t="s">
        <v>172</v>
      </c>
      <c r="BC58" s="869"/>
      <c r="BD58" s="854">
        <v>28.553999999999998</v>
      </c>
      <c r="BE58" s="869">
        <f>BD58/BD12*100</f>
        <v>6.8653780958998629</v>
      </c>
      <c r="BF58" s="42">
        <f>(BD58/AZ58-1)*100</f>
        <v>3.1910664594702043</v>
      </c>
      <c r="BG58" s="869"/>
      <c r="BH58" s="854">
        <v>26.535</v>
      </c>
      <c r="BI58" s="869">
        <f>BH58/BH12*100</f>
        <v>6.7306204548971067</v>
      </c>
      <c r="BJ58" s="42">
        <f>(BH58/BD58-1)*100</f>
        <v>-7.0708131960495857</v>
      </c>
      <c r="BK58" s="869"/>
      <c r="BL58" s="854">
        <v>30.887</v>
      </c>
      <c r="BM58" s="868">
        <f>BL58/BL12*100</f>
        <v>6.9119618317023344</v>
      </c>
      <c r="BN58" s="873">
        <f>(BL58/BH58-1)*100</f>
        <v>16.40097983794988</v>
      </c>
      <c r="BO58" s="868"/>
      <c r="BP58" s="855">
        <v>29.251999999999999</v>
      </c>
      <c r="BQ58" s="868">
        <f>BP58/BP12*100</f>
        <v>6.0560388553730471</v>
      </c>
      <c r="BR58" s="873">
        <f>(BP58/BL58-1)*100</f>
        <v>-5.2934891702010596</v>
      </c>
      <c r="BS58" s="868"/>
      <c r="BT58" s="855">
        <v>31.1</v>
      </c>
      <c r="BU58" s="868">
        <f>BT58/BT12*100</f>
        <v>5.7748084657577996</v>
      </c>
      <c r="BV58" s="873">
        <f>(BT58/BP58-1)*100</f>
        <v>6.3175167509913921</v>
      </c>
      <c r="BW58" s="868"/>
      <c r="BX58" s="895">
        <f>BT58*1.12</f>
        <v>34.832000000000008</v>
      </c>
      <c r="BY58" s="868">
        <f>BX58/BX12*100</f>
        <v>5.4710090864112226</v>
      </c>
      <c r="BZ58" s="873">
        <f>(BX58/BT58-1)*100</f>
        <v>12.000000000000011</v>
      </c>
      <c r="CA58" s="42"/>
      <c r="CB58" s="896">
        <f>BX58*1.12</f>
        <v>39.011840000000014</v>
      </c>
      <c r="CC58" s="869">
        <f>CB58/CB12*100</f>
        <v>5.9507458292593292</v>
      </c>
      <c r="CD58" s="42">
        <f>(CB58/BX58-1)*100</f>
        <v>12.000000000000011</v>
      </c>
      <c r="CE58" s="42"/>
      <c r="CF58" s="896">
        <f>CB58*1.12</f>
        <v>43.693260800000019</v>
      </c>
      <c r="CG58" s="869">
        <f>CF58/CF12*100</f>
        <v>6.7688912643047843</v>
      </c>
      <c r="CH58" s="42">
        <f>(CF58/CB58-1)*100</f>
        <v>12.000000000000011</v>
      </c>
      <c r="CI58" s="42"/>
      <c r="CJ58" s="896">
        <f>CF58*1.12</f>
        <v>48.936452096000025</v>
      </c>
      <c r="CK58" s="869">
        <f>CJ58/CJ12*100</f>
        <v>7.808156891828288</v>
      </c>
      <c r="CL58" s="42">
        <f>(CJ58/CF58-1)*100</f>
        <v>12.000000000000011</v>
      </c>
      <c r="CM58" s="42"/>
      <c r="CN58" s="896">
        <f>CJ58*1.12</f>
        <v>54.808826347520032</v>
      </c>
      <c r="CO58" s="869">
        <f>CN58/CN12*100</f>
        <v>9.1820614005950674</v>
      </c>
      <c r="CP58" s="42">
        <f>(CN58/CJ58-1)*100</f>
        <v>12.000000000000011</v>
      </c>
      <c r="CQ58" s="42"/>
      <c r="CR58" s="895">
        <f>CN58*1.12</f>
        <v>61.38588550922244</v>
      </c>
      <c r="CS58" s="869">
        <f>CR58/CR12*100</f>
        <v>11.532478814854098</v>
      </c>
      <c r="CT58" s="42">
        <f>(CR58/CN58-1)*100</f>
        <v>12.000000000000011</v>
      </c>
      <c r="CU58" s="42"/>
      <c r="CV58" s="895">
        <f>CR58*1.12</f>
        <v>68.752191770329134</v>
      </c>
      <c r="CW58" s="869">
        <f>CV58/CV12*100</f>
        <v>12.965160002094981</v>
      </c>
      <c r="CX58" s="42">
        <f>(CV58/CR58-1)*100</f>
        <v>12.000000000000011</v>
      </c>
      <c r="CY58" s="42"/>
      <c r="CZ58" s="42"/>
      <c r="DA58" s="42"/>
      <c r="DB58" s="870"/>
      <c r="DC58" s="869">
        <f>BL58-BH58</f>
        <v>4.3520000000000003</v>
      </c>
      <c r="DF58" s="884"/>
      <c r="DG58" s="885"/>
      <c r="DH58" s="182"/>
      <c r="DI58" s="886"/>
      <c r="DJ58" s="886"/>
    </row>
    <row r="59" spans="1:114" hidden="1" outlineLevel="1">
      <c r="A59" s="26" t="str">
        <f>$A$13</f>
        <v>4Q</v>
      </c>
      <c r="B59" s="26" t="str">
        <f>$B$13</f>
        <v>Jan</v>
      </c>
      <c r="C59" s="122"/>
      <c r="D59" s="860">
        <f>9.184424-D103</f>
        <v>9.1844239999999999</v>
      </c>
      <c r="E59" s="869" t="e">
        <f>D59/D39*100</f>
        <v>#DIV/0!</v>
      </c>
      <c r="F59" s="42"/>
      <c r="H59" s="860">
        <f>7.906226-H103</f>
        <v>7.9062260000000002</v>
      </c>
      <c r="I59" s="869" t="e">
        <f>H59/H39*100</f>
        <v>#DIV/0!</v>
      </c>
      <c r="J59" s="42">
        <f>IF(D59&lt;0,"       NM",(H59/D59-1)*100)</f>
        <v>-13.917018639383372</v>
      </c>
      <c r="L59" s="860">
        <f>9.178714-L103</f>
        <v>9.1787139999999994</v>
      </c>
      <c r="M59" s="869" t="e">
        <f>L59/L39*100</f>
        <v>#DIV/0!</v>
      </c>
      <c r="N59" s="42">
        <f>IF(H59&lt;0,"       NM",(L59/H59-1)*100)</f>
        <v>16.094758738239957</v>
      </c>
      <c r="P59" s="860">
        <f>9.92871-P103</f>
        <v>9.9287100000000006</v>
      </c>
      <c r="Q59" s="869" t="e">
        <f>P59/P39*100</f>
        <v>#DIV/0!</v>
      </c>
      <c r="R59" s="42">
        <f>(P59/L59-1)*100</f>
        <v>8.1710357246124197</v>
      </c>
      <c r="T59" s="860">
        <f>12.715241-T103</f>
        <v>12.715241000000001</v>
      </c>
      <c r="U59" s="869" t="e">
        <f>T59/T39*100</f>
        <v>#DIV/0!</v>
      </c>
      <c r="V59" s="42">
        <f>(T59/P59-1)*100</f>
        <v>28.06538815213657</v>
      </c>
      <c r="X59" s="860">
        <f>18.685462-X103</f>
        <v>18.685462000000001</v>
      </c>
      <c r="Y59" s="869" t="e">
        <f>X59/X39*100</f>
        <v>#DIV/0!</v>
      </c>
      <c r="Z59" s="42">
        <f>(X59/T59-1)*100</f>
        <v>46.953266556253247</v>
      </c>
      <c r="AB59" s="860">
        <f>32.032614-AB103</f>
        <v>32.032614000000002</v>
      </c>
      <c r="AC59" s="869" t="e">
        <f>AB59/AB39*100</f>
        <v>#DIV/0!</v>
      </c>
      <c r="AD59" s="42">
        <f>(AB59/X59-1)*100</f>
        <v>71.430676961586499</v>
      </c>
      <c r="AF59" s="860"/>
      <c r="AG59" s="869"/>
      <c r="AH59" s="42"/>
      <c r="AJ59" s="860"/>
      <c r="AK59" s="869"/>
      <c r="AL59" s="42"/>
      <c r="AN59" s="860"/>
      <c r="AO59" s="869"/>
      <c r="AP59" s="42"/>
      <c r="AR59" s="860"/>
      <c r="AS59" s="869"/>
      <c r="AT59" s="42"/>
      <c r="AV59" s="860"/>
      <c r="AW59" s="869"/>
      <c r="AX59" s="42"/>
      <c r="AY59" s="42"/>
      <c r="AZ59" s="860">
        <v>29.298999999999999</v>
      </c>
      <c r="BA59" s="869">
        <f>AZ59/AZ13*100</f>
        <v>6.589509053574762</v>
      </c>
      <c r="BB59" s="894" t="s">
        <v>172</v>
      </c>
      <c r="BC59" s="869"/>
      <c r="BD59" s="860">
        <v>32.649000000000001</v>
      </c>
      <c r="BE59" s="869">
        <f>BD59/BD13*100</f>
        <v>7.976848107853221</v>
      </c>
      <c r="BF59" s="42">
        <f>(BD59/AZ59-1)*100</f>
        <v>11.433837332332164</v>
      </c>
      <c r="BG59" s="869"/>
      <c r="BH59" s="860">
        <v>26.190999999999999</v>
      </c>
      <c r="BI59" s="869">
        <f>BH59/BH13*100</f>
        <v>7.0145883940982214</v>
      </c>
      <c r="BJ59" s="42">
        <f>(BH59/BD59-1)*100</f>
        <v>-19.780085148090297</v>
      </c>
      <c r="BK59" s="869"/>
      <c r="BL59" s="860">
        <v>26.324000000000002</v>
      </c>
      <c r="BM59" s="868">
        <f>BL59/BL13*100</f>
        <v>6.0413558855254399</v>
      </c>
      <c r="BN59" s="873">
        <f>(BL59/BH59-1)*100</f>
        <v>0.50780802565768557</v>
      </c>
      <c r="BO59" s="868"/>
      <c r="BP59" s="861">
        <v>26.968</v>
      </c>
      <c r="BQ59" s="868">
        <f>BP59/BP13*100</f>
        <v>5.6777844682024705</v>
      </c>
      <c r="BR59" s="873">
        <f>(BP59/BL59-1)*100</f>
        <v>2.4464367117459362</v>
      </c>
      <c r="BS59" s="868"/>
      <c r="BT59" s="897">
        <f>BP59*1.22</f>
        <v>32.900959999999998</v>
      </c>
      <c r="BU59" s="868">
        <f>BT59/BT13*100</f>
        <v>5.7801397382674491</v>
      </c>
      <c r="BV59" s="873">
        <f>(BT59/BP59-1)*100</f>
        <v>21.999999999999996</v>
      </c>
      <c r="BW59" s="868"/>
      <c r="BX59" s="897">
        <f>BT59*1.15</f>
        <v>37.836103999999992</v>
      </c>
      <c r="BY59" s="868">
        <f>BX59/BX13*100</f>
        <v>5.8043920945366505</v>
      </c>
      <c r="BZ59" s="873">
        <f>(BX59/BT59-1)*100</f>
        <v>14.999999999999991</v>
      </c>
      <c r="CA59" s="42"/>
      <c r="CB59" s="898">
        <f>BX59*1.15</f>
        <v>43.511519599999986</v>
      </c>
      <c r="CC59" s="869">
        <f>CB59/CB13*100</f>
        <v>7.1303124544231444</v>
      </c>
      <c r="CD59" s="42">
        <f>(CB59/BX59-1)*100</f>
        <v>14.999999999999991</v>
      </c>
      <c r="CE59" s="42"/>
      <c r="CF59" s="898">
        <f>CB59*1.15</f>
        <v>50.038247539999979</v>
      </c>
      <c r="CG59" s="869">
        <f>CF59/CF13*100</f>
        <v>7.8609498729070468</v>
      </c>
      <c r="CH59" s="42">
        <f>(CF59/CB59-1)*100</f>
        <v>14.999999999999991</v>
      </c>
      <c r="CI59" s="42"/>
      <c r="CJ59" s="898">
        <f>CF59*1.15</f>
        <v>57.543984670999969</v>
      </c>
      <c r="CK59" s="869">
        <f>CJ59/CJ13*100</f>
        <v>9.3588759507855386</v>
      </c>
      <c r="CL59" s="42">
        <f>(CJ59/CF59-1)*100</f>
        <v>14.999999999999991</v>
      </c>
      <c r="CM59" s="42"/>
      <c r="CN59" s="898">
        <f>CJ59*1.15</f>
        <v>66.175582371649952</v>
      </c>
      <c r="CO59" s="869">
        <f>CN59/CN13*100</f>
        <v>11.014779293836929</v>
      </c>
      <c r="CP59" s="42">
        <f>(CN59/CJ59-1)*100</f>
        <v>14.999999999999968</v>
      </c>
      <c r="CQ59" s="42"/>
      <c r="CR59" s="897">
        <f>CN59*1.15</f>
        <v>76.101919727397444</v>
      </c>
      <c r="CS59" s="869">
        <f>CR59/CR13*100</f>
        <v>12.947281518417075</v>
      </c>
      <c r="CT59" s="42">
        <f>(CR59/CN59-1)*100</f>
        <v>14.999999999999991</v>
      </c>
      <c r="CU59" s="42"/>
      <c r="CV59" s="897">
        <f>CR59*1.15</f>
        <v>87.517207686507049</v>
      </c>
      <c r="CW59" s="869">
        <f>CV59/CV13*100</f>
        <v>15.929987535235215</v>
      </c>
      <c r="CX59" s="42">
        <f>(CV59/CR59-1)*100</f>
        <v>14.999999999999991</v>
      </c>
      <c r="CY59" s="869"/>
      <c r="CZ59" s="869"/>
      <c r="DA59" s="42"/>
      <c r="DB59" s="869"/>
      <c r="DC59" s="869">
        <f>BL59-BH59</f>
        <v>0.13300000000000267</v>
      </c>
      <c r="DF59" s="884"/>
      <c r="DG59" s="885"/>
      <c r="DH59" s="182"/>
      <c r="DI59" s="886"/>
      <c r="DJ59" s="886"/>
    </row>
    <row r="60" spans="1:114" hidden="1" outlineLevel="1">
      <c r="B60" s="26" t="str">
        <f>$B$14</f>
        <v>Year</v>
      </c>
      <c r="D60" s="798">
        <f>SUM(D56:D59)</f>
        <v>31.177517999999999</v>
      </c>
      <c r="E60" s="869">
        <f>D60/D40*100</f>
        <v>676.98212173272577</v>
      </c>
      <c r="F60" s="42"/>
      <c r="H60" s="798">
        <f>SUM(H56:H59)</f>
        <v>31.182089000000001</v>
      </c>
      <c r="I60" s="869">
        <f>H60/H40*100</f>
        <v>455.53251587427388</v>
      </c>
      <c r="J60" s="42">
        <f>IF(D60&lt;0,"       NM",(H60/D60-1)*100)</f>
        <v>1.4661205552024548E-2</v>
      </c>
      <c r="L60" s="798">
        <f>SUM(L56:L59)</f>
        <v>34.028815000000002</v>
      </c>
      <c r="M60" s="869">
        <f>L60/L40*100</f>
        <v>562.50131208041307</v>
      </c>
      <c r="N60" s="42">
        <f>IF(H60&lt;0,"       NM",(L60/H60-1)*100)</f>
        <v>9.1293626927945617</v>
      </c>
      <c r="P60" s="798">
        <f>SUM(P56:P59)</f>
        <v>37.457834000000005</v>
      </c>
      <c r="Q60" s="869">
        <f>P60/P40*100</f>
        <v>533.04332543778332</v>
      </c>
      <c r="R60" s="42">
        <f>(P60/L60-1)*100</f>
        <v>10.076809903606708</v>
      </c>
      <c r="T60" s="798">
        <f>SUM(T56:T59)</f>
        <v>47.547893999999999</v>
      </c>
      <c r="U60" s="869">
        <f>T60/T40*100</f>
        <v>659.73620205721932</v>
      </c>
      <c r="V60" s="42">
        <f>(T60/P60-1)*100</f>
        <v>26.93711547763278</v>
      </c>
      <c r="X60" s="798">
        <f>SUM(X56:X59)</f>
        <v>65.150653000000005</v>
      </c>
      <c r="Y60" s="869">
        <f>X60/X40*100</f>
        <v>822.02843798750303</v>
      </c>
      <c r="Z60" s="42">
        <f>(X60/T60-1)*100</f>
        <v>37.021111807812154</v>
      </c>
      <c r="AB60" s="798">
        <f>SUM(AB56:AB59)</f>
        <v>105.05549600000001</v>
      </c>
      <c r="AC60" s="869">
        <f>AB60/AB40*100</f>
        <v>1049.7552564456398</v>
      </c>
      <c r="AD60" s="42">
        <f>(AB60/X60-1)*100</f>
        <v>61.250104431033094</v>
      </c>
      <c r="AF60" s="798"/>
      <c r="AG60" s="869"/>
      <c r="AH60" s="42"/>
      <c r="AJ60" s="798"/>
      <c r="AK60" s="869"/>
      <c r="AL60" s="42"/>
      <c r="AN60" s="798"/>
      <c r="AO60" s="869"/>
      <c r="AP60" s="42"/>
      <c r="AR60" s="798"/>
      <c r="AS60" s="869"/>
      <c r="AT60" s="42"/>
      <c r="AV60" s="798"/>
      <c r="AW60" s="869"/>
      <c r="AX60" s="42"/>
      <c r="AY60" s="42"/>
      <c r="AZ60" s="798">
        <f>SUM(AZ56:AZ59)</f>
        <v>111.49100000000001</v>
      </c>
      <c r="BA60" s="869">
        <f>AZ60/AZ14*100</f>
        <v>6.7943912191096869</v>
      </c>
      <c r="BB60" s="894" t="s">
        <v>172</v>
      </c>
      <c r="BC60" s="869"/>
      <c r="BD60" s="798">
        <f>SUM(BD56:BD59)</f>
        <v>118.598</v>
      </c>
      <c r="BE60" s="869">
        <f>BD60/BD14*100</f>
        <v>6.9180500569611283</v>
      </c>
      <c r="BF60" s="42">
        <f>(BD60/AZ60-1)*100</f>
        <v>6.3745055654716332</v>
      </c>
      <c r="BG60" s="869"/>
      <c r="BH60" s="798">
        <f>SUM(BH56:BH59)</f>
        <v>109.744</v>
      </c>
      <c r="BI60" s="869">
        <f>BH60/BH14*100</f>
        <v>6.9352706388507617</v>
      </c>
      <c r="BJ60" s="42">
        <f>(BH60/BD60-1)*100</f>
        <v>-7.4655559115668009</v>
      </c>
      <c r="BK60" s="869"/>
      <c r="BL60" s="798">
        <f>SUM(BL56:BL59)</f>
        <v>111.446</v>
      </c>
      <c r="BM60" s="868">
        <f>BL60/BL14*100</f>
        <v>6.5053226481495212</v>
      </c>
      <c r="BN60" s="873">
        <f>(BL60/BH60-1)*100</f>
        <v>1.5508820527773803</v>
      </c>
      <c r="BO60" s="868"/>
      <c r="BP60" s="805">
        <f>SUM(BP56:BP59)</f>
        <v>114.002</v>
      </c>
      <c r="BQ60" s="868">
        <f>BP60/BP14*100</f>
        <v>5.9844072181183678</v>
      </c>
      <c r="BR60" s="873">
        <f>(BP60/BL60-1)*100</f>
        <v>2.2934874288893292</v>
      </c>
      <c r="BS60" s="868"/>
      <c r="BT60" s="805">
        <f>SUM(BT56:BT59)</f>
        <v>132.25396000000001</v>
      </c>
      <c r="BU60" s="868">
        <f>BT60/BT14*100</f>
        <v>6.0215064925604178</v>
      </c>
      <c r="BV60" s="873">
        <f>(BT60/BP60-1)*100</f>
        <v>16.010210347186906</v>
      </c>
      <c r="BW60" s="868"/>
      <c r="BX60" s="805">
        <f>SUM(BX56:BX59)</f>
        <v>152.599582</v>
      </c>
      <c r="BY60" s="868">
        <f>BX60/BX14*100</f>
        <v>5.9122902748757591</v>
      </c>
      <c r="BZ60" s="873">
        <f>(BX60/BT60-1)*100</f>
        <v>15.383752592360933</v>
      </c>
      <c r="CA60" s="42"/>
      <c r="CB60" s="798">
        <f>SUM(CB56:CB59)</f>
        <v>176.153629252</v>
      </c>
      <c r="CC60" s="869">
        <f>CB60/CB14*100</f>
        <v>6.8117211490786884</v>
      </c>
      <c r="CD60" s="42">
        <f>(CB60/BX60-1)*100</f>
        <v>15.43519775303186</v>
      </c>
      <c r="CE60" s="42"/>
      <c r="CF60" s="798">
        <f>SUM(CF56:CF59)</f>
        <v>203.434158926008</v>
      </c>
      <c r="CG60" s="869">
        <f>CF60/CF14*100</f>
        <v>7.8535879514382305</v>
      </c>
      <c r="CH60" s="42">
        <f>(CF60/CB60-1)*100</f>
        <v>15.486782639590867</v>
      </c>
      <c r="CI60" s="42"/>
      <c r="CJ60" s="798">
        <f>SUM(CJ56:CJ59)</f>
        <v>235.04474563829723</v>
      </c>
      <c r="CK60" s="869">
        <f>CJ60/CJ14*100</f>
        <v>9.1329664382032387</v>
      </c>
      <c r="CL60" s="42">
        <f>(CJ60/CF60-1)*100</f>
        <v>15.538485217611097</v>
      </c>
      <c r="CM60" s="42"/>
      <c r="CN60" s="798">
        <f>SUM(CN56:CN59)</f>
        <v>271.68888676974933</v>
      </c>
      <c r="CO60" s="869">
        <f>CN60/CN14*100</f>
        <v>10.971078568159124</v>
      </c>
      <c r="CP60" s="42">
        <f>(CN60/CJ60-1)*100</f>
        <v>15.590283046719367</v>
      </c>
      <c r="CQ60" s="42"/>
      <c r="CR60" s="798">
        <f>SUM(CR56:CR59)</f>
        <v>314.18687898658027</v>
      </c>
      <c r="CS60" s="869">
        <f>CR60/CR14*100</f>
        <v>13.765762784646206</v>
      </c>
      <c r="CT60" s="42">
        <f>(CR60/CN60-1)*100</f>
        <v>15.642153318124908</v>
      </c>
      <c r="CU60" s="42"/>
      <c r="CV60" s="798">
        <f>SUM(CV56:CV59)</f>
        <v>363.49559679900472</v>
      </c>
      <c r="CW60" s="869">
        <f>CV60/CV14*100</f>
        <v>16.634410354205407</v>
      </c>
      <c r="CX60" s="42">
        <f>(CV60/CR60-1)*100</f>
        <v>15.694072894282307</v>
      </c>
      <c r="CY60" s="42"/>
      <c r="CZ60" s="42"/>
      <c r="DA60" s="42"/>
      <c r="DB60" s="869"/>
      <c r="DC60" s="798"/>
      <c r="DF60" s="888"/>
      <c r="DG60" s="886"/>
      <c r="DH60" s="122"/>
      <c r="DI60" s="122"/>
      <c r="DJ60" s="122"/>
    </row>
    <row r="61" spans="1:114" hidden="1" outlineLevel="1" collapsed="1">
      <c r="D61" s="794"/>
      <c r="E61" s="869"/>
      <c r="F61" s="42"/>
      <c r="H61" s="794"/>
      <c r="I61" s="869"/>
      <c r="J61" s="42"/>
      <c r="L61" s="794"/>
      <c r="M61" s="869"/>
      <c r="N61" s="42"/>
      <c r="P61" s="794"/>
      <c r="Q61" s="869"/>
      <c r="R61" s="42"/>
      <c r="T61" s="794"/>
      <c r="U61" s="869"/>
      <c r="V61" s="42"/>
      <c r="X61" s="794"/>
      <c r="Y61" s="869"/>
      <c r="Z61" s="42"/>
      <c r="AB61" s="794"/>
      <c r="AC61" s="869"/>
      <c r="AD61" s="42"/>
      <c r="AF61" s="794"/>
      <c r="AG61" s="869"/>
      <c r="AH61" s="42"/>
      <c r="AJ61" s="794"/>
      <c r="AK61" s="869"/>
      <c r="AL61" s="42"/>
      <c r="AN61" s="794"/>
      <c r="AO61" s="869"/>
      <c r="AP61" s="42"/>
      <c r="AR61" s="794"/>
      <c r="AS61" s="869"/>
      <c r="AT61" s="42"/>
      <c r="AV61" s="794"/>
      <c r="AW61" s="869"/>
      <c r="AX61" s="42"/>
      <c r="AY61" s="42"/>
      <c r="AZ61" s="890"/>
      <c r="BA61" s="870"/>
      <c r="BB61" s="42"/>
      <c r="BC61" s="42"/>
      <c r="BD61" s="794"/>
      <c r="BE61" s="869"/>
      <c r="BF61" s="42"/>
      <c r="BG61" s="42"/>
      <c r="BH61" s="794"/>
      <c r="BI61" s="869"/>
      <c r="BJ61" s="42"/>
      <c r="BK61" s="42"/>
      <c r="BL61" s="794"/>
      <c r="BM61" s="868"/>
      <c r="BN61" s="873"/>
      <c r="BO61" s="873"/>
      <c r="BP61" s="803"/>
      <c r="BQ61" s="868"/>
      <c r="BR61" s="873"/>
      <c r="BS61" s="873"/>
      <c r="BT61" s="803"/>
      <c r="BU61" s="868"/>
      <c r="BV61" s="873"/>
      <c r="BW61" s="873"/>
      <c r="BX61" s="803"/>
      <c r="BY61" s="868"/>
      <c r="BZ61" s="873"/>
      <c r="CA61" s="42"/>
      <c r="CB61" s="42"/>
      <c r="CC61" s="42"/>
      <c r="CD61" s="42"/>
      <c r="CE61" s="42"/>
      <c r="CF61" s="42"/>
      <c r="CG61" s="42"/>
      <c r="CH61" s="42"/>
      <c r="CI61" s="42"/>
      <c r="CJ61" s="42"/>
      <c r="CK61" s="42"/>
      <c r="CL61" s="42"/>
      <c r="CM61" s="42"/>
      <c r="CN61" s="42"/>
      <c r="CO61" s="42"/>
      <c r="CP61" s="42"/>
      <c r="CQ61" s="42"/>
      <c r="CR61" s="42"/>
      <c r="CS61" s="42"/>
      <c r="CT61" s="42"/>
      <c r="CU61" s="42"/>
      <c r="CV61" s="42"/>
      <c r="CW61" s="42"/>
      <c r="CX61" s="42"/>
      <c r="CY61" s="42"/>
      <c r="CZ61" s="42"/>
      <c r="DA61" s="42"/>
      <c r="DF61" s="889"/>
      <c r="DG61" s="886"/>
      <c r="DH61" s="122"/>
      <c r="DI61" s="122"/>
      <c r="DJ61" s="122"/>
    </row>
    <row r="62" spans="1:114" hidden="1" outlineLevel="1">
      <c r="C62" s="837"/>
      <c r="D62" s="838"/>
      <c r="H62" s="839"/>
      <c r="I62" s="840"/>
      <c r="J62" s="840"/>
      <c r="K62" s="840"/>
      <c r="L62" s="839"/>
      <c r="M62" s="840"/>
      <c r="N62" s="840"/>
      <c r="O62" s="840"/>
      <c r="P62" s="839"/>
      <c r="Q62" s="840"/>
      <c r="R62" s="840"/>
      <c r="S62" s="840"/>
      <c r="T62" s="839"/>
      <c r="U62" s="840"/>
      <c r="V62" s="840"/>
      <c r="W62" s="840"/>
      <c r="Y62" s="840"/>
      <c r="Z62" s="840"/>
      <c r="AA62" s="840"/>
      <c r="AC62" s="840"/>
      <c r="AD62" s="840"/>
      <c r="AE62" s="840"/>
      <c r="AF62" s="839"/>
      <c r="AG62" s="840"/>
      <c r="AH62" s="840"/>
      <c r="AI62" s="840"/>
      <c r="AJ62" s="839" t="s">
        <v>558</v>
      </c>
      <c r="AK62" s="840"/>
      <c r="AL62" s="840"/>
      <c r="AM62" s="840"/>
      <c r="AN62" s="839"/>
      <c r="AO62" s="840"/>
      <c r="AP62" s="840"/>
      <c r="AQ62" s="840"/>
      <c r="AR62" s="839"/>
      <c r="AS62" s="840"/>
      <c r="AT62" s="840"/>
      <c r="AU62" s="840"/>
      <c r="AV62" s="839"/>
      <c r="AW62" s="840"/>
      <c r="AX62" s="840"/>
      <c r="AY62" s="840"/>
      <c r="AZ62" s="839"/>
      <c r="BA62" s="840"/>
      <c r="BB62" s="840"/>
      <c r="BC62" s="840"/>
      <c r="BD62" s="839"/>
      <c r="BE62" s="840"/>
      <c r="BF62" s="840"/>
      <c r="BG62" s="840"/>
      <c r="BH62" s="839"/>
      <c r="BI62" s="840"/>
      <c r="BJ62" s="840"/>
      <c r="BK62" s="840"/>
      <c r="BL62" s="839"/>
      <c r="BM62" s="841"/>
      <c r="BN62" s="841"/>
      <c r="BO62" s="841"/>
      <c r="BP62" s="842"/>
      <c r="BQ62" s="841"/>
      <c r="BR62" s="841"/>
      <c r="BS62" s="841"/>
      <c r="BT62" s="842"/>
      <c r="BU62" s="841"/>
      <c r="BV62" s="841"/>
      <c r="BW62" s="841"/>
      <c r="BX62" s="842"/>
      <c r="BY62" s="841"/>
      <c r="BZ62" s="841"/>
      <c r="CA62" s="840"/>
      <c r="CB62" s="840"/>
      <c r="CC62" s="840"/>
      <c r="CD62" s="840"/>
      <c r="CE62" s="840"/>
      <c r="CF62" s="840"/>
      <c r="CG62" s="840"/>
      <c r="CH62" s="840"/>
      <c r="CI62" s="840"/>
      <c r="CJ62" s="840"/>
      <c r="CK62" s="840"/>
      <c r="CL62" s="840"/>
      <c r="CM62" s="840"/>
      <c r="CN62" s="840"/>
      <c r="CO62" s="840"/>
      <c r="CP62" s="840"/>
      <c r="CQ62" s="840"/>
      <c r="CR62" s="840"/>
      <c r="CS62" s="840"/>
      <c r="CT62" s="840"/>
      <c r="CU62" s="840"/>
      <c r="CV62" s="840"/>
      <c r="CW62" s="840"/>
      <c r="CX62" s="840"/>
      <c r="CY62" s="840"/>
      <c r="CZ62" s="840"/>
      <c r="DA62" s="840"/>
      <c r="DF62" s="122"/>
      <c r="DG62" s="122"/>
      <c r="DH62" s="122"/>
      <c r="DI62" s="122"/>
      <c r="DJ62" s="122"/>
    </row>
    <row r="63" spans="1:114" hidden="1" outlineLevel="1">
      <c r="AO63" s="870"/>
      <c r="AS63" s="870"/>
      <c r="AW63" s="870"/>
      <c r="BA63" s="870"/>
      <c r="BE63" s="870"/>
      <c r="BI63" s="870"/>
      <c r="BM63" s="867"/>
      <c r="BN63" s="137"/>
      <c r="BO63" s="137"/>
      <c r="BP63" s="137"/>
      <c r="BQ63" s="867"/>
      <c r="BR63" s="137"/>
      <c r="BS63" s="137"/>
      <c r="BT63" s="137"/>
      <c r="BU63" s="867"/>
      <c r="BV63" s="137"/>
      <c r="BW63" s="137"/>
      <c r="BX63" s="137"/>
      <c r="BY63" s="867"/>
      <c r="BZ63" s="137"/>
      <c r="DF63" s="122"/>
      <c r="DG63" s="122"/>
      <c r="DH63" s="122"/>
      <c r="DI63" s="122"/>
      <c r="DJ63" s="122"/>
    </row>
    <row r="64" spans="1:114" hidden="1" outlineLevel="1">
      <c r="A64" s="26" t="str">
        <f>$A$10</f>
        <v>1Q</v>
      </c>
      <c r="B64" s="26" t="str">
        <f>$B$10</f>
        <v>Apr</v>
      </c>
      <c r="D64" s="844">
        <f>6.828138-D84</f>
        <v>4.6053680000000004</v>
      </c>
      <c r="E64" s="869">
        <f t="shared" ref="E64:E70" si="101">D64/D20*100</f>
        <v>94.552836748529259</v>
      </c>
      <c r="F64" s="42"/>
      <c r="H64" s="844">
        <f>7.320173-H84</f>
        <v>6.8451949999999995</v>
      </c>
      <c r="I64" s="869">
        <f t="shared" ref="I64:I70" si="102">H64/H20*100</f>
        <v>99.714078571290173</v>
      </c>
      <c r="J64" s="42">
        <f t="shared" ref="J64:J70" si="103">IF(D64&lt;0,"       NM",(H64/D64-1)*100)</f>
        <v>48.635136214956098</v>
      </c>
      <c r="L64" s="844">
        <f>7.9561-L84</f>
        <v>6.0495530000000013</v>
      </c>
      <c r="M64" s="869">
        <f t="shared" ref="M64:M70" si="104">L64/L20*100</f>
        <v>81.312234497617936</v>
      </c>
      <c r="N64" s="42">
        <f t="shared" ref="N64:N70" si="105">IF(H64&lt;0,"       NM",(L64/H64-1)*100)</f>
        <v>-11.623365002750074</v>
      </c>
      <c r="P64" s="844">
        <f>8.815301-P84</f>
        <v>7.0271650000000001</v>
      </c>
      <c r="Q64" s="869">
        <f t="shared" ref="Q64:Q70" si="106">P64/P20*100</f>
        <v>86.580252724127561</v>
      </c>
      <c r="R64" s="42">
        <f t="shared" ref="R64:R70" si="107">(P64/L64-1)*100</f>
        <v>16.1600700084783</v>
      </c>
      <c r="T64" s="907"/>
      <c r="U64" s="886"/>
      <c r="V64" s="47"/>
      <c r="W64" s="181"/>
      <c r="X64" s="907"/>
      <c r="Y64" s="886"/>
      <c r="Z64" s="47"/>
      <c r="AA64" s="122"/>
      <c r="AB64" s="907"/>
      <c r="AC64" s="886"/>
      <c r="AD64" s="47"/>
      <c r="AE64" s="122"/>
      <c r="AF64" s="907"/>
      <c r="AG64" s="886"/>
      <c r="AH64" s="47"/>
      <c r="AI64" s="122"/>
      <c r="AJ64" s="907"/>
      <c r="AK64" s="886"/>
      <c r="AL64" s="47"/>
      <c r="AM64" s="122"/>
      <c r="AN64" s="907"/>
      <c r="AO64" s="886"/>
      <c r="AP64" s="47"/>
      <c r="AR64" s="908">
        <f>+'yrP&amp;L'!$L$31/4</f>
        <v>3.7487890387094014</v>
      </c>
      <c r="AS64" s="869">
        <f t="shared" ref="AS64:AS70" si="108">AR64/AR10*100</f>
        <v>1.4598599790138289</v>
      </c>
      <c r="AT64" s="42"/>
      <c r="AV64" s="908">
        <f>+'yrP&amp;L'!$M$31/4</f>
        <v>4.7464438347054614</v>
      </c>
      <c r="AW64" s="869">
        <f t="shared" ref="AW64:AW70" si="109">AV64/AV10*100</f>
        <v>1.4503808451224462</v>
      </c>
      <c r="AX64" s="42">
        <f>(AV64/AR64-1)*100</f>
        <v>26.612721753463187</v>
      </c>
      <c r="AY64" s="42"/>
      <c r="AZ64" s="909">
        <f>3.1/(1-BA114/100)</f>
        <v>4.9050027613261982</v>
      </c>
      <c r="BA64" s="869">
        <f t="shared" ref="BA64:BA70" si="110">AZ64/AZ10*100</f>
        <v>1.2555585661621904</v>
      </c>
      <c r="BB64" s="42"/>
      <c r="BC64" s="869"/>
      <c r="BD64" s="909">
        <f>7.103-BD65</f>
        <v>3.6039999999999996</v>
      </c>
      <c r="BE64" s="869">
        <f t="shared" ref="BE64:BE70" si="111">BD64/BD10*100</f>
        <v>0.79543046825340769</v>
      </c>
      <c r="BF64" s="42"/>
      <c r="BG64" s="869"/>
      <c r="BH64" s="909">
        <f>4.562-BH65</f>
        <v>2.1290000000000004</v>
      </c>
      <c r="BI64" s="869">
        <f t="shared" ref="BI64:BI70" si="112">BH64/BH10*100</f>
        <v>0.51982107802443578</v>
      </c>
      <c r="BJ64" s="42"/>
      <c r="BK64" s="869"/>
      <c r="BL64" s="909">
        <f>4.562-BL65</f>
        <v>2.1290000000000004</v>
      </c>
      <c r="BM64" s="868">
        <f t="shared" ref="BM64:BM70" si="113">BL64/BL10*100</f>
        <v>0.5184552031813523</v>
      </c>
      <c r="BN64" s="873"/>
      <c r="BO64" s="868"/>
      <c r="BP64" s="910">
        <f>4.562-BP65</f>
        <v>2.1290000000000004</v>
      </c>
      <c r="BQ64" s="868">
        <f t="shared" ref="BQ64:BQ70" si="114">BP64/BP10*100</f>
        <v>0.44207912157279672</v>
      </c>
      <c r="BR64" s="873"/>
      <c r="BS64" s="868"/>
      <c r="BT64" s="910">
        <f>4.562-BT65</f>
        <v>2.1290000000000004</v>
      </c>
      <c r="BU64" s="868">
        <f t="shared" ref="BU64:BU70" si="115">BT64/BT10*100</f>
        <v>0.3963452094169686</v>
      </c>
      <c r="BV64" s="873"/>
      <c r="BW64" s="868"/>
      <c r="BX64" s="910">
        <v>2.5</v>
      </c>
      <c r="BY64" s="868">
        <f t="shared" ref="BY64:BY70" si="116">BX64/BX10*100</f>
        <v>0.38413255953670539</v>
      </c>
      <c r="BZ64" s="873"/>
      <c r="CA64" s="42"/>
      <c r="CB64" s="909">
        <v>2.5</v>
      </c>
      <c r="CC64" s="869">
        <f t="shared" ref="CC64:CC70" si="117">CB64/CB10*100</f>
        <v>0.37273266718551051</v>
      </c>
      <c r="CD64" s="42"/>
      <c r="CE64" s="42"/>
      <c r="CF64" s="909">
        <v>2.5</v>
      </c>
      <c r="CG64" s="869">
        <f t="shared" ref="CG64:CG70" si="118">CF64/CF10*100</f>
        <v>0.3790641361355776</v>
      </c>
      <c r="CH64" s="42"/>
      <c r="CI64" s="42"/>
      <c r="CJ64" s="909">
        <v>2.5</v>
      </c>
      <c r="CK64" s="869">
        <f t="shared" ref="CK64:CK70" si="119">CJ64/CJ10*100</f>
        <v>0.37176490182432476</v>
      </c>
      <c r="CL64" s="42"/>
      <c r="CM64" s="42"/>
      <c r="CN64" s="909">
        <v>2.5</v>
      </c>
      <c r="CO64" s="869">
        <f t="shared" ref="CO64:CO70" si="120">CN64/CN10*100</f>
        <v>0.38881639623190256</v>
      </c>
      <c r="CP64" s="42"/>
      <c r="CQ64" s="42"/>
      <c r="CR64" s="909">
        <v>2.5</v>
      </c>
      <c r="CS64" s="869">
        <f t="shared" ref="CS64:CS70" si="121">CR64/CR10*100</f>
        <v>0.42828166543321555</v>
      </c>
      <c r="CT64" s="42"/>
      <c r="CU64" s="42"/>
      <c r="CV64" s="909">
        <v>2.5</v>
      </c>
      <c r="CW64" s="869">
        <f t="shared" ref="CW64:CW70" si="122">CV64/CV10*100</f>
        <v>0.4535265441087305</v>
      </c>
      <c r="CX64" s="42"/>
      <c r="CY64" s="42"/>
      <c r="CZ64" s="42"/>
      <c r="DA64" s="42"/>
      <c r="DB64" s="869"/>
      <c r="DC64" s="911"/>
      <c r="DF64" s="884"/>
      <c r="DG64" s="885"/>
      <c r="DH64" s="122"/>
      <c r="DI64" s="886"/>
      <c r="DJ64" s="886"/>
    </row>
    <row r="65" spans="1:114" hidden="1" outlineLevel="1">
      <c r="A65" s="26" t="str">
        <f>$A$11</f>
        <v>2Q</v>
      </c>
      <c r="B65" s="26" t="str">
        <f>$B$11</f>
        <v>Jul</v>
      </c>
      <c r="D65" s="854">
        <f>7.559003-D85</f>
        <v>4.8500829999999997</v>
      </c>
      <c r="E65" s="869">
        <f t="shared" si="101"/>
        <v>84.901855135056408</v>
      </c>
      <c r="F65" s="42"/>
      <c r="H65" s="854">
        <f>7.852066-H85</f>
        <v>6.5227769999999996</v>
      </c>
      <c r="I65" s="869">
        <f t="shared" si="102"/>
        <v>102.78821987503311</v>
      </c>
      <c r="J65" s="42">
        <f t="shared" si="103"/>
        <v>34.48794587639015</v>
      </c>
      <c r="L65" s="854">
        <f>8.426631-L85</f>
        <v>6.7728410000000014</v>
      </c>
      <c r="M65" s="869">
        <f t="shared" si="104"/>
        <v>113.01502052105941</v>
      </c>
      <c r="N65" s="42">
        <f t="shared" si="105"/>
        <v>3.8337045709212703</v>
      </c>
      <c r="P65" s="854">
        <f>9.220508-P85</f>
        <v>7.5229720000000029</v>
      </c>
      <c r="Q65" s="869">
        <f t="shared" si="106"/>
        <v>82.105837579795121</v>
      </c>
      <c r="R65" s="42">
        <f t="shared" si="107"/>
        <v>11.075573751103885</v>
      </c>
      <c r="T65" s="912"/>
      <c r="U65" s="886"/>
      <c r="V65" s="47"/>
      <c r="W65" s="122"/>
      <c r="X65" s="912"/>
      <c r="Y65" s="886"/>
      <c r="Z65" s="47"/>
      <c r="AA65" s="122"/>
      <c r="AB65" s="912"/>
      <c r="AC65" s="886"/>
      <c r="AD65" s="47"/>
      <c r="AE65" s="122"/>
      <c r="AF65" s="912"/>
      <c r="AG65" s="886"/>
      <c r="AH65" s="47"/>
      <c r="AI65" s="122"/>
      <c r="AJ65" s="912"/>
      <c r="AK65" s="886"/>
      <c r="AL65" s="47"/>
      <c r="AM65" s="122"/>
      <c r="AN65" s="912"/>
      <c r="AO65" s="886"/>
      <c r="AP65" s="47"/>
      <c r="AR65" s="913">
        <f>+'yrP&amp;L'!$L$31/4</f>
        <v>3.7487890387094014</v>
      </c>
      <c r="AS65" s="869">
        <f t="shared" si="108"/>
        <v>1.4714578570652406</v>
      </c>
      <c r="AT65" s="42"/>
      <c r="AV65" s="913">
        <f>+'yrP&amp;L'!$M$31/4</f>
        <v>4.7464438347054614</v>
      </c>
      <c r="AW65" s="869">
        <f t="shared" si="109"/>
        <v>1.3841055142393996</v>
      </c>
      <c r="AX65" s="42">
        <f t="shared" ref="AX65:AX70" si="123">(AV65/AR65-1)*100</f>
        <v>26.612721753463187</v>
      </c>
      <c r="AY65" s="42"/>
      <c r="AZ65" s="913">
        <f>3.7+1.5</f>
        <v>5.2</v>
      </c>
      <c r="BA65" s="869">
        <f t="shared" si="110"/>
        <v>1.2889983986673741</v>
      </c>
      <c r="BB65" s="42"/>
      <c r="BC65" s="869"/>
      <c r="BD65" s="913">
        <v>3.4990000000000001</v>
      </c>
      <c r="BE65" s="869">
        <f t="shared" si="111"/>
        <v>0.80246956051088347</v>
      </c>
      <c r="BF65" s="42"/>
      <c r="BG65" s="869"/>
      <c r="BH65" s="913">
        <v>2.4329999999999998</v>
      </c>
      <c r="BI65" s="869">
        <f t="shared" si="112"/>
        <v>0.6004175530208431</v>
      </c>
      <c r="BJ65" s="42"/>
      <c r="BK65" s="869"/>
      <c r="BL65" s="913">
        <v>2.4329999999999998</v>
      </c>
      <c r="BM65" s="868">
        <f t="shared" si="113"/>
        <v>0.57940297441148803</v>
      </c>
      <c r="BN65" s="873"/>
      <c r="BO65" s="868"/>
      <c r="BP65" s="914">
        <v>2.4329999999999998</v>
      </c>
      <c r="BQ65" s="868">
        <f t="shared" si="114"/>
        <v>0.5227761065749893</v>
      </c>
      <c r="BR65" s="873"/>
      <c r="BS65" s="868"/>
      <c r="BT65" s="914">
        <v>2.4329999999999998</v>
      </c>
      <c r="BU65" s="868">
        <f t="shared" si="115"/>
        <v>0.44120127155911054</v>
      </c>
      <c r="BV65" s="873"/>
      <c r="BW65" s="868"/>
      <c r="BX65" s="914">
        <v>2.5</v>
      </c>
      <c r="BY65" s="868">
        <f t="shared" si="116"/>
        <v>0.38957679493612496</v>
      </c>
      <c r="BZ65" s="873"/>
      <c r="CA65" s="42"/>
      <c r="CB65" s="913">
        <v>2.5</v>
      </c>
      <c r="CC65" s="869">
        <f t="shared" si="117"/>
        <v>0.38490969248794843</v>
      </c>
      <c r="CD65" s="42"/>
      <c r="CE65" s="42"/>
      <c r="CF65" s="913">
        <v>2.5</v>
      </c>
      <c r="CG65" s="869">
        <f t="shared" si="118"/>
        <v>0.38534338719920092</v>
      </c>
      <c r="CH65" s="42"/>
      <c r="CI65" s="42"/>
      <c r="CJ65" s="913">
        <v>2.5</v>
      </c>
      <c r="CK65" s="869">
        <f t="shared" si="119"/>
        <v>0.37906183711561231</v>
      </c>
      <c r="CL65" s="42"/>
      <c r="CM65" s="42"/>
      <c r="CN65" s="913">
        <v>2.5</v>
      </c>
      <c r="CO65" s="869">
        <f t="shared" si="120"/>
        <v>0.3932474690592892</v>
      </c>
      <c r="CP65" s="42"/>
      <c r="CQ65" s="42"/>
      <c r="CR65" s="913">
        <v>2.5</v>
      </c>
      <c r="CS65" s="869">
        <f t="shared" si="121"/>
        <v>0.43209161724978867</v>
      </c>
      <c r="CT65" s="42"/>
      <c r="CU65" s="42"/>
      <c r="CV65" s="913">
        <v>2.5</v>
      </c>
      <c r="CW65" s="869">
        <f t="shared" si="122"/>
        <v>0.45102222713024348</v>
      </c>
      <c r="CX65" s="42"/>
      <c r="CY65" s="42"/>
      <c r="CZ65" s="42"/>
      <c r="DA65" s="42"/>
      <c r="DB65" s="869"/>
      <c r="DC65" s="911"/>
      <c r="DF65" s="884"/>
      <c r="DG65" s="885"/>
      <c r="DH65" s="122"/>
      <c r="DI65" s="886"/>
      <c r="DJ65" s="886"/>
    </row>
    <row r="66" spans="1:114" hidden="1" outlineLevel="1">
      <c r="A66" s="26" t="str">
        <f>$A$12</f>
        <v>3Q</v>
      </c>
      <c r="B66" s="26" t="str">
        <f>$B$12</f>
        <v>Oct</v>
      </c>
      <c r="D66" s="854">
        <f>7.596802-D86</f>
        <v>5.6450560000000003</v>
      </c>
      <c r="E66" s="869">
        <f t="shared" si="101"/>
        <v>98.565411688537097</v>
      </c>
      <c r="F66" s="42"/>
      <c r="H66" s="854">
        <f>7.664398-H86</f>
        <v>6.5877550000000014</v>
      </c>
      <c r="I66" s="869">
        <f t="shared" si="102"/>
        <v>100.91471531586349</v>
      </c>
      <c r="J66" s="42">
        <f t="shared" si="103"/>
        <v>16.69955089905222</v>
      </c>
      <c r="L66" s="854">
        <f>8.177078-L86</f>
        <v>6.985793000000001</v>
      </c>
      <c r="M66" s="869">
        <f t="shared" si="104"/>
        <v>109.85853054121478</v>
      </c>
      <c r="N66" s="42">
        <f t="shared" si="105"/>
        <v>6.0420886933408857</v>
      </c>
      <c r="P66" s="854">
        <f>9.220152-P86</f>
        <v>7.5561170000000022</v>
      </c>
      <c r="Q66" s="869">
        <f t="shared" si="106"/>
        <v>93.991059046144869</v>
      </c>
      <c r="R66" s="42">
        <f t="shared" si="107"/>
        <v>8.1640552475574566</v>
      </c>
      <c r="T66" s="912"/>
      <c r="U66" s="886"/>
      <c r="V66" s="47"/>
      <c r="W66" s="122"/>
      <c r="X66" s="912"/>
      <c r="Y66" s="886"/>
      <c r="Z66" s="47"/>
      <c r="AA66" s="122"/>
      <c r="AB66" s="912"/>
      <c r="AC66" s="886"/>
      <c r="AD66" s="47"/>
      <c r="AE66" s="122"/>
      <c r="AF66" s="912"/>
      <c r="AG66" s="886"/>
      <c r="AH66" s="47"/>
      <c r="AI66" s="122"/>
      <c r="AJ66" s="912"/>
      <c r="AK66" s="886"/>
      <c r="AL66" s="47"/>
      <c r="AM66" s="122"/>
      <c r="AN66" s="912"/>
      <c r="AO66" s="886"/>
      <c r="AP66" s="47"/>
      <c r="AR66" s="913">
        <f>+'yrP&amp;L'!$L$31/4</f>
        <v>3.7487890387094014</v>
      </c>
      <c r="AS66" s="869">
        <f t="shared" si="108"/>
        <v>1.3896086853426404</v>
      </c>
      <c r="AT66" s="42"/>
      <c r="AV66" s="913">
        <f>+'yrP&amp;L'!$M$31/4</f>
        <v>4.7464438347054614</v>
      </c>
      <c r="AW66" s="869">
        <f t="shared" si="109"/>
        <v>1.3233640959406303</v>
      </c>
      <c r="AX66" s="42">
        <f t="shared" si="123"/>
        <v>26.612721753463187</v>
      </c>
      <c r="AY66" s="42"/>
      <c r="AZ66" s="913">
        <v>5.6</v>
      </c>
      <c r="BA66" s="869">
        <f t="shared" si="110"/>
        <v>1.3922763469652104</v>
      </c>
      <c r="BB66" s="42"/>
      <c r="BC66" s="869"/>
      <c r="BD66" s="913">
        <v>3.5</v>
      </c>
      <c r="BE66" s="869">
        <f t="shared" si="111"/>
        <v>0.84152214525633973</v>
      </c>
      <c r="BF66" s="42"/>
      <c r="BG66" s="869"/>
      <c r="BH66" s="913">
        <v>2.5</v>
      </c>
      <c r="BI66" s="869">
        <f t="shared" si="112"/>
        <v>0.63412666807020035</v>
      </c>
      <c r="BJ66" s="42"/>
      <c r="BK66" s="869"/>
      <c r="BL66" s="913">
        <v>2.5</v>
      </c>
      <c r="BM66" s="868">
        <f t="shared" si="113"/>
        <v>0.55945558258347639</v>
      </c>
      <c r="BN66" s="873"/>
      <c r="BO66" s="868"/>
      <c r="BP66" s="914">
        <v>2.5</v>
      </c>
      <c r="BQ66" s="868">
        <f t="shared" si="114"/>
        <v>0.5175747688511082</v>
      </c>
      <c r="BR66" s="873"/>
      <c r="BS66" s="868"/>
      <c r="BT66" s="914">
        <v>2.5</v>
      </c>
      <c r="BU66" s="868">
        <f t="shared" si="115"/>
        <v>0.46421289917667197</v>
      </c>
      <c r="BV66" s="873"/>
      <c r="BW66" s="868"/>
      <c r="BX66" s="914">
        <v>2.5</v>
      </c>
      <c r="BY66" s="868">
        <f t="shared" si="116"/>
        <v>0.39267118500310216</v>
      </c>
      <c r="BZ66" s="873"/>
      <c r="CA66" s="42"/>
      <c r="CB66" s="913">
        <v>2.5</v>
      </c>
      <c r="CC66" s="869">
        <f t="shared" si="117"/>
        <v>0.38134229436879463</v>
      </c>
      <c r="CD66" s="42"/>
      <c r="CE66" s="42"/>
      <c r="CF66" s="913">
        <v>2.5</v>
      </c>
      <c r="CG66" s="869">
        <f t="shared" si="118"/>
        <v>0.38729606925473392</v>
      </c>
      <c r="CH66" s="42"/>
      <c r="CI66" s="42"/>
      <c r="CJ66" s="913">
        <v>2.5</v>
      </c>
      <c r="CK66" s="869">
        <f t="shared" si="119"/>
        <v>0.39889267393715044</v>
      </c>
      <c r="CL66" s="42"/>
      <c r="CM66" s="42"/>
      <c r="CN66" s="913">
        <v>2.5</v>
      </c>
      <c r="CO66" s="869">
        <f t="shared" si="120"/>
        <v>0.41882220494813305</v>
      </c>
      <c r="CP66" s="42"/>
      <c r="CQ66" s="42"/>
      <c r="CR66" s="913">
        <v>2.5</v>
      </c>
      <c r="CS66" s="869">
        <f t="shared" si="121"/>
        <v>0.46967143664977723</v>
      </c>
      <c r="CT66" s="42"/>
      <c r="CU66" s="42"/>
      <c r="CV66" s="913">
        <v>2.5</v>
      </c>
      <c r="CW66" s="869">
        <f t="shared" si="122"/>
        <v>0.47144533389589544</v>
      </c>
      <c r="CX66" s="42"/>
      <c r="CY66" s="42"/>
      <c r="CZ66" s="42"/>
      <c r="DA66" s="42"/>
      <c r="DB66" s="869"/>
      <c r="DC66" s="911"/>
      <c r="DF66" s="884"/>
      <c r="DG66" s="885"/>
      <c r="DH66" s="182"/>
      <c r="DI66" s="886"/>
      <c r="DJ66" s="886"/>
    </row>
    <row r="67" spans="1:114" hidden="1" outlineLevel="1">
      <c r="A67" s="26" t="str">
        <f>$A$13</f>
        <v>4Q</v>
      </c>
      <c r="B67" s="26" t="str">
        <f>$B$13</f>
        <v>Jan</v>
      </c>
      <c r="C67" s="122"/>
      <c r="D67" s="860">
        <f>9.184424-D87</f>
        <v>10.383222</v>
      </c>
      <c r="E67" s="869">
        <f t="shared" si="101"/>
        <v>169.99472983400204</v>
      </c>
      <c r="F67" s="42"/>
      <c r="H67" s="860">
        <f>7.906226-H87</f>
        <v>7.3021370000000019</v>
      </c>
      <c r="I67" s="869">
        <f t="shared" si="102"/>
        <v>114.5142254046815</v>
      </c>
      <c r="J67" s="42">
        <f t="shared" si="103"/>
        <v>-29.673688957050114</v>
      </c>
      <c r="L67" s="860">
        <f>9.178714-L87</f>
        <v>10.308729</v>
      </c>
      <c r="M67" s="869">
        <f t="shared" si="104"/>
        <v>148.95278770397019</v>
      </c>
      <c r="N67" s="42">
        <f t="shared" si="105"/>
        <v>41.174138474805353</v>
      </c>
      <c r="P67" s="860">
        <f>9.92871-P87</f>
        <v>10.164097999999999</v>
      </c>
      <c r="Q67" s="869">
        <f t="shared" si="106"/>
        <v>128.30079455092945</v>
      </c>
      <c r="R67" s="42">
        <f t="shared" si="107"/>
        <v>-1.4029954614191542</v>
      </c>
      <c r="T67" s="912"/>
      <c r="U67" s="886"/>
      <c r="V67" s="47"/>
      <c r="W67" s="122"/>
      <c r="X67" s="912"/>
      <c r="Y67" s="886"/>
      <c r="Z67" s="47"/>
      <c r="AA67" s="122"/>
      <c r="AB67" s="912"/>
      <c r="AC67" s="886"/>
      <c r="AD67" s="47"/>
      <c r="AE67" s="122"/>
      <c r="AF67" s="912"/>
      <c r="AG67" s="886"/>
      <c r="AH67" s="47"/>
      <c r="AI67" s="122"/>
      <c r="AJ67" s="912"/>
      <c r="AK67" s="886"/>
      <c r="AL67" s="47"/>
      <c r="AM67" s="122"/>
      <c r="AN67" s="912"/>
      <c r="AO67" s="886"/>
      <c r="AP67" s="47"/>
      <c r="AR67" s="915">
        <f>+'yrP&amp;L'!$L$31/4</f>
        <v>3.7487890387094014</v>
      </c>
      <c r="AS67" s="869">
        <f t="shared" si="108"/>
        <v>1.3128264438609571</v>
      </c>
      <c r="AT67" s="42"/>
      <c r="AV67" s="915">
        <f>+'yrP&amp;L'!$M$31/4</f>
        <v>4.7464438347054614</v>
      </c>
      <c r="AW67" s="869">
        <f t="shared" si="109"/>
        <v>1.2632592113234133</v>
      </c>
      <c r="AX67" s="42">
        <f t="shared" si="123"/>
        <v>26.612721753463187</v>
      </c>
      <c r="AY67" s="42"/>
      <c r="AZ67" s="915">
        <v>4</v>
      </c>
      <c r="BA67" s="869">
        <f t="shared" si="110"/>
        <v>0.89962238350452406</v>
      </c>
      <c r="BB67" s="42"/>
      <c r="BC67" s="869"/>
      <c r="BD67" s="915">
        <v>3.5</v>
      </c>
      <c r="BE67" s="869">
        <f t="shared" si="111"/>
        <v>0.85512476270287829</v>
      </c>
      <c r="BF67" s="42"/>
      <c r="BG67" s="869"/>
      <c r="BH67" s="915">
        <v>2.5</v>
      </c>
      <c r="BI67" s="869">
        <f t="shared" si="112"/>
        <v>0.66956095549026584</v>
      </c>
      <c r="BJ67" s="42"/>
      <c r="BK67" s="869"/>
      <c r="BL67" s="915">
        <v>2.5</v>
      </c>
      <c r="BM67" s="868">
        <f t="shared" si="113"/>
        <v>0.5737497991875703</v>
      </c>
      <c r="BN67" s="873"/>
      <c r="BO67" s="868"/>
      <c r="BP67" s="916">
        <v>2.5</v>
      </c>
      <c r="BQ67" s="868">
        <f t="shared" si="114"/>
        <v>0.52634459991494276</v>
      </c>
      <c r="BR67" s="873"/>
      <c r="BS67" s="868"/>
      <c r="BT67" s="916">
        <v>2.5</v>
      </c>
      <c r="BU67" s="868">
        <f t="shared" si="115"/>
        <v>0.4392075290711463</v>
      </c>
      <c r="BV67" s="873"/>
      <c r="BW67" s="868"/>
      <c r="BX67" s="916">
        <v>2.5</v>
      </c>
      <c r="BY67" s="868">
        <f t="shared" si="116"/>
        <v>0.38352205175093163</v>
      </c>
      <c r="BZ67" s="873"/>
      <c r="CA67" s="42"/>
      <c r="CB67" s="915">
        <v>2.5</v>
      </c>
      <c r="CC67" s="869">
        <f t="shared" si="117"/>
        <v>0.40967958140579092</v>
      </c>
      <c r="CD67" s="42"/>
      <c r="CE67" s="42"/>
      <c r="CF67" s="915">
        <v>2.5</v>
      </c>
      <c r="CG67" s="869">
        <f t="shared" si="118"/>
        <v>0.39274706146648614</v>
      </c>
      <c r="CH67" s="42"/>
      <c r="CI67" s="42"/>
      <c r="CJ67" s="915">
        <v>2.5</v>
      </c>
      <c r="CK67" s="869">
        <f t="shared" si="119"/>
        <v>0.40659662362163745</v>
      </c>
      <c r="CL67" s="42"/>
      <c r="CM67" s="42"/>
      <c r="CN67" s="915">
        <v>2.5</v>
      </c>
      <c r="CO67" s="869">
        <f t="shared" si="120"/>
        <v>0.41611946956418971</v>
      </c>
      <c r="CP67" s="42"/>
      <c r="CQ67" s="42"/>
      <c r="CR67" s="915">
        <v>2.5</v>
      </c>
      <c r="CS67" s="869">
        <f t="shared" si="121"/>
        <v>0.42532703395640903</v>
      </c>
      <c r="CT67" s="42"/>
      <c r="CU67" s="42"/>
      <c r="CV67" s="915">
        <v>2.5</v>
      </c>
      <c r="CW67" s="869">
        <f t="shared" si="122"/>
        <v>0.45505301061185527</v>
      </c>
      <c r="CX67" s="42"/>
      <c r="CY67" s="42"/>
      <c r="CZ67" s="42"/>
      <c r="DA67" s="42"/>
      <c r="DB67" s="869"/>
      <c r="DF67" s="884"/>
      <c r="DG67" s="885"/>
      <c r="DH67" s="182"/>
      <c r="DI67" s="886"/>
      <c r="DJ67" s="886"/>
    </row>
    <row r="68" spans="1:114" hidden="1" outlineLevel="1">
      <c r="B68" s="26" t="str">
        <f>$B$14</f>
        <v>Year</v>
      </c>
      <c r="D68" s="798">
        <f>SUM(D64:D67)</f>
        <v>25.483729</v>
      </c>
      <c r="E68" s="869">
        <f t="shared" si="101"/>
        <v>113.67305481473444</v>
      </c>
      <c r="F68" s="42"/>
      <c r="H68" s="798">
        <f>SUM(H64:H67)</f>
        <v>27.257864000000001</v>
      </c>
      <c r="I68" s="869">
        <f t="shared" si="102"/>
        <v>104.37497123336696</v>
      </c>
      <c r="J68" s="42">
        <f t="shared" si="103"/>
        <v>6.9618343532063198</v>
      </c>
      <c r="L68" s="798">
        <f>SUM(L64:L67)</f>
        <v>30.116916000000003</v>
      </c>
      <c r="M68" s="869">
        <f t="shared" si="104"/>
        <v>112.74476064086163</v>
      </c>
      <c r="N68" s="42">
        <f t="shared" si="105"/>
        <v>10.488906981119284</v>
      </c>
      <c r="P68" s="798">
        <f>SUM(P64:P67)</f>
        <v>32.270352000000003</v>
      </c>
      <c r="Q68" s="869">
        <f t="shared" si="106"/>
        <v>97.082414941299007</v>
      </c>
      <c r="R68" s="42">
        <f t="shared" si="107"/>
        <v>7.1502540299942963</v>
      </c>
      <c r="T68" s="888"/>
      <c r="U68" s="886"/>
      <c r="V68" s="47"/>
      <c r="W68" s="122"/>
      <c r="X68" s="888"/>
      <c r="Y68" s="886"/>
      <c r="Z68" s="47"/>
      <c r="AA68" s="122"/>
      <c r="AB68" s="888"/>
      <c r="AC68" s="886"/>
      <c r="AD68" s="47"/>
      <c r="AE68" s="122"/>
      <c r="AF68" s="888"/>
      <c r="AG68" s="886"/>
      <c r="AH68" s="47"/>
      <c r="AI68" s="122"/>
      <c r="AJ68" s="888"/>
      <c r="AK68" s="886"/>
      <c r="AL68" s="47"/>
      <c r="AM68" s="122"/>
      <c r="AN68" s="888"/>
      <c r="AO68" s="886"/>
      <c r="AP68" s="47"/>
      <c r="AR68" s="798">
        <f>SUM(AR64:AR67)</f>
        <v>14.995156154837606</v>
      </c>
      <c r="AS68" s="869">
        <f t="shared" si="108"/>
        <v>1.4055121517503908</v>
      </c>
      <c r="AT68" s="42"/>
      <c r="AV68" s="798">
        <f>SUM(AV64:AV67)</f>
        <v>18.985775338821846</v>
      </c>
      <c r="AW68" s="869">
        <f t="shared" si="109"/>
        <v>1.3517096159921573</v>
      </c>
      <c r="AX68" s="42">
        <f t="shared" si="123"/>
        <v>26.612721753463187</v>
      </c>
      <c r="AY68" s="42"/>
      <c r="AZ68" s="798">
        <f>SUM(AZ64:AZ67)</f>
        <v>19.705002761326199</v>
      </c>
      <c r="BA68" s="869">
        <f t="shared" si="110"/>
        <v>1.2008457878580947</v>
      </c>
      <c r="BB68" s="42"/>
      <c r="BC68" s="869"/>
      <c r="BD68" s="798">
        <f>SUM(BD64:BD67)</f>
        <v>14.103</v>
      </c>
      <c r="BE68" s="869">
        <f t="shared" si="111"/>
        <v>0.82265518772089563</v>
      </c>
      <c r="BF68" s="42"/>
      <c r="BG68" s="869"/>
      <c r="BH68" s="798">
        <f>SUM(BH64:BH67)</f>
        <v>9.5620000000000012</v>
      </c>
      <c r="BI68" s="869">
        <f t="shared" si="112"/>
        <v>0.60427046443259758</v>
      </c>
      <c r="BJ68" s="42"/>
      <c r="BK68" s="869"/>
      <c r="BL68" s="798">
        <f>SUM(BL64:BL67)</f>
        <v>9.5620000000000012</v>
      </c>
      <c r="BM68" s="868">
        <f t="shared" si="113"/>
        <v>0.55815278396358525</v>
      </c>
      <c r="BN68" s="873"/>
      <c r="BO68" s="868"/>
      <c r="BP68" s="805">
        <f>SUM(BP64:BP67)</f>
        <v>9.5620000000000012</v>
      </c>
      <c r="BQ68" s="868">
        <f t="shared" si="114"/>
        <v>0.50194647304124351</v>
      </c>
      <c r="BR68" s="873"/>
      <c r="BS68" s="868"/>
      <c r="BT68" s="805">
        <f>SUM(BT64:BT67)</f>
        <v>9.5620000000000012</v>
      </c>
      <c r="BU68" s="868">
        <f t="shared" si="115"/>
        <v>0.43535668105410774</v>
      </c>
      <c r="BV68" s="873"/>
      <c r="BW68" s="868"/>
      <c r="BX68" s="805">
        <f>SUM(BX64:BX67)</f>
        <v>10</v>
      </c>
      <c r="BY68" s="868">
        <f t="shared" si="116"/>
        <v>0.38743816971109124</v>
      </c>
      <c r="BZ68" s="873"/>
      <c r="CA68" s="42"/>
      <c r="CB68" s="798">
        <f>SUM(CB64:CB67)</f>
        <v>10</v>
      </c>
      <c r="CC68" s="869">
        <f t="shared" si="117"/>
        <v>0.38669206975770265</v>
      </c>
      <c r="CD68" s="42"/>
      <c r="CE68" s="42"/>
      <c r="CF68" s="798">
        <f>SUM(CF64:CF67)</f>
        <v>10</v>
      </c>
      <c r="CG68" s="869">
        <f t="shared" si="118"/>
        <v>0.38605060196870361</v>
      </c>
      <c r="CH68" s="42"/>
      <c r="CI68" s="42"/>
      <c r="CJ68" s="798">
        <f>SUM(CJ64:CJ67)</f>
        <v>10</v>
      </c>
      <c r="CK68" s="869">
        <f t="shared" si="119"/>
        <v>0.38856288462868538</v>
      </c>
      <c r="CL68" s="42"/>
      <c r="CM68" s="42"/>
      <c r="CN68" s="798">
        <f>SUM(CN64:CN67)</f>
        <v>10</v>
      </c>
      <c r="CO68" s="869">
        <f t="shared" si="120"/>
        <v>0.40381035450511027</v>
      </c>
      <c r="CP68" s="42"/>
      <c r="CQ68" s="42"/>
      <c r="CR68" s="798">
        <f>SUM(CR64:CR67)</f>
        <v>10</v>
      </c>
      <c r="CS68" s="869">
        <f t="shared" si="121"/>
        <v>0.43813932742984407</v>
      </c>
      <c r="CT68" s="42"/>
      <c r="CU68" s="42"/>
      <c r="CV68" s="798">
        <f>SUM(CV64:CV67)</f>
        <v>10</v>
      </c>
      <c r="CW68" s="869">
        <f t="shared" si="122"/>
        <v>0.45762343480059881</v>
      </c>
      <c r="CX68" s="42"/>
      <c r="CY68" s="42"/>
      <c r="CZ68" s="42"/>
      <c r="DA68" s="42"/>
      <c r="DB68" s="869"/>
      <c r="DF68" s="888"/>
      <c r="DG68" s="886"/>
      <c r="DH68" s="122"/>
      <c r="DI68" s="122"/>
      <c r="DJ68" s="122"/>
    </row>
    <row r="69" spans="1:114" hidden="1" outlineLevel="1">
      <c r="A69" s="26" t="str">
        <f>$A$15</f>
        <v>6 Mos</v>
      </c>
      <c r="D69" s="794">
        <f>SUM(D64:D65)</f>
        <v>9.4554510000000001</v>
      </c>
      <c r="E69" s="869">
        <f t="shared" si="101"/>
        <v>89.34348005122807</v>
      </c>
      <c r="F69" s="42"/>
      <c r="H69" s="794">
        <f>SUM(H64:H65)</f>
        <v>13.367971999999998</v>
      </c>
      <c r="I69" s="869">
        <f t="shared" si="102"/>
        <v>101.19076527871722</v>
      </c>
      <c r="J69" s="42">
        <f t="shared" si="103"/>
        <v>41.378470471688743</v>
      </c>
      <c r="L69" s="794">
        <f>SUM(L64:L65)</f>
        <v>12.822394000000003</v>
      </c>
      <c r="M69" s="869">
        <f t="shared" si="104"/>
        <v>95.456046193887161</v>
      </c>
      <c r="N69" s="42">
        <f t="shared" si="105"/>
        <v>-4.0812323664352057</v>
      </c>
      <c r="P69" s="794">
        <f>SUM(P64:P65)</f>
        <v>14.550137000000003</v>
      </c>
      <c r="Q69" s="869">
        <f t="shared" si="106"/>
        <v>84.207590881127217</v>
      </c>
      <c r="R69" s="42">
        <f t="shared" si="107"/>
        <v>13.474418271658163</v>
      </c>
      <c r="T69" s="889"/>
      <c r="U69" s="886"/>
      <c r="V69" s="47"/>
      <c r="W69" s="122"/>
      <c r="X69" s="889"/>
      <c r="Y69" s="886"/>
      <c r="Z69" s="47"/>
      <c r="AA69" s="122"/>
      <c r="AB69" s="889"/>
      <c r="AC69" s="886"/>
      <c r="AD69" s="47"/>
      <c r="AE69" s="122"/>
      <c r="AF69" s="889"/>
      <c r="AG69" s="886"/>
      <c r="AH69" s="47"/>
      <c r="AI69" s="122"/>
      <c r="AJ69" s="889"/>
      <c r="AK69" s="886"/>
      <c r="AL69" s="47"/>
      <c r="AM69" s="122"/>
      <c r="AN69" s="889"/>
      <c r="AO69" s="886"/>
      <c r="AP69" s="47"/>
      <c r="AR69" s="794">
        <f>SUM(AR64:AR65)</f>
        <v>7.4975780774188028</v>
      </c>
      <c r="AS69" s="869">
        <f t="shared" si="108"/>
        <v>1.4656359743018001</v>
      </c>
      <c r="AT69" s="42"/>
      <c r="AV69" s="794">
        <f>SUM(AV64:AV65)</f>
        <v>9.4928876694109228</v>
      </c>
      <c r="AW69" s="869">
        <f t="shared" si="109"/>
        <v>1.4164683621431438</v>
      </c>
      <c r="AX69" s="42">
        <f t="shared" si="123"/>
        <v>26.612721753463187</v>
      </c>
      <c r="AY69" s="42"/>
      <c r="AZ69" s="794">
        <f>SUM(AZ64:AZ65)</f>
        <v>10.105002761326197</v>
      </c>
      <c r="BA69" s="869">
        <f t="shared" si="110"/>
        <v>1.2725469647560876</v>
      </c>
      <c r="BB69" s="42"/>
      <c r="BC69" s="869"/>
      <c r="BD69" s="794">
        <f>SUM(BD64:BD65)</f>
        <v>7.1029999999999998</v>
      </c>
      <c r="BE69" s="869">
        <f t="shared" si="111"/>
        <v>0.79888248678182971</v>
      </c>
      <c r="BF69" s="42"/>
      <c r="BG69" s="869"/>
      <c r="BH69" s="794">
        <f>SUM(BH64:BH65)</f>
        <v>4.5620000000000003</v>
      </c>
      <c r="BI69" s="869">
        <f t="shared" si="112"/>
        <v>0.55990436705769153</v>
      </c>
      <c r="BJ69" s="42"/>
      <c r="BK69" s="869"/>
      <c r="BL69" s="794">
        <f>SUM(BL64:BL65)</f>
        <v>4.5620000000000003</v>
      </c>
      <c r="BM69" s="868">
        <f t="shared" si="113"/>
        <v>0.54926928643153161</v>
      </c>
      <c r="BN69" s="873"/>
      <c r="BO69" s="868"/>
      <c r="BP69" s="803">
        <f>SUM(BP64:BP65)</f>
        <v>4.5620000000000003</v>
      </c>
      <c r="BQ69" s="868">
        <f t="shared" si="114"/>
        <v>0.48173788897008196</v>
      </c>
      <c r="BR69" s="873"/>
      <c r="BS69" s="868"/>
      <c r="BT69" s="803">
        <f>SUM(BT64:BT65)</f>
        <v>4.5620000000000003</v>
      </c>
      <c r="BU69" s="868">
        <f t="shared" si="115"/>
        <v>0.4190676708858202</v>
      </c>
      <c r="BV69" s="873"/>
      <c r="BW69" s="868"/>
      <c r="BX69" s="803">
        <f>SUM(BX64:BX65)</f>
        <v>5</v>
      </c>
      <c r="BY69" s="868">
        <f t="shared" si="116"/>
        <v>0.38683552295133838</v>
      </c>
      <c r="BZ69" s="873"/>
      <c r="CA69" s="42"/>
      <c r="CB69" s="794">
        <f>SUM(CB64:CB65)</f>
        <v>5</v>
      </c>
      <c r="CC69" s="869">
        <f t="shared" si="117"/>
        <v>0.37872332367588862</v>
      </c>
      <c r="CD69" s="42"/>
      <c r="CE69" s="42"/>
      <c r="CF69" s="794">
        <f>SUM(CF64:CF65)</f>
        <v>5</v>
      </c>
      <c r="CG69" s="869">
        <f t="shared" si="118"/>
        <v>0.38217797110887403</v>
      </c>
      <c r="CH69" s="42"/>
      <c r="CI69" s="42"/>
      <c r="CJ69" s="794">
        <f>SUM(CJ64:CJ65)</f>
        <v>5</v>
      </c>
      <c r="CK69" s="869">
        <f t="shared" si="119"/>
        <v>0.3753779117126167</v>
      </c>
      <c r="CL69" s="42"/>
      <c r="CM69" s="42"/>
      <c r="CN69" s="794">
        <f>SUM(CN64:CN65)</f>
        <v>5</v>
      </c>
      <c r="CO69" s="869">
        <f t="shared" si="120"/>
        <v>0.39101937970249689</v>
      </c>
      <c r="CP69" s="42"/>
      <c r="CQ69" s="42"/>
      <c r="CR69" s="794">
        <f>SUM(CR64:CR65)</f>
        <v>5</v>
      </c>
      <c r="CS69" s="869">
        <f t="shared" si="121"/>
        <v>0.43017820562346154</v>
      </c>
      <c r="CT69" s="42"/>
      <c r="CU69" s="42"/>
      <c r="CV69" s="794">
        <f>SUM(CV64:CV65)</f>
        <v>5</v>
      </c>
      <c r="CW69" s="869">
        <f t="shared" si="122"/>
        <v>0.45227091891667992</v>
      </c>
      <c r="CX69" s="42"/>
      <c r="CY69" s="42"/>
      <c r="CZ69" s="42"/>
      <c r="DA69" s="42"/>
      <c r="DF69" s="889"/>
      <c r="DG69" s="886"/>
      <c r="DH69" s="122"/>
      <c r="DI69" s="122"/>
      <c r="DJ69" s="122"/>
    </row>
    <row r="70" spans="1:114" hidden="1" outlineLevel="1">
      <c r="A70" s="26" t="str">
        <f>$A$16</f>
        <v>9 Mos</v>
      </c>
      <c r="D70" s="794">
        <f>SUM(D64:D66)</f>
        <v>15.100507</v>
      </c>
      <c r="E70" s="869">
        <f t="shared" si="101"/>
        <v>92.58164507277408</v>
      </c>
      <c r="F70" s="42"/>
      <c r="H70" s="794">
        <f>SUM(H64:H66)</f>
        <v>19.955727</v>
      </c>
      <c r="I70" s="869">
        <f t="shared" si="102"/>
        <v>101.09946923572394</v>
      </c>
      <c r="J70" s="42">
        <f t="shared" si="103"/>
        <v>32.152695270430321</v>
      </c>
      <c r="L70" s="794">
        <f>SUM(L64:L66)</f>
        <v>19.808187000000004</v>
      </c>
      <c r="M70" s="869">
        <f t="shared" si="104"/>
        <v>100.08344418804032</v>
      </c>
      <c r="N70" s="42">
        <f t="shared" si="105"/>
        <v>-0.73933663253659132</v>
      </c>
      <c r="P70" s="794">
        <f>SUM(P64:P66)</f>
        <v>22.106254000000007</v>
      </c>
      <c r="Q70" s="869">
        <f t="shared" si="106"/>
        <v>87.3141115733237</v>
      </c>
      <c r="R70" s="42">
        <f t="shared" si="107"/>
        <v>11.601601903293846</v>
      </c>
      <c r="T70" s="889"/>
      <c r="U70" s="886"/>
      <c r="V70" s="47"/>
      <c r="W70" s="122"/>
      <c r="X70" s="889"/>
      <c r="Y70" s="886"/>
      <c r="Z70" s="47"/>
      <c r="AA70" s="122"/>
      <c r="AB70" s="889"/>
      <c r="AC70" s="886"/>
      <c r="AD70" s="47"/>
      <c r="AE70" s="122"/>
      <c r="AF70" s="889"/>
      <c r="AG70" s="886"/>
      <c r="AH70" s="47"/>
      <c r="AI70" s="122"/>
      <c r="AJ70" s="889"/>
      <c r="AK70" s="886"/>
      <c r="AL70" s="47"/>
      <c r="AM70" s="122"/>
      <c r="AN70" s="889"/>
      <c r="AO70" s="886"/>
      <c r="AP70" s="47"/>
      <c r="AR70" s="794">
        <f>SUM(AR64:AR66)</f>
        <v>11.246367116128205</v>
      </c>
      <c r="AS70" s="869">
        <f t="shared" si="108"/>
        <v>1.4393857553492957</v>
      </c>
      <c r="AT70" s="42"/>
      <c r="AV70" s="794">
        <f>SUM(AV64:AV66)</f>
        <v>14.239331504116384</v>
      </c>
      <c r="AW70" s="869">
        <f t="shared" si="109"/>
        <v>1.3840113432165568</v>
      </c>
      <c r="AX70" s="42">
        <f t="shared" si="123"/>
        <v>26.612721753463163</v>
      </c>
      <c r="AY70" s="42"/>
      <c r="AZ70" s="794">
        <f>SUM(AZ64:AZ66)</f>
        <v>15.705002761326197</v>
      </c>
      <c r="BA70" s="869">
        <f t="shared" si="110"/>
        <v>1.3128024135603726</v>
      </c>
      <c r="BB70" s="42"/>
      <c r="BC70" s="869"/>
      <c r="BD70" s="794">
        <f>SUM(BD64:BD66)</f>
        <v>10.603</v>
      </c>
      <c r="BE70" s="869">
        <f t="shared" si="111"/>
        <v>0.81247174394458355</v>
      </c>
      <c r="BF70" s="42"/>
      <c r="BG70" s="869"/>
      <c r="BH70" s="794">
        <f>SUM(BH64:BH66)</f>
        <v>7.0620000000000003</v>
      </c>
      <c r="BI70" s="869">
        <f t="shared" si="112"/>
        <v>0.58410702839064532</v>
      </c>
      <c r="BJ70" s="42"/>
      <c r="BK70" s="869"/>
      <c r="BL70" s="794">
        <f>SUM(BL64:BL66)</f>
        <v>7.0620000000000003</v>
      </c>
      <c r="BM70" s="868">
        <f t="shared" si="113"/>
        <v>0.55283262135192701</v>
      </c>
      <c r="BN70" s="873"/>
      <c r="BO70" s="868"/>
      <c r="BP70" s="803">
        <f>SUM(BP64:BP66)</f>
        <v>7.0620000000000003</v>
      </c>
      <c r="BQ70" s="868">
        <f t="shared" si="114"/>
        <v>0.49384270040069655</v>
      </c>
      <c r="BR70" s="873"/>
      <c r="BS70" s="868"/>
      <c r="BT70" s="803">
        <f>SUM(BT64:BT66)</f>
        <v>7.0620000000000003</v>
      </c>
      <c r="BU70" s="868">
        <f t="shared" si="115"/>
        <v>0.43400958606842749</v>
      </c>
      <c r="BV70" s="873"/>
      <c r="BW70" s="868"/>
      <c r="BX70" s="803">
        <f>SUM(BX64:BX66)</f>
        <v>7.5</v>
      </c>
      <c r="BY70" s="868">
        <f t="shared" si="116"/>
        <v>0.38876137515783715</v>
      </c>
      <c r="BZ70" s="873"/>
      <c r="CA70" s="42"/>
      <c r="CB70" s="794">
        <f>SUM(CB64:CB66)</f>
        <v>7.5</v>
      </c>
      <c r="CC70" s="869">
        <f t="shared" si="117"/>
        <v>0.3795923077390268</v>
      </c>
      <c r="CD70" s="42"/>
      <c r="CE70" s="42"/>
      <c r="CF70" s="794">
        <f>SUM(CF64:CF66)</f>
        <v>7.5</v>
      </c>
      <c r="CG70" s="869">
        <f t="shared" si="118"/>
        <v>0.38386890723270439</v>
      </c>
      <c r="CH70" s="42"/>
      <c r="CI70" s="42"/>
      <c r="CJ70" s="794">
        <f>SUM(CJ64:CJ66)</f>
        <v>7.5</v>
      </c>
      <c r="CK70" s="869">
        <f t="shared" si="119"/>
        <v>0.3829019474903585</v>
      </c>
      <c r="CL70" s="42"/>
      <c r="CM70" s="42"/>
      <c r="CN70" s="794">
        <f>SUM(CN64:CN66)</f>
        <v>7.5</v>
      </c>
      <c r="CO70" s="869">
        <f t="shared" si="120"/>
        <v>0.39986756386284861</v>
      </c>
      <c r="CP70" s="42"/>
      <c r="CQ70" s="42"/>
      <c r="CR70" s="794">
        <f>SUM(CR64:CR66)</f>
        <v>7.5</v>
      </c>
      <c r="CS70" s="869">
        <f t="shared" si="121"/>
        <v>0.4425833650026319</v>
      </c>
      <c r="CT70" s="42"/>
      <c r="CU70" s="42"/>
      <c r="CV70" s="794">
        <f>SUM(CV64:CV66)</f>
        <v>7.5</v>
      </c>
      <c r="CW70" s="869">
        <f t="shared" si="122"/>
        <v>0.45848670808759528</v>
      </c>
      <c r="CX70" s="42"/>
      <c r="CY70" s="42"/>
      <c r="CZ70" s="42"/>
      <c r="DA70" s="42"/>
      <c r="DF70" s="889"/>
      <c r="DG70" s="886"/>
      <c r="DH70" s="122"/>
      <c r="DI70" s="122"/>
      <c r="DJ70" s="122"/>
    </row>
    <row r="71" spans="1:114" hidden="1" outlineLevel="1" collapsed="1">
      <c r="AG71" s="869"/>
      <c r="AS71" s="870"/>
      <c r="BM71" s="137"/>
      <c r="BN71" s="137"/>
      <c r="BO71" s="137"/>
      <c r="BP71" s="137"/>
      <c r="BQ71" s="137"/>
      <c r="BR71" s="137"/>
      <c r="BS71" s="137"/>
      <c r="BT71" s="137"/>
      <c r="BU71" s="137"/>
      <c r="BV71" s="137"/>
      <c r="BW71" s="137"/>
      <c r="BX71" s="137"/>
      <c r="BY71" s="137"/>
      <c r="BZ71" s="137"/>
      <c r="DF71" s="122"/>
      <c r="DG71" s="122"/>
      <c r="DH71" s="122"/>
      <c r="DI71" s="122"/>
      <c r="DJ71" s="122"/>
    </row>
    <row r="72" spans="1:114" collapsed="1">
      <c r="C72" s="837"/>
      <c r="D72" s="838"/>
      <c r="H72" s="839"/>
      <c r="I72" s="840"/>
      <c r="J72" s="840"/>
      <c r="K72" s="840"/>
      <c r="L72" s="839"/>
      <c r="M72" s="840"/>
      <c r="N72" s="840"/>
      <c r="O72" s="840"/>
      <c r="P72" s="839"/>
      <c r="Q72" s="840"/>
      <c r="R72" s="840"/>
      <c r="S72" s="840"/>
      <c r="T72" s="839"/>
      <c r="U72" s="840"/>
      <c r="V72" s="840"/>
      <c r="W72" s="840"/>
      <c r="Y72" s="840"/>
      <c r="Z72" s="840"/>
      <c r="AA72" s="840"/>
      <c r="AC72" s="840"/>
      <c r="AD72" s="840"/>
      <c r="AE72" s="840"/>
      <c r="AF72" s="839"/>
      <c r="AG72" s="840"/>
      <c r="AH72" s="840"/>
      <c r="AI72" s="840"/>
      <c r="AK72" s="840"/>
      <c r="AL72" s="840"/>
      <c r="AM72" s="840"/>
      <c r="AN72" s="839"/>
      <c r="AO72" s="840"/>
      <c r="AP72" s="840"/>
      <c r="AQ72" s="840"/>
      <c r="AR72" s="839"/>
      <c r="AS72" s="840"/>
      <c r="AT72" s="840"/>
      <c r="AU72" s="840"/>
      <c r="AW72" s="840"/>
      <c r="AX72" s="840"/>
      <c r="AY72" s="840"/>
      <c r="AZ72" s="839"/>
      <c r="BA72" s="840"/>
      <c r="BB72" s="840"/>
      <c r="BC72" s="840"/>
      <c r="BD72" s="839"/>
      <c r="BE72" s="840"/>
      <c r="BF72" s="840"/>
      <c r="BG72" s="840"/>
      <c r="BH72" s="839"/>
      <c r="BI72" s="840"/>
      <c r="BK72" s="840"/>
      <c r="BL72" s="839"/>
      <c r="BM72" s="841"/>
      <c r="BN72" s="841"/>
      <c r="BO72" s="841"/>
      <c r="BP72" s="842"/>
      <c r="BQ72" s="841"/>
      <c r="BR72" s="841"/>
      <c r="BS72" s="841"/>
      <c r="BT72" s="842"/>
      <c r="BU72" s="841"/>
      <c r="BV72" s="841"/>
      <c r="BW72" s="841"/>
      <c r="BX72" s="842"/>
      <c r="BY72" s="841"/>
      <c r="BZ72" s="841"/>
      <c r="CA72" s="840"/>
      <c r="CB72" s="840"/>
      <c r="CC72" s="839" t="s">
        <v>544</v>
      </c>
      <c r="CD72" s="840"/>
      <c r="CE72" s="840"/>
      <c r="CF72" s="840"/>
      <c r="CG72" s="840"/>
      <c r="CH72" s="840"/>
      <c r="CI72" s="840"/>
      <c r="CK72" s="840"/>
      <c r="CL72" s="840"/>
      <c r="CM72" s="840"/>
      <c r="CN72" s="840"/>
      <c r="CO72" s="840"/>
      <c r="CP72" s="840"/>
      <c r="CQ72" s="840"/>
      <c r="CR72" s="840"/>
      <c r="CS72" s="840"/>
      <c r="CT72" s="840"/>
      <c r="CU72" s="840"/>
      <c r="CV72" s="840"/>
      <c r="CW72" s="840"/>
      <c r="CX72" s="840"/>
      <c r="CY72" s="840"/>
      <c r="CZ72" s="840"/>
      <c r="DA72" s="840"/>
      <c r="DF72" s="122"/>
      <c r="DG72" s="122"/>
      <c r="DH72" s="122"/>
      <c r="DI72" s="122"/>
      <c r="DJ72" s="122"/>
    </row>
    <row r="73" spans="1:114">
      <c r="AZ73" s="26" t="s">
        <v>231</v>
      </c>
      <c r="BM73" s="137"/>
      <c r="BN73" s="137"/>
      <c r="BO73" s="137"/>
      <c r="BP73" s="137"/>
      <c r="BQ73" s="137"/>
      <c r="BR73" s="137"/>
      <c r="BS73" s="137"/>
      <c r="BT73" s="137"/>
      <c r="BU73" s="137"/>
      <c r="BV73" s="137"/>
      <c r="BW73" s="137"/>
      <c r="BX73" s="137"/>
      <c r="BY73" s="137"/>
      <c r="BZ73" s="137"/>
      <c r="DF73" s="122"/>
      <c r="DG73" s="122"/>
      <c r="DH73" s="122"/>
      <c r="DI73" s="122"/>
      <c r="DJ73" s="122"/>
    </row>
    <row r="74" spans="1:114">
      <c r="A74" s="26" t="str">
        <f>$A$10</f>
        <v>1Q</v>
      </c>
      <c r="B74" s="26" t="str">
        <f>$B$10</f>
        <v>Apr</v>
      </c>
      <c r="D74" s="844">
        <v>0.19759599999999999</v>
      </c>
      <c r="E74" s="869">
        <f t="shared" ref="E74:E80" si="124">D74/D10*100</f>
        <v>1.4193493702946287</v>
      </c>
      <c r="F74" s="42"/>
      <c r="H74" s="844">
        <v>0.390625</v>
      </c>
      <c r="I74" s="869">
        <f t="shared" ref="I74:I80" si="125">H74/H10*100</f>
        <v>2.6645681636270298</v>
      </c>
      <c r="J74" s="42">
        <f t="shared" ref="J74:J80" si="126">IF(D74&lt;0,"       NM",(H74/D74-1)*100)</f>
        <v>97.68871839510922</v>
      </c>
      <c r="L74" s="844">
        <v>0.44665500000000002</v>
      </c>
      <c r="M74" s="869">
        <f t="shared" ref="M74:M80" si="127">L74/L10*100</f>
        <v>2.5814400095431012</v>
      </c>
      <c r="N74" s="42">
        <f t="shared" ref="N74:N80" si="128">IF(H74&lt;0,"       NM",(L74/H74-1)*100)</f>
        <v>14.343680000000013</v>
      </c>
      <c r="P74" s="844">
        <v>0.52961000000000003</v>
      </c>
      <c r="Q74" s="869">
        <f t="shared" ref="Q74:Q80" si="129">P74/P10*100</f>
        <v>2.8291439271483556</v>
      </c>
      <c r="R74" s="42">
        <f t="shared" ref="R74:R80" si="130">(P74/L74-1)*100</f>
        <v>18.572500027985804</v>
      </c>
      <c r="T74" s="844">
        <v>0.546045</v>
      </c>
      <c r="U74" s="869">
        <f t="shared" ref="U74:U80" si="131">T74/T10*100</f>
        <v>2.1086149981688229</v>
      </c>
      <c r="V74" s="42">
        <f t="shared" ref="V74:V80" si="132">(T74/P74-1)*100</f>
        <v>3.1032269028152815</v>
      </c>
      <c r="W74" s="45"/>
      <c r="X74" s="844">
        <v>0.68396000000000001</v>
      </c>
      <c r="Y74" s="869">
        <f t="shared" ref="Y74:Y80" si="133">X74/X10*100</f>
        <v>1.8777223246870052</v>
      </c>
      <c r="Z74" s="42">
        <f t="shared" ref="Z74:Z80" si="134">(X74/T74-1)*100</f>
        <v>25.25707588202437</v>
      </c>
      <c r="AB74" s="844">
        <v>1.14523</v>
      </c>
      <c r="AC74" s="869">
        <f t="shared" ref="AC74:AC80" si="135">AB74/AB10*100</f>
        <v>2.0200620135031575</v>
      </c>
      <c r="AD74" s="42">
        <f t="shared" ref="AD74:AD80" si="136">(AB74/X74-1)*100</f>
        <v>67.441078425638906</v>
      </c>
      <c r="AF74" s="844">
        <v>2.0165519999999999</v>
      </c>
      <c r="AG74" s="869">
        <f t="shared" ref="AG74:AG80" si="137">AF74/AF10*100</f>
        <v>2.1629162854890924</v>
      </c>
      <c r="AH74" s="42">
        <f t="shared" ref="AH74:AH80" si="138">(AF74/AB74-1)*100</f>
        <v>76.082708276939996</v>
      </c>
      <c r="AJ74" s="844">
        <v>3.3082760000000002</v>
      </c>
      <c r="AK74" s="869">
        <f t="shared" ref="AK74:AK80" si="139">AJ74/AJ10*100</f>
        <v>2.535978279057769</v>
      </c>
      <c r="AL74" s="42">
        <f t="shared" ref="AL74:AL80" si="140">(AJ74/AF74-1)*100</f>
        <v>64.056071948553779</v>
      </c>
      <c r="AN74" s="844">
        <v>4.6248699999999996</v>
      </c>
      <c r="AO74" s="869">
        <f t="shared" ref="AO74:AO80" si="141">AN74/AN10*100</f>
        <v>2.7368589102828111</v>
      </c>
      <c r="AP74" s="42">
        <f t="shared" ref="AP74:AP80" si="142">(AN74/AJ74-1)*100</f>
        <v>39.796981872129145</v>
      </c>
      <c r="AR74" s="844">
        <v>6.7770000000000001</v>
      </c>
      <c r="AS74" s="869">
        <f t="shared" ref="AS74:AS80" si="143">AR74/AR10*100</f>
        <v>2.6391111838031707</v>
      </c>
      <c r="AT74" s="42">
        <f t="shared" ref="AT74:AT80" si="144">(AR74/AN74-1)*100</f>
        <v>46.533848518985408</v>
      </c>
      <c r="AV74" s="844">
        <v>9.3699999999999992</v>
      </c>
      <c r="AW74" s="869">
        <f t="shared" ref="AW74:AW80" si="145">AV74/AV10*100</f>
        <v>2.8632106461322206</v>
      </c>
      <c r="AX74" s="42">
        <f t="shared" ref="AX74:AX80" si="146">(AV74/AR74-1)*100</f>
        <v>38.261767743839449</v>
      </c>
      <c r="AY74" s="42"/>
      <c r="AZ74" s="917">
        <v>13.534000000000001</v>
      </c>
      <c r="BA74" s="869">
        <f t="shared" ref="BA74:BA80" si="147">AZ74/AZ10*100</f>
        <v>3.4643669863795648</v>
      </c>
      <c r="BB74" s="42">
        <f t="shared" ref="BB74:BB80" si="148">(AZ74/AV74-1)*100</f>
        <v>44.439701173959456</v>
      </c>
      <c r="BC74" s="42"/>
      <c r="BD74" s="918">
        <v>19.771999999999998</v>
      </c>
      <c r="BE74" s="869">
        <f t="shared" ref="BE74:BE80" si="149">BD74/BD10*100</f>
        <v>4.3638321915389504</v>
      </c>
      <c r="BF74" s="42">
        <f t="shared" ref="BF74:BF80" si="150">(BD74/AZ74-1)*100</f>
        <v>46.09132555046547</v>
      </c>
      <c r="BG74" s="42"/>
      <c r="BH74" s="918">
        <v>23.516999999999999</v>
      </c>
      <c r="BI74" s="869">
        <f t="shared" ref="BI74:BI80" si="151">BH74/BH10*100</f>
        <v>5.7419597425554976</v>
      </c>
      <c r="BJ74" s="42">
        <f t="shared" ref="BJ74:BJ80" si="152">(BH74/BD74-1)*100</f>
        <v>18.940926562816117</v>
      </c>
      <c r="BK74" s="42"/>
      <c r="BL74" s="918">
        <v>22.986000000000001</v>
      </c>
      <c r="BM74" s="868">
        <f t="shared" ref="BM74:BM80" si="153">BL74/BL10*100</f>
        <v>5.5975628465601517</v>
      </c>
      <c r="BN74" s="873">
        <f t="shared" ref="BN74:BN80" si="154">(BL74/BH74-1)*100</f>
        <v>-2.2579410639112063</v>
      </c>
      <c r="BO74" s="873"/>
      <c r="BP74" s="855">
        <v>23.361999999999998</v>
      </c>
      <c r="BQ74" s="868">
        <f t="shared" ref="BQ74:BQ80" si="155">BP74/BP10*100</f>
        <v>4.8510344942149715</v>
      </c>
      <c r="BR74" s="873">
        <f t="shared" ref="BR74:BR80" si="156">(BP74/BL74-1)*100</f>
        <v>1.6357782998346782</v>
      </c>
      <c r="BS74" s="873"/>
      <c r="BT74" s="855">
        <v>24.187999999999999</v>
      </c>
      <c r="BU74" s="868">
        <f t="shared" ref="BU74:BU80" si="157">BT74/BT10*100</f>
        <v>4.5029581612858784</v>
      </c>
      <c r="BV74" s="873">
        <f t="shared" ref="BV74:BV80" si="158">(BT74/BP74-1)*100</f>
        <v>3.5356561938190145</v>
      </c>
      <c r="BW74" s="873"/>
      <c r="BX74" s="919">
        <v>26.091999999999999</v>
      </c>
      <c r="BY74" s="868">
        <f t="shared" ref="BY74:BY80" si="159">BX74/BX10*100</f>
        <v>4.0091146973726861</v>
      </c>
      <c r="BZ74" s="873">
        <f t="shared" ref="BZ74:BZ80" si="160">(BX74/BT74-1)*100</f>
        <v>7.8716719034231941</v>
      </c>
      <c r="CA74" s="42"/>
      <c r="CB74" s="919">
        <v>29.123999999999999</v>
      </c>
      <c r="CC74" s="869">
        <f t="shared" ref="CC74:CC80" si="161">CB74/CB10*100</f>
        <v>4.3421864796443232</v>
      </c>
      <c r="CD74" s="42">
        <f t="shared" ref="CD74:CD80" si="162">(CB74/BX74-1)*100</f>
        <v>11.620420052123247</v>
      </c>
      <c r="CE74" s="42"/>
      <c r="CF74" s="920">
        <v>30.082999999999998</v>
      </c>
      <c r="CG74" s="869">
        <f t="shared" ref="CG74:CG80" si="163">CF74/CF10*100</f>
        <v>4.5613545629466321</v>
      </c>
      <c r="CH74" s="42">
        <f t="shared" ref="CH74:CH80" si="164">(CF74/CB74-1)*100</f>
        <v>3.2928169207526503</v>
      </c>
      <c r="CI74" s="42"/>
      <c r="CJ74" s="920">
        <v>30.742999999999999</v>
      </c>
      <c r="CK74" s="869">
        <f>CJ74/CJ10*100</f>
        <v>4.5716673507140859</v>
      </c>
      <c r="CL74" s="42">
        <f>(CJ74/CF74-1)*100</f>
        <v>2.1939301266496125</v>
      </c>
      <c r="CM74" s="42"/>
      <c r="CN74" s="920">
        <v>27.957000000000001</v>
      </c>
      <c r="CO74" s="869">
        <f>CN74/CN10*100</f>
        <v>4.3480559957821203</v>
      </c>
      <c r="CP74" s="42">
        <f>(CN74/CJ74-1)*100</f>
        <v>-9.0622255472790449</v>
      </c>
      <c r="CQ74" s="42"/>
      <c r="CR74" s="920">
        <v>25.145</v>
      </c>
      <c r="CS74" s="869">
        <f>CR74/CR10*100</f>
        <v>4.3076569909272813</v>
      </c>
      <c r="CT74" s="42">
        <f>(CR74/CN74-1)*100</f>
        <v>-10.058303823729297</v>
      </c>
      <c r="CU74" s="42"/>
      <c r="CV74" s="895">
        <v>23.5</v>
      </c>
      <c r="CW74" s="869">
        <f>CV74/CV10*100</f>
        <v>4.2631495146220661</v>
      </c>
      <c r="CX74" s="42">
        <f>(CV74/CR74-1)*100</f>
        <v>-6.5420560747663554</v>
      </c>
      <c r="CY74" s="42"/>
      <c r="CZ74" s="42"/>
      <c r="DA74" s="42"/>
      <c r="DB74" s="869"/>
      <c r="DC74" s="911"/>
      <c r="DF74" s="884"/>
      <c r="DG74" s="122"/>
      <c r="DH74" s="122"/>
      <c r="DI74" s="122"/>
      <c r="DJ74" s="122"/>
    </row>
    <row r="75" spans="1:114">
      <c r="A75" s="26" t="str">
        <f>$A$11</f>
        <v>2Q</v>
      </c>
      <c r="B75" s="26" t="str">
        <f>$B$11</f>
        <v>Jul</v>
      </c>
      <c r="D75" s="854">
        <f>0.417892-D74</f>
        <v>0.22029599999999999</v>
      </c>
      <c r="E75" s="869">
        <f t="shared" si="124"/>
        <v>1.3785301698025825</v>
      </c>
      <c r="F75" s="42"/>
      <c r="H75" s="854">
        <f>0.815412-H74</f>
        <v>0.42478700000000003</v>
      </c>
      <c r="I75" s="869">
        <f t="shared" si="125"/>
        <v>2.7357611767121379</v>
      </c>
      <c r="J75" s="42">
        <f t="shared" si="126"/>
        <v>92.825561971166096</v>
      </c>
      <c r="L75" s="854">
        <f>0.904066-L74</f>
        <v>0.45741100000000001</v>
      </c>
      <c r="M75" s="869">
        <f t="shared" si="127"/>
        <v>2.8457834609954444</v>
      </c>
      <c r="N75" s="42">
        <f t="shared" si="128"/>
        <v>7.6800843716968714</v>
      </c>
      <c r="P75" s="854">
        <f>1.062713-P74</f>
        <v>0.53310299999999999</v>
      </c>
      <c r="Q75" s="869">
        <f t="shared" si="129"/>
        <v>2.6548195285652691</v>
      </c>
      <c r="R75" s="42">
        <f t="shared" si="130"/>
        <v>16.547918611489454</v>
      </c>
      <c r="T75" s="854">
        <f>1.129141-T74</f>
        <v>0.58309599999999995</v>
      </c>
      <c r="U75" s="869">
        <f t="shared" si="131"/>
        <v>2.1313124069257783</v>
      </c>
      <c r="V75" s="42">
        <f t="shared" si="132"/>
        <v>9.3777375103872842</v>
      </c>
      <c r="X75" s="854">
        <f>1.464529-X74</f>
        <v>0.78056899999999996</v>
      </c>
      <c r="Y75" s="869">
        <f t="shared" si="133"/>
        <v>2.1227673446239703</v>
      </c>
      <c r="Z75" s="42">
        <f t="shared" si="134"/>
        <v>33.866293028935203</v>
      </c>
      <c r="AB75" s="854">
        <f>2.463499-AB74</f>
        <v>1.3182690000000001</v>
      </c>
      <c r="AC75" s="869">
        <f t="shared" si="135"/>
        <v>2.1739868237765707</v>
      </c>
      <c r="AD75" s="42">
        <f t="shared" si="136"/>
        <v>68.885646240114625</v>
      </c>
      <c r="AF75" s="854">
        <v>2.3542900000000002</v>
      </c>
      <c r="AG75" s="869">
        <f t="shared" si="137"/>
        <v>2.6307203899083205</v>
      </c>
      <c r="AH75" s="42">
        <f t="shared" si="138"/>
        <v>78.589498804872136</v>
      </c>
      <c r="AJ75" s="854">
        <v>3.5437210000000001</v>
      </c>
      <c r="AK75" s="869">
        <f t="shared" si="139"/>
        <v>2.8334326245545398</v>
      </c>
      <c r="AL75" s="42">
        <f t="shared" si="140"/>
        <v>50.521855846136198</v>
      </c>
      <c r="AN75" s="854">
        <v>4.9772619999999996</v>
      </c>
      <c r="AO75" s="869">
        <f t="shared" si="141"/>
        <v>2.8697896283363136</v>
      </c>
      <c r="AP75" s="42">
        <f t="shared" si="142"/>
        <v>40.452987128501363</v>
      </c>
      <c r="AR75" s="854">
        <v>6.9240000000000004</v>
      </c>
      <c r="AS75" s="869">
        <f t="shared" si="143"/>
        <v>2.7177774201525318</v>
      </c>
      <c r="AT75" s="42">
        <f t="shared" si="144"/>
        <v>39.112628589774864</v>
      </c>
      <c r="AV75" s="854">
        <v>10.481999999999999</v>
      </c>
      <c r="AW75" s="869">
        <f t="shared" si="145"/>
        <v>3.0566450390026971</v>
      </c>
      <c r="AX75" s="42">
        <f t="shared" si="146"/>
        <v>51.386481802426331</v>
      </c>
      <c r="AY75" s="42"/>
      <c r="AZ75" s="921">
        <f>28.783-AZ74</f>
        <v>15.249000000000001</v>
      </c>
      <c r="BA75" s="869">
        <f t="shared" si="147"/>
        <v>3.779987804092074</v>
      </c>
      <c r="BB75" s="42">
        <f t="shared" si="148"/>
        <v>45.477962220950218</v>
      </c>
      <c r="BC75" s="42"/>
      <c r="BD75" s="922">
        <v>19.558</v>
      </c>
      <c r="BE75" s="869">
        <f t="shared" si="149"/>
        <v>4.4854814702691792</v>
      </c>
      <c r="BF75" s="42">
        <f t="shared" si="150"/>
        <v>28.25759066168272</v>
      </c>
      <c r="BG75" s="42"/>
      <c r="BH75" s="922">
        <f>45.75-BH74</f>
        <v>22.233000000000001</v>
      </c>
      <c r="BI75" s="869">
        <f t="shared" si="151"/>
        <v>5.4866763075677785</v>
      </c>
      <c r="BJ75" s="42">
        <f t="shared" si="152"/>
        <v>13.6772676142755</v>
      </c>
      <c r="BK75" s="42"/>
      <c r="BL75" s="922">
        <f>45.359-BL74</f>
        <v>22.373000000000001</v>
      </c>
      <c r="BM75" s="868">
        <f t="shared" si="153"/>
        <v>5.3279830441875138</v>
      </c>
      <c r="BN75" s="873">
        <f t="shared" si="154"/>
        <v>0.62969459811992312</v>
      </c>
      <c r="BO75" s="873"/>
      <c r="BP75" s="855">
        <f>46.636-BP74</f>
        <v>23.274000000000004</v>
      </c>
      <c r="BQ75" s="868">
        <f t="shared" si="155"/>
        <v>5.0008594757198122</v>
      </c>
      <c r="BR75" s="873">
        <f t="shared" si="156"/>
        <v>4.0271756134626635</v>
      </c>
      <c r="BS75" s="873"/>
      <c r="BT75" s="855">
        <f>48.353-BT74</f>
        <v>24.165000000000003</v>
      </c>
      <c r="BU75" s="868">
        <f t="shared" si="157"/>
        <v>4.3820915442769861</v>
      </c>
      <c r="BV75" s="873">
        <f t="shared" si="158"/>
        <v>3.8283062645011467</v>
      </c>
      <c r="BW75" s="873"/>
      <c r="BX75" s="919">
        <f>52.655-BX74</f>
        <v>26.563000000000002</v>
      </c>
      <c r="BY75" s="868">
        <f t="shared" si="159"/>
        <v>4.1393313615553158</v>
      </c>
      <c r="BZ75" s="873">
        <f t="shared" si="160"/>
        <v>9.9234429960686867</v>
      </c>
      <c r="CA75" s="42"/>
      <c r="CB75" s="919">
        <f>58.628-CB74</f>
        <v>29.504000000000001</v>
      </c>
      <c r="CC75" s="869">
        <f t="shared" si="161"/>
        <v>4.5425502268657727</v>
      </c>
      <c r="CD75" s="42">
        <f t="shared" si="162"/>
        <v>11.071791589805358</v>
      </c>
      <c r="CE75" s="42"/>
      <c r="CF75" s="920">
        <f>60.373-CF74</f>
        <v>30.29</v>
      </c>
      <c r="CG75" s="869">
        <f t="shared" si="163"/>
        <v>4.6688204793055181</v>
      </c>
      <c r="CH75" s="42">
        <f t="shared" si="164"/>
        <v>2.6640455531453222</v>
      </c>
      <c r="CI75" s="42"/>
      <c r="CJ75" s="920">
        <f>61.672-CJ74</f>
        <v>30.928999999999998</v>
      </c>
      <c r="CK75" s="869">
        <f>CJ75/CJ11*100</f>
        <v>4.689601424059509</v>
      </c>
      <c r="CL75" s="42">
        <f>(CJ75/CF75-1)*100</f>
        <v>2.10960713106636</v>
      </c>
      <c r="CM75" s="42"/>
      <c r="CN75" s="920">
        <f>55.445-CN74</f>
        <v>27.488</v>
      </c>
      <c r="CO75" s="869">
        <f>CN75/CN11*100</f>
        <v>4.3238345718006954</v>
      </c>
      <c r="CP75" s="42">
        <f>(CN75/CJ75-1)*100</f>
        <v>-11.125480940217914</v>
      </c>
      <c r="CQ75" s="42"/>
      <c r="CR75" s="920">
        <f>50.012-CR74</f>
        <v>24.867000000000001</v>
      </c>
      <c r="CS75" s="869">
        <f>CR75/CR11*100</f>
        <v>4.2979288984601984</v>
      </c>
      <c r="CT75" s="42">
        <f>(CR75/CN75-1)*100</f>
        <v>-9.5350698486612266</v>
      </c>
      <c r="CU75" s="42"/>
      <c r="CV75" s="895">
        <v>23.5</v>
      </c>
      <c r="CW75" s="869">
        <f>CV75/CV11*100</f>
        <v>4.2396089350242887</v>
      </c>
      <c r="CX75" s="42">
        <f>(CV75/CR75-1)*100</f>
        <v>-5.4972453452366672</v>
      </c>
      <c r="CY75" s="42"/>
      <c r="CZ75" s="42"/>
      <c r="DA75" s="42"/>
      <c r="DB75" s="869"/>
      <c r="DC75" s="911"/>
      <c r="DF75" s="884"/>
      <c r="DG75" s="122"/>
      <c r="DH75" s="122"/>
      <c r="DI75" s="122"/>
      <c r="DJ75" s="122"/>
    </row>
    <row r="76" spans="1:114">
      <c r="A76" s="26" t="str">
        <f>$A$12</f>
        <v>3Q</v>
      </c>
      <c r="B76" s="26" t="str">
        <f>$B$12</f>
        <v>Oct</v>
      </c>
      <c r="D76" s="854">
        <f>0.650092-D75-D74</f>
        <v>0.23220000000000002</v>
      </c>
      <c r="E76" s="869">
        <f t="shared" si="124"/>
        <v>1.5200547062582657</v>
      </c>
      <c r="F76" s="42"/>
      <c r="H76" s="854">
        <f>1.237536-H75-H74</f>
        <v>0.42212399999999994</v>
      </c>
      <c r="I76" s="869">
        <f t="shared" si="125"/>
        <v>2.7645668046994043</v>
      </c>
      <c r="J76" s="42">
        <f t="shared" si="126"/>
        <v>81.793281653746732</v>
      </c>
      <c r="L76" s="854">
        <f>1.378596-L75-L74</f>
        <v>0.4745299999999999</v>
      </c>
      <c r="M76" s="869">
        <f t="shared" si="127"/>
        <v>3.0172448325716195</v>
      </c>
      <c r="N76" s="42">
        <f t="shared" si="128"/>
        <v>12.414835451194417</v>
      </c>
      <c r="P76" s="854">
        <f>1.59811-P75-P74</f>
        <v>0.53539700000000001</v>
      </c>
      <c r="Q76" s="869">
        <f t="shared" si="129"/>
        <v>2.8292893222952737</v>
      </c>
      <c r="R76" s="42">
        <f t="shared" si="130"/>
        <v>12.826797041282978</v>
      </c>
      <c r="T76" s="854">
        <f>1.741734-T75-T74</f>
        <v>0.61259299999999983</v>
      </c>
      <c r="U76" s="869">
        <f t="shared" si="131"/>
        <v>2.2897121489455703</v>
      </c>
      <c r="V76" s="42">
        <f t="shared" si="132"/>
        <v>14.418459572989729</v>
      </c>
      <c r="X76" s="854">
        <f>2.315544-X75-X74</f>
        <v>0.85101500000000019</v>
      </c>
      <c r="Y76" s="869">
        <f t="shared" si="133"/>
        <v>2.1270591775674452</v>
      </c>
      <c r="Z76" s="42">
        <f t="shared" si="134"/>
        <v>38.920131310674535</v>
      </c>
      <c r="AB76" s="854">
        <f>4.008671-AB75-AB74</f>
        <v>1.5451719999999998</v>
      </c>
      <c r="AC76" s="869">
        <f t="shared" si="135"/>
        <v>2.2396889495162613</v>
      </c>
      <c r="AD76" s="42">
        <f t="shared" si="136"/>
        <v>81.568127471313588</v>
      </c>
      <c r="AF76" s="854">
        <v>2.6794380000000002</v>
      </c>
      <c r="AG76" s="869">
        <f t="shared" si="137"/>
        <v>2.8511294820058342</v>
      </c>
      <c r="AH76" s="42">
        <f t="shared" si="138"/>
        <v>73.407102898577037</v>
      </c>
      <c r="AJ76" s="854">
        <v>3.8679960000000002</v>
      </c>
      <c r="AK76" s="869">
        <f t="shared" si="139"/>
        <v>2.8179869319436439</v>
      </c>
      <c r="AL76" s="42">
        <f t="shared" si="140"/>
        <v>44.358481144180239</v>
      </c>
      <c r="AN76" s="854">
        <v>5.5469999999999997</v>
      </c>
      <c r="AO76" s="869">
        <f t="shared" si="141"/>
        <v>2.6342908975205277</v>
      </c>
      <c r="AP76" s="42">
        <f t="shared" si="142"/>
        <v>43.407594009921404</v>
      </c>
      <c r="AR76" s="854">
        <v>7.0469999999999997</v>
      </c>
      <c r="AS76" s="869">
        <f t="shared" si="143"/>
        <v>2.6121961797511237</v>
      </c>
      <c r="AT76" s="42">
        <f t="shared" si="144"/>
        <v>27.041644131963217</v>
      </c>
      <c r="AV76" s="854">
        <v>11.339</v>
      </c>
      <c r="AW76" s="869">
        <f t="shared" si="145"/>
        <v>3.1614459174996168</v>
      </c>
      <c r="AX76" s="42">
        <f t="shared" si="146"/>
        <v>60.905349794238695</v>
      </c>
      <c r="AY76" s="42"/>
      <c r="AZ76" s="922">
        <v>15.224</v>
      </c>
      <c r="BA76" s="869">
        <f t="shared" si="147"/>
        <v>3.7850026975354223</v>
      </c>
      <c r="BB76" s="42">
        <f t="shared" si="148"/>
        <v>34.262280624393696</v>
      </c>
      <c r="BC76" s="42"/>
      <c r="BD76" s="922">
        <f>59.526-BD75-BD74</f>
        <v>20.196000000000005</v>
      </c>
      <c r="BE76" s="869">
        <f t="shared" si="149"/>
        <v>4.8558232130277252</v>
      </c>
      <c r="BF76" s="42">
        <f t="shared" si="150"/>
        <v>32.658959537572294</v>
      </c>
      <c r="BG76" s="42"/>
      <c r="BH76" s="922">
        <f>68.19-BH75-BH74</f>
        <v>22.439999999999994</v>
      </c>
      <c r="BI76" s="869">
        <f t="shared" si="151"/>
        <v>5.6919209725981172</v>
      </c>
      <c r="BJ76" s="42">
        <f t="shared" si="152"/>
        <v>11.11111111111105</v>
      </c>
      <c r="BK76" s="42"/>
      <c r="BL76" s="922">
        <f>72.407-BL75-BL74</f>
        <v>27.047999999999991</v>
      </c>
      <c r="BM76" s="868">
        <f t="shared" si="153"/>
        <v>6.0528618390871456</v>
      </c>
      <c r="BN76" s="873">
        <f t="shared" si="154"/>
        <v>20.534759358288767</v>
      </c>
      <c r="BO76" s="873"/>
      <c r="BP76" s="855">
        <f>70.218-BP75-BP74</f>
        <v>23.582000000000004</v>
      </c>
      <c r="BQ76" s="868">
        <f t="shared" si="155"/>
        <v>4.8821792796187351</v>
      </c>
      <c r="BR76" s="873">
        <f t="shared" si="156"/>
        <v>-12.814256137237457</v>
      </c>
      <c r="BS76" s="873"/>
      <c r="BT76" s="855">
        <f>72.952-BT74-BT75</f>
        <v>24.598999999999993</v>
      </c>
      <c r="BU76" s="868">
        <f t="shared" si="157"/>
        <v>4.5676692427387806</v>
      </c>
      <c r="BV76" s="873">
        <f t="shared" si="158"/>
        <v>4.31261131371381</v>
      </c>
      <c r="BW76" s="873"/>
      <c r="BX76" s="919">
        <f>80.085-BX75-BX74</f>
        <v>27.429999999999993</v>
      </c>
      <c r="BY76" s="868">
        <f t="shared" si="159"/>
        <v>4.3083882418540353</v>
      </c>
      <c r="BZ76" s="873">
        <f t="shared" si="160"/>
        <v>11.508597910484175</v>
      </c>
      <c r="CA76" s="42"/>
      <c r="CB76" s="919">
        <f>88.123-CB75-CB74</f>
        <v>29.495000000000001</v>
      </c>
      <c r="CC76" s="869">
        <f t="shared" si="161"/>
        <v>4.4990763889630392</v>
      </c>
      <c r="CD76" s="42">
        <f t="shared" si="162"/>
        <v>7.5282537367845848</v>
      </c>
      <c r="CE76" s="42"/>
      <c r="CF76" s="920">
        <f>90.514-CF75-CF74</f>
        <v>30.140999999999998</v>
      </c>
      <c r="CG76" s="869">
        <f t="shared" si="163"/>
        <v>4.6693963293627743</v>
      </c>
      <c r="CH76" s="42">
        <f t="shared" si="164"/>
        <v>2.1902017291066223</v>
      </c>
      <c r="CI76" s="42"/>
      <c r="CJ76" s="920">
        <f>90.266-CJ75-CJ74</f>
        <v>28.594000000000005</v>
      </c>
      <c r="CK76" s="869">
        <f>CJ76/CJ12*100</f>
        <v>4.5623748474235528</v>
      </c>
      <c r="CL76" s="42">
        <f>(CJ76/CF76-1)*100</f>
        <v>-5.1325437112238914</v>
      </c>
      <c r="CM76" s="42"/>
      <c r="CN76" s="920">
        <f>82.585-CN75-CN74</f>
        <v>27.139999999999993</v>
      </c>
      <c r="CO76" s="869">
        <f>CN76/CN12*100</f>
        <v>4.5467338569169309</v>
      </c>
      <c r="CP76" s="42">
        <f>(CN76/CJ76-1)*100</f>
        <v>-5.0849828635378458</v>
      </c>
      <c r="CQ76" s="42"/>
      <c r="CR76" s="1629">
        <f>73.968-CR75-CR74</f>
        <v>23.956</v>
      </c>
      <c r="CS76" s="869">
        <f>CR76/CR12*100</f>
        <v>4.500579574552825</v>
      </c>
      <c r="CT76" s="42">
        <f>(CR76/CN76-1)*100</f>
        <v>-11.73176123802504</v>
      </c>
      <c r="CU76" s="42"/>
      <c r="CV76" s="895">
        <v>23.5</v>
      </c>
      <c r="CW76" s="869">
        <f>CV76/CV12*100</f>
        <v>4.4315861386214168</v>
      </c>
      <c r="CX76" s="42">
        <f>(CV76/CR76-1)*100</f>
        <v>-1.903489731173813</v>
      </c>
      <c r="CY76" s="42"/>
      <c r="CZ76" s="42"/>
      <c r="DA76" s="42"/>
      <c r="DB76" s="869"/>
      <c r="DC76" s="911"/>
      <c r="DF76" s="884"/>
      <c r="DG76" s="122"/>
      <c r="DH76" s="122"/>
      <c r="DI76" s="122"/>
      <c r="DJ76" s="122"/>
    </row>
    <row r="77" spans="1:114">
      <c r="A77" s="26" t="str">
        <f>$A$13</f>
        <v>4Q</v>
      </c>
      <c r="B77" s="26" t="str">
        <f>$B$13</f>
        <v>Jan</v>
      </c>
      <c r="C77" s="122"/>
      <c r="D77" s="860">
        <f>1.0747-D76-D75-D74</f>
        <v>0.42460799999999999</v>
      </c>
      <c r="E77" s="869">
        <f t="shared" si="124"/>
        <v>3.0127732509375003</v>
      </c>
      <c r="F77" s="42"/>
      <c r="H77" s="860">
        <f>1.74182-H76-H75-H74</f>
        <v>0.50428399999999995</v>
      </c>
      <c r="I77" s="869">
        <f t="shared" si="125"/>
        <v>3.3874266260986561</v>
      </c>
      <c r="J77" s="42">
        <f t="shared" si="126"/>
        <v>18.76460170321803</v>
      </c>
      <c r="L77" s="860">
        <f>1.896196-L76-L75-L74</f>
        <v>0.51760000000000006</v>
      </c>
      <c r="M77" s="869">
        <f t="shared" si="127"/>
        <v>3.4576968559141115</v>
      </c>
      <c r="N77" s="42">
        <f t="shared" si="128"/>
        <v>2.6405755486987648</v>
      </c>
      <c r="P77" s="860">
        <f>2.114146-P76-P75-P74</f>
        <v>0.51603599999999961</v>
      </c>
      <c r="Q77" s="869">
        <f t="shared" si="129"/>
        <v>2.9294582861468919</v>
      </c>
      <c r="R77" s="42">
        <f t="shared" si="130"/>
        <v>-0.30216383307581918</v>
      </c>
      <c r="T77" s="860">
        <f>2.407799-T76-T75-T74</f>
        <v>0.66606500000000002</v>
      </c>
      <c r="U77" s="869">
        <f t="shared" si="131"/>
        <v>2.4915465884591903</v>
      </c>
      <c r="V77" s="42">
        <f t="shared" si="132"/>
        <v>29.07335922300005</v>
      </c>
      <c r="X77" s="860">
        <f>3.307539-X76-X75-X74</f>
        <v>0.99199499999999963</v>
      </c>
      <c r="Y77" s="869">
        <f t="shared" si="133"/>
        <v>2.3733634356446331</v>
      </c>
      <c r="Z77" s="42">
        <f t="shared" si="134"/>
        <v>48.93366263052399</v>
      </c>
      <c r="AB77" s="860">
        <v>1.9690730000000001</v>
      </c>
      <c r="AC77" s="869">
        <f t="shared" si="135"/>
        <v>2.6927754364749896</v>
      </c>
      <c r="AD77" s="42">
        <f t="shared" si="136"/>
        <v>98.49626258196875</v>
      </c>
      <c r="AF77" s="860">
        <v>3.0598809999999999</v>
      </c>
      <c r="AG77" s="869">
        <f t="shared" si="137"/>
        <v>3.0181702791049063</v>
      </c>
      <c r="AH77" s="42">
        <f t="shared" si="138"/>
        <v>55.397032004400025</v>
      </c>
      <c r="AJ77" s="860">
        <v>4.309774</v>
      </c>
      <c r="AK77" s="869">
        <f t="shared" si="139"/>
        <v>3.1156775539257717</v>
      </c>
      <c r="AL77" s="42">
        <f t="shared" si="140"/>
        <v>40.847764994782487</v>
      </c>
      <c r="AN77" s="860">
        <v>5.9930000000000003</v>
      </c>
      <c r="AO77" s="869">
        <f t="shared" si="141"/>
        <v>2.780858340022923</v>
      </c>
      <c r="AP77" s="42">
        <f t="shared" si="142"/>
        <v>39.056015466240225</v>
      </c>
      <c r="AR77" s="861">
        <v>11.733000000000001</v>
      </c>
      <c r="AS77" s="869">
        <f t="shared" si="143"/>
        <v>4.1088982353414982</v>
      </c>
      <c r="AT77" s="42">
        <f t="shared" si="144"/>
        <v>95.7784081428333</v>
      </c>
      <c r="AV77" s="860">
        <v>13.009</v>
      </c>
      <c r="AW77" s="869">
        <f t="shared" si="145"/>
        <v>3.4623266707476112</v>
      </c>
      <c r="AX77" s="42">
        <f t="shared" si="146"/>
        <v>10.87530895764084</v>
      </c>
      <c r="AY77" s="42"/>
      <c r="AZ77" s="897">
        <v>17.834</v>
      </c>
      <c r="BA77" s="869">
        <f t="shared" si="147"/>
        <v>4.0109663968549203</v>
      </c>
      <c r="BB77" s="42">
        <f t="shared" si="148"/>
        <v>37.089707125835943</v>
      </c>
      <c r="BC77" s="42"/>
      <c r="BD77" s="897">
        <f>81.593-BD76-BD75-BD74</f>
        <v>22.067</v>
      </c>
      <c r="BE77" s="869">
        <f t="shared" si="149"/>
        <v>5.3914394681612618</v>
      </c>
      <c r="BF77" s="42">
        <f t="shared" si="150"/>
        <v>23.73556128742851</v>
      </c>
      <c r="BG77" s="42"/>
      <c r="BH77" s="897">
        <f>88.79+8.782-BH76-BH75-BH74</f>
        <v>29.382000000000001</v>
      </c>
      <c r="BI77" s="869">
        <f t="shared" si="151"/>
        <v>7.8692159976859983</v>
      </c>
      <c r="BJ77" s="42">
        <f t="shared" si="152"/>
        <v>33.14904608691711</v>
      </c>
      <c r="BK77" s="42"/>
      <c r="BL77" s="897">
        <f>96.372-BL76-BL75-BL74</f>
        <v>23.965000000000007</v>
      </c>
      <c r="BM77" s="868">
        <f t="shared" si="153"/>
        <v>5.49996557501205</v>
      </c>
      <c r="BN77" s="873">
        <f t="shared" si="154"/>
        <v>-18.436457695187514</v>
      </c>
      <c r="BO77" s="873"/>
      <c r="BP77" s="861">
        <f>94.113-BP76-BP75-BP74</f>
        <v>23.894999999999992</v>
      </c>
      <c r="BQ77" s="868">
        <f t="shared" si="155"/>
        <v>5.0308016859870204</v>
      </c>
      <c r="BR77" s="873">
        <f t="shared" si="156"/>
        <v>-0.29209263509289984</v>
      </c>
      <c r="BS77" s="873"/>
      <c r="BT77" s="861">
        <f>99.43-BT76-BT75-BT74</f>
        <v>26.478000000000012</v>
      </c>
      <c r="BU77" s="868">
        <f t="shared" si="157"/>
        <v>4.6517347818983268</v>
      </c>
      <c r="BV77" s="873">
        <f t="shared" si="158"/>
        <v>10.809792843691234</v>
      </c>
      <c r="BW77" s="873"/>
      <c r="BX77" s="861">
        <v>28.38600000000001</v>
      </c>
      <c r="BY77" s="868">
        <f t="shared" si="159"/>
        <v>4.3546627844007793</v>
      </c>
      <c r="BZ77" s="873">
        <f t="shared" si="160"/>
        <v>7.2059823249490007</v>
      </c>
      <c r="CA77" s="42"/>
      <c r="CB77" s="861">
        <f>118.303-CB76-CB75-CB74</f>
        <v>30.179999999999989</v>
      </c>
      <c r="CC77" s="869">
        <f t="shared" si="161"/>
        <v>4.9456519067307063</v>
      </c>
      <c r="CD77" s="42">
        <f t="shared" si="162"/>
        <v>6.320016909744175</v>
      </c>
      <c r="CE77" s="42"/>
      <c r="CF77" s="1131">
        <f>CF78-CF76-CF75-CF74</f>
        <v>31.755000000000017</v>
      </c>
      <c r="CG77" s="869">
        <f t="shared" si="163"/>
        <v>4.9886731747473085</v>
      </c>
      <c r="CH77" s="42">
        <f t="shared" si="164"/>
        <v>5.2186878727635166</v>
      </c>
      <c r="CI77" s="42"/>
      <c r="CJ77" s="1131">
        <f>CJ78-CJ76-CJ75-CJ74</f>
        <v>28.533999999999988</v>
      </c>
      <c r="CK77" s="869">
        <f>CJ77/CJ13*100</f>
        <v>4.6407312233679194</v>
      </c>
      <c r="CL77" s="42">
        <f>(CJ77/CF77-1)*100</f>
        <v>-10.143284522122586</v>
      </c>
      <c r="CM77" s="42"/>
      <c r="CN77" s="1131">
        <f>CN78-CN76-CN75-CN74</f>
        <v>26.666000000000018</v>
      </c>
      <c r="CO77" s="869">
        <f>CN77/CN13*100</f>
        <v>4.4384967101594768</v>
      </c>
      <c r="CP77" s="42">
        <f>(CN77/CJ77-1)*100</f>
        <v>-6.5465760145789975</v>
      </c>
      <c r="CQ77" s="42"/>
      <c r="CR77" s="1647">
        <f>96.31-SUM(CR74:CR76)</f>
        <v>22.341999999999999</v>
      </c>
      <c r="CS77" s="869">
        <f>CR77/CR13*100</f>
        <v>3.8010626370616363</v>
      </c>
      <c r="CT77" s="42">
        <f>(CR77/CN77-1)*100</f>
        <v>-16.215405385134684</v>
      </c>
      <c r="CU77" s="42"/>
      <c r="CV77" s="897">
        <v>23.5</v>
      </c>
      <c r="CW77" s="869">
        <f>CV77/CV13*100</f>
        <v>4.2774982997514401</v>
      </c>
      <c r="CX77" s="42">
        <f>(CV77/CR77-1)*100</f>
        <v>5.1830632888729911</v>
      </c>
      <c r="CY77" s="42"/>
      <c r="CZ77" s="42"/>
      <c r="DA77" s="42"/>
      <c r="DB77" s="869"/>
      <c r="DF77" s="884"/>
      <c r="DG77" s="122"/>
      <c r="DH77" s="122"/>
      <c r="DI77" s="122"/>
      <c r="DJ77" s="122"/>
    </row>
    <row r="78" spans="1:114">
      <c r="B78" s="26" t="str">
        <f>$B$14</f>
        <v>Year</v>
      </c>
      <c r="D78" s="798">
        <f>SUM(D74:D77)</f>
        <v>1.0747</v>
      </c>
      <c r="E78" s="869">
        <f t="shared" si="124"/>
        <v>1.8131833053918305</v>
      </c>
      <c r="F78" s="42"/>
      <c r="H78" s="798">
        <f>SUM(H74:H77)</f>
        <v>1.7418199999999999</v>
      </c>
      <c r="I78" s="869">
        <f t="shared" si="125"/>
        <v>2.8865229990831769</v>
      </c>
      <c r="J78" s="42">
        <f t="shared" si="126"/>
        <v>62.074997673769431</v>
      </c>
      <c r="L78" s="798">
        <f>SUM(L74:L77)</f>
        <v>1.896196</v>
      </c>
      <c r="M78" s="869">
        <f t="shared" si="127"/>
        <v>2.9594488939539763</v>
      </c>
      <c r="N78" s="42">
        <f t="shared" si="128"/>
        <v>8.8629135042656682</v>
      </c>
      <c r="P78" s="798">
        <f>SUM(P74:P77)</f>
        <v>2.1141459999999999</v>
      </c>
      <c r="Q78" s="869">
        <f t="shared" si="129"/>
        <v>2.806171749849268</v>
      </c>
      <c r="R78" s="42">
        <f t="shared" si="130"/>
        <v>11.494064959529492</v>
      </c>
      <c r="T78" s="798">
        <f>SUM(T74:T77)</f>
        <v>2.4077989999999998</v>
      </c>
      <c r="U78" s="869">
        <f t="shared" si="131"/>
        <v>2.2557270622708425</v>
      </c>
      <c r="V78" s="42">
        <f t="shared" si="132"/>
        <v>13.889911103585085</v>
      </c>
      <c r="X78" s="798">
        <f>SUM(X74:X77)</f>
        <v>3.3075389999999998</v>
      </c>
      <c r="Y78" s="869">
        <f t="shared" si="133"/>
        <v>2.1338647268036008</v>
      </c>
      <c r="Z78" s="42">
        <f t="shared" si="134"/>
        <v>37.367737091011335</v>
      </c>
      <c r="AB78" s="798">
        <f>SUM(AB74:AB77)</f>
        <v>5.9777439999999995</v>
      </c>
      <c r="AC78" s="869">
        <f t="shared" si="135"/>
        <v>2.3040426124142663</v>
      </c>
      <c r="AD78" s="42">
        <f t="shared" si="136"/>
        <v>80.730869688913714</v>
      </c>
      <c r="AF78" s="798">
        <f>SUM(AF74:AF77)</f>
        <v>10.110161</v>
      </c>
      <c r="AG78" s="869">
        <f t="shared" si="137"/>
        <v>2.6740420562193714</v>
      </c>
      <c r="AH78" s="42">
        <f t="shared" si="138"/>
        <v>69.130043039648399</v>
      </c>
      <c r="AJ78" s="798">
        <f>SUM(AJ74:AJ77)</f>
        <v>15.029767</v>
      </c>
      <c r="AK78" s="869">
        <f t="shared" si="139"/>
        <v>2.8298882518549959</v>
      </c>
      <c r="AL78" s="42">
        <f t="shared" si="140"/>
        <v>48.660016393408576</v>
      </c>
      <c r="AN78" s="798">
        <f>SUM(AN74:AN77)</f>
        <v>21.142131999999997</v>
      </c>
      <c r="AO78" s="869">
        <f t="shared" si="141"/>
        <v>2.7510940146573213</v>
      </c>
      <c r="AP78" s="42">
        <f t="shared" si="142"/>
        <v>40.668394925882723</v>
      </c>
      <c r="AR78" s="798">
        <f>SUM(AR74:AR77)</f>
        <v>32.481000000000002</v>
      </c>
      <c r="AS78" s="869">
        <f t="shared" si="143"/>
        <v>3.0444791457724474</v>
      </c>
      <c r="AT78" s="42">
        <f t="shared" si="144"/>
        <v>53.631620500713971</v>
      </c>
      <c r="AV78" s="798">
        <f>SUM(AV74:AV77)</f>
        <v>44.199999999999996</v>
      </c>
      <c r="AW78" s="869">
        <f t="shared" si="145"/>
        <v>3.1468593702721459</v>
      </c>
      <c r="AX78" s="42">
        <f t="shared" si="146"/>
        <v>36.079554200917443</v>
      </c>
      <c r="AY78" s="42"/>
      <c r="AZ78" s="798">
        <f>SUM(AZ74:AZ77)</f>
        <v>61.841000000000008</v>
      </c>
      <c r="BA78" s="869">
        <f t="shared" si="147"/>
        <v>3.7686624694456246</v>
      </c>
      <c r="BB78" s="42">
        <f t="shared" si="148"/>
        <v>39.911764705882376</v>
      </c>
      <c r="BC78" s="42"/>
      <c r="BD78" s="798">
        <f>SUM(BD74:BD77)</f>
        <v>81.593000000000004</v>
      </c>
      <c r="BE78" s="869">
        <f t="shared" si="149"/>
        <v>4.7594770425945576</v>
      </c>
      <c r="BF78" s="42">
        <f t="shared" si="150"/>
        <v>31.939975097427254</v>
      </c>
      <c r="BG78" s="42"/>
      <c r="BH78" s="798">
        <f>SUM(BH74:BH77)</f>
        <v>97.572000000000003</v>
      </c>
      <c r="BI78" s="869">
        <f t="shared" si="151"/>
        <v>6.166061258692471</v>
      </c>
      <c r="BJ78" s="42">
        <f t="shared" si="152"/>
        <v>19.58378782493595</v>
      </c>
      <c r="BK78" s="42"/>
      <c r="BL78" s="798">
        <f>SUM(BL74:BL77)</f>
        <v>96.372</v>
      </c>
      <c r="BM78" s="868">
        <f t="shared" si="153"/>
        <v>5.6254235616124904</v>
      </c>
      <c r="BN78" s="873">
        <f t="shared" si="154"/>
        <v>-1.2298610257040932</v>
      </c>
      <c r="BO78" s="873"/>
      <c r="BP78" s="805">
        <f>SUM(BP74:BP77)</f>
        <v>94.113</v>
      </c>
      <c r="BQ78" s="868">
        <f t="shared" si="155"/>
        <v>4.9403564544374126</v>
      </c>
      <c r="BR78" s="873">
        <f t="shared" si="156"/>
        <v>-2.3440418378782191</v>
      </c>
      <c r="BS78" s="873"/>
      <c r="BT78" s="805">
        <f>SUM(BT74:BT77)</f>
        <v>99.43</v>
      </c>
      <c r="BU78" s="868">
        <f t="shared" si="157"/>
        <v>4.527035640787485</v>
      </c>
      <c r="BV78" s="873">
        <f t="shared" si="158"/>
        <v>5.6495914485777732</v>
      </c>
      <c r="BW78" s="873"/>
      <c r="BX78" s="805">
        <f>SUM(BX74:BX77)</f>
        <v>108.471</v>
      </c>
      <c r="BY78" s="868">
        <f t="shared" si="159"/>
        <v>4.2025805706731783</v>
      </c>
      <c r="BZ78" s="873">
        <f t="shared" si="160"/>
        <v>9.0928291260182981</v>
      </c>
      <c r="CA78" s="42"/>
      <c r="CB78" s="798">
        <f>SUM(CB74:CB77)</f>
        <v>118.303</v>
      </c>
      <c r="CC78" s="869">
        <f t="shared" si="161"/>
        <v>4.5746831928545495</v>
      </c>
      <c r="CD78" s="42">
        <f t="shared" si="162"/>
        <v>9.0641738344811031</v>
      </c>
      <c r="CE78" s="42"/>
      <c r="CF78" s="1130">
        <v>122.26900000000001</v>
      </c>
      <c r="CG78" s="869">
        <f t="shared" si="163"/>
        <v>4.7202021052111425</v>
      </c>
      <c r="CH78" s="42">
        <f t="shared" si="164"/>
        <v>3.3524086455964941</v>
      </c>
      <c r="CI78" s="42"/>
      <c r="CJ78" s="1130">
        <v>118.8</v>
      </c>
      <c r="CK78" s="869">
        <f>CJ78/CJ14*100</f>
        <v>4.6161270693887824</v>
      </c>
      <c r="CL78" s="42">
        <f>(CJ78/CF78-1)*100</f>
        <v>-2.8371868584841642</v>
      </c>
      <c r="CM78" s="42"/>
      <c r="CN78" s="1130">
        <v>109.251</v>
      </c>
      <c r="CO78" s="869">
        <f>CN78/CN14*100</f>
        <v>4.4116685040037806</v>
      </c>
      <c r="CP78" s="42">
        <f>(CN78/CJ78-1)*100</f>
        <v>-8.0378787878787818</v>
      </c>
      <c r="CQ78" s="42"/>
      <c r="CR78" s="1648">
        <v>96.31</v>
      </c>
      <c r="CS78" s="869">
        <f>CR78/CR14*100</f>
        <v>4.2197198624768282</v>
      </c>
      <c r="CT78" s="42">
        <f>(CR78/CN78-1)*100</f>
        <v>-11.845200501597242</v>
      </c>
      <c r="CU78" s="42"/>
      <c r="CV78" s="805">
        <f>SUM(CV74:CV77)</f>
        <v>94</v>
      </c>
      <c r="CW78" s="869">
        <f>CV78/CV14*100</f>
        <v>4.3016602871256282</v>
      </c>
      <c r="CX78" s="42">
        <f>(CV78/CR78-1)*100</f>
        <v>-2.398504828159076</v>
      </c>
      <c r="CY78" s="42"/>
      <c r="CZ78" s="42"/>
      <c r="DA78" s="42"/>
      <c r="DB78" s="869"/>
      <c r="DF78" s="888"/>
      <c r="DG78" s="122"/>
      <c r="DH78" s="122"/>
      <c r="DI78" s="122"/>
      <c r="DJ78" s="122"/>
    </row>
    <row r="79" spans="1:114" hidden="1" outlineLevel="1">
      <c r="A79" s="26" t="str">
        <f>$A$15</f>
        <v>6 Mos</v>
      </c>
      <c r="D79" s="794">
        <f>SUM(D74:D75)</f>
        <v>0.41789199999999999</v>
      </c>
      <c r="E79" s="869">
        <f t="shared" si="124"/>
        <v>1.3975344665718841</v>
      </c>
      <c r="F79" s="42"/>
      <c r="H79" s="794">
        <f>SUM(H74:H75)</f>
        <v>0.81541200000000003</v>
      </c>
      <c r="I79" s="869">
        <f t="shared" si="125"/>
        <v>2.7011872924822034</v>
      </c>
      <c r="J79" s="42">
        <f t="shared" si="126"/>
        <v>95.12505623462522</v>
      </c>
      <c r="L79" s="794">
        <f>SUM(L74:L75)</f>
        <v>0.90406600000000004</v>
      </c>
      <c r="M79" s="869">
        <f t="shared" si="127"/>
        <v>2.708743728734806</v>
      </c>
      <c r="N79" s="42">
        <f t="shared" si="128"/>
        <v>10.872295232348804</v>
      </c>
      <c r="P79" s="794">
        <f>SUM(P74:P75)</f>
        <v>1.062713</v>
      </c>
      <c r="Q79" s="869">
        <f t="shared" si="129"/>
        <v>2.7389248417238075</v>
      </c>
      <c r="R79" s="42">
        <f t="shared" si="130"/>
        <v>17.548165731262987</v>
      </c>
      <c r="T79" s="794">
        <f>SUM(T74:T75)</f>
        <v>1.129141</v>
      </c>
      <c r="U79" s="869">
        <f t="shared" si="131"/>
        <v>2.1202753948261597</v>
      </c>
      <c r="V79" s="42">
        <f t="shared" si="132"/>
        <v>6.2507939584817374</v>
      </c>
      <c r="X79" s="794">
        <f>SUM(X74:X75)</f>
        <v>1.464529</v>
      </c>
      <c r="Y79" s="869">
        <f t="shared" si="133"/>
        <v>2.0008245228438812</v>
      </c>
      <c r="Z79" s="42">
        <f t="shared" si="134"/>
        <v>29.702933468893612</v>
      </c>
      <c r="AB79" s="794">
        <f>SUM(AB74:AB75)</f>
        <v>2.4634990000000001</v>
      </c>
      <c r="AC79" s="869">
        <f t="shared" si="135"/>
        <v>2.0996124387449435</v>
      </c>
      <c r="AD79" s="42">
        <f t="shared" si="136"/>
        <v>68.211008453912498</v>
      </c>
      <c r="AF79" s="794">
        <f>SUM(AF74:AF75)</f>
        <v>4.3708419999999997</v>
      </c>
      <c r="AG79" s="869">
        <f t="shared" si="137"/>
        <v>2.3920298384193019</v>
      </c>
      <c r="AH79" s="42">
        <f t="shared" si="138"/>
        <v>77.4241434642352</v>
      </c>
      <c r="AJ79" s="794">
        <f>SUM(AJ74:AJ75)</f>
        <v>6.8519970000000008</v>
      </c>
      <c r="AK79" s="869">
        <f t="shared" si="139"/>
        <v>2.6815707956681138</v>
      </c>
      <c r="AL79" s="42">
        <f t="shared" si="140"/>
        <v>56.766064753656195</v>
      </c>
      <c r="AN79" s="794">
        <f>SUM(AN74:AN75)</f>
        <v>9.6021319999999992</v>
      </c>
      <c r="AO79" s="869">
        <f t="shared" si="141"/>
        <v>2.8041883975989994</v>
      </c>
      <c r="AP79" s="42">
        <f t="shared" si="142"/>
        <v>40.136255167654021</v>
      </c>
      <c r="AR79" s="794">
        <f>SUM(AR74:AR75)</f>
        <v>13.701000000000001</v>
      </c>
      <c r="AS79" s="869">
        <f t="shared" si="143"/>
        <v>2.6782886788985807</v>
      </c>
      <c r="AT79" s="42">
        <f t="shared" si="144"/>
        <v>42.687061581740402</v>
      </c>
      <c r="AV79" s="794">
        <f>SUM(AV74:AV75)</f>
        <v>19.851999999999997</v>
      </c>
      <c r="AW79" s="869">
        <f t="shared" si="145"/>
        <v>2.9621892625861701</v>
      </c>
      <c r="AX79" s="42">
        <f t="shared" si="146"/>
        <v>44.894533245748455</v>
      </c>
      <c r="AY79" s="42"/>
      <c r="AZ79" s="794">
        <f>SUM(AZ74:AZ75)</f>
        <v>28.783000000000001</v>
      </c>
      <c r="BA79" s="869">
        <f t="shared" si="147"/>
        <v>3.6247114574531185</v>
      </c>
      <c r="BB79" s="42">
        <f t="shared" si="148"/>
        <v>44.98791053798108</v>
      </c>
      <c r="BC79" s="42"/>
      <c r="BD79" s="794">
        <f>SUM(BD74:BD75)</f>
        <v>39.33</v>
      </c>
      <c r="BE79" s="869">
        <f t="shared" si="149"/>
        <v>4.4234898219244485</v>
      </c>
      <c r="BF79" s="42">
        <f t="shared" si="150"/>
        <v>36.643157419309993</v>
      </c>
      <c r="BG79" s="42"/>
      <c r="BH79" s="794">
        <f>SUM(BH74:BH75)</f>
        <v>45.75</v>
      </c>
      <c r="BI79" s="869">
        <f t="shared" si="151"/>
        <v>5.6149988585903952</v>
      </c>
      <c r="BJ79" s="42">
        <f t="shared" si="152"/>
        <v>16.323417238749059</v>
      </c>
      <c r="BK79" s="42"/>
      <c r="BL79" s="794">
        <f>SUM(BL74:BL75)</f>
        <v>45.359000000000002</v>
      </c>
      <c r="BM79" s="868">
        <f t="shared" si="153"/>
        <v>5.4612682076387209</v>
      </c>
      <c r="BN79" s="873">
        <f t="shared" si="154"/>
        <v>-0.85464480874316573</v>
      </c>
      <c r="BO79" s="873"/>
      <c r="BP79" s="803">
        <f>SUM(BP74:BP75)</f>
        <v>46.636000000000003</v>
      </c>
      <c r="BQ79" s="868">
        <f t="shared" si="155"/>
        <v>4.9246664160475104</v>
      </c>
      <c r="BR79" s="873">
        <f t="shared" si="156"/>
        <v>2.8153177980114297</v>
      </c>
      <c r="BS79" s="873"/>
      <c r="BT79" s="803">
        <f>SUM(BT74:BT75)</f>
        <v>48.353000000000002</v>
      </c>
      <c r="BU79" s="868">
        <f t="shared" si="157"/>
        <v>4.4417314972253532</v>
      </c>
      <c r="BV79" s="873">
        <f t="shared" si="158"/>
        <v>3.6817051205077611</v>
      </c>
      <c r="BW79" s="873"/>
      <c r="BX79" s="803">
        <f>SUM(BX74:BX75)</f>
        <v>52.655000000000001</v>
      </c>
      <c r="BY79" s="868">
        <f t="shared" si="159"/>
        <v>4.0737648922005452</v>
      </c>
      <c r="BZ79" s="873">
        <f t="shared" si="160"/>
        <v>8.8970694682853235</v>
      </c>
      <c r="CA79" s="42"/>
      <c r="CB79" s="794">
        <f>SUM(CB74:CB75)</f>
        <v>58.628</v>
      </c>
      <c r="CC79" s="869">
        <f t="shared" si="161"/>
        <v>4.4407582040939992</v>
      </c>
      <c r="CD79" s="42">
        <f t="shared" si="162"/>
        <v>11.343652074826704</v>
      </c>
      <c r="CE79" s="42"/>
      <c r="CF79" s="794">
        <f>SUM(CF74:CF75)</f>
        <v>60.372999999999998</v>
      </c>
      <c r="CG79" s="869">
        <f t="shared" si="163"/>
        <v>4.6146461299512103</v>
      </c>
      <c r="CH79" s="42">
        <f t="shared" si="164"/>
        <v>2.9763935321007073</v>
      </c>
      <c r="CI79" s="42"/>
      <c r="CJ79" s="794"/>
      <c r="CK79" s="869"/>
      <c r="CL79" s="42"/>
      <c r="CM79" s="42"/>
      <c r="CN79" s="794"/>
      <c r="CO79" s="869"/>
      <c r="CP79" s="42"/>
      <c r="CQ79" s="42"/>
      <c r="CR79" s="794"/>
      <c r="CS79" s="869"/>
      <c r="CT79" s="42"/>
      <c r="CU79" s="42"/>
      <c r="CV79" s="794"/>
      <c r="CW79" s="869"/>
      <c r="CX79" s="42"/>
      <c r="CY79" s="42"/>
      <c r="CZ79" s="42"/>
      <c r="DA79" s="42"/>
      <c r="DF79" s="889"/>
      <c r="DG79" s="122"/>
      <c r="DH79" s="122"/>
      <c r="DI79" s="122"/>
      <c r="DJ79" s="122"/>
    </row>
    <row r="80" spans="1:114" hidden="1" outlineLevel="1">
      <c r="A80" s="26" t="str">
        <f>$A$16</f>
        <v>9 Mos</v>
      </c>
      <c r="D80" s="794">
        <f>SUM(D74:D76)</f>
        <v>0.650092</v>
      </c>
      <c r="E80" s="869">
        <f t="shared" si="124"/>
        <v>1.4389616328619408</v>
      </c>
      <c r="F80" s="42"/>
      <c r="H80" s="794">
        <f>SUM(H74:H76)</f>
        <v>1.237536</v>
      </c>
      <c r="I80" s="869">
        <f t="shared" si="125"/>
        <v>2.7224769274317442</v>
      </c>
      <c r="J80" s="42">
        <f t="shared" si="126"/>
        <v>90.36321013025848</v>
      </c>
      <c r="L80" s="794">
        <f>SUM(L74:L76)</f>
        <v>1.3785959999999999</v>
      </c>
      <c r="M80" s="869">
        <f t="shared" si="127"/>
        <v>2.8075537303620104</v>
      </c>
      <c r="N80" s="42">
        <f t="shared" si="128"/>
        <v>11.398456287332248</v>
      </c>
      <c r="P80" s="794">
        <f>SUM(P74:P76)</f>
        <v>1.5981100000000001</v>
      </c>
      <c r="Q80" s="869">
        <f t="shared" si="129"/>
        <v>2.7685487142249698</v>
      </c>
      <c r="R80" s="42">
        <f t="shared" si="130"/>
        <v>15.923011527670194</v>
      </c>
      <c r="T80" s="794">
        <f>SUM(T74:T76)</f>
        <v>1.7417339999999997</v>
      </c>
      <c r="U80" s="869">
        <f t="shared" si="131"/>
        <v>2.1769335068596809</v>
      </c>
      <c r="V80" s="42">
        <f t="shared" si="132"/>
        <v>8.9871160308113716</v>
      </c>
      <c r="X80" s="794">
        <f>SUM(X74:X76)</f>
        <v>2.315544</v>
      </c>
      <c r="Y80" s="869">
        <f t="shared" si="133"/>
        <v>2.0454383620606915</v>
      </c>
      <c r="Z80" s="42">
        <f t="shared" si="134"/>
        <v>32.944755054445764</v>
      </c>
      <c r="AB80" s="794">
        <f>SUM(AB74:AB76)</f>
        <v>4.0086709999999997</v>
      </c>
      <c r="AC80" s="869">
        <f t="shared" si="135"/>
        <v>2.1514794502921921</v>
      </c>
      <c r="AD80" s="42">
        <f t="shared" si="136"/>
        <v>73.120052998345074</v>
      </c>
      <c r="AF80" s="794">
        <f>SUM(AF74:AF76)</f>
        <v>7.0502799999999999</v>
      </c>
      <c r="AG80" s="869">
        <f t="shared" si="137"/>
        <v>2.5479561138530911</v>
      </c>
      <c r="AH80" s="42">
        <f t="shared" si="138"/>
        <v>75.875745353011027</v>
      </c>
      <c r="AJ80" s="794">
        <f>SUM(AJ74:AJ76)</f>
        <v>10.719993000000001</v>
      </c>
      <c r="AK80" s="869">
        <f t="shared" si="139"/>
        <v>2.7292424699724638</v>
      </c>
      <c r="AL80" s="42">
        <f t="shared" si="140"/>
        <v>52.050599408817824</v>
      </c>
      <c r="AN80" s="794">
        <f>SUM(AN74:AN76)</f>
        <v>15.149131999999998</v>
      </c>
      <c r="AO80" s="869">
        <f t="shared" si="141"/>
        <v>2.7394943851008335</v>
      </c>
      <c r="AP80" s="42">
        <f t="shared" si="142"/>
        <v>41.316622128391288</v>
      </c>
      <c r="AR80" s="794">
        <f>SUM(AR74:AR76)</f>
        <v>20.748000000000001</v>
      </c>
      <c r="AS80" s="869">
        <f t="shared" si="143"/>
        <v>2.6554686810071533</v>
      </c>
      <c r="AT80" s="42">
        <f t="shared" si="144"/>
        <v>36.958341903681372</v>
      </c>
      <c r="AV80" s="794">
        <f>SUM(AV74:AV76)</f>
        <v>31.190999999999995</v>
      </c>
      <c r="AW80" s="869">
        <f t="shared" si="145"/>
        <v>3.0316519981143899</v>
      </c>
      <c r="AX80" s="42">
        <f t="shared" si="146"/>
        <v>50.332562174667416</v>
      </c>
      <c r="AY80" s="42"/>
      <c r="AZ80" s="794">
        <f>SUM(AZ74:AZ76)</f>
        <v>44.007000000000005</v>
      </c>
      <c r="BA80" s="869">
        <f t="shared" si="147"/>
        <v>3.678604626279784</v>
      </c>
      <c r="BB80" s="42">
        <f t="shared" si="148"/>
        <v>41.088775608348605</v>
      </c>
      <c r="BC80" s="42"/>
      <c r="BD80" s="794">
        <f>SUM(BD74:BD76)</f>
        <v>59.526000000000003</v>
      </c>
      <c r="BE80" s="869">
        <f t="shared" si="149"/>
        <v>4.5612744534608405</v>
      </c>
      <c r="BF80" s="42">
        <f t="shared" si="150"/>
        <v>35.264844229327139</v>
      </c>
      <c r="BG80" s="42"/>
      <c r="BH80" s="794">
        <f>SUM(BH74:BH76)</f>
        <v>68.19</v>
      </c>
      <c r="BI80" s="869">
        <f t="shared" si="151"/>
        <v>5.6400818841628579</v>
      </c>
      <c r="BJ80" s="42">
        <f t="shared" si="152"/>
        <v>14.554984376574943</v>
      </c>
      <c r="BK80" s="42"/>
      <c r="BL80" s="794">
        <f>SUM(BL74:BL76)</f>
        <v>72.406999999999996</v>
      </c>
      <c r="BM80" s="868">
        <f t="shared" si="153"/>
        <v>5.6682174474977307</v>
      </c>
      <c r="BN80" s="873">
        <f t="shared" si="154"/>
        <v>6.1841912303856938</v>
      </c>
      <c r="BO80" s="873"/>
      <c r="BP80" s="803">
        <f>SUM(BP74:BP76)</f>
        <v>70.218000000000004</v>
      </c>
      <c r="BQ80" s="868">
        <f t="shared" si="155"/>
        <v>4.910315312480332</v>
      </c>
      <c r="BR80" s="873">
        <f t="shared" si="156"/>
        <v>-3.0231883657657277</v>
      </c>
      <c r="BS80" s="873"/>
      <c r="BT80" s="803">
        <f>SUM(BT74:BT76)</f>
        <v>72.951999999999998</v>
      </c>
      <c r="BU80" s="868">
        <f t="shared" si="157"/>
        <v>4.4834136679218242</v>
      </c>
      <c r="BV80" s="873">
        <f t="shared" si="158"/>
        <v>3.8935885385513513</v>
      </c>
      <c r="BW80" s="873"/>
      <c r="BX80" s="803">
        <f>SUM(BX74:BX76)</f>
        <v>80.084999999999994</v>
      </c>
      <c r="BY80" s="868">
        <f t="shared" si="159"/>
        <v>4.1511939639353841</v>
      </c>
      <c r="BZ80" s="873">
        <f t="shared" si="160"/>
        <v>9.7776620243447798</v>
      </c>
      <c r="CA80" s="42"/>
      <c r="CB80" s="794">
        <f>SUM(CB74:CB76)</f>
        <v>88.123000000000005</v>
      </c>
      <c r="CC80" s="869">
        <f t="shared" si="161"/>
        <v>4.4601083913181672</v>
      </c>
      <c r="CD80" s="42">
        <f t="shared" si="162"/>
        <v>10.036835861896742</v>
      </c>
      <c r="CE80" s="42"/>
      <c r="CF80" s="794">
        <f>SUM(CF74:CF76)</f>
        <v>90.513999999999996</v>
      </c>
      <c r="CG80" s="869">
        <f t="shared" si="163"/>
        <v>4.6327347025681336</v>
      </c>
      <c r="CH80" s="42">
        <f t="shared" si="164"/>
        <v>2.7132530667362653</v>
      </c>
      <c r="CI80" s="42"/>
      <c r="CJ80" s="794"/>
      <c r="CK80" s="869"/>
      <c r="CL80" s="42"/>
      <c r="CM80" s="42"/>
      <c r="CN80" s="794"/>
      <c r="CO80" s="869"/>
      <c r="CP80" s="42"/>
      <c r="CQ80" s="42"/>
      <c r="CR80" s="794"/>
      <c r="CS80" s="869"/>
      <c r="CT80" s="42"/>
      <c r="CU80" s="42"/>
      <c r="CV80" s="794"/>
      <c r="CW80" s="869"/>
      <c r="CX80" s="42"/>
      <c r="CY80" s="42"/>
      <c r="CZ80" s="42"/>
      <c r="DA80" s="42"/>
      <c r="DF80" s="889"/>
      <c r="DG80" s="122"/>
      <c r="DH80" s="122"/>
      <c r="DI80" s="122"/>
      <c r="DJ80" s="122"/>
    </row>
    <row r="81" spans="1:114" collapsed="1">
      <c r="AG81" s="869"/>
      <c r="AS81" s="791">
        <f>AS77-AO77</f>
        <v>1.3280398953185752</v>
      </c>
      <c r="BL81" s="180"/>
      <c r="BM81" s="137"/>
      <c r="BN81" s="137"/>
      <c r="BO81" s="137"/>
      <c r="BP81" s="858"/>
      <c r="BQ81" s="137"/>
      <c r="BR81" s="137"/>
      <c r="BS81" s="137"/>
      <c r="BT81" s="858"/>
      <c r="BU81" s="137"/>
      <c r="BV81" s="137"/>
      <c r="BW81" s="137"/>
      <c r="BX81" s="858"/>
      <c r="BY81" s="137"/>
      <c r="BZ81" s="137"/>
      <c r="DF81" s="122"/>
      <c r="DG81" s="122"/>
      <c r="DH81" s="122"/>
      <c r="DI81" s="122"/>
      <c r="DJ81" s="122"/>
    </row>
    <row r="82" spans="1:114">
      <c r="C82" s="837"/>
      <c r="D82" s="837"/>
      <c r="H82" s="923"/>
      <c r="I82" s="840"/>
      <c r="J82" s="840"/>
      <c r="K82" s="840"/>
      <c r="L82" s="923"/>
      <c r="M82" s="840"/>
      <c r="N82" s="840"/>
      <c r="O82" s="840"/>
      <c r="P82" s="923"/>
      <c r="Q82" s="840"/>
      <c r="R82" s="840"/>
      <c r="S82" s="840"/>
      <c r="T82" s="923"/>
      <c r="U82" s="840"/>
      <c r="V82" s="840"/>
      <c r="W82" s="840"/>
      <c r="Y82" s="840"/>
      <c r="Z82" s="840"/>
      <c r="AA82" s="840"/>
      <c r="AC82" s="840"/>
      <c r="AD82" s="840"/>
      <c r="AE82" s="840"/>
      <c r="AF82" s="923"/>
      <c r="AG82" s="840"/>
      <c r="AH82" s="840"/>
      <c r="AI82" s="840"/>
      <c r="AK82" s="840"/>
      <c r="AL82" s="840"/>
      <c r="AM82" s="840"/>
      <c r="AN82" s="923"/>
      <c r="AO82" s="840"/>
      <c r="AP82" s="840"/>
      <c r="AQ82" s="840"/>
      <c r="AR82" s="923"/>
      <c r="AS82" s="840"/>
      <c r="AT82" s="840"/>
      <c r="AU82" s="840"/>
      <c r="AV82" s="923" t="s">
        <v>545</v>
      </c>
      <c r="AW82" s="840"/>
      <c r="AX82" s="840"/>
      <c r="AY82" s="840"/>
      <c r="AZ82" s="923"/>
      <c r="BA82" s="840"/>
      <c r="BB82" s="840"/>
      <c r="BC82" s="840"/>
      <c r="BD82" s="923"/>
      <c r="BE82" s="840"/>
      <c r="BF82" s="840"/>
      <c r="BG82" s="840"/>
      <c r="BH82" s="923"/>
      <c r="BI82" s="840"/>
      <c r="BJ82" s="840"/>
      <c r="BK82" s="840"/>
      <c r="BL82" s="923"/>
      <c r="BM82" s="841"/>
      <c r="BN82" s="841"/>
      <c r="BO82" s="841"/>
      <c r="BP82" s="924"/>
      <c r="BQ82" s="841"/>
      <c r="BR82" s="841"/>
      <c r="BS82" s="841"/>
      <c r="BU82" s="841"/>
      <c r="BV82" s="841"/>
      <c r="BW82" s="841"/>
      <c r="BX82" s="924"/>
      <c r="BY82" s="841"/>
      <c r="BZ82" s="841"/>
      <c r="CA82" s="840"/>
      <c r="CB82" s="840"/>
      <c r="CC82" s="925" t="str">
        <f>+AV82</f>
        <v xml:space="preserve">5.  Operating Income (% Operating Margin) </v>
      </c>
      <c r="CD82" s="840"/>
      <c r="CE82" s="840"/>
      <c r="CF82" s="840"/>
      <c r="CG82" s="840"/>
      <c r="CH82" s="840"/>
      <c r="CI82" s="840"/>
      <c r="CJ82" s="1122"/>
      <c r="CK82" s="840"/>
      <c r="CL82" s="840"/>
      <c r="CM82" s="840"/>
      <c r="CN82" s="1122"/>
      <c r="CO82" s="840"/>
      <c r="CP82" s="840"/>
      <c r="CQ82" s="840"/>
      <c r="CR82" s="1122"/>
      <c r="CS82" s="840"/>
      <c r="CT82" s="840"/>
      <c r="CU82" s="840"/>
      <c r="CV82" s="1122"/>
      <c r="CW82" s="840"/>
      <c r="CX82" s="840"/>
      <c r="CY82" s="840"/>
      <c r="CZ82" s="840"/>
      <c r="DA82" s="840"/>
      <c r="DF82" s="122"/>
      <c r="DG82" s="122"/>
      <c r="DH82" s="122"/>
      <c r="DI82" s="122"/>
      <c r="DJ82" s="122"/>
    </row>
    <row r="83" spans="1:114">
      <c r="AG83" s="869"/>
      <c r="AJ83" s="798"/>
      <c r="AN83" s="798"/>
      <c r="AR83" s="798"/>
      <c r="AV83" s="798"/>
      <c r="AZ83" s="798"/>
      <c r="BD83" s="798"/>
      <c r="BH83" s="798"/>
      <c r="BL83" s="798"/>
      <c r="BM83" s="868"/>
      <c r="BN83" s="137"/>
      <c r="BO83" s="137"/>
      <c r="BP83" s="805"/>
      <c r="BQ83" s="868"/>
      <c r="BR83" s="137"/>
      <c r="BS83" s="137"/>
      <c r="BT83" s="805"/>
      <c r="BU83" s="868"/>
      <c r="BV83" s="137"/>
      <c r="BW83" s="137"/>
      <c r="BX83" s="805"/>
      <c r="BY83" s="868"/>
      <c r="BZ83" s="137"/>
      <c r="CJ83" s="180"/>
      <c r="DF83" s="122"/>
      <c r="DG83" s="122"/>
      <c r="DH83" s="122"/>
      <c r="DI83" s="122"/>
      <c r="DJ83" s="122"/>
    </row>
    <row r="84" spans="1:114">
      <c r="A84" s="26" t="str">
        <f>$A$10</f>
        <v>1Q</v>
      </c>
      <c r="B84" s="26" t="str">
        <f>$B$10</f>
        <v>Apr</v>
      </c>
      <c r="D84" s="798">
        <f>D10-D20-D30-D74</f>
        <v>2.2227699999999997</v>
      </c>
      <c r="E84" s="869">
        <f t="shared" ref="E84:E90" si="165">D84/D10*100</f>
        <v>15.966351544615232</v>
      </c>
      <c r="F84" s="42"/>
      <c r="H84" s="798">
        <f>H10-H20-H30-H74</f>
        <v>0.47497800000000012</v>
      </c>
      <c r="I84" s="869">
        <f t="shared" ref="I84:I90" si="166">H84/H10*100</f>
        <v>3.2399648184914933</v>
      </c>
      <c r="J84" s="42">
        <f t="shared" ref="J84:J90" si="167">IF(D84&lt;0,"       NM",(H84/D84-1)*100)</f>
        <v>-78.631257395052117</v>
      </c>
      <c r="L84" s="798">
        <f>L10-L20-L30-L74</f>
        <v>1.9065469999999987</v>
      </c>
      <c r="M84" s="869">
        <f t="shared" ref="M84:M90" si="168">L84/L10*100</f>
        <v>11.01887744651771</v>
      </c>
      <c r="N84" s="42">
        <f t="shared" ref="N84:N90" si="169">IF(H84&lt;0,"       NM",(L84/H84-1)*100)</f>
        <v>301.39690680410422</v>
      </c>
      <c r="P84" s="798">
        <f>P10-P20-P30-P74</f>
        <v>1.7881359999999997</v>
      </c>
      <c r="Q84" s="869">
        <f t="shared" ref="Q84:Q90" si="170">P84/P10*100</f>
        <v>9.5521121302757717</v>
      </c>
      <c r="R84" s="42">
        <f t="shared" ref="R84:R90" si="171">IF(L84&lt;0,"       NM",(P84/L84-1)*100)</f>
        <v>-6.2107569338704538</v>
      </c>
      <c r="T84" s="798">
        <f>T10-T20-T30-T74</f>
        <v>3.9598239999999989</v>
      </c>
      <c r="U84" s="869">
        <f t="shared" ref="U84:U90" si="172">T84/T10*100</f>
        <v>15.29131166205873</v>
      </c>
      <c r="V84" s="42">
        <f t="shared" ref="V84:V90" si="173">IF(P84&lt;0,"       NM",(T84/P84-1)*100)</f>
        <v>121.44982260857114</v>
      </c>
      <c r="X84" s="798">
        <f>X10-X20-X30-X74</f>
        <v>6.799381000000003</v>
      </c>
      <c r="Y84" s="869">
        <f t="shared" ref="Y84:Y90" si="174">X84/X10*100</f>
        <v>18.666807266145184</v>
      </c>
      <c r="Z84" s="42">
        <f t="shared" ref="Z84:Z90" si="175">IF(T84&lt;0,"       NM",(X84/T84-1)*100)</f>
        <v>71.709171922792649</v>
      </c>
      <c r="AB84" s="798">
        <f>AB10-AB20-AB30-AB74</f>
        <v>11.960601000000002</v>
      </c>
      <c r="AC84" s="869">
        <f t="shared" ref="AC84:AC90" si="176">AB84/AB10*100</f>
        <v>21.097208192911367</v>
      </c>
      <c r="AD84" s="42">
        <f t="shared" ref="AD84:AD90" si="177">IF(X84&lt;0,"       NM",(AB84/X84-1)*100)</f>
        <v>75.907203905767261</v>
      </c>
      <c r="AF84" s="798">
        <f>AF10-AF20-AF30-AF74</f>
        <v>19.862522999999999</v>
      </c>
      <c r="AG84" s="869">
        <f t="shared" ref="AG84:AG90" si="178">AF84/AF10*100</f>
        <v>21.30417389068155</v>
      </c>
      <c r="AH84" s="42">
        <f t="shared" ref="AH84:AH90" si="179">IF(AB84&lt;0,"       NM",(AF84/AB84-1)*100)</f>
        <v>66.066262054891681</v>
      </c>
      <c r="AJ84" s="798">
        <f>AJ10-AJ20-AJ30-AJ74</f>
        <v>31.746566000000016</v>
      </c>
      <c r="AK84" s="869">
        <f t="shared" ref="AK84:AK90" si="180">AJ84/AJ10*100</f>
        <v>24.335515480169708</v>
      </c>
      <c r="AL84" s="42">
        <f t="shared" ref="AL84:AL90" si="181">IF(AF84&lt;0,"       NM",(AJ84/AF84-1)*100)</f>
        <v>59.831487671531036</v>
      </c>
      <c r="AN84" s="798">
        <f>AN10-AN20-AN30-AN74</f>
        <v>37.386151999999981</v>
      </c>
      <c r="AO84" s="869">
        <f t="shared" ref="AO84:AO90" si="182">AN84/AN10*100</f>
        <v>22.123999857809519</v>
      </c>
      <c r="AP84" s="42">
        <f t="shared" ref="AP84:AP90" si="183">IF(AJ84&lt;0,"       NM",(AN84/AJ84-1)*100)</f>
        <v>17.764396942963721</v>
      </c>
      <c r="AR84" s="798">
        <f>AR10-AR20-AR30-AR74</f>
        <v>57.254000000000005</v>
      </c>
      <c r="AS84" s="869">
        <f t="shared" ref="AS84:AS90" si="184">AR84/AR10*100</f>
        <v>22.295952739776709</v>
      </c>
      <c r="AT84" s="42">
        <f t="shared" ref="AT84:AT90" si="185">IF(AN84&lt;0,"       NM",(AR84/AN84-1)*100)</f>
        <v>53.142265082536525</v>
      </c>
      <c r="AV84" s="798">
        <f>AV10-AV20-AV30-AV74</f>
        <v>73.413000000000011</v>
      </c>
      <c r="AW84" s="869">
        <f t="shared" ref="AW84:AW90" si="186">AV84/AV10*100</f>
        <v>22.432965118943944</v>
      </c>
      <c r="AX84" s="42">
        <f t="shared" ref="AX84:AX90" si="187">IF(AR84&lt;0,"       NM",(AV84/AR84-1)*100)</f>
        <v>28.223355573409737</v>
      </c>
      <c r="AY84" s="42"/>
      <c r="AZ84" s="798">
        <f>AZ10-AZ20-AZ30</f>
        <v>79.956000000000046</v>
      </c>
      <c r="BA84" s="869">
        <f t="shared" ref="BA84:BA90" si="188">AZ84/AZ10*100</f>
        <v>20.466744995046891</v>
      </c>
      <c r="BB84" s="42">
        <f t="shared" ref="BB84:BB90" si="189">IF(AV84&lt;0,"       NM",(AZ84/AV84-1)*100)</f>
        <v>8.9125904131421407</v>
      </c>
      <c r="BC84" s="42"/>
      <c r="BD84" s="798">
        <f>BD10-BD20-BD30</f>
        <v>74.661999999999978</v>
      </c>
      <c r="BE84" s="869">
        <f t="shared" ref="BE84:BE90" si="190">BD84/BD10*100</f>
        <v>16.478476587329606</v>
      </c>
      <c r="BF84" s="42">
        <f t="shared" ref="BF84:BF90" si="191">IF(AZ84&lt;0,"       NM",(BD84/AZ84-1)*100)</f>
        <v>-6.6211416278954216</v>
      </c>
      <c r="BG84" s="42"/>
      <c r="BH84" s="798">
        <f>BH10-BH20-BH30</f>
        <v>16.693000000000012</v>
      </c>
      <c r="BI84" s="869">
        <f t="shared" ref="BI84:BI90" si="192">BH84/BH10*100</f>
        <v>4.0757976775302547</v>
      </c>
      <c r="BJ84" s="42">
        <f t="shared" ref="BJ84:BJ90" si="193">IF(BD84&lt;0,"       NM",(BH84/BD84-1)*100)</f>
        <v>-77.641906190565464</v>
      </c>
      <c r="BK84" s="42"/>
      <c r="BL84" s="798">
        <f>BL10-BL20-BL30</f>
        <v>29.824999999999989</v>
      </c>
      <c r="BM84" s="868">
        <f t="shared" ref="BM84:BM90" si="194">BL84/BL10*100</f>
        <v>7.262999734562622</v>
      </c>
      <c r="BN84" s="873">
        <f t="shared" ref="BN84:BN90" si="195">IF(BH84&lt;0,"       NM",(BL84/BH84-1)*100)</f>
        <v>78.667705026058627</v>
      </c>
      <c r="BO84" s="873"/>
      <c r="BP84" s="805">
        <f>BP10-BP20-BP30</f>
        <v>55.052000000000021</v>
      </c>
      <c r="BQ84" s="868">
        <f t="shared" ref="BQ84:BQ90" si="196">BP84/BP10*100</f>
        <v>11.431347957175017</v>
      </c>
      <c r="BR84" s="873">
        <f t="shared" ref="BR84:BR90" si="197">IF(BL84&lt;0,"       NM",(BP84/BL84-1)*100)</f>
        <v>84.58340318524742</v>
      </c>
      <c r="BS84" s="873"/>
      <c r="BT84" s="805">
        <f>BT10-BT20-BT30</f>
        <v>72.81800000000004</v>
      </c>
      <c r="BU84" s="868">
        <f t="shared" ref="BU84:BU90" si="198">BT84/BT10*100</f>
        <v>13.556160384840222</v>
      </c>
      <c r="BV84" s="873">
        <f t="shared" ref="BV84:BV90" si="199">IF(BP84&lt;0,"       NM",(BT84/BP84-1)*100)</f>
        <v>32.271307127806459</v>
      </c>
      <c r="BW84" s="873"/>
      <c r="BX84" s="805">
        <f>BX10-BX20-BX30</f>
        <v>86.362000000000023</v>
      </c>
      <c r="BY84" s="868">
        <f t="shared" ref="BY84:BY90" si="200">BX84/BX10*100</f>
        <v>13.269782442683583</v>
      </c>
      <c r="BZ84" s="873">
        <f t="shared" ref="BZ84:BZ90" si="201">IF(BT84&lt;0,"       NM",(BX84/BT84-1)*100)</f>
        <v>18.599796753549903</v>
      </c>
      <c r="CA84" s="42"/>
      <c r="CB84" s="798">
        <f>CB10-CB20-CB30</f>
        <v>81.031000000000006</v>
      </c>
      <c r="CC84" s="869">
        <f t="shared" ref="CC84:CC90" si="202">CB84/CB10*100</f>
        <v>12.081160301883644</v>
      </c>
      <c r="CD84" s="42">
        <f t="shared" ref="CD84:CD90" si="203">IF(BX84&lt;0,"       NM",(CB84/BX84-1)*100)</f>
        <v>-6.1728538014404695</v>
      </c>
      <c r="CE84" s="42"/>
      <c r="CF84" s="798">
        <f>CF10-CF20-CF30</f>
        <v>65.76400000000001</v>
      </c>
      <c r="CG84" s="869">
        <f t="shared" ref="CG84:CG90" si="204">CF84/CF10*100</f>
        <v>9.9715095395280517</v>
      </c>
      <c r="CH84" s="42">
        <f t="shared" ref="CH84:CH90" si="205">IF(CB84&lt;0,"       NM",(CF84/CB84-1)*100)</f>
        <v>-18.840937419012469</v>
      </c>
      <c r="CI84" s="42"/>
      <c r="CJ84" s="798">
        <f>CJ10-CJ20-CJ30</f>
        <v>71.939999999999941</v>
      </c>
      <c r="CK84" s="869">
        <f t="shared" ref="CK84:CK90" si="206">CJ84/CJ10*100</f>
        <v>10.69790681489676</v>
      </c>
      <c r="CL84" s="42">
        <f t="shared" ref="CL84:CL90" si="207">IF(CF84&lt;0,"       NM",(CJ84/CF84-1)*100)</f>
        <v>9.3911562557021036</v>
      </c>
      <c r="CM84" s="42"/>
      <c r="CN84" s="798">
        <f>CN10-CN20-CN30</f>
        <v>54.193999999999988</v>
      </c>
      <c r="CO84" s="869">
        <f t="shared" ref="CO84:CO90" si="208">CN84/CN10*100</f>
        <v>8.42860631095669</v>
      </c>
      <c r="CP84" s="42">
        <f t="shared" ref="CP84:CP90" si="209">IF(CJ84&lt;0,"       NM",(CN84/CJ84-1)*100)</f>
        <v>-24.667778704475907</v>
      </c>
      <c r="CQ84" s="42"/>
      <c r="CR84" s="798">
        <f>CR10-CR20-CR30</f>
        <v>54.873999999999967</v>
      </c>
      <c r="CS84" s="869">
        <f t="shared" ref="CS84:CS90" si="210">CR84/CR10*100</f>
        <v>9.4006112435929019</v>
      </c>
      <c r="CT84" s="42">
        <f t="shared" ref="CT84:CT90" si="211">IF(CN84&lt;0,"       NM",(CR84/CN84-1)*100)</f>
        <v>1.2547514484998024</v>
      </c>
      <c r="CU84" s="42"/>
      <c r="CV84" s="798">
        <f>CV10-CV20-CV30</f>
        <v>41.893909511600356</v>
      </c>
      <c r="CW84" s="869">
        <f t="shared" ref="CW84:CW90" si="212">CV84/CV10*100</f>
        <v>7.5999999999999925</v>
      </c>
      <c r="CX84" s="42">
        <f t="shared" ref="CX84:CX90" si="213">IF(CR84&lt;0,"       NM",(CV84/CR84-1)*100)</f>
        <v>-23.654354500126871</v>
      </c>
      <c r="CY84" s="42"/>
      <c r="CZ84" s="42"/>
      <c r="DA84" s="42"/>
      <c r="DB84" s="869"/>
    </row>
    <row r="85" spans="1:114">
      <c r="A85" s="26" t="str">
        <f>$A$11</f>
        <v>2Q</v>
      </c>
      <c r="B85" s="26" t="str">
        <f>$B$11</f>
        <v>Jul</v>
      </c>
      <c r="D85" s="794">
        <f>D11-D21-D31-D75</f>
        <v>2.7089200000000004</v>
      </c>
      <c r="E85" s="869">
        <f t="shared" si="165"/>
        <v>16.951410591121093</v>
      </c>
      <c r="F85" s="42"/>
      <c r="H85" s="794">
        <f>H11-H21-H31-H75</f>
        <v>1.3292890000000004</v>
      </c>
      <c r="I85" s="869">
        <f t="shared" si="166"/>
        <v>8.5610370346326548</v>
      </c>
      <c r="J85" s="42">
        <f t="shared" si="167"/>
        <v>-50.929189492491467</v>
      </c>
      <c r="L85" s="794">
        <f>L11-L21-L31-L75</f>
        <v>1.6537899999999994</v>
      </c>
      <c r="M85" s="869">
        <f t="shared" si="168"/>
        <v>10.289057827554767</v>
      </c>
      <c r="N85" s="42">
        <f t="shared" si="169"/>
        <v>24.411621551069707</v>
      </c>
      <c r="P85" s="794">
        <f>P11-P21-P31-P75</f>
        <v>1.6975359999999982</v>
      </c>
      <c r="Q85" s="869">
        <f t="shared" si="170"/>
        <v>8.453622889465203</v>
      </c>
      <c r="R85" s="42">
        <f t="shared" si="171"/>
        <v>2.6451967904025819</v>
      </c>
      <c r="T85" s="794">
        <f>T11-T21-T31-T75</f>
        <v>4.5517119999999993</v>
      </c>
      <c r="U85" s="869">
        <f t="shared" si="172"/>
        <v>16.637260859880616</v>
      </c>
      <c r="V85" s="42">
        <f t="shared" si="173"/>
        <v>168.13640476549568</v>
      </c>
      <c r="W85" s="696"/>
      <c r="X85" s="794">
        <f>X11-X21-X31-X75</f>
        <v>6.3223070000000003</v>
      </c>
      <c r="Y85" s="869">
        <f t="shared" si="174"/>
        <v>17.19359447055615</v>
      </c>
      <c r="Z85" s="42">
        <f t="shared" si="175"/>
        <v>38.899539338165546</v>
      </c>
      <c r="AB85" s="794">
        <f>AB11-AB21-AB31-AB75</f>
        <v>11.727242000000004</v>
      </c>
      <c r="AC85" s="869">
        <f t="shared" si="176"/>
        <v>19.339656464074633</v>
      </c>
      <c r="AD85" s="42">
        <f t="shared" si="177"/>
        <v>85.489916892678622</v>
      </c>
      <c r="AF85" s="794">
        <f>AF11-AF21-AF31-AF75</f>
        <v>17.742312999999996</v>
      </c>
      <c r="AG85" s="869">
        <f t="shared" si="178"/>
        <v>19.825537454279399</v>
      </c>
      <c r="AH85" s="42">
        <f t="shared" si="179"/>
        <v>51.291437492293504</v>
      </c>
      <c r="AJ85" s="794">
        <f>AJ11-AJ21-AJ31-AJ75</f>
        <v>26.193724</v>
      </c>
      <c r="AK85" s="869">
        <f t="shared" si="180"/>
        <v>20.943565292012899</v>
      </c>
      <c r="AL85" s="42">
        <f t="shared" si="181"/>
        <v>47.634212066938545</v>
      </c>
      <c r="AN85" s="794">
        <f>AN11-AN21-AN31-AN75</f>
        <v>39.215430999999995</v>
      </c>
      <c r="AO85" s="869">
        <f t="shared" si="182"/>
        <v>22.610832452568971</v>
      </c>
      <c r="AP85" s="42">
        <f t="shared" si="183"/>
        <v>49.713080125605643</v>
      </c>
      <c r="AR85" s="794">
        <f>AR11-AR21-AR31-AR75</f>
        <v>56.767000000000003</v>
      </c>
      <c r="AS85" s="869">
        <f t="shared" si="184"/>
        <v>22.28192819321184</v>
      </c>
      <c r="AT85" s="42">
        <f t="shared" si="185"/>
        <v>44.756792294339462</v>
      </c>
      <c r="AV85" s="794">
        <f>AV11-AV21-AV31-AV75</f>
        <v>75.958000000000013</v>
      </c>
      <c r="AW85" s="869">
        <f t="shared" si="186"/>
        <v>22.150032806007147</v>
      </c>
      <c r="AX85" s="42">
        <f t="shared" si="187"/>
        <v>33.80661299698771</v>
      </c>
      <c r="AY85" s="42"/>
      <c r="AZ85" s="794">
        <f>AZ11-AZ21-AZ31</f>
        <v>83.530999999999977</v>
      </c>
      <c r="BA85" s="869">
        <f t="shared" si="188"/>
        <v>20.706024084439306</v>
      </c>
      <c r="BB85" s="42">
        <f t="shared" si="189"/>
        <v>9.9699834118854636</v>
      </c>
      <c r="BC85" s="42"/>
      <c r="BD85" s="794">
        <f>BD11-BD21-BD31</f>
        <v>57.754999999999995</v>
      </c>
      <c r="BE85" s="869">
        <f t="shared" si="190"/>
        <v>13.245678613119768</v>
      </c>
      <c r="BF85" s="42">
        <f t="shared" si="191"/>
        <v>-30.858004812584539</v>
      </c>
      <c r="BG85" s="42"/>
      <c r="BH85" s="794">
        <f>BH11-BH21-BH31</f>
        <v>7.8810000000000286</v>
      </c>
      <c r="BI85" s="869">
        <f t="shared" si="192"/>
        <v>1.9448790527567947</v>
      </c>
      <c r="BJ85" s="42">
        <f t="shared" si="193"/>
        <v>-86.354428188035612</v>
      </c>
      <c r="BK85" s="42"/>
      <c r="BL85" s="794">
        <f>BL11-BL21-BL31</f>
        <v>28.992000000000019</v>
      </c>
      <c r="BM85" s="868">
        <f t="shared" si="194"/>
        <v>6.9042544324446657</v>
      </c>
      <c r="BN85" s="873">
        <f t="shared" si="195"/>
        <v>267.87209744956112</v>
      </c>
      <c r="BO85" s="873"/>
      <c r="BP85" s="803">
        <f>BP11-BP21-BP31</f>
        <v>47.389999999999986</v>
      </c>
      <c r="BQ85" s="868">
        <f t="shared" si="196"/>
        <v>10.182638590459817</v>
      </c>
      <c r="BR85" s="873">
        <f t="shared" si="197"/>
        <v>63.458885209712875</v>
      </c>
      <c r="BS85" s="873"/>
      <c r="BT85" s="803">
        <v>68.971000000000004</v>
      </c>
      <c r="BU85" s="868">
        <f t="shared" si="198"/>
        <v>12.507230949734243</v>
      </c>
      <c r="BV85" s="873">
        <f t="shared" si="199"/>
        <v>45.539143279172876</v>
      </c>
      <c r="BW85" s="873"/>
      <c r="BX85" s="803">
        <f>BX11-BX21-BX31</f>
        <v>85.77600000000001</v>
      </c>
      <c r="BY85" s="868">
        <f t="shared" si="200"/>
        <v>13.366535664976425</v>
      </c>
      <c r="BZ85" s="873">
        <f t="shared" si="201"/>
        <v>24.365312957619878</v>
      </c>
      <c r="CA85" s="42"/>
      <c r="CB85" s="794">
        <f>CB11-CB21-CB31</f>
        <v>69.880000000000052</v>
      </c>
      <c r="CC85" s="869">
        <f t="shared" si="202"/>
        <v>10.758995724423142</v>
      </c>
      <c r="CD85" s="42">
        <f t="shared" si="203"/>
        <v>-18.531990300317059</v>
      </c>
      <c r="CE85" s="42"/>
      <c r="CF85" s="794">
        <f>CF11-CF21-CF31</f>
        <v>48.529000000000053</v>
      </c>
      <c r="CG85" s="869">
        <f t="shared" si="204"/>
        <v>7.4801316949560173</v>
      </c>
      <c r="CH85" s="42">
        <f t="shared" si="205"/>
        <v>-30.553806525472215</v>
      </c>
      <c r="CI85" s="42"/>
      <c r="CJ85" s="794">
        <f>CJ11-CJ21-CJ31</f>
        <v>60.770999999999987</v>
      </c>
      <c r="CK85" s="869">
        <f t="shared" si="206"/>
        <v>9.2143867613411494</v>
      </c>
      <c r="CL85" s="42">
        <f t="shared" si="207"/>
        <v>25.226153434028966</v>
      </c>
      <c r="CM85" s="42"/>
      <c r="CN85" s="794">
        <f>CN11-CN21-CN31</f>
        <v>54.183999999999941</v>
      </c>
      <c r="CO85" s="869">
        <f t="shared" si="208"/>
        <v>8.5230883454033997</v>
      </c>
      <c r="CP85" s="42">
        <f t="shared" si="209"/>
        <v>-10.839051521284905</v>
      </c>
      <c r="CQ85" s="42"/>
      <c r="CR85" s="794">
        <f>CR11-CR21-CR31</f>
        <v>35.459000000000003</v>
      </c>
      <c r="CS85" s="869">
        <f t="shared" si="210"/>
        <v>6.1286146624241038</v>
      </c>
      <c r="CT85" s="42">
        <f t="shared" si="211"/>
        <v>-34.558172154141367</v>
      </c>
      <c r="CU85" s="42"/>
      <c r="CV85" s="794">
        <f>CV11-CV21-CV31</f>
        <v>43.235119750248742</v>
      </c>
      <c r="CW85" s="869">
        <f t="shared" si="212"/>
        <v>7.7999999999999865</v>
      </c>
      <c r="CX85" s="42">
        <f t="shared" si="213"/>
        <v>21.929890155528177</v>
      </c>
      <c r="CY85" s="42"/>
      <c r="CZ85" s="42"/>
      <c r="DA85" s="42"/>
      <c r="DB85" s="870"/>
      <c r="DD85" s="319"/>
      <c r="DE85" s="319"/>
    </row>
    <row r="86" spans="1:114">
      <c r="A86" s="26" t="str">
        <f>$A$12</f>
        <v>3Q</v>
      </c>
      <c r="B86" s="26" t="str">
        <f>$B$12</f>
        <v>Oct</v>
      </c>
      <c r="D86" s="794">
        <f>D12-D22-D32-D76</f>
        <v>1.9517459999999998</v>
      </c>
      <c r="E86" s="869">
        <f t="shared" si="165"/>
        <v>12.776747169339982</v>
      </c>
      <c r="F86" s="42"/>
      <c r="H86" s="794">
        <f>H12-H22-H32-H76</f>
        <v>1.0766429999999991</v>
      </c>
      <c r="I86" s="869">
        <f t="shared" si="166"/>
        <v>7.0511307064084932</v>
      </c>
      <c r="J86" s="42">
        <f t="shared" si="167"/>
        <v>-44.836930625194093</v>
      </c>
      <c r="L86" s="794">
        <f>L12-L22-L32-L76</f>
        <v>1.1912849999999986</v>
      </c>
      <c r="M86" s="869">
        <f t="shared" si="168"/>
        <v>7.5746496751945669</v>
      </c>
      <c r="N86" s="42">
        <f t="shared" si="169"/>
        <v>10.648097837444691</v>
      </c>
      <c r="P86" s="794">
        <f>P12-P22-P32-P76</f>
        <v>1.6640349999999979</v>
      </c>
      <c r="Q86" s="869">
        <f t="shared" si="170"/>
        <v>8.7935428428355227</v>
      </c>
      <c r="R86" s="42">
        <f t="shared" si="171"/>
        <v>39.68403866413157</v>
      </c>
      <c r="T86" s="794">
        <f>T12-T22-T32-T76</f>
        <v>3.9793300000000031</v>
      </c>
      <c r="U86" s="869">
        <f t="shared" si="172"/>
        <v>14.873693048506246</v>
      </c>
      <c r="V86" s="42">
        <f t="shared" si="173"/>
        <v>139.1373979513657</v>
      </c>
      <c r="W86" s="696"/>
      <c r="X86" s="794">
        <f>X12-X22-X32-X76</f>
        <v>6.5271219999999985</v>
      </c>
      <c r="Y86" s="869">
        <f t="shared" si="174"/>
        <v>16.31413635858636</v>
      </c>
      <c r="Z86" s="42">
        <f t="shared" si="175"/>
        <v>64.025652559601582</v>
      </c>
      <c r="AB86" s="794">
        <f>AB12-AB22-AB32-AB76</f>
        <v>12.525252999999994</v>
      </c>
      <c r="AC86" s="869">
        <f t="shared" si="176"/>
        <v>18.155047291819546</v>
      </c>
      <c r="AD86" s="42">
        <f t="shared" si="177"/>
        <v>91.895493909873238</v>
      </c>
      <c r="AF86" s="794">
        <f>AF12-AF22-AF32-AF76</f>
        <v>14.211653999999992</v>
      </c>
      <c r="AG86" s="869">
        <f t="shared" si="178"/>
        <v>15.122300164238215</v>
      </c>
      <c r="AH86" s="42">
        <f t="shared" si="179"/>
        <v>13.464007473541638</v>
      </c>
      <c r="AJ86" s="794">
        <f>AJ12-AJ22-AJ32-AJ76</f>
        <v>24.841784000000001</v>
      </c>
      <c r="AK86" s="869">
        <f t="shared" si="180"/>
        <v>18.098214858072939</v>
      </c>
      <c r="AL86" s="42">
        <f t="shared" si="181"/>
        <v>74.798682827488022</v>
      </c>
      <c r="AN86" s="794">
        <f>AN12-AN22-AN32-AN76</f>
        <v>43.004999999999995</v>
      </c>
      <c r="AO86" s="869">
        <f t="shared" si="182"/>
        <v>20.423234189268126</v>
      </c>
      <c r="AP86" s="42">
        <f t="shared" si="183"/>
        <v>73.115586223598086</v>
      </c>
      <c r="AR86" s="794">
        <f>AR12-AR22-AR32-AR76</f>
        <v>59.182000000000045</v>
      </c>
      <c r="AS86" s="869">
        <f t="shared" si="184"/>
        <v>21.937703180081044</v>
      </c>
      <c r="AT86" s="42">
        <f t="shared" si="185"/>
        <v>37.616556214393796</v>
      </c>
      <c r="AV86" s="794">
        <f>AV12-AV22-AV32-AV76</f>
        <v>82.307000000000016</v>
      </c>
      <c r="AW86" s="869">
        <f t="shared" si="186"/>
        <v>22.948154963545374</v>
      </c>
      <c r="AX86" s="42">
        <f t="shared" si="187"/>
        <v>39.074380723868664</v>
      </c>
      <c r="AY86" s="42"/>
      <c r="AZ86" s="794">
        <f>AZ12-AZ22-AZ32</f>
        <v>65.355999999999966</v>
      </c>
      <c r="BA86" s="869">
        <f t="shared" si="188"/>
        <v>16.248859452188974</v>
      </c>
      <c r="BB86" s="42">
        <f t="shared" si="189"/>
        <v>-20.594846124874</v>
      </c>
      <c r="BC86" s="42"/>
      <c r="BD86" s="794">
        <f>BD12-BD22-BD32</f>
        <v>23.282999999999987</v>
      </c>
      <c r="BE86" s="869">
        <f t="shared" si="190"/>
        <v>5.5980457451438124</v>
      </c>
      <c r="BF86" s="42">
        <f t="shared" si="191"/>
        <v>-64.37511475610502</v>
      </c>
      <c r="BG86" s="42"/>
      <c r="BH86" s="794">
        <f>BH12-BH22-BH32</f>
        <v>-1.6990000000000123</v>
      </c>
      <c r="BI86" s="869">
        <f t="shared" si="192"/>
        <v>-0.43095248362051125</v>
      </c>
      <c r="BJ86" s="42">
        <f t="shared" si="193"/>
        <v>-107.29716960872746</v>
      </c>
      <c r="BK86" s="42"/>
      <c r="BL86" s="794">
        <f>BL12-BL22-BL32</f>
        <v>36.311000000000035</v>
      </c>
      <c r="BM86" s="868">
        <f t="shared" si="194"/>
        <v>8.1257566636754532</v>
      </c>
      <c r="BN86" s="873" t="str">
        <f t="shared" si="195"/>
        <v xml:space="preserve">       NM</v>
      </c>
      <c r="BO86" s="873"/>
      <c r="BP86" s="803">
        <f>BP12-BP22-BP32</f>
        <v>44.161000000000001</v>
      </c>
      <c r="BQ86" s="868">
        <f t="shared" si="196"/>
        <v>9.1426477468935161</v>
      </c>
      <c r="BR86" s="873">
        <f t="shared" si="197"/>
        <v>21.618793203161466</v>
      </c>
      <c r="BS86" s="873"/>
      <c r="BT86" s="803">
        <f>BT12-BT22-BT32</f>
        <v>46.986000000000047</v>
      </c>
      <c r="BU86" s="868">
        <f t="shared" si="198"/>
        <v>8.724602912286052</v>
      </c>
      <c r="BV86" s="873">
        <f t="shared" si="199"/>
        <v>6.397047168316039</v>
      </c>
      <c r="BW86" s="873"/>
      <c r="BX86" s="803">
        <f>BX12-BX22-BX32</f>
        <v>66.62599999999992</v>
      </c>
      <c r="BY86" s="868">
        <f t="shared" si="200"/>
        <v>10.464844148806659</v>
      </c>
      <c r="BZ86" s="873">
        <f t="shared" si="201"/>
        <v>41.799685012556623</v>
      </c>
      <c r="CA86" s="42"/>
      <c r="CB86" s="794">
        <f>CB12-CB22-CB32</f>
        <v>55.481999999999914</v>
      </c>
      <c r="CC86" s="869">
        <f t="shared" si="202"/>
        <v>8.463053270467773</v>
      </c>
      <c r="CD86" s="42">
        <f t="shared" si="203"/>
        <v>-16.726202983820158</v>
      </c>
      <c r="CE86" s="42"/>
      <c r="CF86" s="794">
        <f>CF12-CF22-CF32</f>
        <v>46.162999999999982</v>
      </c>
      <c r="CG86" s="869">
        <f t="shared" si="204"/>
        <v>7.1514993780025096</v>
      </c>
      <c r="CH86" s="42">
        <f t="shared" si="205"/>
        <v>-16.796438484553455</v>
      </c>
      <c r="CI86" s="42"/>
      <c r="CJ86" s="794">
        <f>CJ12-CJ22-CJ32</f>
        <v>28.547000000000025</v>
      </c>
      <c r="CK86" s="869">
        <f t="shared" si="206"/>
        <v>4.5548756651535376</v>
      </c>
      <c r="CL86" s="42">
        <f t="shared" si="207"/>
        <v>-38.160431514416224</v>
      </c>
      <c r="CM86" s="42"/>
      <c r="CN86" s="794">
        <f>CN12-CN22-CN32</f>
        <v>37.930000000000064</v>
      </c>
      <c r="CO86" s="869">
        <f t="shared" si="208"/>
        <v>6.3543704934730858</v>
      </c>
      <c r="CP86" s="42">
        <f t="shared" si="209"/>
        <v>32.868602655270365</v>
      </c>
      <c r="CQ86" s="42"/>
      <c r="CR86" s="794">
        <f>CR12-CR22-CR32</f>
        <v>25.278000000000048</v>
      </c>
      <c r="CS86" s="869">
        <f t="shared" si="210"/>
        <v>4.7489418302532362</v>
      </c>
      <c r="CT86" s="42">
        <f t="shared" si="211"/>
        <v>-33.356182441339286</v>
      </c>
      <c r="CU86" s="42"/>
      <c r="CV86" s="794">
        <f>CV12-CV22-CV32</f>
        <v>27.044492931211096</v>
      </c>
      <c r="CW86" s="869">
        <f t="shared" si="212"/>
        <v>5.0999999999999996</v>
      </c>
      <c r="CX86" s="42">
        <f t="shared" si="213"/>
        <v>6.9882622486393098</v>
      </c>
      <c r="CY86" s="42"/>
      <c r="CZ86" s="42"/>
      <c r="DA86" s="42"/>
      <c r="DB86" s="870"/>
    </row>
    <row r="87" spans="1:114">
      <c r="A87" s="26" t="str">
        <f>$A$13</f>
        <v>4Q</v>
      </c>
      <c r="B87" s="26" t="str">
        <f>$B$13</f>
        <v>Jan</v>
      </c>
      <c r="C87" s="122"/>
      <c r="D87" s="797">
        <f>D13-D23-D33-D77</f>
        <v>-1.1987980000000009</v>
      </c>
      <c r="E87" s="869">
        <f t="shared" si="165"/>
        <v>-8.5059785677080413</v>
      </c>
      <c r="F87" s="42"/>
      <c r="H87" s="797">
        <f>H13-H23-H33-H77</f>
        <v>0.60408899999999854</v>
      </c>
      <c r="I87" s="869">
        <f t="shared" si="166"/>
        <v>4.0578466957771937</v>
      </c>
      <c r="J87" s="42" t="str">
        <f t="shared" si="167"/>
        <v xml:space="preserve">       NM</v>
      </c>
      <c r="L87" s="797">
        <f>L13-L23-L33-L77</f>
        <v>-1.1300150000000004</v>
      </c>
      <c r="M87" s="869">
        <f t="shared" si="168"/>
        <v>-7.5487815159114877</v>
      </c>
      <c r="N87" s="42">
        <f t="shared" si="169"/>
        <v>-287.06101253292201</v>
      </c>
      <c r="P87" s="797">
        <f>P13-P23-P33-P77</f>
        <v>-0.23538799999999849</v>
      </c>
      <c r="Q87" s="869">
        <f t="shared" si="170"/>
        <v>-1.3362620574137087</v>
      </c>
      <c r="R87" s="42" t="str">
        <f t="shared" si="171"/>
        <v xml:space="preserve">       NM</v>
      </c>
      <c r="T87" s="797">
        <f>T13-T23-T33-T77</f>
        <v>2.6432440000000006</v>
      </c>
      <c r="U87" s="869">
        <f t="shared" si="172"/>
        <v>9.8875718896282265</v>
      </c>
      <c r="V87" s="42" t="str">
        <f t="shared" si="173"/>
        <v xml:space="preserve">       NM</v>
      </c>
      <c r="W87" s="696"/>
      <c r="X87" s="797">
        <f>X13-X23-X33-X77</f>
        <v>5.1572700000000005</v>
      </c>
      <c r="Y87" s="869">
        <f t="shared" si="174"/>
        <v>12.338848528215367</v>
      </c>
      <c r="Z87" s="42">
        <f t="shared" si="175"/>
        <v>95.111385857680915</v>
      </c>
      <c r="AB87" s="797">
        <f>AB13-AB23-AB33-AB77</f>
        <v>9.1503789999999956</v>
      </c>
      <c r="AC87" s="869">
        <f t="shared" si="176"/>
        <v>12.513459788253947</v>
      </c>
      <c r="AD87" s="42">
        <f t="shared" si="177"/>
        <v>77.426797511086193</v>
      </c>
      <c r="AF87" s="797">
        <f>AF13-AF23-AF33-AF77</f>
        <v>15.719395999999993</v>
      </c>
      <c r="AG87" s="869">
        <f t="shared" si="178"/>
        <v>15.505117294653134</v>
      </c>
      <c r="AH87" s="42">
        <f t="shared" si="179"/>
        <v>71.789561940549135</v>
      </c>
      <c r="AJ87" s="797">
        <f>AJ13-AJ23-AJ33-AJ77</f>
        <v>24.011181000000004</v>
      </c>
      <c r="AK87" s="869">
        <f t="shared" si="180"/>
        <v>17.358473480268103</v>
      </c>
      <c r="AL87" s="42">
        <f t="shared" si="181"/>
        <v>52.748750651742697</v>
      </c>
      <c r="AN87" s="797">
        <f>AN13-AN23-AN33-AN77</f>
        <v>41.167999999999999</v>
      </c>
      <c r="AO87" s="869">
        <f t="shared" si="182"/>
        <v>19.102682486578288</v>
      </c>
      <c r="AP87" s="42">
        <f t="shared" si="183"/>
        <v>71.453457453841992</v>
      </c>
      <c r="AR87" s="797">
        <f>AR13-AR23-AR33-AR77</f>
        <v>51.171999999999983</v>
      </c>
      <c r="AS87" s="869">
        <f t="shared" si="184"/>
        <v>17.920441532335722</v>
      </c>
      <c r="AT87" s="42">
        <f>IF(AN87&lt;0,"       NM",(AR87/AN87-1)*100)</f>
        <v>24.300427516517644</v>
      </c>
      <c r="AV87" s="797">
        <f>AV13-AV23-AV33-AV77</f>
        <v>66.63600000000001</v>
      </c>
      <c r="AW87" s="869">
        <f t="shared" si="186"/>
        <v>17.735075719266497</v>
      </c>
      <c r="AX87" s="42">
        <f t="shared" si="187"/>
        <v>30.219651371844037</v>
      </c>
      <c r="AY87" s="42"/>
      <c r="AZ87" s="797">
        <f>AZ13-AZ23-AZ33</f>
        <v>34.856999999999971</v>
      </c>
      <c r="BA87" s="869">
        <f t="shared" si="188"/>
        <v>7.8395343554542922</v>
      </c>
      <c r="BB87" s="42">
        <f t="shared" si="189"/>
        <v>-47.690437601296644</v>
      </c>
      <c r="BC87" s="42"/>
      <c r="BD87" s="797">
        <f>BD13-BD23-BD33</f>
        <v>-34.241999999999962</v>
      </c>
      <c r="BE87" s="869">
        <f t="shared" si="190"/>
        <v>-8.366052035563408</v>
      </c>
      <c r="BF87" s="42">
        <f t="shared" si="191"/>
        <v>-198.23564850675615</v>
      </c>
      <c r="BG87" s="42"/>
      <c r="BH87" s="797">
        <f>BH13-BH23-BH33</f>
        <v>-38.803999999999974</v>
      </c>
      <c r="BI87" s="869">
        <f t="shared" si="192"/>
        <v>-10.392657326737705</v>
      </c>
      <c r="BJ87" s="42" t="str">
        <f t="shared" si="193"/>
        <v xml:space="preserve">       NM</v>
      </c>
      <c r="BK87" s="42"/>
      <c r="BL87" s="797">
        <f>BL13-BL23-BL33</f>
        <v>28.051000000000016</v>
      </c>
      <c r="BM87" s="868">
        <f t="shared" si="194"/>
        <v>6.4377022468042169</v>
      </c>
      <c r="BN87" s="873" t="str">
        <f t="shared" si="195"/>
        <v xml:space="preserve">       NM</v>
      </c>
      <c r="BO87" s="873"/>
      <c r="BP87" s="804">
        <f>BP13-BP23-BP33</f>
        <v>31.555000000000007</v>
      </c>
      <c r="BQ87" s="868">
        <f t="shared" si="196"/>
        <v>6.6435215401264083</v>
      </c>
      <c r="BR87" s="873">
        <f t="shared" si="197"/>
        <v>12.491533278670941</v>
      </c>
      <c r="BS87" s="873"/>
      <c r="BT87" s="804">
        <f>BT13-BT23-BT33</f>
        <v>38.735000000000014</v>
      </c>
      <c r="BU87" s="868">
        <f t="shared" si="198"/>
        <v>6.8050814554283443</v>
      </c>
      <c r="BV87" s="873">
        <f t="shared" si="199"/>
        <v>22.753921723974035</v>
      </c>
      <c r="BW87" s="873"/>
      <c r="BX87" s="804">
        <f>BX13-BX23-BX33</f>
        <v>50.609999999999957</v>
      </c>
      <c r="BY87" s="868">
        <f t="shared" si="200"/>
        <v>7.7640204156458532</v>
      </c>
      <c r="BZ87" s="873">
        <f t="shared" si="201"/>
        <v>30.657028527171647</v>
      </c>
      <c r="CA87" s="42"/>
      <c r="CB87" s="797">
        <f>CB13-CB23-CB33</f>
        <v>7.2569999999999482</v>
      </c>
      <c r="CC87" s="869">
        <f t="shared" si="202"/>
        <v>1.1892178889047214</v>
      </c>
      <c r="CD87" s="42">
        <f t="shared" si="203"/>
        <v>-85.660936573799745</v>
      </c>
      <c r="CE87" s="42"/>
      <c r="CF87" s="797">
        <f>CF13-CF23-CF33</f>
        <v>15.875000000000028</v>
      </c>
      <c r="CG87" s="869">
        <f t="shared" si="204"/>
        <v>2.4939438403121912</v>
      </c>
      <c r="CH87" s="42">
        <f t="shared" si="205"/>
        <v>118.75430618713163</v>
      </c>
      <c r="CI87" s="42"/>
      <c r="CJ87" s="797">
        <f>CJ13-CJ23-CJ33</f>
        <v>7.6940000000000452</v>
      </c>
      <c r="CK87" s="869">
        <f t="shared" si="206"/>
        <v>1.2513417688579589</v>
      </c>
      <c r="CL87" s="42">
        <f t="shared" si="207"/>
        <v>-51.53385826771634</v>
      </c>
      <c r="CM87" s="42"/>
      <c r="CN87" s="797">
        <f>CN13-CN23-CN33</f>
        <v>21.406999999999982</v>
      </c>
      <c r="CO87" s="869">
        <f t="shared" si="208"/>
        <v>3.5631477939842413</v>
      </c>
      <c r="CP87" s="42">
        <f t="shared" si="209"/>
        <v>178.22978944631993</v>
      </c>
      <c r="CQ87" s="42"/>
      <c r="CR87" s="797">
        <f>CR13-CR23-CR33</f>
        <v>29.559000000000026</v>
      </c>
      <c r="CS87" s="869">
        <f t="shared" si="210"/>
        <v>5.0288967186870028</v>
      </c>
      <c r="CT87" s="42">
        <f t="shared" si="211"/>
        <v>38.08100154155207</v>
      </c>
      <c r="CU87" s="42"/>
      <c r="CV87" s="797">
        <f>CV13-CV23-CV33</f>
        <v>31.315032903176984</v>
      </c>
      <c r="CW87" s="869">
        <f t="shared" si="212"/>
        <v>5.6999999999999975</v>
      </c>
      <c r="CX87" s="42">
        <f t="shared" si="213"/>
        <v>5.9407723643457366</v>
      </c>
      <c r="CY87" s="869"/>
      <c r="CZ87" s="869"/>
      <c r="DA87" s="42"/>
      <c r="DB87" s="870"/>
      <c r="DD87" s="319"/>
      <c r="DE87" s="319"/>
    </row>
    <row r="88" spans="1:114">
      <c r="B88" s="26" t="str">
        <f>$B$14</f>
        <v>Year</v>
      </c>
      <c r="D88" s="798">
        <f>SUM(D84:D87)</f>
        <v>5.6846379999999987</v>
      </c>
      <c r="E88" s="869">
        <f t="shared" si="165"/>
        <v>9.5908539302093629</v>
      </c>
      <c r="F88" s="42"/>
      <c r="H88" s="798">
        <f>SUM(H84:H87)</f>
        <v>3.4849989999999984</v>
      </c>
      <c r="I88" s="869">
        <f t="shared" si="166"/>
        <v>5.7752981164999069</v>
      </c>
      <c r="J88" s="42">
        <f t="shared" si="167"/>
        <v>-38.694442812365551</v>
      </c>
      <c r="L88" s="798">
        <f>SUM(L84:L87)</f>
        <v>3.6216069999999965</v>
      </c>
      <c r="M88" s="869">
        <f t="shared" si="168"/>
        <v>5.6523486129524416</v>
      </c>
      <c r="N88" s="42">
        <f t="shared" si="169"/>
        <v>3.919886347169621</v>
      </c>
      <c r="P88" s="798">
        <f>SUM(P84:P87)</f>
        <v>4.9143189999999972</v>
      </c>
      <c r="Q88" s="869">
        <f t="shared" si="170"/>
        <v>6.5229284768164071</v>
      </c>
      <c r="R88" s="42">
        <f t="shared" si="171"/>
        <v>35.694430676768675</v>
      </c>
      <c r="T88" s="798">
        <f>SUM(T84:T87)</f>
        <v>15.134110000000002</v>
      </c>
      <c r="U88" s="869">
        <f t="shared" si="172"/>
        <v>14.178268821601717</v>
      </c>
      <c r="V88" s="42">
        <f t="shared" si="173"/>
        <v>207.95945480950687</v>
      </c>
      <c r="X88" s="798">
        <f>SUM(X84:X87)</f>
        <v>24.806080000000001</v>
      </c>
      <c r="Y88" s="869">
        <f t="shared" si="174"/>
        <v>16.00368706832127</v>
      </c>
      <c r="Z88" s="42">
        <f t="shared" si="175"/>
        <v>63.908416153972716</v>
      </c>
      <c r="AB88" s="798">
        <f>SUM(AB84:AB87)</f>
        <v>45.363474999999994</v>
      </c>
      <c r="AC88" s="869">
        <f t="shared" si="176"/>
        <v>17.48475335296882</v>
      </c>
      <c r="AD88" s="42">
        <f t="shared" si="177"/>
        <v>82.872404668532852</v>
      </c>
      <c r="AF88" s="798">
        <f>SUM(AF84:AF87)</f>
        <v>67.535885999999977</v>
      </c>
      <c r="AG88" s="869">
        <f t="shared" si="178"/>
        <v>17.862603717985991</v>
      </c>
      <c r="AH88" s="42">
        <f t="shared" si="179"/>
        <v>48.877232178531258</v>
      </c>
      <c r="AJ88" s="798">
        <f>SUM(AJ84:AJ87)</f>
        <v>106.79325500000003</v>
      </c>
      <c r="AK88" s="869">
        <f t="shared" si="180"/>
        <v>20.107628927438125</v>
      </c>
      <c r="AL88" s="42">
        <f t="shared" si="181"/>
        <v>58.128161670967145</v>
      </c>
      <c r="AN88" s="798">
        <f>SUM(AN84:AN87)</f>
        <v>160.77458299999998</v>
      </c>
      <c r="AO88" s="869">
        <f t="shared" si="182"/>
        <v>20.920595567198554</v>
      </c>
      <c r="AP88" s="42">
        <f t="shared" si="183"/>
        <v>50.547506956314734</v>
      </c>
      <c r="AR88" s="798">
        <f>SUM(AR84:AR87)</f>
        <v>224.37500000000006</v>
      </c>
      <c r="AS88" s="869">
        <f t="shared" si="184"/>
        <v>21.030910634915582</v>
      </c>
      <c r="AT88" s="42">
        <f t="shared" si="185"/>
        <v>39.55875102471893</v>
      </c>
      <c r="AV88" s="798">
        <f>SUM(AV84:AV87)</f>
        <v>298.31400000000008</v>
      </c>
      <c r="AW88" s="869">
        <f t="shared" si="186"/>
        <v>21.238737696456226</v>
      </c>
      <c r="AX88" s="42">
        <f t="shared" si="187"/>
        <v>32.953314763231198</v>
      </c>
      <c r="AY88" s="42"/>
      <c r="AZ88" s="798">
        <f>SUM(AZ84:AZ87)</f>
        <v>263.69999999999993</v>
      </c>
      <c r="BA88" s="869">
        <f t="shared" si="188"/>
        <v>16.070184718759574</v>
      </c>
      <c r="BB88" s="42">
        <f t="shared" si="189"/>
        <v>-11.603210040427248</v>
      </c>
      <c r="BC88" s="926"/>
      <c r="BD88" s="798">
        <f>SUM(BD84:BD87)</f>
        <v>121.458</v>
      </c>
      <c r="BE88" s="869">
        <f t="shared" si="190"/>
        <v>7.0848793724884453</v>
      </c>
      <c r="BF88" s="42">
        <f t="shared" si="191"/>
        <v>-53.940841865756525</v>
      </c>
      <c r="BG88" s="926"/>
      <c r="BH88" s="798">
        <f>SUM(BH84:BH87)</f>
        <v>-15.928999999999945</v>
      </c>
      <c r="BI88" s="869">
        <f t="shared" si="192"/>
        <v>-1.0066329458216705</v>
      </c>
      <c r="BJ88" s="42">
        <f t="shared" si="193"/>
        <v>-113.11482158441596</v>
      </c>
      <c r="BK88" s="926"/>
      <c r="BL88" s="798">
        <f>SUM(BL84:BL87)</f>
        <v>123.17900000000006</v>
      </c>
      <c r="BM88" s="868">
        <f t="shared" si="194"/>
        <v>7.1902009805323672</v>
      </c>
      <c r="BN88" s="873" t="str">
        <f t="shared" si="195"/>
        <v xml:space="preserve">       NM</v>
      </c>
      <c r="BO88" s="927"/>
      <c r="BP88" s="805">
        <f>SUM(BP84:BP87)</f>
        <v>178.15800000000002</v>
      </c>
      <c r="BQ88" s="868">
        <f t="shared" si="196"/>
        <v>9.3522045329514594</v>
      </c>
      <c r="BR88" s="873">
        <f t="shared" si="197"/>
        <v>44.633419657571437</v>
      </c>
      <c r="BS88" s="927"/>
      <c r="BT88" s="805">
        <f>SUM(BT84:BT87)</f>
        <v>227.5100000000001</v>
      </c>
      <c r="BU88" s="868">
        <f t="shared" si="198"/>
        <v>10.358502249175913</v>
      </c>
      <c r="BV88" s="873">
        <f t="shared" si="199"/>
        <v>27.701253943129188</v>
      </c>
      <c r="BW88" s="927"/>
      <c r="BX88" s="805">
        <f>SUM(BX84:BX87)</f>
        <v>289.37399999999991</v>
      </c>
      <c r="BY88" s="868">
        <f t="shared" si="200"/>
        <v>11.21145329219773</v>
      </c>
      <c r="BZ88" s="873">
        <f t="shared" si="201"/>
        <v>27.191771790250876</v>
      </c>
      <c r="CA88" s="42"/>
      <c r="CB88" s="798">
        <f>SUM(CB84:CB87)</f>
        <v>213.64999999999992</v>
      </c>
      <c r="CC88" s="869">
        <f t="shared" si="202"/>
        <v>8.2616760703733139</v>
      </c>
      <c r="CD88" s="42">
        <f t="shared" si="203"/>
        <v>-26.168211380428097</v>
      </c>
      <c r="CE88" s="42"/>
      <c r="CF88" s="798">
        <f>SUM(CF84:CF87)</f>
        <v>176.33100000000007</v>
      </c>
      <c r="CG88" s="869">
        <f t="shared" si="204"/>
        <v>6.8072688695743508</v>
      </c>
      <c r="CH88" s="42">
        <f t="shared" si="205"/>
        <v>-17.467353147671361</v>
      </c>
      <c r="CI88" s="42"/>
      <c r="CJ88" s="798">
        <f>SUM(CJ84:CJ87)</f>
        <v>168.952</v>
      </c>
      <c r="CK88" s="869">
        <f t="shared" si="206"/>
        <v>6.5648476483785645</v>
      </c>
      <c r="CL88" s="42">
        <f t="shared" si="207"/>
        <v>-4.1847434654145204</v>
      </c>
      <c r="CM88" s="42"/>
      <c r="CN88" s="798">
        <f>SUM(CN84:CN87)</f>
        <v>167.71499999999997</v>
      </c>
      <c r="CO88" s="869">
        <f t="shared" si="208"/>
        <v>6.7725053605824552</v>
      </c>
      <c r="CP88" s="42">
        <f t="shared" si="209"/>
        <v>-0.7321606136654335</v>
      </c>
      <c r="CQ88" s="42"/>
      <c r="CR88" s="798">
        <f>SUM(CR84:CR87)</f>
        <v>145.17000000000004</v>
      </c>
      <c r="CS88" s="869">
        <f t="shared" si="210"/>
        <v>6.3604686162990474</v>
      </c>
      <c r="CT88" s="42">
        <f t="shared" si="211"/>
        <v>-13.442447008317638</v>
      </c>
      <c r="CU88" s="42"/>
      <c r="CV88" s="798">
        <f>SUM(CV84:CV87)</f>
        <v>143.48855509623718</v>
      </c>
      <c r="CW88" s="869">
        <f t="shared" si="212"/>
        <v>6.5663725437715019</v>
      </c>
      <c r="CX88" s="42">
        <f t="shared" si="213"/>
        <v>-1.1582592159281258</v>
      </c>
      <c r="CY88" s="42"/>
      <c r="CZ88" s="42"/>
      <c r="DA88" s="42"/>
      <c r="DB88" s="869"/>
      <c r="DE88" s="319"/>
    </row>
    <row r="89" spans="1:114" hidden="1" outlineLevel="1">
      <c r="A89" s="26" t="str">
        <f>$A$15</f>
        <v>6 Mos</v>
      </c>
      <c r="D89" s="794">
        <f>SUM(D84:D85)</f>
        <v>4.9316899999999997</v>
      </c>
      <c r="E89" s="869">
        <f t="shared" si="165"/>
        <v>16.492794199094249</v>
      </c>
      <c r="F89" s="42"/>
      <c r="H89" s="794">
        <f>SUM(H84:H85)</f>
        <v>1.8042670000000005</v>
      </c>
      <c r="I89" s="869">
        <f t="shared" si="166"/>
        <v>5.9769332468065084</v>
      </c>
      <c r="J89" s="42">
        <f t="shared" si="167"/>
        <v>-63.414833454657526</v>
      </c>
      <c r="L89" s="794">
        <f>SUM(L84:L85)</f>
        <v>3.5603369999999979</v>
      </c>
      <c r="M89" s="869">
        <f t="shared" si="168"/>
        <v>10.667407601803946</v>
      </c>
      <c r="N89" s="42">
        <f t="shared" si="169"/>
        <v>97.328721303443274</v>
      </c>
      <c r="P89" s="794">
        <f>SUM(P84:P85)</f>
        <v>3.4856719999999979</v>
      </c>
      <c r="Q89" s="869">
        <f t="shared" si="170"/>
        <v>8.9836048217167779</v>
      </c>
      <c r="R89" s="42">
        <f t="shared" si="171"/>
        <v>-2.0971329399436023</v>
      </c>
      <c r="T89" s="794">
        <f>SUM(T84:T85)</f>
        <v>8.5115359999999978</v>
      </c>
      <c r="U89" s="869">
        <f t="shared" si="172"/>
        <v>15.98276951503583</v>
      </c>
      <c r="V89" s="42">
        <f t="shared" si="173"/>
        <v>144.18637209697306</v>
      </c>
      <c r="X89" s="794">
        <f>SUM(X84:X85)</f>
        <v>13.121688000000002</v>
      </c>
      <c r="Y89" s="869">
        <f t="shared" si="174"/>
        <v>17.926715777909681</v>
      </c>
      <c r="Z89" s="42">
        <f t="shared" si="175"/>
        <v>54.163572826338346</v>
      </c>
      <c r="AB89" s="794">
        <f>SUM(AB84:AB85)</f>
        <v>23.687843000000008</v>
      </c>
      <c r="AC89" s="869">
        <f t="shared" si="176"/>
        <v>20.18888167189731</v>
      </c>
      <c r="AD89" s="42">
        <f t="shared" si="177"/>
        <v>80.524357841765507</v>
      </c>
      <c r="AF89" s="794">
        <f>SUM(AF84:AF85)</f>
        <v>37.604835999999992</v>
      </c>
      <c r="AG89" s="869">
        <f t="shared" si="178"/>
        <v>20.579991173523162</v>
      </c>
      <c r="AH89" s="42">
        <f t="shared" si="179"/>
        <v>58.751626308904449</v>
      </c>
      <c r="AJ89" s="794">
        <f>SUM(AJ84:AJ85)</f>
        <v>57.940290000000019</v>
      </c>
      <c r="AK89" s="869">
        <f t="shared" si="180"/>
        <v>22.675285695037708</v>
      </c>
      <c r="AL89" s="42">
        <f t="shared" si="181"/>
        <v>54.07669907136421</v>
      </c>
      <c r="AN89" s="794">
        <f>SUM(AN84:AN85)</f>
        <v>76.601582999999977</v>
      </c>
      <c r="AO89" s="869">
        <f t="shared" si="182"/>
        <v>22.370580854993111</v>
      </c>
      <c r="AP89" s="42">
        <f t="shared" si="183"/>
        <v>32.20780047873415</v>
      </c>
      <c r="AR89" s="794">
        <f>SUM(AR84:AR85)</f>
        <v>114.02100000000002</v>
      </c>
      <c r="AS89" s="869">
        <f t="shared" si="184"/>
        <v>22.288968210838267</v>
      </c>
      <c r="AT89" s="42">
        <f t="shared" si="185"/>
        <v>48.849404326278801</v>
      </c>
      <c r="AV89" s="794">
        <f>SUM(AV84:AV85)</f>
        <v>149.37100000000004</v>
      </c>
      <c r="AW89" s="869">
        <f t="shared" si="186"/>
        <v>22.288191232206277</v>
      </c>
      <c r="AX89" s="42">
        <f t="shared" si="187"/>
        <v>31.003060839669907</v>
      </c>
      <c r="AY89" s="42"/>
      <c r="AZ89" s="794">
        <f>SUM(AZ84:AZ85)</f>
        <v>163.48700000000002</v>
      </c>
      <c r="BA89" s="869">
        <f t="shared" si="188"/>
        <v>20.588305668090126</v>
      </c>
      <c r="BB89" s="42">
        <f t="shared" si="189"/>
        <v>9.450294903294477</v>
      </c>
      <c r="BC89" s="42"/>
      <c r="BD89" s="794">
        <f>SUM(BD84:BD85)</f>
        <v>132.41699999999997</v>
      </c>
      <c r="BE89" s="869">
        <f t="shared" si="190"/>
        <v>14.893090560634874</v>
      </c>
      <c r="BF89" s="42">
        <f t="shared" si="191"/>
        <v>-19.004569170637453</v>
      </c>
      <c r="BG89" s="42"/>
      <c r="BH89" s="794">
        <f>SUM(BH84:BH85)</f>
        <v>24.574000000000041</v>
      </c>
      <c r="BI89" s="869">
        <f t="shared" si="192"/>
        <v>3.0160214634098494</v>
      </c>
      <c r="BJ89" s="42">
        <f t="shared" si="193"/>
        <v>-81.441959869201057</v>
      </c>
      <c r="BK89" s="42"/>
      <c r="BL89" s="794">
        <f>SUM(BL84:BL85)</f>
        <v>58.817000000000007</v>
      </c>
      <c r="BM89" s="868">
        <f t="shared" si="194"/>
        <v>7.0816246427100822</v>
      </c>
      <c r="BN89" s="873">
        <f t="shared" si="195"/>
        <v>139.34646374216615</v>
      </c>
      <c r="BO89" s="873"/>
      <c r="BP89" s="803">
        <f>SUM(BP84:BP85)</f>
        <v>102.44200000000001</v>
      </c>
      <c r="BQ89" s="868">
        <f t="shared" si="196"/>
        <v>10.817666116149308</v>
      </c>
      <c r="BR89" s="873">
        <f t="shared" si="197"/>
        <v>74.170732951357593</v>
      </c>
      <c r="BS89" s="873"/>
      <c r="BT89" s="803">
        <f>SUM(BT84:BT85)</f>
        <v>141.78900000000004</v>
      </c>
      <c r="BU89" s="868">
        <f t="shared" si="198"/>
        <v>13.024810606582546</v>
      </c>
      <c r="BV89" s="873">
        <f t="shared" si="199"/>
        <v>38.409050975185991</v>
      </c>
      <c r="BW89" s="873"/>
      <c r="BX89" s="803">
        <f>SUM(BX84:BX85)</f>
        <v>172.13800000000003</v>
      </c>
      <c r="BY89" s="868">
        <f t="shared" si="200"/>
        <v>13.3178186499595</v>
      </c>
      <c r="BZ89" s="873">
        <f t="shared" si="201"/>
        <v>21.404340252064678</v>
      </c>
      <c r="CA89" s="42"/>
      <c r="CB89" s="794">
        <f>SUM(CB84:CB85)</f>
        <v>150.91100000000006</v>
      </c>
      <c r="CC89" s="869">
        <f t="shared" si="202"/>
        <v>11.430703099850408</v>
      </c>
      <c r="CD89" s="42">
        <f t="shared" si="203"/>
        <v>-12.33138528390011</v>
      </c>
      <c r="CE89" s="42"/>
      <c r="CF89" s="794">
        <f>SUM(CF84:CF85)</f>
        <v>114.29300000000006</v>
      </c>
      <c r="CG89" s="869">
        <f t="shared" si="204"/>
        <v>8.7360533703893122</v>
      </c>
      <c r="CH89" s="42">
        <f t="shared" si="205"/>
        <v>-24.264632796814002</v>
      </c>
      <c r="CI89" s="42"/>
      <c r="CJ89" s="794">
        <f>SUM(CJ84:CJ85)</f>
        <v>132.71099999999993</v>
      </c>
      <c r="CK89" s="869">
        <f t="shared" si="206"/>
        <v>9.9633556082586097</v>
      </c>
      <c r="CL89" s="42">
        <f t="shared" si="207"/>
        <v>16.114722686428617</v>
      </c>
      <c r="CM89" s="42"/>
      <c r="CN89" s="794">
        <f>SUM(CN84:CN85)</f>
        <v>108.37799999999993</v>
      </c>
      <c r="CO89" s="869">
        <f t="shared" si="208"/>
        <v>8.475579666679435</v>
      </c>
      <c r="CP89" s="42">
        <f t="shared" si="209"/>
        <v>-18.335330153491427</v>
      </c>
      <c r="CQ89" s="42"/>
      <c r="CR89" s="794">
        <f>SUM(CR84:CR85)</f>
        <v>90.33299999999997</v>
      </c>
      <c r="CS89" s="869">
        <f t="shared" si="210"/>
        <v>7.7718575697168282</v>
      </c>
      <c r="CT89" s="42">
        <f t="shared" si="211"/>
        <v>-16.65005812987873</v>
      </c>
      <c r="CU89" s="42"/>
      <c r="CV89" s="794">
        <f>SUM(CV84:CV85)</f>
        <v>85.129029261849098</v>
      </c>
      <c r="CW89" s="869">
        <f t="shared" si="212"/>
        <v>7.7002768581482863</v>
      </c>
      <c r="CX89" s="42">
        <f t="shared" si="213"/>
        <v>-5.7608744735045629</v>
      </c>
      <c r="CY89" s="42"/>
      <c r="CZ89" s="42"/>
      <c r="DA89" s="42"/>
    </row>
    <row r="90" spans="1:114" hidden="1" outlineLevel="1">
      <c r="A90" s="26" t="str">
        <f>$A$16</f>
        <v>9 Mos</v>
      </c>
      <c r="D90" s="794">
        <f>SUM(D84:D86)</f>
        <v>6.8834359999999997</v>
      </c>
      <c r="E90" s="869">
        <f t="shared" si="165"/>
        <v>15.23630548639372</v>
      </c>
      <c r="F90" s="42"/>
      <c r="H90" s="794">
        <f>SUM(H84:H86)</f>
        <v>2.8809099999999996</v>
      </c>
      <c r="I90" s="869">
        <f t="shared" si="166"/>
        <v>6.337763915560747</v>
      </c>
      <c r="J90" s="42">
        <f t="shared" si="167"/>
        <v>-58.147210201416854</v>
      </c>
      <c r="L90" s="794">
        <f>SUM(L84:L86)</f>
        <v>4.7516219999999967</v>
      </c>
      <c r="M90" s="869">
        <f t="shared" si="168"/>
        <v>9.676826330099745</v>
      </c>
      <c r="N90" s="42">
        <f t="shared" si="169"/>
        <v>64.934760197298672</v>
      </c>
      <c r="P90" s="794">
        <f>SUM(P84:P86)</f>
        <v>5.1497069999999958</v>
      </c>
      <c r="Q90" s="869">
        <f t="shared" si="170"/>
        <v>8.9212974660601052</v>
      </c>
      <c r="R90" s="42">
        <f t="shared" si="171"/>
        <v>8.377876017915554</v>
      </c>
      <c r="T90" s="794">
        <f>SUM(T84:T86)</f>
        <v>12.490866</v>
      </c>
      <c r="U90" s="869">
        <f t="shared" si="172"/>
        <v>15.611904415424146</v>
      </c>
      <c r="V90" s="42">
        <f t="shared" si="173"/>
        <v>142.55488710328586</v>
      </c>
      <c r="X90" s="794">
        <f>SUM(X84:X86)</f>
        <v>19.648810000000001</v>
      </c>
      <c r="Y90" s="869">
        <f t="shared" si="174"/>
        <v>17.356798118645873</v>
      </c>
      <c r="Z90" s="42">
        <f t="shared" si="175"/>
        <v>57.305426221048236</v>
      </c>
      <c r="AB90" s="794">
        <f>SUM(AB84:AB86)</f>
        <v>36.213096</v>
      </c>
      <c r="AC90" s="869">
        <f t="shared" si="176"/>
        <v>19.435801011222516</v>
      </c>
      <c r="AD90" s="42">
        <f t="shared" si="177"/>
        <v>84.301726160515571</v>
      </c>
      <c r="AF90" s="794">
        <f>SUM(AF84:AF86)</f>
        <v>51.816489999999988</v>
      </c>
      <c r="AG90" s="869">
        <f t="shared" si="178"/>
        <v>18.726368668181621</v>
      </c>
      <c r="AH90" s="42">
        <f t="shared" si="179"/>
        <v>43.087710589561269</v>
      </c>
      <c r="AJ90" s="794">
        <f>SUM(AJ84:AJ86)</f>
        <v>82.782074000000023</v>
      </c>
      <c r="AK90" s="869">
        <f t="shared" si="180"/>
        <v>21.075792877215811</v>
      </c>
      <c r="AL90" s="42">
        <f t="shared" si="181"/>
        <v>59.760095676106275</v>
      </c>
      <c r="AN90" s="794">
        <f>SUM(AN84:AN86)</f>
        <v>119.60658299999997</v>
      </c>
      <c r="AO90" s="869">
        <f t="shared" si="182"/>
        <v>21.629065120668088</v>
      </c>
      <c r="AP90" s="42">
        <f t="shared" si="183"/>
        <v>44.483675294242971</v>
      </c>
      <c r="AR90" s="794">
        <f>SUM(AR84:AR86)</f>
        <v>173.20300000000006</v>
      </c>
      <c r="AS90" s="869">
        <f t="shared" si="184"/>
        <v>22.167685654351363</v>
      </c>
      <c r="AT90" s="42">
        <f t="shared" si="185"/>
        <v>44.81059123643729</v>
      </c>
      <c r="AV90" s="794">
        <f>SUM(AV84:AV86)</f>
        <v>231.67800000000005</v>
      </c>
      <c r="AW90" s="869">
        <f t="shared" si="186"/>
        <v>22.518260768142923</v>
      </c>
      <c r="AX90" s="42">
        <f t="shared" si="187"/>
        <v>33.760962569932374</v>
      </c>
      <c r="AY90" s="42"/>
      <c r="AZ90" s="794">
        <f>SUM(AZ84:AZ86)</f>
        <v>228.84299999999999</v>
      </c>
      <c r="BA90" s="869">
        <f t="shared" si="188"/>
        <v>19.129295759577897</v>
      </c>
      <c r="BB90" s="42">
        <f t="shared" si="189"/>
        <v>-1.2236811436563078</v>
      </c>
      <c r="BC90" s="42"/>
      <c r="BD90" s="794">
        <f>SUM(BD84:BD86)</f>
        <v>155.69999999999996</v>
      </c>
      <c r="BE90" s="869">
        <f t="shared" si="190"/>
        <v>11.930760212408908</v>
      </c>
      <c r="BF90" s="42">
        <f t="shared" si="191"/>
        <v>-31.96208754473593</v>
      </c>
      <c r="BG90" s="42"/>
      <c r="BH90" s="794">
        <f>SUM(BH84:BH86)</f>
        <v>22.875000000000028</v>
      </c>
      <c r="BI90" s="869">
        <f t="shared" si="192"/>
        <v>1.8920204296850791</v>
      </c>
      <c r="BJ90" s="42">
        <f t="shared" si="193"/>
        <v>-85.308285163776461</v>
      </c>
      <c r="BK90" s="42"/>
      <c r="BL90" s="794">
        <f>SUM(BL84:BL86)</f>
        <v>95.128000000000043</v>
      </c>
      <c r="BM90" s="868">
        <f t="shared" si="194"/>
        <v>7.4468792982110079</v>
      </c>
      <c r="BN90" s="873">
        <f t="shared" si="195"/>
        <v>315.86010928961718</v>
      </c>
      <c r="BO90" s="873"/>
      <c r="BP90" s="803">
        <f>SUM(BP84:BP86)</f>
        <v>146.60300000000001</v>
      </c>
      <c r="BQ90" s="868">
        <f t="shared" si="196"/>
        <v>10.251886350445103</v>
      </c>
      <c r="BR90" s="873">
        <f t="shared" si="197"/>
        <v>54.111302665881688</v>
      </c>
      <c r="BS90" s="873"/>
      <c r="BT90" s="803">
        <f>SUM(BT84:BT86)</f>
        <v>188.77500000000009</v>
      </c>
      <c r="BU90" s="868">
        <f t="shared" si="198"/>
        <v>11.601551913065341</v>
      </c>
      <c r="BV90" s="873">
        <f t="shared" si="199"/>
        <v>28.766123476327277</v>
      </c>
      <c r="BW90" s="873"/>
      <c r="BX90" s="803">
        <f>SUM(BX84:BX86)</f>
        <v>238.76399999999995</v>
      </c>
      <c r="BY90" s="868">
        <f t="shared" si="200"/>
        <v>12.376296130424775</v>
      </c>
      <c r="BZ90" s="873">
        <f t="shared" si="201"/>
        <v>26.480731029002701</v>
      </c>
      <c r="CA90" s="42"/>
      <c r="CB90" s="794">
        <f>SUM(CB84:CB86)</f>
        <v>206.39299999999997</v>
      </c>
      <c r="CC90" s="869">
        <f t="shared" si="202"/>
        <v>10.446026022824126</v>
      </c>
      <c r="CD90" s="42">
        <f t="shared" si="203"/>
        <v>-13.55773902263322</v>
      </c>
      <c r="CE90" s="42"/>
      <c r="CF90" s="794">
        <f>SUM(CF84:CF86)</f>
        <v>160.45600000000005</v>
      </c>
      <c r="CG90" s="869">
        <f t="shared" si="204"/>
        <v>8.2125425838574433</v>
      </c>
      <c r="CH90" s="42">
        <f t="shared" si="205"/>
        <v>-22.257053291536021</v>
      </c>
      <c r="CI90" s="42"/>
      <c r="CJ90" s="794">
        <f>SUM(CJ84:CJ86)</f>
        <v>161.25799999999995</v>
      </c>
      <c r="CK90" s="869">
        <f t="shared" si="206"/>
        <v>8.232800299786696</v>
      </c>
      <c r="CL90" s="42">
        <f t="shared" si="207"/>
        <v>0.49982549733254</v>
      </c>
      <c r="CM90" s="42"/>
      <c r="CN90" s="794">
        <f>SUM(CN84:CN86)</f>
        <v>146.30799999999999</v>
      </c>
      <c r="CO90" s="869">
        <f t="shared" si="208"/>
        <v>7.8005098044860874</v>
      </c>
      <c r="CP90" s="42">
        <f t="shared" si="209"/>
        <v>-9.2708578799191148</v>
      </c>
      <c r="CQ90" s="42"/>
      <c r="CR90" s="794">
        <f>SUM(CR84:CR86)</f>
        <v>115.61100000000002</v>
      </c>
      <c r="CS90" s="869">
        <f t="shared" si="210"/>
        <v>6.822334054842571</v>
      </c>
      <c r="CT90" s="42">
        <f t="shared" si="211"/>
        <v>-20.981081007190294</v>
      </c>
      <c r="CU90" s="42"/>
      <c r="CV90" s="794">
        <f>SUM(CV84:CV86)</f>
        <v>112.17352219306019</v>
      </c>
      <c r="CW90" s="869">
        <f t="shared" si="212"/>
        <v>6.8573425233182643</v>
      </c>
      <c r="CX90" s="42">
        <f t="shared" si="213"/>
        <v>-2.973313791023191</v>
      </c>
      <c r="CY90" s="42"/>
      <c r="CZ90" s="42"/>
      <c r="DA90" s="42"/>
    </row>
    <row r="91" spans="1:114" collapsed="1">
      <c r="AK91" s="870"/>
      <c r="AS91" s="870">
        <f>AS87-AO87</f>
        <v>-1.182240954242566</v>
      </c>
      <c r="BA91" s="870"/>
      <c r="BE91" s="869"/>
      <c r="BI91" s="869"/>
      <c r="BM91" s="137"/>
      <c r="BN91" s="137"/>
      <c r="BO91" s="137"/>
      <c r="BP91" s="137"/>
      <c r="BQ91" s="137"/>
      <c r="BR91" s="137"/>
      <c r="BS91" s="137"/>
      <c r="BT91" s="137"/>
      <c r="BU91" s="137"/>
      <c r="BV91" s="137"/>
      <c r="BW91" s="137"/>
      <c r="BX91" s="137"/>
      <c r="BY91" s="137"/>
      <c r="BZ91" s="137"/>
    </row>
    <row r="92" spans="1:114">
      <c r="C92" s="837"/>
      <c r="D92" s="838"/>
      <c r="H92" s="839"/>
      <c r="I92" s="840"/>
      <c r="J92" s="840"/>
      <c r="K92" s="840"/>
      <c r="L92" s="839"/>
      <c r="M92" s="840"/>
      <c r="N92" s="840"/>
      <c r="O92" s="840"/>
      <c r="P92" s="839"/>
      <c r="Q92" s="840"/>
      <c r="R92" s="840"/>
      <c r="S92" s="840"/>
      <c r="T92" s="839"/>
      <c r="U92" s="840"/>
      <c r="V92" s="840"/>
      <c r="W92" s="840"/>
      <c r="Y92" s="840"/>
      <c r="Z92" s="840"/>
      <c r="AA92" s="840"/>
      <c r="AC92" s="840"/>
      <c r="AD92" s="840"/>
      <c r="AE92" s="840"/>
      <c r="AF92" s="839"/>
      <c r="AG92" s="840"/>
      <c r="AH92" s="840"/>
      <c r="AI92" s="840"/>
      <c r="AK92" s="840"/>
      <c r="AL92" s="840"/>
      <c r="AM92" s="840"/>
      <c r="AN92" s="839"/>
      <c r="AO92" s="840"/>
      <c r="AP92" s="840"/>
      <c r="AQ92" s="840"/>
      <c r="AR92" s="839"/>
      <c r="AS92" s="840"/>
      <c r="AT92" s="840"/>
      <c r="AU92" s="840"/>
      <c r="AV92" s="839" t="s">
        <v>546</v>
      </c>
      <c r="AW92" s="840"/>
      <c r="AX92" s="840"/>
      <c r="AY92" s="840"/>
      <c r="AZ92" s="839"/>
      <c r="BA92" s="840"/>
      <c r="BB92" s="840"/>
      <c r="BC92" s="840"/>
      <c r="BD92" s="839"/>
      <c r="BE92" s="840"/>
      <c r="BF92" s="840"/>
      <c r="BG92" s="840"/>
      <c r="BH92" s="839"/>
      <c r="BI92" s="840"/>
      <c r="BJ92" s="840"/>
      <c r="BK92" s="840"/>
      <c r="BL92" s="839"/>
      <c r="BM92" s="841"/>
      <c r="BN92" s="841"/>
      <c r="BO92" s="841"/>
      <c r="BP92" s="842"/>
      <c r="BQ92" s="841"/>
      <c r="BR92" s="841"/>
      <c r="BS92" s="841"/>
      <c r="BU92" s="841"/>
      <c r="BV92" s="841"/>
      <c r="BW92" s="841"/>
      <c r="BX92" s="842"/>
      <c r="BY92" s="841"/>
      <c r="BZ92" s="841"/>
      <c r="CA92" s="840"/>
      <c r="CB92" s="840"/>
      <c r="CC92" s="843" t="str">
        <f>+AV92</f>
        <v>6.  Net Interest Income/(Expense)   (% of Sales)</v>
      </c>
      <c r="CD92" s="840"/>
      <c r="CE92" s="840"/>
      <c r="CF92" s="840"/>
      <c r="CG92" s="840"/>
      <c r="CH92" s="840"/>
      <c r="CI92" s="840"/>
      <c r="CJ92" s="840"/>
      <c r="CK92" s="840"/>
      <c r="CL92" s="840"/>
      <c r="CM92" s="840"/>
      <c r="CN92" s="840"/>
      <c r="CO92" s="840"/>
      <c r="CP92" s="840"/>
      <c r="CQ92" s="840"/>
      <c r="CR92" s="840"/>
      <c r="CS92" s="840"/>
      <c r="CT92" s="840"/>
      <c r="CU92" s="840"/>
      <c r="CV92" s="840"/>
      <c r="CW92" s="840"/>
      <c r="CX92" s="840"/>
      <c r="CY92" s="840"/>
      <c r="CZ92" s="840"/>
      <c r="DA92" s="840"/>
    </row>
    <row r="93" spans="1:114">
      <c r="BM93" s="137"/>
      <c r="BN93" s="137"/>
      <c r="BO93" s="137"/>
      <c r="BP93" s="137"/>
      <c r="BQ93" s="137"/>
      <c r="BR93" s="137"/>
      <c r="BS93" s="137"/>
      <c r="BT93" s="137"/>
      <c r="BU93" s="137"/>
      <c r="BV93" s="137"/>
      <c r="BW93" s="137"/>
      <c r="BX93" s="137"/>
      <c r="BY93" s="137"/>
      <c r="BZ93" s="137"/>
    </row>
    <row r="94" spans="1:114">
      <c r="A94" s="26" t="str">
        <f>$A$10</f>
        <v>1Q</v>
      </c>
      <c r="B94" s="26" t="str">
        <f>$B$10</f>
        <v>Apr</v>
      </c>
      <c r="D94" s="844">
        <v>-1.3932E-2</v>
      </c>
      <c r="E94" s="869">
        <f t="shared" ref="E94:E100" si="214">D94/D30*100</f>
        <v>-0.21011856949250904</v>
      </c>
      <c r="F94" s="45"/>
      <c r="H94" s="844">
        <v>-0.15656100000000001</v>
      </c>
      <c r="I94" s="869">
        <f t="shared" ref="I94:I100" si="215">H94/H10*100</f>
        <v>-1.0679486880399651</v>
      </c>
      <c r="J94" s="45"/>
      <c r="L94" s="844">
        <v>-0.106179</v>
      </c>
      <c r="M94" s="869">
        <f t="shared" ref="M94:M100" si="216">L94/L10*100</f>
        <v>-0.61366092123289095</v>
      </c>
      <c r="N94" s="45"/>
      <c r="P94" s="844">
        <v>-0.11668000000000001</v>
      </c>
      <c r="Q94" s="869">
        <f t="shared" ref="Q94:Q100" si="217">P94/P10*100</f>
        <v>-0.62329735733779601</v>
      </c>
      <c r="R94" s="45"/>
      <c r="T94" s="844">
        <v>-7.9319000000000001E-2</v>
      </c>
      <c r="U94" s="869">
        <f t="shared" ref="U94:U100" si="218">T94/T10*100</f>
        <v>-0.30629935818431242</v>
      </c>
      <c r="V94" s="45"/>
      <c r="W94" s="45"/>
      <c r="X94" s="844">
        <v>2.0720000000000001E-3</v>
      </c>
      <c r="Y94" s="869">
        <f t="shared" ref="Y94:Y100" si="219">X94/X10*100</f>
        <v>5.6884037907940152E-3</v>
      </c>
      <c r="AB94" s="844">
        <v>9.7321000000000005E-2</v>
      </c>
      <c r="AC94" s="869">
        <f t="shared" ref="AC94:AC100" si="220">AB94/AB10*100</f>
        <v>0.17166373149161374</v>
      </c>
      <c r="AF94" s="844">
        <v>0.102605</v>
      </c>
      <c r="AG94" s="869">
        <f t="shared" ref="AG94:AG100" si="221">AF94/AF10*100</f>
        <v>0.11005222055895823</v>
      </c>
      <c r="AJ94" s="844">
        <v>0.15371699999999999</v>
      </c>
      <c r="AK94" s="869">
        <f t="shared" ref="AK94:AK100" si="222">AJ94/AJ10*100</f>
        <v>0.11783266363565889</v>
      </c>
      <c r="AN94" s="844">
        <v>0.30331000000000002</v>
      </c>
      <c r="AO94" s="869">
        <f t="shared" ref="AO94:AO100" si="223">AN94/AN10*100</f>
        <v>0.1794897318363283</v>
      </c>
      <c r="AR94" s="844">
        <v>0.26900000000000002</v>
      </c>
      <c r="AS94" s="869">
        <f t="shared" ref="AS94:AS100" si="224">AR94/AR10*100</f>
        <v>0.10475445011702124</v>
      </c>
      <c r="AV94" s="844">
        <v>1.5089999999999999</v>
      </c>
      <c r="AW94" s="869">
        <f t="shared" ref="AW94:AW100" si="225">AV94/AV10*100</f>
        <v>0.46110831003346009</v>
      </c>
      <c r="AZ94" s="844">
        <v>3.13</v>
      </c>
      <c r="BA94" s="869">
        <f t="shared" ref="BA94:BA100" si="226">AZ94/AZ10*100</f>
        <v>0.80120205906369424</v>
      </c>
      <c r="BD94" s="844">
        <v>2.2450000000000001</v>
      </c>
      <c r="BE94" s="869">
        <f t="shared" ref="BE94:BE100" si="227">BD94/BD10*100</f>
        <v>0.49548873508016106</v>
      </c>
      <c r="BH94" s="844">
        <v>2.2389999999999999</v>
      </c>
      <c r="BI94" s="869">
        <f t="shared" ref="BI94:BI100" si="228">BH94/BH10*100</f>
        <v>0.54667890732583913</v>
      </c>
      <c r="BL94" s="844">
        <v>1.022</v>
      </c>
      <c r="BM94" s="868">
        <f t="shared" ref="BM94:BM100" si="229">BL94/BL10*100</f>
        <v>0.24887797916925408</v>
      </c>
      <c r="BN94" s="137"/>
      <c r="BO94" s="137"/>
      <c r="BP94" s="848">
        <f>0.45</f>
        <v>0.45</v>
      </c>
      <c r="BQ94" s="868">
        <f t="shared" ref="BQ94:BQ100" si="230">BP94/BP10*100</f>
        <v>9.3440866466772424E-2</v>
      </c>
      <c r="BR94" s="137"/>
      <c r="BS94" s="137"/>
      <c r="BT94" s="848">
        <f>0.4</f>
        <v>0.4</v>
      </c>
      <c r="BU94" s="868">
        <f t="shared" ref="BU94:BU100" si="231">BT94/BT10*100</f>
        <v>7.4465985799336512E-2</v>
      </c>
      <c r="BV94" s="137"/>
      <c r="BW94" s="137"/>
      <c r="BX94" s="848">
        <v>0.183</v>
      </c>
      <c r="BY94" s="868">
        <f t="shared" ref="BY94:BY100" si="232">BX94/BX10*100</f>
        <v>2.8118503358086834E-2</v>
      </c>
      <c r="BZ94" s="137"/>
      <c r="CB94" s="848">
        <v>0.191</v>
      </c>
      <c r="CC94" s="869">
        <f t="shared" ref="CC94:CC100" si="233">CB94/CB10*100</f>
        <v>2.8476775772973004E-2</v>
      </c>
      <c r="CF94" s="848">
        <v>0.04</v>
      </c>
      <c r="CG94" s="869">
        <f t="shared" ref="CG94:CG100" si="234">CF94/CF10*100</f>
        <v>6.0650261781692418E-3</v>
      </c>
      <c r="CJ94" s="848">
        <v>-0.45300000000000001</v>
      </c>
      <c r="CK94" s="869">
        <f t="shared" ref="CK94:CK100" si="235">CJ94/CJ10*100</f>
        <v>-6.7363800210567648E-2</v>
      </c>
      <c r="CN94" s="848">
        <v>-0.45900000000000002</v>
      </c>
      <c r="CO94" s="869">
        <f t="shared" ref="CO94:CO100" si="236">CN94/CN10*100</f>
        <v>-7.1386690348177309E-2</v>
      </c>
      <c r="CR94" s="848">
        <v>-0.45500000000000002</v>
      </c>
      <c r="CS94" s="869">
        <f t="shared" ref="CS94:CS100" si="237">CR94/CR10*100</f>
        <v>-7.7947263108845227E-2</v>
      </c>
      <c r="CV94" s="848">
        <f>CR97</f>
        <v>-0.28399999999999997</v>
      </c>
      <c r="CW94" s="869">
        <f t="shared" ref="CW94:CW100" si="238">CV94/CV10*100</f>
        <v>-5.1520615410751779E-2</v>
      </c>
    </row>
    <row r="95" spans="1:114">
      <c r="A95" s="26" t="str">
        <f>$A$11</f>
        <v>2Q</v>
      </c>
      <c r="B95" s="26" t="str">
        <f>$B$11</f>
        <v>Jul</v>
      </c>
      <c r="D95" s="854">
        <v>1.2620000000000001E-3</v>
      </c>
      <c r="E95" s="869">
        <f t="shared" si="214"/>
        <v>1.7196489790367708E-2</v>
      </c>
      <c r="H95" s="854">
        <v>-0.13266500000000001</v>
      </c>
      <c r="I95" s="869">
        <f t="shared" si="215"/>
        <v>-0.85440410490084628</v>
      </c>
      <c r="L95" s="854">
        <v>-8.5791999999999993E-2</v>
      </c>
      <c r="M95" s="869">
        <f t="shared" si="216"/>
        <v>-0.53375510139835103</v>
      </c>
      <c r="P95" s="854">
        <v>-8.5980000000000001E-2</v>
      </c>
      <c r="Q95" s="869">
        <f t="shared" si="217"/>
        <v>-0.42817501133184743</v>
      </c>
      <c r="T95" s="854">
        <v>-3.0630000000000001E-2</v>
      </c>
      <c r="U95" s="869">
        <f t="shared" si="218"/>
        <v>-0.11195772055396813</v>
      </c>
      <c r="X95" s="854">
        <v>4.2359000000000001E-2</v>
      </c>
      <c r="Y95" s="869">
        <f t="shared" si="219"/>
        <v>0.11519584040735255</v>
      </c>
      <c r="AB95" s="854">
        <v>0.171184</v>
      </c>
      <c r="AC95" s="869">
        <f t="shared" si="220"/>
        <v>0.28230335420264635</v>
      </c>
      <c r="AF95" s="854">
        <v>0.14630000000000001</v>
      </c>
      <c r="AG95" s="869">
        <f t="shared" si="221"/>
        <v>0.16347790333543755</v>
      </c>
      <c r="AJ95" s="854">
        <v>0.239564</v>
      </c>
      <c r="AK95" s="869">
        <f t="shared" si="222"/>
        <v>0.19154681005326993</v>
      </c>
      <c r="AN95" s="854">
        <v>0.24606700000000001</v>
      </c>
      <c r="AO95" s="869">
        <f t="shared" si="223"/>
        <v>0.14187730613253466</v>
      </c>
      <c r="AR95" s="854">
        <v>0.48399999999999999</v>
      </c>
      <c r="AS95" s="869">
        <f t="shared" si="224"/>
        <v>0.18997750886103773</v>
      </c>
      <c r="AV95" s="854">
        <v>1.994</v>
      </c>
      <c r="AW95" s="869">
        <f t="shared" si="225"/>
        <v>0.58146825107530797</v>
      </c>
      <c r="AZ95" s="854">
        <v>2.835</v>
      </c>
      <c r="BA95" s="869">
        <f t="shared" si="226"/>
        <v>0.70275201158115486</v>
      </c>
      <c r="BD95" s="854">
        <v>2.6739999999999999</v>
      </c>
      <c r="BE95" s="869">
        <f t="shared" si="227"/>
        <v>0.61326196193372462</v>
      </c>
      <c r="BH95" s="854">
        <v>1.7989999999999999</v>
      </c>
      <c r="BI95" s="869">
        <f t="shared" si="228"/>
        <v>0.44395856057726951</v>
      </c>
      <c r="BL95" s="854">
        <v>-1.9E-2</v>
      </c>
      <c r="BM95" s="868">
        <f t="shared" si="229"/>
        <v>-4.5247252420132639E-3</v>
      </c>
      <c r="BN95" s="137"/>
      <c r="BO95" s="137"/>
      <c r="BP95" s="855">
        <f>0.394</f>
        <v>0.39400000000000002</v>
      </c>
      <c r="BQ95" s="868">
        <f t="shared" si="230"/>
        <v>8.4658358401375172E-2</v>
      </c>
      <c r="BR95" s="137"/>
      <c r="BS95" s="137"/>
      <c r="BT95" s="855">
        <f>0.42</f>
        <v>0.42</v>
      </c>
      <c r="BU95" s="868">
        <f t="shared" si="231"/>
        <v>7.6162981526850151E-2</v>
      </c>
      <c r="BV95" s="137"/>
      <c r="BW95" s="137"/>
      <c r="BX95" s="855">
        <v>0.219</v>
      </c>
      <c r="BY95" s="868">
        <f t="shared" si="232"/>
        <v>3.412692723640455E-2</v>
      </c>
      <c r="BZ95" s="137"/>
      <c r="CB95" s="855">
        <v>0.108</v>
      </c>
      <c r="CC95" s="869">
        <f t="shared" si="233"/>
        <v>1.6628098715479375E-2</v>
      </c>
      <c r="CF95" s="855">
        <v>-8.9999999999999993E-3</v>
      </c>
      <c r="CG95" s="869">
        <f t="shared" si="234"/>
        <v>-1.3872361939171233E-3</v>
      </c>
      <c r="CJ95" s="855">
        <v>-0.502</v>
      </c>
      <c r="CK95" s="869">
        <f t="shared" si="235"/>
        <v>-7.6115616892814958E-2</v>
      </c>
      <c r="CN95" s="855">
        <v>-0.48899999999999999</v>
      </c>
      <c r="CO95" s="869">
        <f t="shared" si="236"/>
        <v>-7.691920494799695E-2</v>
      </c>
      <c r="CR95" s="855">
        <v>-0.443</v>
      </c>
      <c r="CS95" s="869">
        <f t="shared" si="237"/>
        <v>-7.6566634576662559E-2</v>
      </c>
      <c r="CV95" s="855">
        <f>CV94</f>
        <v>-0.28399999999999997</v>
      </c>
      <c r="CW95" s="869">
        <f t="shared" si="238"/>
        <v>-5.1236125001995661E-2</v>
      </c>
    </row>
    <row r="96" spans="1:114">
      <c r="A96" s="26" t="str">
        <f>$A$12</f>
        <v>3Q</v>
      </c>
      <c r="B96" s="26" t="str">
        <f>$B$12</f>
        <v>Oct</v>
      </c>
      <c r="D96" s="854">
        <v>3.519E-3</v>
      </c>
      <c r="E96" s="869">
        <f t="shared" si="214"/>
        <v>4.7782622876293923E-2</v>
      </c>
      <c r="H96" s="854">
        <v>-0.15</v>
      </c>
      <c r="I96" s="869">
        <f t="shared" si="215"/>
        <v>-0.98237726522280355</v>
      </c>
      <c r="L96" s="854">
        <v>-9.8321000000000006E-2</v>
      </c>
      <c r="M96" s="869">
        <f t="shared" si="216"/>
        <v>-0.62516285415732253</v>
      </c>
      <c r="P96" s="854">
        <v>-7.0502999999999996E-2</v>
      </c>
      <c r="Q96" s="869">
        <f t="shared" si="217"/>
        <v>-0.37257098020680668</v>
      </c>
      <c r="T96" s="854">
        <v>-2.6887999999999999E-2</v>
      </c>
      <c r="U96" s="869">
        <f t="shared" si="218"/>
        <v>-0.10050029997216506</v>
      </c>
      <c r="X96" s="854">
        <v>5.1187000000000003E-2</v>
      </c>
      <c r="Y96" s="869">
        <f t="shared" si="219"/>
        <v>0.12793872977814116</v>
      </c>
      <c r="AB96" s="854">
        <v>8.7843000000000004E-2</v>
      </c>
      <c r="AC96" s="869">
        <f t="shared" si="220"/>
        <v>0.12732627590479054</v>
      </c>
      <c r="AF96" s="854">
        <v>0.14300599999999999</v>
      </c>
      <c r="AG96" s="869">
        <f t="shared" si="221"/>
        <v>0.15216945594700315</v>
      </c>
      <c r="AJ96" s="854">
        <v>0.22789499999999999</v>
      </c>
      <c r="AK96" s="869">
        <f t="shared" si="222"/>
        <v>0.16603045397546862</v>
      </c>
      <c r="AN96" s="854">
        <v>0.155</v>
      </c>
      <c r="AO96" s="869">
        <f t="shared" si="223"/>
        <v>7.3610075557180785E-2</v>
      </c>
      <c r="AR96" s="854">
        <v>0.62</v>
      </c>
      <c r="AS96" s="869">
        <f t="shared" si="224"/>
        <v>0.22982285106367203</v>
      </c>
      <c r="AV96" s="854">
        <v>2.1539999999999999</v>
      </c>
      <c r="AW96" s="869">
        <f t="shared" si="225"/>
        <v>0.60056041152607575</v>
      </c>
      <c r="AZ96" s="854">
        <v>2.339</v>
      </c>
      <c r="BA96" s="869">
        <f t="shared" si="226"/>
        <v>0.58152399563421919</v>
      </c>
      <c r="BD96" s="854">
        <v>3.2570000000000001</v>
      </c>
      <c r="BE96" s="869">
        <f t="shared" si="227"/>
        <v>0.78309646488568529</v>
      </c>
      <c r="BH96" s="854">
        <v>2.3940000000000001</v>
      </c>
      <c r="BI96" s="869">
        <f t="shared" si="228"/>
        <v>0.60723969734402394</v>
      </c>
      <c r="BL96" s="854">
        <v>0.33400000000000002</v>
      </c>
      <c r="BM96" s="868">
        <f t="shared" si="229"/>
        <v>7.4743265833152453E-2</v>
      </c>
      <c r="BN96" s="137"/>
      <c r="BO96" s="137"/>
      <c r="BP96" s="855">
        <f>0.483</f>
        <v>0.48299999999999998</v>
      </c>
      <c r="BQ96" s="868">
        <f t="shared" si="230"/>
        <v>9.9995445342034112E-2</v>
      </c>
      <c r="BR96" s="137"/>
      <c r="BS96" s="137"/>
      <c r="BT96" s="855">
        <f>0.566</f>
        <v>0.56599999999999995</v>
      </c>
      <c r="BU96" s="868">
        <f t="shared" si="231"/>
        <v>0.10509780037359852</v>
      </c>
      <c r="BV96" s="137"/>
      <c r="BW96" s="137"/>
      <c r="BX96" s="855">
        <v>0.23100000000000001</v>
      </c>
      <c r="BY96" s="868">
        <f t="shared" si="232"/>
        <v>3.6282817494286641E-2</v>
      </c>
      <c r="BZ96" s="137"/>
      <c r="CB96" s="854">
        <v>0.105</v>
      </c>
      <c r="CC96" s="869">
        <f t="shared" si="233"/>
        <v>1.6016376363489373E-2</v>
      </c>
      <c r="CF96" s="854">
        <v>4.3999999999999997E-2</v>
      </c>
      <c r="CG96" s="869">
        <f t="shared" si="234"/>
        <v>6.8164108188833172E-3</v>
      </c>
      <c r="CJ96" s="854">
        <v>-0.46600000000000003</v>
      </c>
      <c r="CK96" s="869">
        <f t="shared" si="235"/>
        <v>-7.4353594421884855E-2</v>
      </c>
      <c r="CN96" s="854">
        <v>-0.52600000000000002</v>
      </c>
      <c r="CO96" s="869">
        <f t="shared" si="236"/>
        <v>-8.8120191921087193E-2</v>
      </c>
      <c r="CR96" s="854">
        <v>-0.38800000000000001</v>
      </c>
      <c r="CS96" s="869">
        <f t="shared" si="237"/>
        <v>-7.2893006968045432E-2</v>
      </c>
      <c r="CV96" s="854">
        <f>CV95</f>
        <v>-0.28399999999999997</v>
      </c>
      <c r="CW96" s="869">
        <f t="shared" si="238"/>
        <v>-5.3556189930573712E-2</v>
      </c>
    </row>
    <row r="97" spans="1:105">
      <c r="A97" s="26" t="str">
        <f>$A$13</f>
        <v>4Q</v>
      </c>
      <c r="B97" s="26" t="str">
        <f>$B$13</f>
        <v>Jan</v>
      </c>
      <c r="C97" s="122"/>
      <c r="D97" s="860">
        <v>-0.109856</v>
      </c>
      <c r="E97" s="869">
        <f t="shared" si="214"/>
        <v>-1.2540902685627184</v>
      </c>
      <c r="H97" s="860">
        <v>-0.18217700000000001</v>
      </c>
      <c r="I97" s="869">
        <f t="shared" si="215"/>
        <v>-1.2237374583821319</v>
      </c>
      <c r="L97" s="860">
        <v>-0.113762</v>
      </c>
      <c r="M97" s="869">
        <f t="shared" si="216"/>
        <v>-0.75995848091673324</v>
      </c>
      <c r="P97" s="860">
        <v>-9.9140000000000006E-2</v>
      </c>
      <c r="Q97" s="869">
        <f t="shared" si="217"/>
        <v>-0.56280277827245206</v>
      </c>
      <c r="T97" s="860">
        <v>-1.4165000000000001E-2</v>
      </c>
      <c r="U97" s="869">
        <f t="shared" si="218"/>
        <v>-5.2986956866858982E-2</v>
      </c>
      <c r="X97" s="860">
        <v>8.1988000000000005E-2</v>
      </c>
      <c r="Y97" s="869">
        <f t="shared" si="219"/>
        <v>0.19615756265065074</v>
      </c>
      <c r="AB97" s="860">
        <v>5.1797999999999997E-2</v>
      </c>
      <c r="AC97" s="869">
        <f t="shared" si="220"/>
        <v>7.0835556659672588E-2</v>
      </c>
      <c r="AF97" s="860">
        <v>0.115234</v>
      </c>
      <c r="AG97" s="869">
        <f t="shared" si="221"/>
        <v>0.11366318949736112</v>
      </c>
      <c r="AJ97" s="860">
        <v>0.26151099999999999</v>
      </c>
      <c r="AK97" s="869">
        <f t="shared" si="222"/>
        <v>0.18905491397105337</v>
      </c>
      <c r="AN97" s="860">
        <v>0.183</v>
      </c>
      <c r="AO97" s="869">
        <f t="shared" si="223"/>
        <v>8.4915247159051369E-2</v>
      </c>
      <c r="AR97" s="860">
        <v>0.95499999999999996</v>
      </c>
      <c r="AS97" s="869">
        <f t="shared" si="224"/>
        <v>0.33444113310757095</v>
      </c>
      <c r="AV97" s="860">
        <v>2.5779999999999998</v>
      </c>
      <c r="AW97" s="869">
        <f t="shared" si="225"/>
        <v>0.68613099832326396</v>
      </c>
      <c r="AZ97" s="860">
        <v>2.3220000000000001</v>
      </c>
      <c r="BA97" s="869">
        <f t="shared" si="226"/>
        <v>0.52223079362437619</v>
      </c>
      <c r="BD97" s="860">
        <v>2.6920000000000002</v>
      </c>
      <c r="BE97" s="869">
        <f t="shared" si="227"/>
        <v>0.65771310319889953</v>
      </c>
      <c r="BH97" s="860">
        <v>1.3240000000000001</v>
      </c>
      <c r="BI97" s="869">
        <f t="shared" si="228"/>
        <v>0.3545994820276448</v>
      </c>
      <c r="BL97" s="860">
        <v>0.35699999999999998</v>
      </c>
      <c r="BM97" s="868">
        <f t="shared" si="229"/>
        <v>8.1931471323985039E-2</v>
      </c>
      <c r="BN97" s="137"/>
      <c r="BO97" s="137"/>
      <c r="BP97" s="861">
        <v>0.38500000000000001</v>
      </c>
      <c r="BQ97" s="868">
        <f t="shared" si="230"/>
        <v>8.1057068386901188E-2</v>
      </c>
      <c r="BR97" s="137"/>
      <c r="BS97" s="137"/>
      <c r="BT97" s="861">
        <v>0.21100000000000019</v>
      </c>
      <c r="BU97" s="868">
        <f t="shared" si="231"/>
        <v>3.7069115453604785E-2</v>
      </c>
      <c r="BV97" s="137"/>
      <c r="BW97" s="137"/>
      <c r="BX97" s="861">
        <v>0.248</v>
      </c>
      <c r="BY97" s="868">
        <f t="shared" si="232"/>
        <v>3.8045387533692417E-2</v>
      </c>
      <c r="BZ97" s="137"/>
      <c r="CB97" s="860">
        <v>9.5000000000000001E-2</v>
      </c>
      <c r="CC97" s="869">
        <f t="shared" si="233"/>
        <v>1.5567824093420057E-2</v>
      </c>
      <c r="CF97" s="860">
        <v>2.3E-2</v>
      </c>
      <c r="CG97" s="869">
        <f t="shared" si="234"/>
        <v>3.6132729654916721E-3</v>
      </c>
      <c r="CJ97" s="860">
        <v>-0.44900000000000001</v>
      </c>
      <c r="CK97" s="869">
        <f t="shared" si="235"/>
        <v>-7.3024753602446091E-2</v>
      </c>
      <c r="CN97" s="860">
        <v>-0.499</v>
      </c>
      <c r="CO97" s="869">
        <f t="shared" si="236"/>
        <v>-8.3057446125012271E-2</v>
      </c>
      <c r="CR97" s="860">
        <v>-0.28399999999999997</v>
      </c>
      <c r="CS97" s="869">
        <f t="shared" si="237"/>
        <v>-4.8317151057448063E-2</v>
      </c>
      <c r="CV97" s="860">
        <f>CV96</f>
        <v>-0.28399999999999997</v>
      </c>
      <c r="CW97" s="869">
        <f t="shared" si="238"/>
        <v>-5.1694022005506761E-2</v>
      </c>
    </row>
    <row r="98" spans="1:105">
      <c r="B98" s="26" t="str">
        <f>$B$14</f>
        <v>Year</v>
      </c>
      <c r="D98" s="798">
        <f>SUM(D94:D97)</f>
        <v>-0.119007</v>
      </c>
      <c r="E98" s="869">
        <f t="shared" si="214"/>
        <v>-0.39545529629207371</v>
      </c>
      <c r="H98" s="798">
        <f>SUM(H94:H97)</f>
        <v>-0.62140300000000004</v>
      </c>
      <c r="I98" s="869">
        <f t="shared" si="215"/>
        <v>-1.0297815223153273</v>
      </c>
      <c r="L98" s="798">
        <f>SUM(L94:L97)</f>
        <v>-0.40405400000000002</v>
      </c>
      <c r="M98" s="869">
        <f t="shared" si="216"/>
        <v>-0.63061896734181488</v>
      </c>
      <c r="P98" s="798">
        <f>SUM(P94:P97)</f>
        <v>-0.372303</v>
      </c>
      <c r="Q98" s="869">
        <f t="shared" si="217"/>
        <v>-0.49416935300784909</v>
      </c>
      <c r="T98" s="798">
        <f>SUM(T94:T97)</f>
        <v>-0.15100200000000003</v>
      </c>
      <c r="U98" s="869">
        <f t="shared" si="218"/>
        <v>-0.14146500511754589</v>
      </c>
      <c r="X98" s="798">
        <f>SUM(X94:X97)</f>
        <v>0.17760600000000001</v>
      </c>
      <c r="Y98" s="869">
        <f t="shared" si="219"/>
        <v>0.11458282991332239</v>
      </c>
      <c r="AB98" s="798">
        <f>SUM(AB94:AB97)</f>
        <v>0.40814600000000001</v>
      </c>
      <c r="AC98" s="869">
        <f t="shared" si="220"/>
        <v>0.15731449457963292</v>
      </c>
      <c r="AF98" s="798">
        <f>SUM(AF94:AF97)</f>
        <v>0.50714499999999996</v>
      </c>
      <c r="AG98" s="869">
        <f t="shared" si="221"/>
        <v>0.13413506061885394</v>
      </c>
      <c r="AJ98" s="798">
        <f>SUM(AJ94:AJ97)</f>
        <v>0.882687</v>
      </c>
      <c r="AK98" s="869">
        <f t="shared" si="222"/>
        <v>0.16619722523743258</v>
      </c>
      <c r="AN98" s="798">
        <f>SUM(AN94:AN97)</f>
        <v>0.88737700000000008</v>
      </c>
      <c r="AO98" s="869">
        <f t="shared" si="223"/>
        <v>0.11546884455383073</v>
      </c>
      <c r="AR98" s="798">
        <f>SUM(AR94:AR97)</f>
        <v>2.3279999999999998</v>
      </c>
      <c r="AS98" s="869">
        <f t="shared" si="224"/>
        <v>0.21820594967390958</v>
      </c>
      <c r="AV98" s="798">
        <f>SUM(AV94:AV97)</f>
        <v>8.2349999999999994</v>
      </c>
      <c r="AW98" s="869">
        <f t="shared" si="225"/>
        <v>0.58629834647491219</v>
      </c>
      <c r="AZ98" s="798">
        <f>SUM(AZ94:AZ97)</f>
        <v>10.626000000000001</v>
      </c>
      <c r="BA98" s="869">
        <f t="shared" si="226"/>
        <v>0.64756079947493095</v>
      </c>
      <c r="BD98" s="798">
        <f>SUM(BD94:BD97)</f>
        <v>10.868</v>
      </c>
      <c r="BE98" s="869">
        <f t="shared" si="227"/>
        <v>0.63395139900380737</v>
      </c>
      <c r="BH98" s="798">
        <f>SUM(BH94:BH97)</f>
        <v>7.7560000000000002</v>
      </c>
      <c r="BI98" s="869">
        <f t="shared" si="228"/>
        <v>0.4901403181488419</v>
      </c>
      <c r="BL98" s="798">
        <f>SUM(BL94:BL97)</f>
        <v>1.6940000000000002</v>
      </c>
      <c r="BM98" s="869">
        <f t="shared" si="229"/>
        <v>9.8882118388863557E-2</v>
      </c>
      <c r="BP98" s="798">
        <f>SUM(BP94:BP97)</f>
        <v>1.712</v>
      </c>
      <c r="BQ98" s="869">
        <f t="shared" si="230"/>
        <v>8.9869521213826464E-2</v>
      </c>
      <c r="BT98" s="798">
        <f>SUM(BT94:BT97)</f>
        <v>1.5970000000000004</v>
      </c>
      <c r="BU98" s="869">
        <f t="shared" si="231"/>
        <v>7.2711213098034938E-2</v>
      </c>
      <c r="BX98" s="798">
        <f>SUM(BX94:BX97)</f>
        <v>0.88100000000000001</v>
      </c>
      <c r="BY98" s="869">
        <f t="shared" si="232"/>
        <v>3.4133302751547141E-2</v>
      </c>
      <c r="CB98" s="798">
        <f>SUM(CB94:CB97)</f>
        <v>0.499</v>
      </c>
      <c r="CC98" s="869">
        <f t="shared" si="233"/>
        <v>1.9295934280909362E-2</v>
      </c>
      <c r="CF98" s="798">
        <f>SUM(CF94:CF97)</f>
        <v>9.8000000000000004E-2</v>
      </c>
      <c r="CG98" s="869">
        <f t="shared" si="234"/>
        <v>3.7832958992932955E-3</v>
      </c>
      <c r="CJ98" s="798">
        <f>SUM(CJ94:CJ97)</f>
        <v>-1.87</v>
      </c>
      <c r="CK98" s="869">
        <f t="shared" si="235"/>
        <v>-7.2661259425564173E-2</v>
      </c>
      <c r="CN98" s="798">
        <f>SUM(CN94:CN97)</f>
        <v>-1.9729999999999999</v>
      </c>
      <c r="CO98" s="869">
        <f t="shared" si="236"/>
        <v>-7.9671782943858238E-2</v>
      </c>
      <c r="CR98" s="805">
        <f>SUM(CR94:CR97)</f>
        <v>-1.57</v>
      </c>
      <c r="CS98" s="869">
        <f t="shared" si="237"/>
        <v>-6.8787874406485511E-2</v>
      </c>
      <c r="CV98" s="805">
        <f>SUM(CV94:CV97)</f>
        <v>-1.1359999999999999</v>
      </c>
      <c r="CW98" s="869">
        <f t="shared" si="238"/>
        <v>-5.1986022193348018E-2</v>
      </c>
    </row>
    <row r="99" spans="1:105" hidden="1" outlineLevel="1">
      <c r="A99" s="26" t="str">
        <f>$A$15</f>
        <v>6 Mos</v>
      </c>
      <c r="D99" s="794">
        <f>SUM(D94:D95)</f>
        <v>-1.2670000000000001E-2</v>
      </c>
      <c r="E99" s="869">
        <f t="shared" si="214"/>
        <v>-9.0699220838571931E-2</v>
      </c>
      <c r="H99" s="794">
        <f>SUM(H94:H95)</f>
        <v>-0.28922599999999998</v>
      </c>
      <c r="I99" s="869">
        <f t="shared" si="215"/>
        <v>-0.95810902446304169</v>
      </c>
      <c r="L99" s="794">
        <f>SUM(L94:L95)</f>
        <v>-0.191971</v>
      </c>
      <c r="M99" s="869">
        <f t="shared" si="216"/>
        <v>-0.57517951382858057</v>
      </c>
      <c r="P99" s="794">
        <f>SUM(P94:P95)</f>
        <v>-0.20266000000000001</v>
      </c>
      <c r="Q99" s="869">
        <f t="shared" si="217"/>
        <v>-0.52231459333211017</v>
      </c>
      <c r="T99" s="794">
        <f>SUM(T94:T95)</f>
        <v>-0.10994900000000001</v>
      </c>
      <c r="U99" s="869">
        <f t="shared" si="218"/>
        <v>-0.20645974186194771</v>
      </c>
      <c r="X99" s="794">
        <f>SUM(X94:X95)</f>
        <v>4.4430999999999998E-2</v>
      </c>
      <c r="Y99" s="869">
        <f t="shared" si="219"/>
        <v>6.0701177221124662E-2</v>
      </c>
      <c r="AB99" s="794">
        <f>SUM(AB94:AB95)</f>
        <v>0.26850499999999999</v>
      </c>
      <c r="AC99" s="869">
        <f t="shared" si="220"/>
        <v>0.22884378595859428</v>
      </c>
      <c r="AF99" s="794">
        <f>SUM(AF94:AF95)</f>
        <v>0.24890500000000002</v>
      </c>
      <c r="AG99" s="869">
        <f t="shared" si="221"/>
        <v>0.13621819020951947</v>
      </c>
      <c r="AJ99" s="794">
        <f>SUM(AJ94:AJ95)</f>
        <v>0.39328099999999999</v>
      </c>
      <c r="AK99" s="869">
        <f t="shared" si="222"/>
        <v>0.15391291678778482</v>
      </c>
      <c r="AN99" s="794">
        <f>SUM(AN94:AN95)</f>
        <v>0.549377</v>
      </c>
      <c r="AO99" s="869">
        <f t="shared" si="223"/>
        <v>0.16043901597142651</v>
      </c>
      <c r="AR99" s="794">
        <f>SUM(AR94:AR95)</f>
        <v>0.753</v>
      </c>
      <c r="AS99" s="869">
        <f t="shared" si="224"/>
        <v>0.14719738524272907</v>
      </c>
      <c r="AV99" s="794">
        <f>SUM(AV94:AV95)</f>
        <v>3.5030000000000001</v>
      </c>
      <c r="AW99" s="869">
        <f t="shared" si="225"/>
        <v>0.5226953952669432</v>
      </c>
      <c r="AZ99" s="794">
        <f>SUM(AZ94:AZ95)</f>
        <v>5.9649999999999999</v>
      </c>
      <c r="BA99" s="869">
        <f t="shared" si="226"/>
        <v>0.7511865977732638</v>
      </c>
      <c r="BD99" s="794">
        <f>SUM(BD94:BD95)</f>
        <v>4.9190000000000005</v>
      </c>
      <c r="BE99" s="869">
        <f t="shared" si="227"/>
        <v>0.55324552336756594</v>
      </c>
      <c r="BH99" s="794">
        <f>SUM(BH94:BH95)</f>
        <v>4.0380000000000003</v>
      </c>
      <c r="BI99" s="869">
        <f t="shared" si="228"/>
        <v>0.49559268614181462</v>
      </c>
      <c r="BL99" s="794">
        <f>SUM(BL94:BL95)</f>
        <v>1.0030000000000001</v>
      </c>
      <c r="BM99" s="869">
        <f t="shared" si="229"/>
        <v>0.1207621863855384</v>
      </c>
      <c r="BP99" s="794">
        <f>SUM(BP94:BP95)</f>
        <v>0.84400000000000008</v>
      </c>
      <c r="BQ99" s="869">
        <f t="shared" si="230"/>
        <v>8.912467739823525E-2</v>
      </c>
      <c r="BT99" s="794">
        <f>SUM(BT94:BT95)</f>
        <v>0.82000000000000006</v>
      </c>
      <c r="BU99" s="869">
        <f t="shared" si="231"/>
        <v>7.5325622561677449E-2</v>
      </c>
      <c r="BX99" s="794">
        <f>SUM(BX94:BX95)</f>
        <v>0.40200000000000002</v>
      </c>
      <c r="BY99" s="869">
        <f t="shared" si="232"/>
        <v>3.1101576045287613E-2</v>
      </c>
      <c r="CB99" s="794">
        <f>SUM(CB94:CB95)</f>
        <v>0.29899999999999999</v>
      </c>
      <c r="CC99" s="869">
        <f t="shared" si="233"/>
        <v>2.2647654755818137E-2</v>
      </c>
      <c r="CF99" s="794">
        <f>SUM(CF94:CF95)</f>
        <v>3.1E-2</v>
      </c>
      <c r="CG99" s="869">
        <f t="shared" si="234"/>
        <v>2.3695034208750191E-3</v>
      </c>
      <c r="CJ99" s="794">
        <f>SUM(CJ94:CJ95)</f>
        <v>-0.95500000000000007</v>
      </c>
      <c r="CK99" s="869">
        <f t="shared" si="235"/>
        <v>-7.1697181137109781E-2</v>
      </c>
      <c r="CN99" s="794">
        <f>SUM(CN94:CN95)</f>
        <v>-0.94799999999999995</v>
      </c>
      <c r="CO99" s="869">
        <f t="shared" si="236"/>
        <v>-7.41372743915934E-2</v>
      </c>
      <c r="CR99" s="794">
        <f>SUM(CR94:CR95)</f>
        <v>-0.89800000000000002</v>
      </c>
      <c r="CS99" s="869">
        <f t="shared" si="237"/>
        <v>-7.7260005729973699E-2</v>
      </c>
      <c r="CV99" s="794">
        <f>SUM(CV94:CV95)</f>
        <v>-0.56799999999999995</v>
      </c>
      <c r="CW99" s="869">
        <f t="shared" si="238"/>
        <v>-5.1377976388934841E-2</v>
      </c>
    </row>
    <row r="100" spans="1:105" hidden="1" outlineLevel="1">
      <c r="A100" s="26" t="str">
        <f>$A$16</f>
        <v>9 Mos</v>
      </c>
      <c r="D100" s="794">
        <f>SUM(D94:D96)</f>
        <v>-9.1510000000000011E-3</v>
      </c>
      <c r="E100" s="869">
        <f t="shared" si="214"/>
        <v>-4.2894271643689655E-2</v>
      </c>
      <c r="H100" s="794">
        <f>SUM(H94:H96)</f>
        <v>-0.43922600000000001</v>
      </c>
      <c r="I100" s="869">
        <f t="shared" si="215"/>
        <v>-0.96626090144297638</v>
      </c>
      <c r="L100" s="794">
        <f>SUM(L94:L96)</f>
        <v>-0.29029199999999999</v>
      </c>
      <c r="M100" s="869">
        <f t="shared" si="216"/>
        <v>-0.59118870756497821</v>
      </c>
      <c r="P100" s="794">
        <f>SUM(P94:P96)</f>
        <v>-0.27316299999999999</v>
      </c>
      <c r="Q100" s="869">
        <f t="shared" si="217"/>
        <v>-0.47322466690267584</v>
      </c>
      <c r="T100" s="794">
        <f>SUM(T94:T96)</f>
        <v>-0.13683700000000001</v>
      </c>
      <c r="U100" s="869">
        <f t="shared" si="218"/>
        <v>-0.17102786664218431</v>
      </c>
      <c r="X100" s="794">
        <f>SUM(X94:X96)</f>
        <v>9.5618000000000009E-2</v>
      </c>
      <c r="Y100" s="869">
        <f t="shared" si="219"/>
        <v>8.4464266411486563E-2</v>
      </c>
      <c r="AB100" s="794">
        <f>SUM(AB94:AB96)</f>
        <v>0.356348</v>
      </c>
      <c r="AC100" s="869">
        <f t="shared" si="220"/>
        <v>0.19125425836959981</v>
      </c>
      <c r="AF100" s="794">
        <f>SUM(AF94:AF96)</f>
        <v>0.39191100000000001</v>
      </c>
      <c r="AG100" s="869">
        <f t="shared" si="221"/>
        <v>0.14163579723589398</v>
      </c>
      <c r="AJ100" s="794">
        <f>SUM(AJ94:AJ96)</f>
        <v>0.62117599999999995</v>
      </c>
      <c r="AK100" s="869">
        <f t="shared" si="222"/>
        <v>0.15814748391417935</v>
      </c>
      <c r="AN100" s="794">
        <f>SUM(AN94:AN96)</f>
        <v>0.70437700000000003</v>
      </c>
      <c r="AO100" s="869">
        <f t="shared" si="223"/>
        <v>0.12737606593527404</v>
      </c>
      <c r="AR100" s="794">
        <f>SUM(AR94:AR96)</f>
        <v>1.373</v>
      </c>
      <c r="AS100" s="869">
        <f t="shared" si="224"/>
        <v>0.17572578075105175</v>
      </c>
      <c r="AV100" s="794">
        <f>SUM(AV94:AV96)</f>
        <v>5.657</v>
      </c>
      <c r="AW100" s="869">
        <f t="shared" si="225"/>
        <v>0.54983986897929227</v>
      </c>
      <c r="AZ100" s="794">
        <f>SUM(AZ94:AZ96)</f>
        <v>8.3040000000000003</v>
      </c>
      <c r="BA100" s="869">
        <f t="shared" si="226"/>
        <v>0.69414258678454166</v>
      </c>
      <c r="BD100" s="794">
        <f>SUM(BD94:BD96)</f>
        <v>8.1760000000000002</v>
      </c>
      <c r="BE100" s="869">
        <f t="shared" si="227"/>
        <v>0.62649900768564704</v>
      </c>
      <c r="BH100" s="794">
        <f>SUM(BH94:BH96)</f>
        <v>6.4320000000000004</v>
      </c>
      <c r="BI100" s="869">
        <f t="shared" si="228"/>
        <v>0.53199892475341704</v>
      </c>
      <c r="BL100" s="794">
        <f>SUM(BL94:BL96)</f>
        <v>1.3370000000000002</v>
      </c>
      <c r="BM100" s="869">
        <f t="shared" si="229"/>
        <v>0.10466400661958744</v>
      </c>
      <c r="BP100" s="794">
        <f>SUM(BP94:BP96)</f>
        <v>1.327</v>
      </c>
      <c r="BQ100" s="869">
        <f t="shared" si="230"/>
        <v>9.2796553870252652E-2</v>
      </c>
      <c r="BT100" s="794">
        <f>SUM(BT94:BT96)</f>
        <v>1.3860000000000001</v>
      </c>
      <c r="BU100" s="869">
        <f t="shared" si="231"/>
        <v>8.5179451471373624E-2</v>
      </c>
      <c r="BX100" s="794">
        <f>SUM(BX94:BX96)</f>
        <v>0.63300000000000001</v>
      </c>
      <c r="BY100" s="869">
        <f t="shared" si="232"/>
        <v>3.2811460063321453E-2</v>
      </c>
      <c r="CB100" s="794">
        <f>SUM(CB94:CB96)</f>
        <v>0.40399999999999997</v>
      </c>
      <c r="CC100" s="869">
        <f t="shared" si="233"/>
        <v>2.0447372310208909E-2</v>
      </c>
      <c r="CF100" s="794">
        <f>SUM(CF94:CF96)</f>
        <v>7.4999999999999997E-2</v>
      </c>
      <c r="CG100" s="869">
        <f t="shared" si="234"/>
        <v>3.8386890723270438E-3</v>
      </c>
      <c r="CJ100" s="794">
        <f>SUM(CJ94:CJ96)</f>
        <v>-1.421</v>
      </c>
      <c r="CK100" s="869">
        <f t="shared" si="235"/>
        <v>-7.2547155651173256E-2</v>
      </c>
      <c r="CN100" s="794">
        <f>SUM(CN94:CN96)</f>
        <v>-1.474</v>
      </c>
      <c r="CO100" s="869">
        <f t="shared" si="236"/>
        <v>-7.8587305217845183E-2</v>
      </c>
      <c r="CR100" s="794">
        <f>SUM(CR94:CR96)</f>
        <v>-1.286</v>
      </c>
      <c r="CS100" s="869">
        <f t="shared" si="237"/>
        <v>-7.5888294319117949E-2</v>
      </c>
      <c r="CV100" s="794">
        <f>SUM(CV94:CV96)</f>
        <v>-0.85199999999999987</v>
      </c>
      <c r="CW100" s="869">
        <f t="shared" si="238"/>
        <v>-5.2084090038750822E-2</v>
      </c>
    </row>
    <row r="101" spans="1:105" collapsed="1"/>
    <row r="102" spans="1:105">
      <c r="C102" s="837"/>
      <c r="D102" s="837"/>
      <c r="H102" s="923"/>
      <c r="I102" s="840"/>
      <c r="J102" s="840"/>
      <c r="K102" s="840"/>
      <c r="L102" s="923"/>
      <c r="M102" s="840"/>
      <c r="N102" s="840"/>
      <c r="O102" s="840"/>
      <c r="P102" s="923"/>
      <c r="Q102" s="840"/>
      <c r="R102" s="840"/>
      <c r="S102" s="840"/>
      <c r="T102" s="923"/>
      <c r="U102" s="840"/>
      <c r="V102" s="840"/>
      <c r="W102" s="840"/>
      <c r="Y102" s="840"/>
      <c r="Z102" s="840"/>
      <c r="AA102" s="840"/>
      <c r="AC102" s="840"/>
      <c r="AD102" s="840"/>
      <c r="AE102" s="840"/>
      <c r="AF102" s="923"/>
      <c r="AG102" s="840"/>
      <c r="AH102" s="840"/>
      <c r="AI102" s="840"/>
      <c r="AK102" s="840"/>
      <c r="AL102" s="840"/>
      <c r="AM102" s="840"/>
      <c r="AN102" s="923"/>
      <c r="AO102" s="840"/>
      <c r="AP102" s="840"/>
      <c r="AQ102" s="840"/>
      <c r="AR102" s="923"/>
      <c r="AS102" s="840"/>
      <c r="AT102" s="840"/>
      <c r="AU102" s="840"/>
      <c r="AV102" s="923" t="s">
        <v>547</v>
      </c>
      <c r="AW102" s="840"/>
      <c r="AX102" s="840"/>
      <c r="AY102" s="840"/>
      <c r="AZ102" s="923"/>
      <c r="BA102" s="840"/>
      <c r="BB102" s="840"/>
      <c r="BC102" s="840"/>
      <c r="BD102" s="923"/>
      <c r="BE102" s="840"/>
      <c r="BF102" s="840"/>
      <c r="BG102" s="840"/>
      <c r="BH102" s="923"/>
      <c r="BI102" s="840"/>
      <c r="BJ102" s="840"/>
      <c r="BK102" s="840"/>
      <c r="BL102" s="923"/>
      <c r="BM102" s="840"/>
      <c r="BN102" s="840"/>
      <c r="BO102" s="840"/>
      <c r="BP102" s="923"/>
      <c r="BQ102" s="841"/>
      <c r="BR102" s="841"/>
      <c r="BS102" s="841"/>
      <c r="BU102" s="841"/>
      <c r="BV102" s="841"/>
      <c r="BW102" s="840"/>
      <c r="BX102" s="923"/>
      <c r="BY102" s="840"/>
      <c r="BZ102" s="840"/>
      <c r="CA102" s="840"/>
      <c r="CB102" s="840"/>
      <c r="CC102" s="925" t="str">
        <f>+AV102</f>
        <v>7.  Pretax Income/(Loss)   (% Pretax Margin)/% Change</v>
      </c>
      <c r="CD102" s="840"/>
      <c r="CE102" s="840"/>
      <c r="CF102" s="840"/>
      <c r="CG102" s="840"/>
      <c r="CH102" s="840"/>
      <c r="CI102" s="840"/>
      <c r="CJ102" s="840"/>
      <c r="CK102" s="840"/>
      <c r="CL102" s="840"/>
      <c r="CM102" s="840"/>
      <c r="CN102" s="840"/>
      <c r="CO102" s="840"/>
      <c r="CP102" s="840"/>
      <c r="CQ102" s="840"/>
      <c r="CR102" s="840"/>
      <c r="CS102" s="840"/>
      <c r="CT102" s="840"/>
      <c r="CU102" s="840"/>
      <c r="CV102" s="840"/>
      <c r="CW102" s="840"/>
      <c r="CX102" s="840"/>
      <c r="CY102" s="840"/>
      <c r="CZ102" s="840"/>
      <c r="DA102" s="840"/>
    </row>
    <row r="103" spans="1:105">
      <c r="BQ103" s="137"/>
      <c r="BR103" s="137"/>
      <c r="BS103" s="137"/>
      <c r="BT103" s="137"/>
      <c r="BU103" s="137"/>
      <c r="BV103" s="137"/>
    </row>
    <row r="104" spans="1:105">
      <c r="A104" s="26" t="str">
        <f>$A$10</f>
        <v>1Q</v>
      </c>
      <c r="B104" s="26" t="str">
        <f>$B$10</f>
        <v>Apr</v>
      </c>
      <c r="D104" s="798">
        <f>D84+D94</f>
        <v>2.2088379999999996</v>
      </c>
      <c r="E104" s="869">
        <f t="shared" ref="E104:E110" si="239">D104/D10*100</f>
        <v>15.866276768673689</v>
      </c>
      <c r="F104" s="42"/>
      <c r="H104" s="798">
        <f>H84+H94</f>
        <v>0.31841700000000012</v>
      </c>
      <c r="I104" s="869">
        <f t="shared" ref="I104:I110" si="240">H104/H10*100</f>
        <v>2.1720161304515284</v>
      </c>
      <c r="J104" s="42">
        <f t="shared" ref="J104:J110" si="241">IF(D104&lt;0,"       NM",(H104/D104-1)*100)</f>
        <v>-85.58441135112669</v>
      </c>
      <c r="L104" s="798">
        <f>L84+L94</f>
        <v>1.8003679999999986</v>
      </c>
      <c r="M104" s="869">
        <f t="shared" ref="M104:M110" si="242">L104/L10*100</f>
        <v>10.405216525284818</v>
      </c>
      <c r="N104" s="42">
        <f t="shared" ref="N104:N110" si="243">IF(H104&lt;0,"       NM",(L104/H104-1)*100)</f>
        <v>465.4120225992952</v>
      </c>
      <c r="P104" s="798">
        <f>P84+P94</f>
        <v>1.6714559999999996</v>
      </c>
      <c r="Q104" s="869">
        <f t="shared" ref="Q104:Q110" si="244">P104/P10*100</f>
        <v>8.9288147729379741</v>
      </c>
      <c r="R104" s="42">
        <f t="shared" ref="R104:R110" si="245">IF(L104&lt;0,"       NM",(P104/L104-1)*100)</f>
        <v>-7.1603138913821525</v>
      </c>
      <c r="T104" s="798">
        <f>T84+T94</f>
        <v>3.880504999999999</v>
      </c>
      <c r="U104" s="869">
        <f t="shared" ref="U104:U110" si="246">T104/T10*100</f>
        <v>14.985012303874415</v>
      </c>
      <c r="V104" s="42">
        <f t="shared" ref="V104:V110" si="247">IF(P104&lt;0,"       NM",(T104/P104-1)*100)</f>
        <v>132.16315595504759</v>
      </c>
      <c r="X104" s="798">
        <f>X84+X94</f>
        <v>6.8014530000000031</v>
      </c>
      <c r="Y104" s="869">
        <f t="shared" ref="Y104:Y110" si="248">X104/X10*100</f>
        <v>18.67249566993598</v>
      </c>
      <c r="Z104" s="42">
        <f t="shared" ref="Z104:Z110" si="249">IF(T104&lt;0,"       NM",(X104/T104-1)*100)</f>
        <v>75.272367900569776</v>
      </c>
      <c r="AB104" s="798">
        <f>AB84+AB94</f>
        <v>12.057922000000003</v>
      </c>
      <c r="AC104" s="869">
        <f t="shared" ref="AC104:AC110" si="250">AB104/AB10*100</f>
        <v>21.268871924402983</v>
      </c>
      <c r="AD104" s="42">
        <f t="shared" ref="AD104:AD110" si="251">IF(X104&lt;0,"       NM",(AB104/X104-1)*100)</f>
        <v>77.284500826514545</v>
      </c>
      <c r="AF104" s="798">
        <f>AF84+AF94</f>
        <v>19.965128</v>
      </c>
      <c r="AG104" s="869">
        <f t="shared" ref="AG104:AG110" si="252">AF104/AF10*100</f>
        <v>21.414226111240513</v>
      </c>
      <c r="AH104" s="42">
        <f t="shared" ref="AH104:AH110" si="253">IF(AB104&lt;0,"       NM",(AF104/AB104-1)*100)</f>
        <v>65.576854784763029</v>
      </c>
      <c r="AJ104" s="798">
        <f>AJ84+AJ94</f>
        <v>31.900283000000016</v>
      </c>
      <c r="AK104" s="869">
        <f t="shared" ref="AK104:AK110" si="254">AJ104/AJ10*100</f>
        <v>24.453348143805364</v>
      </c>
      <c r="AL104" s="42">
        <f t="shared" ref="AL104:AL110" si="255">IF(AF104&lt;0,"       NM",(AJ104/AF104-1)*100)</f>
        <v>59.780007420939228</v>
      </c>
      <c r="AN104" s="798">
        <f>AN84+AN94</f>
        <v>37.689461999999985</v>
      </c>
      <c r="AO104" s="869">
        <f t="shared" ref="AO104:AO110" si="256">AN104/AN10*100</f>
        <v>22.303489589645846</v>
      </c>
      <c r="AP104" s="42">
        <f t="shared" ref="AP104:AP110" si="257">IF(AJ104&lt;0,"       NM",(AN104/AJ104-1)*100)</f>
        <v>18.147735554571611</v>
      </c>
      <c r="AR104" s="798">
        <f>AR84+AR94</f>
        <v>57.523000000000003</v>
      </c>
      <c r="AS104" s="869">
        <f t="shared" ref="AS104:AS110" si="258">AR104/AR10*100</f>
        <v>22.40070718989373</v>
      </c>
      <c r="AT104" s="42">
        <f t="shared" ref="AT104:AT110" si="259">IF(AN104&lt;0,"       NM",(AR104/AN104-1)*100)</f>
        <v>52.62356358390052</v>
      </c>
      <c r="AV104" s="798">
        <f>AV84+AV94</f>
        <v>74.922000000000011</v>
      </c>
      <c r="AW104" s="869">
        <f t="shared" ref="AW104:AW110" si="260">AV104/AV10*100</f>
        <v>22.894073428977407</v>
      </c>
      <c r="AX104" s="42">
        <f t="shared" ref="AX104:AX110" si="261">IF(AR104&lt;0,"       NM",(AV104/AR104-1)*100)</f>
        <v>30.247031622133758</v>
      </c>
      <c r="AY104" s="42"/>
      <c r="AZ104" s="798">
        <f>AZ84+AZ94</f>
        <v>83.086000000000041</v>
      </c>
      <c r="BA104" s="869">
        <f t="shared" ref="BA104:BA110" si="262">AZ104/AZ10*100</f>
        <v>21.267947054110586</v>
      </c>
      <c r="BB104" s="42">
        <f t="shared" ref="BB104:BB110" si="263">IF(AV104&lt;0,"       NM",(AZ104/AV104-1)*100)</f>
        <v>10.896665865833842</v>
      </c>
      <c r="BC104" s="42"/>
      <c r="BD104" s="798">
        <f>BD84+BD94</f>
        <v>76.906999999999982</v>
      </c>
      <c r="BE104" s="869">
        <f t="shared" ref="BE104:BE110" si="264">BD104/BD10*100</f>
        <v>16.973965322409772</v>
      </c>
      <c r="BF104" s="42">
        <f t="shared" ref="BF104:BF110" si="265">IF(AZ104&lt;0,"       NM",(BD104/AZ104-1)*100)</f>
        <v>-7.4368726379896222</v>
      </c>
      <c r="BG104" s="42"/>
      <c r="BH104" s="798">
        <f>BH84+BH94</f>
        <v>18.932000000000013</v>
      </c>
      <c r="BI104" s="869">
        <f t="shared" ref="BI104:BI110" si="266">BH104/BH10*100</f>
        <v>4.622476584856094</v>
      </c>
      <c r="BJ104" s="42">
        <f t="shared" ref="BJ104:BJ110" si="267">IF(BD104&lt;0,"       NM",(BH104/BD104-1)*100)</f>
        <v>-75.383255100315935</v>
      </c>
      <c r="BK104" s="42"/>
      <c r="BL104" s="798">
        <f>BL84+BL94</f>
        <v>30.846999999999987</v>
      </c>
      <c r="BM104" s="869">
        <f t="shared" ref="BM104:BM110" si="268">BL104/BL10*100</f>
        <v>7.5118777137318764</v>
      </c>
      <c r="BN104" s="42">
        <f t="shared" ref="BN104:BN110" si="269">IF(BH104&lt;0,"       NM",(BL104/BH104-1)*100)</f>
        <v>62.9357701246565</v>
      </c>
      <c r="BO104" s="42"/>
      <c r="BP104" s="798">
        <f>BP84+BP94</f>
        <v>55.502000000000024</v>
      </c>
      <c r="BQ104" s="868">
        <f t="shared" ref="BQ104:BQ110" si="270">BP104/BP10*100</f>
        <v>11.524788823641789</v>
      </c>
      <c r="BR104" s="873">
        <f t="shared" ref="BR104:BR110" si="271">IF(BL104&lt;0,"       NM",(BP104/BL104-1)*100)</f>
        <v>79.92673517684068</v>
      </c>
      <c r="BS104" s="873"/>
      <c r="BT104" s="805">
        <f>BT84+BT94</f>
        <v>73.218000000000046</v>
      </c>
      <c r="BU104" s="868">
        <f t="shared" ref="BU104:BU110" si="272">BT104/BT10*100</f>
        <v>13.630626370639559</v>
      </c>
      <c r="BV104" s="873">
        <f t="shared" ref="BV104:BV110" si="273">IF(BP104&lt;0,"       NM",(BT104/BP104-1)*100)</f>
        <v>31.919570465929191</v>
      </c>
      <c r="BW104" s="42"/>
      <c r="BX104" s="798">
        <f>BX84+BX94</f>
        <v>86.54500000000003</v>
      </c>
      <c r="BY104" s="869">
        <f t="shared" ref="BY104:BY110" si="274">BX104/BX10*100</f>
        <v>13.297900946041672</v>
      </c>
      <c r="BZ104" s="42">
        <f t="shared" ref="BZ104:BZ110" si="275">IF(BT104&lt;0,"       NM",(BX104/BT104-1)*100)</f>
        <v>18.201808298505796</v>
      </c>
      <c r="CA104" s="42"/>
      <c r="CB104" s="798">
        <f>CB84+CB94</f>
        <v>81.222000000000008</v>
      </c>
      <c r="CC104" s="869">
        <f t="shared" ref="CC104:CC110" si="276">CB104/CB10*100</f>
        <v>12.109637077656616</v>
      </c>
      <c r="CD104" s="42">
        <f t="shared" ref="CD104:CD110" si="277">IF(BX104&lt;0,"       NM",(CB104/BX104-1)*100)</f>
        <v>-6.150557513432342</v>
      </c>
      <c r="CE104" s="42"/>
      <c r="CF104" s="798">
        <f>CF84+CF94</f>
        <v>65.804000000000016</v>
      </c>
      <c r="CG104" s="869">
        <f t="shared" ref="CG104:CG110" si="278">CF104/CF10*100</f>
        <v>9.9775745657062203</v>
      </c>
      <c r="CH104" s="42">
        <f t="shared" ref="CH104:CH110" si="279">IF(CB104&lt;0,"       NM",(CF104/CB104-1)*100)</f>
        <v>-18.98254167590061</v>
      </c>
      <c r="CI104" s="42"/>
      <c r="CJ104" s="798">
        <f>CJ84+CJ94</f>
        <v>71.486999999999938</v>
      </c>
      <c r="CK104" s="869">
        <f t="shared" ref="CK104:CK110" si="280">CJ104/CJ10*100</f>
        <v>10.630543014686191</v>
      </c>
      <c r="CL104" s="42">
        <f t="shared" ref="CL104:CL110" si="281">IF(CF104&lt;0,"       NM",(CJ104/CF104-1)*100)</f>
        <v>8.6362531153120194</v>
      </c>
      <c r="CM104" s="42"/>
      <c r="CN104" s="798">
        <f>CN84+CN94</f>
        <v>53.734999999999985</v>
      </c>
      <c r="CO104" s="869">
        <f t="shared" ref="CO104:CO110" si="282">CN104/CN10*100</f>
        <v>8.357219620608511</v>
      </c>
      <c r="CP104" s="42">
        <f t="shared" ref="CP104:CP110" si="283">IF(CJ104&lt;0,"       NM",(CN104/CJ104-1)*100)</f>
        <v>-24.832487025613005</v>
      </c>
      <c r="CQ104" s="42"/>
      <c r="CR104" s="798">
        <f>CR84+CR94</f>
        <v>54.418999999999969</v>
      </c>
      <c r="CS104" s="869">
        <f t="shared" ref="CS104:CS110" si="284">CR104/CR10*100</f>
        <v>9.322663980484057</v>
      </c>
      <c r="CT104" s="42">
        <f t="shared" ref="CT104:CT110" si="285">IF(CN104&lt;0,"       NM",(CR104/CN104-1)*100)</f>
        <v>1.2729133711733231</v>
      </c>
      <c r="CU104" s="42"/>
      <c r="CV104" s="798">
        <f>CV84+CV94</f>
        <v>41.609909511600357</v>
      </c>
      <c r="CW104" s="869">
        <f t="shared" ref="CW104:CW110" si="286">CV104/CV10*100</f>
        <v>7.5484793845892417</v>
      </c>
      <c r="CX104" s="42">
        <f t="shared" ref="CX104:CX110" si="287">IF(CR104&lt;0,"       NM",(CV104/CR104-1)*100)</f>
        <v>-23.537901263161064</v>
      </c>
      <c r="CY104" s="42"/>
      <c r="CZ104" s="42"/>
      <c r="DA104" s="42"/>
    </row>
    <row r="105" spans="1:105">
      <c r="A105" s="26" t="str">
        <f>$A$11</f>
        <v>2Q</v>
      </c>
      <c r="B105" s="26" t="str">
        <f>$B$11</f>
        <v>Jul</v>
      </c>
      <c r="D105" s="794">
        <f>D85+D95</f>
        <v>2.7101820000000005</v>
      </c>
      <c r="E105" s="869">
        <f t="shared" si="239"/>
        <v>16.959307716235898</v>
      </c>
      <c r="H105" s="794">
        <f>H85+H95</f>
        <v>1.1966240000000004</v>
      </c>
      <c r="I105" s="869">
        <f t="shared" si="240"/>
        <v>7.7066329297318088</v>
      </c>
      <c r="J105" s="42">
        <f t="shared" si="241"/>
        <v>-55.847098091567268</v>
      </c>
      <c r="L105" s="794">
        <f>L85+L95</f>
        <v>1.5679979999999993</v>
      </c>
      <c r="M105" s="869">
        <f t="shared" si="242"/>
        <v>9.7553027261564154</v>
      </c>
      <c r="N105" s="42">
        <f t="shared" si="243"/>
        <v>31.035145542793629</v>
      </c>
      <c r="P105" s="794">
        <f>P85+P95</f>
        <v>1.6115559999999982</v>
      </c>
      <c r="Q105" s="869">
        <f t="shared" si="244"/>
        <v>8.025447878133356</v>
      </c>
      <c r="R105" s="42">
        <f t="shared" si="245"/>
        <v>2.7779372167565874</v>
      </c>
      <c r="T105" s="794">
        <f>T85+T95</f>
        <v>4.5210819999999989</v>
      </c>
      <c r="U105" s="869">
        <f t="shared" si="246"/>
        <v>16.525303139326645</v>
      </c>
      <c r="V105" s="42">
        <f t="shared" si="247"/>
        <v>180.54141463281474</v>
      </c>
      <c r="X105" s="794">
        <f>X85+X95</f>
        <v>6.3646660000000006</v>
      </c>
      <c r="Y105" s="869">
        <f t="shared" si="248"/>
        <v>17.308790310963502</v>
      </c>
      <c r="Z105" s="42">
        <f t="shared" si="249"/>
        <v>40.777495298691811</v>
      </c>
      <c r="AB105" s="794">
        <f>AB85+AB95</f>
        <v>11.898426000000004</v>
      </c>
      <c r="AC105" s="869">
        <f t="shared" si="250"/>
        <v>19.621959818277283</v>
      </c>
      <c r="AD105" s="42">
        <f t="shared" si="251"/>
        <v>86.945018010371683</v>
      </c>
      <c r="AF105" s="794">
        <f>AF85+AF95</f>
        <v>17.888612999999996</v>
      </c>
      <c r="AG105" s="869">
        <f t="shared" si="252"/>
        <v>19.989015357614836</v>
      </c>
      <c r="AH105" s="42">
        <f t="shared" si="253"/>
        <v>50.344364876497025</v>
      </c>
      <c r="AJ105" s="794">
        <f>AJ85+AJ95</f>
        <v>26.433288000000001</v>
      </c>
      <c r="AK105" s="869">
        <f t="shared" si="254"/>
        <v>21.13511210206617</v>
      </c>
      <c r="AL105" s="42">
        <f t="shared" si="255"/>
        <v>47.766000639624821</v>
      </c>
      <c r="AN105" s="794">
        <f>AN85+AN95</f>
        <v>39.461497999999992</v>
      </c>
      <c r="AO105" s="869">
        <f t="shared" si="256"/>
        <v>22.752709758701503</v>
      </c>
      <c r="AP105" s="42">
        <f t="shared" si="257"/>
        <v>49.287133708072894</v>
      </c>
      <c r="AR105" s="794">
        <f>AR85+AR95</f>
        <v>57.251000000000005</v>
      </c>
      <c r="AS105" s="869">
        <f t="shared" si="258"/>
        <v>22.471905702072878</v>
      </c>
      <c r="AT105" s="42">
        <f t="shared" si="259"/>
        <v>45.080655579775538</v>
      </c>
      <c r="AV105" s="794">
        <f>AV85+AV95</f>
        <v>77.952000000000012</v>
      </c>
      <c r="AW105" s="869">
        <f t="shared" si="260"/>
        <v>22.731501057082458</v>
      </c>
      <c r="AX105" s="42">
        <f t="shared" si="261"/>
        <v>36.158320378683364</v>
      </c>
      <c r="AY105" s="42"/>
      <c r="AZ105" s="794">
        <f>AZ85+AZ95</f>
        <v>86.365999999999971</v>
      </c>
      <c r="BA105" s="869">
        <f t="shared" si="262"/>
        <v>21.40877609602046</v>
      </c>
      <c r="BB105" s="42">
        <f t="shared" si="263"/>
        <v>10.793821839080397</v>
      </c>
      <c r="BC105" s="42"/>
      <c r="BD105" s="794">
        <f>BD85+BD95</f>
        <v>60.428999999999995</v>
      </c>
      <c r="BE105" s="869">
        <f t="shared" si="264"/>
        <v>13.858940575053493</v>
      </c>
      <c r="BF105" s="42">
        <f t="shared" si="265"/>
        <v>-30.031493874904459</v>
      </c>
      <c r="BG105" s="42"/>
      <c r="BH105" s="794">
        <f>BH85+BH95</f>
        <v>9.6800000000000281</v>
      </c>
      <c r="BI105" s="869">
        <f t="shared" si="266"/>
        <v>2.3888376133340641</v>
      </c>
      <c r="BJ105" s="42">
        <f t="shared" si="267"/>
        <v>-83.981201078952111</v>
      </c>
      <c r="BK105" s="42"/>
      <c r="BL105" s="794">
        <f>BL85+BL95</f>
        <v>28.97300000000002</v>
      </c>
      <c r="BM105" s="869">
        <f t="shared" si="268"/>
        <v>6.8997297072026527</v>
      </c>
      <c r="BN105" s="42">
        <f t="shared" si="269"/>
        <v>199.30785123966874</v>
      </c>
      <c r="BO105" s="42"/>
      <c r="BP105" s="794">
        <f>BP85+BP95</f>
        <v>47.783999999999985</v>
      </c>
      <c r="BQ105" s="868">
        <f t="shared" si="270"/>
        <v>10.267296948861192</v>
      </c>
      <c r="BR105" s="873">
        <f t="shared" si="271"/>
        <v>64.92596555413644</v>
      </c>
      <c r="BS105" s="873"/>
      <c r="BT105" s="803">
        <f>BT85+BT95</f>
        <v>69.391000000000005</v>
      </c>
      <c r="BU105" s="868">
        <f t="shared" si="272"/>
        <v>12.583393931261094</v>
      </c>
      <c r="BV105" s="873">
        <f t="shared" si="273"/>
        <v>45.218064624142038</v>
      </c>
      <c r="BW105" s="42"/>
      <c r="BX105" s="794">
        <f>BX85+BX95</f>
        <v>85.995000000000005</v>
      </c>
      <c r="BY105" s="869">
        <f t="shared" si="274"/>
        <v>13.400662592212829</v>
      </c>
      <c r="BZ105" s="42">
        <f t="shared" si="275"/>
        <v>23.928175123575102</v>
      </c>
      <c r="CA105" s="42"/>
      <c r="CB105" s="794">
        <f>CB85+CB95</f>
        <v>69.988000000000056</v>
      </c>
      <c r="CC105" s="869">
        <f t="shared" si="276"/>
        <v>10.775623823138623</v>
      </c>
      <c r="CD105" s="42">
        <f t="shared" si="277"/>
        <v>-18.613872899587125</v>
      </c>
      <c r="CE105" s="42"/>
      <c r="CF105" s="794">
        <f>CF85+CF95</f>
        <v>48.520000000000053</v>
      </c>
      <c r="CG105" s="869">
        <f t="shared" si="278"/>
        <v>7.4787444587621001</v>
      </c>
      <c r="CH105" s="42">
        <f t="shared" si="279"/>
        <v>-30.673829799394159</v>
      </c>
      <c r="CI105" s="42"/>
      <c r="CJ105" s="794">
        <f>CJ85+CJ95</f>
        <v>60.268999999999984</v>
      </c>
      <c r="CK105" s="869">
        <f t="shared" si="280"/>
        <v>9.1382711444483338</v>
      </c>
      <c r="CL105" s="42">
        <f t="shared" si="281"/>
        <v>24.214756801318881</v>
      </c>
      <c r="CM105" s="42"/>
      <c r="CN105" s="794">
        <f>CN85+CN95</f>
        <v>53.694999999999943</v>
      </c>
      <c r="CO105" s="869">
        <f t="shared" si="282"/>
        <v>8.4461691404554031</v>
      </c>
      <c r="CP105" s="42">
        <f t="shared" si="283"/>
        <v>-10.907763526854675</v>
      </c>
      <c r="CQ105" s="42"/>
      <c r="CR105" s="794">
        <f>CR85+CR95</f>
        <v>35.016000000000005</v>
      </c>
      <c r="CS105" s="869">
        <f t="shared" si="284"/>
        <v>6.0520480278474409</v>
      </c>
      <c r="CT105" s="42">
        <f t="shared" si="285"/>
        <v>-34.78722413632547</v>
      </c>
      <c r="CU105" s="42"/>
      <c r="CV105" s="794">
        <f>CV85+CV95</f>
        <v>42.951119750248743</v>
      </c>
      <c r="CW105" s="869">
        <f t="shared" si="286"/>
        <v>7.7487638749979908</v>
      </c>
      <c r="CX105" s="42">
        <f t="shared" si="287"/>
        <v>22.66141121272771</v>
      </c>
      <c r="CY105" s="42"/>
      <c r="CZ105" s="42"/>
      <c r="DA105" s="42"/>
    </row>
    <row r="106" spans="1:105">
      <c r="A106" s="26" t="str">
        <f>$A$12</f>
        <v>3Q</v>
      </c>
      <c r="B106" s="26" t="str">
        <f>$B$12</f>
        <v>Oct</v>
      </c>
      <c r="D106" s="794">
        <f>D86+D96</f>
        <v>1.9552649999999998</v>
      </c>
      <c r="E106" s="869">
        <f t="shared" si="239"/>
        <v>12.799783657330178</v>
      </c>
      <c r="H106" s="794">
        <f>H86+H96</f>
        <v>0.92664299999999911</v>
      </c>
      <c r="I106" s="869">
        <f t="shared" si="240"/>
        <v>6.0687534411856898</v>
      </c>
      <c r="J106" s="42">
        <f t="shared" si="241"/>
        <v>-52.607805080129843</v>
      </c>
      <c r="L106" s="794">
        <f>L86+L96</f>
        <v>1.0929639999999985</v>
      </c>
      <c r="M106" s="869">
        <f t="shared" si="242"/>
        <v>6.9494868210372447</v>
      </c>
      <c r="N106" s="42">
        <f t="shared" si="243"/>
        <v>17.948767756298768</v>
      </c>
      <c r="P106" s="794">
        <f>P86+P96</f>
        <v>1.593531999999998</v>
      </c>
      <c r="Q106" s="869">
        <f t="shared" si="244"/>
        <v>8.4209718626287149</v>
      </c>
      <c r="R106" s="42">
        <f t="shared" si="245"/>
        <v>45.799129706010454</v>
      </c>
      <c r="T106" s="794">
        <f>T86+T96</f>
        <v>3.9524420000000031</v>
      </c>
      <c r="U106" s="869">
        <f t="shared" si="246"/>
        <v>14.773192748534077</v>
      </c>
      <c r="V106" s="42">
        <f t="shared" si="247"/>
        <v>148.03028743696441</v>
      </c>
      <c r="X106" s="794">
        <f>X86+X96</f>
        <v>6.5783089999999982</v>
      </c>
      <c r="Y106" s="869">
        <f t="shared" si="248"/>
        <v>16.442075088364501</v>
      </c>
      <c r="Z106" s="42">
        <f t="shared" si="249"/>
        <v>66.436572630287642</v>
      </c>
      <c r="AB106" s="794">
        <f>AB86+AB96</f>
        <v>12.613095999999993</v>
      </c>
      <c r="AC106" s="869">
        <f t="shared" si="250"/>
        <v>18.282373567724335</v>
      </c>
      <c r="AD106" s="42">
        <f t="shared" si="251"/>
        <v>91.737663889002448</v>
      </c>
      <c r="AF106" s="794">
        <f>AF86+AF96</f>
        <v>14.354659999999992</v>
      </c>
      <c r="AG106" s="869">
        <f t="shared" si="252"/>
        <v>15.274469620185219</v>
      </c>
      <c r="AH106" s="42">
        <f t="shared" si="253"/>
        <v>13.807585385856092</v>
      </c>
      <c r="AJ106" s="794">
        <f>AJ86+AJ96</f>
        <v>25.069679000000001</v>
      </c>
      <c r="AK106" s="869">
        <f t="shared" si="254"/>
        <v>18.264245312048409</v>
      </c>
      <c r="AL106" s="42">
        <f t="shared" si="255"/>
        <v>74.644881871113739</v>
      </c>
      <c r="AN106" s="794">
        <f>AN86+AN96</f>
        <v>43.16</v>
      </c>
      <c r="AO106" s="869">
        <f t="shared" si="256"/>
        <v>20.496844264825306</v>
      </c>
      <c r="AP106" s="42">
        <f t="shared" si="257"/>
        <v>72.160162082649705</v>
      </c>
      <c r="AR106" s="794">
        <f>AR86+AR96</f>
        <v>59.802000000000042</v>
      </c>
      <c r="AS106" s="869">
        <f t="shared" si="258"/>
        <v>22.167526031144718</v>
      </c>
      <c r="AT106" s="42">
        <f t="shared" si="259"/>
        <v>38.558850787766552</v>
      </c>
      <c r="AV106" s="794">
        <f>AV86+AV96</f>
        <v>84.461000000000013</v>
      </c>
      <c r="AW106" s="869">
        <f t="shared" si="260"/>
        <v>23.548715375071446</v>
      </c>
      <c r="AX106" s="42">
        <f t="shared" si="261"/>
        <v>41.234406876024131</v>
      </c>
      <c r="AY106" s="42"/>
      <c r="AZ106" s="794">
        <f>AZ86+AZ96</f>
        <v>67.694999999999965</v>
      </c>
      <c r="BA106" s="869">
        <f t="shared" si="262"/>
        <v>16.830383447823191</v>
      </c>
      <c r="BB106" s="42">
        <f t="shared" si="263"/>
        <v>-19.850581925385736</v>
      </c>
      <c r="BC106" s="42"/>
      <c r="BD106" s="794">
        <f>BD86+BD96</f>
        <v>26.539999999999988</v>
      </c>
      <c r="BE106" s="869">
        <f t="shared" si="264"/>
        <v>6.3811422100294983</v>
      </c>
      <c r="BF106" s="42">
        <f t="shared" si="265"/>
        <v>-60.794741118250982</v>
      </c>
      <c r="BG106" s="42"/>
      <c r="BH106" s="794">
        <f>BH86+BH96</f>
        <v>0.69499999999998785</v>
      </c>
      <c r="BI106" s="869">
        <f t="shared" si="266"/>
        <v>0.17628721372351261</v>
      </c>
      <c r="BJ106" s="42">
        <f t="shared" si="267"/>
        <v>-97.381311228334638</v>
      </c>
      <c r="BK106" s="42"/>
      <c r="BL106" s="794">
        <f>BL86+BL96</f>
        <v>36.645000000000039</v>
      </c>
      <c r="BM106" s="869">
        <f t="shared" si="268"/>
        <v>8.2004999295086041</v>
      </c>
      <c r="BN106" s="42">
        <f t="shared" si="269"/>
        <v>5172.6618705036944</v>
      </c>
      <c r="BO106" s="42"/>
      <c r="BP106" s="794">
        <f>BP86+BP96</f>
        <v>44.643999999999998</v>
      </c>
      <c r="BQ106" s="868">
        <f t="shared" si="270"/>
        <v>9.2426431922355494</v>
      </c>
      <c r="BR106" s="873">
        <f t="shared" si="271"/>
        <v>21.828353117751263</v>
      </c>
      <c r="BS106" s="873"/>
      <c r="BT106" s="803">
        <f>BT86+BT96</f>
        <v>47.552000000000049</v>
      </c>
      <c r="BU106" s="868">
        <f t="shared" si="272"/>
        <v>8.8297007126596512</v>
      </c>
      <c r="BV106" s="873">
        <f t="shared" si="273"/>
        <v>6.5137532479169646</v>
      </c>
      <c r="BW106" s="42"/>
      <c r="BX106" s="794">
        <f>BX86+BX96</f>
        <v>66.856999999999914</v>
      </c>
      <c r="BY106" s="869">
        <f t="shared" si="274"/>
        <v>10.501126966300946</v>
      </c>
      <c r="BZ106" s="42">
        <f t="shared" si="275"/>
        <v>40.597661507402094</v>
      </c>
      <c r="CA106" s="42"/>
      <c r="CB106" s="794">
        <f>CB86+CB96</f>
        <v>55.586999999999911</v>
      </c>
      <c r="CC106" s="869">
        <f t="shared" si="276"/>
        <v>8.4790696468312614</v>
      </c>
      <c r="CD106" s="42">
        <f t="shared" si="277"/>
        <v>-16.856873625798375</v>
      </c>
      <c r="CE106" s="42"/>
      <c r="CF106" s="794">
        <f>CF86+CF96</f>
        <v>46.206999999999979</v>
      </c>
      <c r="CG106" s="869">
        <f t="shared" si="278"/>
        <v>7.1583157888213931</v>
      </c>
      <c r="CH106" s="42">
        <f t="shared" si="279"/>
        <v>-16.874449061830909</v>
      </c>
      <c r="CI106" s="42"/>
      <c r="CJ106" s="794">
        <f>CJ86+CJ96</f>
        <v>28.081000000000024</v>
      </c>
      <c r="CK106" s="869">
        <f t="shared" si="280"/>
        <v>4.4805220707316522</v>
      </c>
      <c r="CL106" s="42">
        <f t="shared" si="281"/>
        <v>-39.227822624277628</v>
      </c>
      <c r="CM106" s="42"/>
      <c r="CN106" s="794">
        <f>CN86+CN96</f>
        <v>37.40400000000006</v>
      </c>
      <c r="CO106" s="869">
        <f t="shared" si="282"/>
        <v>6.266250301551997</v>
      </c>
      <c r="CP106" s="42">
        <f t="shared" si="283"/>
        <v>33.200384601688086</v>
      </c>
      <c r="CQ106" s="42"/>
      <c r="CR106" s="890">
        <f>CR86+CR96</f>
        <v>24.890000000000047</v>
      </c>
      <c r="CS106" s="869">
        <f t="shared" si="284"/>
        <v>4.6760488232851918</v>
      </c>
      <c r="CT106" s="42">
        <f t="shared" si="285"/>
        <v>-33.456314832638199</v>
      </c>
      <c r="CU106" s="42"/>
      <c r="CV106" s="794">
        <f>CV86+CV96</f>
        <v>26.760492931211097</v>
      </c>
      <c r="CW106" s="869">
        <f t="shared" si="286"/>
        <v>5.0464438100694258</v>
      </c>
      <c r="CX106" s="42">
        <f t="shared" si="287"/>
        <v>7.515037891567089</v>
      </c>
      <c r="CY106" s="42"/>
      <c r="CZ106" s="42"/>
      <c r="DA106" s="42"/>
    </row>
    <row r="107" spans="1:105">
      <c r="A107" s="26" t="str">
        <f>$A$13</f>
        <v>4Q</v>
      </c>
      <c r="B107" s="26" t="str">
        <f>$B$13</f>
        <v>Jan</v>
      </c>
      <c r="C107" s="122"/>
      <c r="D107" s="797">
        <f>D87+D97</f>
        <v>-1.3086540000000009</v>
      </c>
      <c r="E107" s="869">
        <f t="shared" si="239"/>
        <v>-9.2854533262029122</v>
      </c>
      <c r="H107" s="797">
        <f>H87+H97</f>
        <v>0.42191199999999851</v>
      </c>
      <c r="I107" s="869">
        <f t="shared" si="240"/>
        <v>2.8341092373950616</v>
      </c>
      <c r="J107" s="42" t="str">
        <f t="shared" si="241"/>
        <v xml:space="preserve">       NM</v>
      </c>
      <c r="L107" s="797">
        <f>L87+L97</f>
        <v>-1.2437770000000004</v>
      </c>
      <c r="M107" s="869">
        <f t="shared" si="242"/>
        <v>-8.3087399968282192</v>
      </c>
      <c r="N107" s="42">
        <f t="shared" si="243"/>
        <v>-394.79536016989437</v>
      </c>
      <c r="P107" s="797">
        <f>P87+P97</f>
        <v>-0.33452799999999849</v>
      </c>
      <c r="Q107" s="869">
        <f t="shared" si="244"/>
        <v>-1.8990648356861608</v>
      </c>
      <c r="R107" s="42" t="str">
        <f t="shared" si="245"/>
        <v xml:space="preserve">       NM</v>
      </c>
      <c r="T107" s="797">
        <f>T87+T97</f>
        <v>2.6290790000000004</v>
      </c>
      <c r="U107" s="869">
        <f t="shared" si="246"/>
        <v>9.8345849327613664</v>
      </c>
      <c r="V107" s="42" t="str">
        <f t="shared" si="247"/>
        <v xml:space="preserve">       NM</v>
      </c>
      <c r="X107" s="797">
        <f>X87+X97</f>
        <v>5.2392580000000004</v>
      </c>
      <c r="Y107" s="869">
        <f t="shared" si="248"/>
        <v>12.535006090866016</v>
      </c>
      <c r="Z107" s="42">
        <f t="shared" si="249"/>
        <v>99.281117075599454</v>
      </c>
      <c r="AB107" s="797">
        <f>AB87+AB97</f>
        <v>9.2021769999999954</v>
      </c>
      <c r="AC107" s="869">
        <f t="shared" si="250"/>
        <v>12.58429534491362</v>
      </c>
      <c r="AD107" s="42">
        <f t="shared" si="251"/>
        <v>75.638935895120923</v>
      </c>
      <c r="AF107" s="797">
        <f>AF87+AF97</f>
        <v>15.834629999999992</v>
      </c>
      <c r="AG107" s="869">
        <f t="shared" si="252"/>
        <v>15.618780484150497</v>
      </c>
      <c r="AH107" s="42">
        <f t="shared" si="253"/>
        <v>72.074825337526121</v>
      </c>
      <c r="AJ107" s="797">
        <f>AJ87+AJ97</f>
        <v>24.272692000000003</v>
      </c>
      <c r="AK107" s="869">
        <f t="shared" si="254"/>
        <v>17.547528394239155</v>
      </c>
      <c r="AL107" s="42">
        <f t="shared" si="255"/>
        <v>53.288659097181409</v>
      </c>
      <c r="AN107" s="797">
        <f>AN87+AN97</f>
        <v>41.350999999999999</v>
      </c>
      <c r="AO107" s="869">
        <f t="shared" si="256"/>
        <v>19.187597733737338</v>
      </c>
      <c r="AP107" s="42">
        <f t="shared" si="257"/>
        <v>70.360172658228407</v>
      </c>
      <c r="AR107" s="797">
        <f>AR87+AR97</f>
        <v>52.126999999999981</v>
      </c>
      <c r="AS107" s="869">
        <f t="shared" si="258"/>
        <v>18.254882665443294</v>
      </c>
      <c r="AT107" s="42">
        <f t="shared" si="259"/>
        <v>26.059829266523128</v>
      </c>
      <c r="AV107" s="797">
        <f>AV87+AV97</f>
        <v>69.214000000000013</v>
      </c>
      <c r="AW107" s="869">
        <f t="shared" si="260"/>
        <v>18.421206717589762</v>
      </c>
      <c r="AX107" s="42">
        <f t="shared" si="261"/>
        <v>32.779557618892397</v>
      </c>
      <c r="AY107" s="42"/>
      <c r="AZ107" s="797">
        <f>AZ87+AZ97</f>
        <v>37.178999999999974</v>
      </c>
      <c r="BA107" s="869">
        <f t="shared" si="262"/>
        <v>8.3617651490786695</v>
      </c>
      <c r="BB107" s="42">
        <f t="shared" si="263"/>
        <v>-46.283988788395462</v>
      </c>
      <c r="BC107" s="42"/>
      <c r="BD107" s="797">
        <f>BD87+BD97</f>
        <v>-31.549999999999962</v>
      </c>
      <c r="BE107" s="869">
        <f t="shared" si="264"/>
        <v>-7.7083389323645086</v>
      </c>
      <c r="BF107" s="42">
        <f t="shared" si="265"/>
        <v>-184.85973264477255</v>
      </c>
      <c r="BG107" s="42"/>
      <c r="BH107" s="797">
        <f>BH87+BH97</f>
        <v>-37.479999999999976</v>
      </c>
      <c r="BI107" s="869">
        <f t="shared" si="266"/>
        <v>-10.038057844710059</v>
      </c>
      <c r="BJ107" s="42" t="str">
        <f t="shared" si="267"/>
        <v xml:space="preserve">       NM</v>
      </c>
      <c r="BK107" s="42"/>
      <c r="BL107" s="797">
        <f>BL87+BL97</f>
        <v>28.408000000000015</v>
      </c>
      <c r="BM107" s="869">
        <f t="shared" si="268"/>
        <v>6.519633718128202</v>
      </c>
      <c r="BN107" s="42" t="str">
        <f t="shared" si="269"/>
        <v xml:space="preserve">       NM</v>
      </c>
      <c r="BO107" s="42"/>
      <c r="BP107" s="797">
        <f>BP87+BP97</f>
        <v>31.940000000000008</v>
      </c>
      <c r="BQ107" s="868">
        <f t="shared" si="270"/>
        <v>6.7245786085133101</v>
      </c>
      <c r="BR107" s="873">
        <f t="shared" si="271"/>
        <v>12.43311743170934</v>
      </c>
      <c r="BS107" s="873"/>
      <c r="BT107" s="804">
        <f>BT87+BT97</f>
        <v>38.946000000000012</v>
      </c>
      <c r="BU107" s="868">
        <f t="shared" si="272"/>
        <v>6.8421505708819481</v>
      </c>
      <c r="BV107" s="873">
        <f t="shared" si="273"/>
        <v>21.934877896055106</v>
      </c>
      <c r="BW107" s="42"/>
      <c r="BX107" s="797">
        <f>BX87+BX97</f>
        <v>50.857999999999954</v>
      </c>
      <c r="BY107" s="869">
        <f t="shared" si="274"/>
        <v>7.8020658031795449</v>
      </c>
      <c r="BZ107" s="42">
        <f t="shared" si="275"/>
        <v>30.585939505982495</v>
      </c>
      <c r="CA107" s="42"/>
      <c r="CB107" s="797">
        <f>CB87+CB97</f>
        <v>7.3519999999999479</v>
      </c>
      <c r="CC107" s="869">
        <f t="shared" si="276"/>
        <v>1.2047857129981414</v>
      </c>
      <c r="CD107" s="42">
        <f t="shared" si="277"/>
        <v>-85.544063864092266</v>
      </c>
      <c r="CE107" s="42"/>
      <c r="CF107" s="797">
        <f>CF87+CF97</f>
        <v>15.898000000000028</v>
      </c>
      <c r="CG107" s="869">
        <f t="shared" si="278"/>
        <v>2.4975571132776828</v>
      </c>
      <c r="CH107" s="42">
        <f t="shared" si="279"/>
        <v>116.24047878128594</v>
      </c>
      <c r="CI107" s="42"/>
      <c r="CJ107" s="797">
        <f>CJ87+CJ97</f>
        <v>7.2450000000000454</v>
      </c>
      <c r="CK107" s="869">
        <f t="shared" si="280"/>
        <v>1.1783170152555127</v>
      </c>
      <c r="CL107" s="42">
        <f t="shared" si="281"/>
        <v>-54.428229966033257</v>
      </c>
      <c r="CM107" s="42"/>
      <c r="CN107" s="797">
        <f>CN87+CN97</f>
        <v>20.907999999999983</v>
      </c>
      <c r="CO107" s="869">
        <f t="shared" si="282"/>
        <v>3.4800903478592291</v>
      </c>
      <c r="CP107" s="42">
        <f t="shared" si="283"/>
        <v>188.58523119392481</v>
      </c>
      <c r="CQ107" s="42"/>
      <c r="CR107" s="797">
        <f>CR87+CR97</f>
        <v>29.275000000000027</v>
      </c>
      <c r="CS107" s="869">
        <f t="shared" si="284"/>
        <v>4.9805795676295546</v>
      </c>
      <c r="CT107" s="42">
        <f t="shared" si="285"/>
        <v>40.018174861297354</v>
      </c>
      <c r="CU107" s="42"/>
      <c r="CV107" s="797">
        <f>CV87+CV97</f>
        <v>31.031032903176985</v>
      </c>
      <c r="CW107" s="869">
        <f t="shared" si="286"/>
        <v>5.6483059779944913</v>
      </c>
      <c r="CX107" s="42">
        <f t="shared" si="287"/>
        <v>5.998404451501127</v>
      </c>
      <c r="CY107" s="42"/>
      <c r="CZ107" s="42"/>
      <c r="DA107" s="42"/>
    </row>
    <row r="108" spans="1:105">
      <c r="B108" s="26" t="str">
        <f>$B$14</f>
        <v>Year</v>
      </c>
      <c r="D108" s="798">
        <f>SUM(D104:D107)</f>
        <v>5.5656309999999989</v>
      </c>
      <c r="E108" s="869">
        <f t="shared" si="239"/>
        <v>9.3900709157636886</v>
      </c>
      <c r="H108" s="798">
        <f>SUM(H104:H107)</f>
        <v>2.863595999999998</v>
      </c>
      <c r="I108" s="869">
        <f t="shared" si="240"/>
        <v>4.7455165941845801</v>
      </c>
      <c r="J108" s="42">
        <f t="shared" si="241"/>
        <v>-48.548583260370684</v>
      </c>
      <c r="L108" s="798">
        <f>SUM(L104:L107)</f>
        <v>3.2175529999999961</v>
      </c>
      <c r="M108" s="869">
        <f t="shared" si="242"/>
        <v>5.021729645610626</v>
      </c>
      <c r="N108" s="42">
        <f t="shared" si="243"/>
        <v>12.360577399884566</v>
      </c>
      <c r="P108" s="798">
        <f>SUM(P104:P107)</f>
        <v>4.5420159999999967</v>
      </c>
      <c r="Q108" s="869">
        <f t="shared" si="244"/>
        <v>6.0287591238085563</v>
      </c>
      <c r="R108" s="42">
        <f t="shared" si="245"/>
        <v>41.163673139183786</v>
      </c>
      <c r="T108" s="798">
        <f>SUM(T104:T107)</f>
        <v>14.983108000000001</v>
      </c>
      <c r="U108" s="869">
        <f t="shared" si="246"/>
        <v>14.03680381648417</v>
      </c>
      <c r="V108" s="42">
        <f t="shared" si="247"/>
        <v>229.87792205047302</v>
      </c>
      <c r="X108" s="798">
        <f>SUM(X104:X107)</f>
        <v>24.983686000000002</v>
      </c>
      <c r="Y108" s="869">
        <f t="shared" si="248"/>
        <v>16.118269898234594</v>
      </c>
      <c r="Z108" s="42">
        <f t="shared" si="249"/>
        <v>66.745684540216899</v>
      </c>
      <c r="AB108" s="798">
        <f>SUM(AB104:AB107)</f>
        <v>45.771620999999996</v>
      </c>
      <c r="AC108" s="869">
        <f t="shared" si="250"/>
        <v>17.642067847548457</v>
      </c>
      <c r="AD108" s="42">
        <f t="shared" si="251"/>
        <v>83.206036931459963</v>
      </c>
      <c r="AF108" s="798">
        <f>SUM(AF104:AF107)</f>
        <v>68.043030999999985</v>
      </c>
      <c r="AG108" s="869">
        <f t="shared" si="252"/>
        <v>17.996738778604847</v>
      </c>
      <c r="AH108" s="42">
        <f t="shared" si="253"/>
        <v>48.657682453501018</v>
      </c>
      <c r="AJ108" s="798">
        <f>SUM(AJ104:AJ107)</f>
        <v>107.67594200000002</v>
      </c>
      <c r="AK108" s="869">
        <f t="shared" si="254"/>
        <v>20.273826152675557</v>
      </c>
      <c r="AL108" s="42">
        <f t="shared" si="255"/>
        <v>58.246833536854112</v>
      </c>
      <c r="AN108" s="798">
        <f>SUM(AN104:AN107)</f>
        <v>161.66195999999997</v>
      </c>
      <c r="AO108" s="869">
        <f t="shared" si="256"/>
        <v>21.036064411752385</v>
      </c>
      <c r="AP108" s="42">
        <f t="shared" si="257"/>
        <v>50.137493108720555</v>
      </c>
      <c r="AR108" s="798">
        <f>SUM(AR104:AR107)</f>
        <v>226.70300000000003</v>
      </c>
      <c r="AS108" s="869">
        <f t="shared" si="258"/>
        <v>21.249116584589487</v>
      </c>
      <c r="AT108" s="42">
        <f t="shared" si="259"/>
        <v>40.232742446027544</v>
      </c>
      <c r="AV108" s="798">
        <f>SUM(AV104:AV107)</f>
        <v>306.54900000000004</v>
      </c>
      <c r="AW108" s="869">
        <f t="shared" si="260"/>
        <v>21.825036042931139</v>
      </c>
      <c r="AX108" s="42">
        <f t="shared" si="261"/>
        <v>35.22053082667631</v>
      </c>
      <c r="AY108" s="42"/>
      <c r="AZ108" s="798">
        <f>SUM(AZ104:AZ107)</f>
        <v>274.32599999999991</v>
      </c>
      <c r="BA108" s="869">
        <f t="shared" si="262"/>
        <v>16.717745518234501</v>
      </c>
      <c r="BB108" s="42">
        <f t="shared" si="263"/>
        <v>-10.511533229597914</v>
      </c>
      <c r="BC108" s="42"/>
      <c r="BD108" s="798">
        <f>SUM(BD104:BD107)</f>
        <v>132.32600000000002</v>
      </c>
      <c r="BE108" s="869">
        <f t="shared" si="264"/>
        <v>7.7188307714922546</v>
      </c>
      <c r="BF108" s="42">
        <f t="shared" si="265"/>
        <v>-51.763230608837631</v>
      </c>
      <c r="BG108" s="42"/>
      <c r="BH108" s="798">
        <f>SUM(BH104:BH107)</f>
        <v>-8.172999999999945</v>
      </c>
      <c r="BI108" s="869">
        <f t="shared" si="266"/>
        <v>-0.51649262767282844</v>
      </c>
      <c r="BJ108" s="42">
        <f t="shared" si="267"/>
        <v>-106.1764127986941</v>
      </c>
      <c r="BK108" s="42"/>
      <c r="BL108" s="798">
        <f>SUM(BL104:BL107)</f>
        <v>124.87300000000006</v>
      </c>
      <c r="BM108" s="869">
        <f t="shared" si="268"/>
        <v>7.289083098921231</v>
      </c>
      <c r="BN108" s="42" t="str">
        <f t="shared" si="269"/>
        <v xml:space="preserve">       NM</v>
      </c>
      <c r="BO108" s="42"/>
      <c r="BP108" s="798">
        <f>SUM(BP104:BP107)</f>
        <v>179.87</v>
      </c>
      <c r="BQ108" s="868">
        <f t="shared" si="270"/>
        <v>9.4420740541652854</v>
      </c>
      <c r="BR108" s="873">
        <f t="shared" si="271"/>
        <v>44.042347024576898</v>
      </c>
      <c r="BS108" s="873"/>
      <c r="BT108" s="805">
        <f>SUM(BT104:BT107)</f>
        <v>229.10700000000008</v>
      </c>
      <c r="BU108" s="868">
        <f t="shared" si="272"/>
        <v>10.431213462273947</v>
      </c>
      <c r="BV108" s="873">
        <f t="shared" si="273"/>
        <v>27.373658753544273</v>
      </c>
      <c r="BW108" s="42"/>
      <c r="BX108" s="798">
        <f>SUM(BX104:BX107)</f>
        <v>290.25499999999988</v>
      </c>
      <c r="BY108" s="869">
        <f t="shared" si="274"/>
        <v>11.245586594949275</v>
      </c>
      <c r="BZ108" s="42">
        <f t="shared" si="275"/>
        <v>26.689712667007015</v>
      </c>
      <c r="CA108" s="42"/>
      <c r="CB108" s="798">
        <f>SUM(CB104:CB107)</f>
        <v>214.14899999999992</v>
      </c>
      <c r="CC108" s="869">
        <f t="shared" si="276"/>
        <v>8.2809720046542239</v>
      </c>
      <c r="CD108" s="42">
        <f t="shared" si="277"/>
        <v>-26.220392413567385</v>
      </c>
      <c r="CE108" s="42"/>
      <c r="CF108" s="798">
        <f>SUM(CF104:CF107)</f>
        <v>176.42900000000009</v>
      </c>
      <c r="CG108" s="869">
        <f t="shared" si="278"/>
        <v>6.8110521654736438</v>
      </c>
      <c r="CH108" s="42">
        <f t="shared" si="279"/>
        <v>-17.613904337634001</v>
      </c>
      <c r="CI108" s="42"/>
      <c r="CJ108" s="798">
        <f>SUM(CJ104:CJ107)</f>
        <v>167.08199999999997</v>
      </c>
      <c r="CK108" s="869">
        <f t="shared" si="280"/>
        <v>6.4921863889529998</v>
      </c>
      <c r="CL108" s="42">
        <f t="shared" si="281"/>
        <v>-5.2978818674935031</v>
      </c>
      <c r="CM108" s="42"/>
      <c r="CN108" s="798">
        <f>SUM(CN104:CN107)</f>
        <v>165.74199999999996</v>
      </c>
      <c r="CO108" s="869">
        <f t="shared" si="282"/>
        <v>6.6928335776385959</v>
      </c>
      <c r="CP108" s="42">
        <f t="shared" si="283"/>
        <v>-0.80200141248010226</v>
      </c>
      <c r="CQ108" s="42"/>
      <c r="CR108" s="798">
        <f>SUM(CR104:CR107)</f>
        <v>143.60000000000005</v>
      </c>
      <c r="CS108" s="869">
        <f t="shared" si="284"/>
        <v>6.2916807418925638</v>
      </c>
      <c r="CT108" s="42">
        <f t="shared" si="285"/>
        <v>-13.359317493453627</v>
      </c>
      <c r="CU108" s="42"/>
      <c r="CV108" s="798">
        <f>SUM(CV104:CV107)</f>
        <v>142.35255509623718</v>
      </c>
      <c r="CW108" s="869">
        <f t="shared" si="286"/>
        <v>6.514386521578154</v>
      </c>
      <c r="CX108" s="42">
        <f t="shared" si="287"/>
        <v>-0.86869422267609187</v>
      </c>
      <c r="CY108" s="42"/>
      <c r="CZ108" s="42"/>
      <c r="DA108" s="42"/>
    </row>
    <row r="109" spans="1:105" hidden="1" outlineLevel="1">
      <c r="A109" s="26" t="str">
        <f>$A$15</f>
        <v>6 Mos</v>
      </c>
      <c r="D109" s="794">
        <f>SUM(D104:D105)</f>
        <v>4.9190199999999997</v>
      </c>
      <c r="E109" s="869">
        <f t="shared" si="239"/>
        <v>16.45042257749952</v>
      </c>
      <c r="H109" s="794">
        <f>SUM(H104:H105)</f>
        <v>1.5150410000000005</v>
      </c>
      <c r="I109" s="869">
        <f t="shared" si="240"/>
        <v>5.0188242223434676</v>
      </c>
      <c r="J109" s="42">
        <f t="shared" si="241"/>
        <v>-69.200348849974176</v>
      </c>
      <c r="L109" s="794">
        <f>SUM(L104:L105)</f>
        <v>3.3683659999999982</v>
      </c>
      <c r="M109" s="869">
        <f t="shared" si="242"/>
        <v>10.092228087975368</v>
      </c>
      <c r="N109" s="42">
        <f t="shared" si="243"/>
        <v>122.32837263149956</v>
      </c>
      <c r="P109" s="794">
        <f>SUM(P104:P105)</f>
        <v>3.2830119999999976</v>
      </c>
      <c r="Q109" s="869">
        <f t="shared" si="244"/>
        <v>8.4612902283846658</v>
      </c>
      <c r="R109" s="42">
        <f t="shared" si="245"/>
        <v>-2.5339882898711363</v>
      </c>
      <c r="T109" s="794">
        <f>SUM(T104:T105)</f>
        <v>8.4015869999999975</v>
      </c>
      <c r="U109" s="869">
        <f t="shared" si="246"/>
        <v>15.77630977317388</v>
      </c>
      <c r="V109" s="42">
        <f t="shared" si="247"/>
        <v>155.91094397461856</v>
      </c>
      <c r="X109" s="794">
        <f>SUM(X104:X105)</f>
        <v>13.166119000000004</v>
      </c>
      <c r="Y109" s="869">
        <f t="shared" si="248"/>
        <v>17.987416955130808</v>
      </c>
      <c r="Z109" s="42">
        <f t="shared" si="249"/>
        <v>56.709904926295572</v>
      </c>
      <c r="AB109" s="794">
        <f>SUM(AB104:AB105)</f>
        <v>23.956348000000006</v>
      </c>
      <c r="AC109" s="869">
        <f t="shared" si="250"/>
        <v>20.417725457855905</v>
      </c>
      <c r="AD109" s="42">
        <f t="shared" si="251"/>
        <v>81.954515221987577</v>
      </c>
      <c r="AF109" s="794">
        <f>SUM(AF104:AF105)</f>
        <v>37.853740999999999</v>
      </c>
      <c r="AG109" s="869">
        <f t="shared" si="252"/>
        <v>20.716209363732688</v>
      </c>
      <c r="AH109" s="42">
        <f t="shared" si="253"/>
        <v>58.011317083889381</v>
      </c>
      <c r="AJ109" s="794">
        <f>SUM(AJ104:AJ105)</f>
        <v>58.33357100000002</v>
      </c>
      <c r="AK109" s="869">
        <f t="shared" si="254"/>
        <v>22.829198611825493</v>
      </c>
      <c r="AL109" s="42">
        <f t="shared" si="255"/>
        <v>54.102525824330087</v>
      </c>
      <c r="AN109" s="794">
        <f>SUM(AN104:AN105)</f>
        <v>77.150959999999969</v>
      </c>
      <c r="AO109" s="869">
        <f t="shared" si="256"/>
        <v>22.531019870964535</v>
      </c>
      <c r="AP109" s="42">
        <f t="shared" si="257"/>
        <v>32.258249713531065</v>
      </c>
      <c r="AR109" s="794">
        <f>SUM(AR104:AR105)</f>
        <v>114.774</v>
      </c>
      <c r="AS109" s="869">
        <f t="shared" si="258"/>
        <v>22.436165596080993</v>
      </c>
      <c r="AT109" s="42">
        <f t="shared" si="259"/>
        <v>48.765485225329726</v>
      </c>
      <c r="AV109" s="794">
        <f>SUM(AV104:AV105)</f>
        <v>152.87400000000002</v>
      </c>
      <c r="AW109" s="869">
        <f t="shared" si="260"/>
        <v>22.810886627473216</v>
      </c>
      <c r="AX109" s="42">
        <f t="shared" si="261"/>
        <v>33.195671493543855</v>
      </c>
      <c r="AY109" s="42"/>
      <c r="AZ109" s="794">
        <f>SUM(AZ104:AZ105)</f>
        <v>169.452</v>
      </c>
      <c r="BA109" s="869">
        <f t="shared" si="262"/>
        <v>21.339492265863385</v>
      </c>
      <c r="BB109" s="42">
        <f t="shared" si="263"/>
        <v>10.844224655598712</v>
      </c>
      <c r="BC109" s="42"/>
      <c r="BD109" s="794">
        <f>SUM(BD104:BD105)</f>
        <v>137.33599999999998</v>
      </c>
      <c r="BE109" s="869">
        <f t="shared" si="264"/>
        <v>15.446336084002441</v>
      </c>
      <c r="BF109" s="42">
        <f t="shared" si="265"/>
        <v>-18.952859806906975</v>
      </c>
      <c r="BG109" s="42"/>
      <c r="BH109" s="794">
        <f>SUM(BH104:BH105)</f>
        <v>28.612000000000041</v>
      </c>
      <c r="BI109" s="869">
        <f t="shared" si="266"/>
        <v>3.5116141495516637</v>
      </c>
      <c r="BJ109" s="42">
        <f t="shared" si="267"/>
        <v>-79.166423952932917</v>
      </c>
      <c r="BK109" s="42"/>
      <c r="BL109" s="794">
        <f>SUM(BL104:BL105)</f>
        <v>59.820000000000007</v>
      </c>
      <c r="BM109" s="869">
        <f t="shared" si="268"/>
        <v>7.2023868290956212</v>
      </c>
      <c r="BN109" s="42">
        <f t="shared" si="269"/>
        <v>109.07311617503117</v>
      </c>
      <c r="BO109" s="42"/>
      <c r="BP109" s="794">
        <f>SUM(BP104:BP105)</f>
        <v>103.286</v>
      </c>
      <c r="BQ109" s="868">
        <f t="shared" si="270"/>
        <v>10.906790793547543</v>
      </c>
      <c r="BR109" s="873">
        <f t="shared" si="271"/>
        <v>72.661317285188872</v>
      </c>
      <c r="BS109" s="873"/>
      <c r="BT109" s="803">
        <f>SUM(BT104:BT105)</f>
        <v>142.60900000000004</v>
      </c>
      <c r="BU109" s="868">
        <f t="shared" si="272"/>
        <v>13.100136229144221</v>
      </c>
      <c r="BV109" s="873">
        <f t="shared" si="273"/>
        <v>38.071955540925238</v>
      </c>
      <c r="BW109" s="42"/>
      <c r="BX109" s="794">
        <f>SUM(BX104:BX105)</f>
        <v>172.54000000000002</v>
      </c>
      <c r="BY109" s="869">
        <f t="shared" si="274"/>
        <v>13.348920226004788</v>
      </c>
      <c r="BZ109" s="42">
        <f t="shared" si="275"/>
        <v>20.98815642771492</v>
      </c>
      <c r="CA109" s="42"/>
      <c r="CB109" s="794">
        <f>SUM(CB104:CB105)</f>
        <v>151.21000000000006</v>
      </c>
      <c r="CC109" s="869">
        <f t="shared" si="276"/>
        <v>11.453350754606229</v>
      </c>
      <c r="CD109" s="42">
        <f t="shared" si="277"/>
        <v>-12.362350759244201</v>
      </c>
      <c r="CE109" s="42"/>
      <c r="CF109" s="794">
        <f>SUM(CF104:CF105)</f>
        <v>114.32400000000007</v>
      </c>
      <c r="CG109" s="869">
        <f t="shared" si="278"/>
        <v>8.7384228738101886</v>
      </c>
      <c r="CH109" s="42">
        <f t="shared" si="279"/>
        <v>-24.393889293036164</v>
      </c>
      <c r="CI109" s="42"/>
      <c r="CJ109" s="794">
        <f>SUM(CJ104:CJ105)</f>
        <v>131.75599999999991</v>
      </c>
      <c r="CK109" s="869">
        <f t="shared" si="280"/>
        <v>9.8916584271214987</v>
      </c>
      <c r="CL109" s="42">
        <f t="shared" si="281"/>
        <v>15.247891956194536</v>
      </c>
      <c r="CM109" s="42"/>
      <c r="CN109" s="794">
        <f>SUM(CN104:CN105)</f>
        <v>107.42999999999992</v>
      </c>
      <c r="CO109" s="869">
        <f t="shared" si="282"/>
        <v>8.4014423922878425</v>
      </c>
      <c r="CP109" s="42">
        <f t="shared" si="283"/>
        <v>-18.462916299826958</v>
      </c>
      <c r="CQ109" s="42"/>
      <c r="CR109" s="794">
        <f>SUM(CR104:CR105)</f>
        <v>89.434999999999974</v>
      </c>
      <c r="CS109" s="869">
        <f t="shared" si="284"/>
        <v>7.6945975639868545</v>
      </c>
      <c r="CT109" s="42">
        <f t="shared" si="285"/>
        <v>-16.750442148375654</v>
      </c>
      <c r="CU109" s="42"/>
      <c r="CV109" s="794">
        <f>SUM(CV104:CV105)</f>
        <v>84.5610292618491</v>
      </c>
      <c r="CW109" s="869">
        <f t="shared" si="286"/>
        <v>7.6488988817593517</v>
      </c>
      <c r="CX109" s="42">
        <f t="shared" si="287"/>
        <v>-5.4497352693586132</v>
      </c>
      <c r="CY109" s="42"/>
      <c r="CZ109" s="42"/>
      <c r="DA109" s="42"/>
    </row>
    <row r="110" spans="1:105" hidden="1" outlineLevel="1">
      <c r="A110" s="26" t="str">
        <f>$A$16</f>
        <v>9 Mos</v>
      </c>
      <c r="D110" s="794">
        <f>SUM(D104:D106)</f>
        <v>6.8742849999999995</v>
      </c>
      <c r="E110" s="869">
        <f t="shared" si="239"/>
        <v>15.216049987322327</v>
      </c>
      <c r="H110" s="794">
        <f>SUM(H104:H106)</f>
        <v>2.4416839999999995</v>
      </c>
      <c r="I110" s="869">
        <f t="shared" si="240"/>
        <v>5.3715030141177698</v>
      </c>
      <c r="J110" s="42">
        <f t="shared" si="241"/>
        <v>-64.480902377483631</v>
      </c>
      <c r="L110" s="794">
        <f>SUM(L104:L106)</f>
        <v>4.4613299999999967</v>
      </c>
      <c r="M110" s="869">
        <f t="shared" si="242"/>
        <v>9.0856376225347653</v>
      </c>
      <c r="N110" s="42">
        <f t="shared" si="243"/>
        <v>82.715289939238559</v>
      </c>
      <c r="P110" s="794">
        <f>SUM(P104:P106)</f>
        <v>4.8765439999999955</v>
      </c>
      <c r="Q110" s="869">
        <f t="shared" si="244"/>
        <v>8.448072799157428</v>
      </c>
      <c r="R110" s="42">
        <f t="shared" si="245"/>
        <v>9.3069555491299472</v>
      </c>
      <c r="T110" s="794">
        <f>SUM(T104:T106)</f>
        <v>12.354029000000001</v>
      </c>
      <c r="U110" s="869">
        <f t="shared" si="246"/>
        <v>15.440876548781961</v>
      </c>
      <c r="V110" s="42">
        <f t="shared" si="247"/>
        <v>153.33574351015824</v>
      </c>
      <c r="X110" s="794">
        <f>SUM(X104:X106)</f>
        <v>19.744428000000003</v>
      </c>
      <c r="Y110" s="869">
        <f t="shared" si="248"/>
        <v>17.441262385057364</v>
      </c>
      <c r="Z110" s="42">
        <f t="shared" si="249"/>
        <v>59.821771504664611</v>
      </c>
      <c r="AB110" s="794">
        <f>SUM(AB104:AB106)</f>
        <v>36.569443999999997</v>
      </c>
      <c r="AC110" s="869">
        <f t="shared" si="250"/>
        <v>19.627055269592113</v>
      </c>
      <c r="AD110" s="42">
        <f t="shared" si="251"/>
        <v>85.213995563710384</v>
      </c>
      <c r="AF110" s="794">
        <f>SUM(AF104:AF106)</f>
        <v>52.208400999999995</v>
      </c>
      <c r="AG110" s="869">
        <f t="shared" si="252"/>
        <v>18.868004465417517</v>
      </c>
      <c r="AH110" s="42">
        <f t="shared" si="253"/>
        <v>42.765093721413969</v>
      </c>
      <c r="AJ110" s="794">
        <f>SUM(AJ104:AJ106)</f>
        <v>83.403250000000014</v>
      </c>
      <c r="AK110" s="869">
        <f t="shared" si="254"/>
        <v>21.233940361129985</v>
      </c>
      <c r="AL110" s="42">
        <f t="shared" si="255"/>
        <v>59.750630937729788</v>
      </c>
      <c r="AN110" s="794">
        <f>SUM(AN104:AN106)</f>
        <v>120.31095999999997</v>
      </c>
      <c r="AO110" s="869">
        <f t="shared" si="256"/>
        <v>21.756441186603361</v>
      </c>
      <c r="AP110" s="42">
        <f t="shared" si="257"/>
        <v>44.252124467571655</v>
      </c>
      <c r="AR110" s="794">
        <f>SUM(AR104:AR106)</f>
        <v>174.57600000000005</v>
      </c>
      <c r="AS110" s="869">
        <f t="shared" si="258"/>
        <v>22.343411435102414</v>
      </c>
      <c r="AT110" s="42">
        <f t="shared" si="259"/>
        <v>45.103987201166127</v>
      </c>
      <c r="AV110" s="794">
        <f>SUM(AV104:AV106)</f>
        <v>237.33500000000004</v>
      </c>
      <c r="AW110" s="869">
        <f t="shared" si="260"/>
        <v>23.068100637122214</v>
      </c>
      <c r="AX110" s="42">
        <f t="shared" si="261"/>
        <v>35.949385940793668</v>
      </c>
      <c r="AY110" s="42"/>
      <c r="AZ110" s="794">
        <f>SUM(AZ104:AZ106)</f>
        <v>237.14699999999996</v>
      </c>
      <c r="BA110" s="869">
        <f t="shared" si="262"/>
        <v>19.823438346362433</v>
      </c>
      <c r="BB110" s="42">
        <f t="shared" si="263"/>
        <v>-7.9212926875549261E-2</v>
      </c>
      <c r="BC110" s="42"/>
      <c r="BD110" s="794">
        <f>SUM(BD104:BD106)</f>
        <v>163.87599999999998</v>
      </c>
      <c r="BE110" s="869">
        <f t="shared" si="264"/>
        <v>12.557259220094554</v>
      </c>
      <c r="BF110" s="42">
        <f t="shared" si="265"/>
        <v>-30.896869873960032</v>
      </c>
      <c r="BG110" s="42"/>
      <c r="BH110" s="794">
        <f>SUM(BH104:BH106)</f>
        <v>29.307000000000031</v>
      </c>
      <c r="BI110" s="869">
        <f t="shared" si="266"/>
        <v>2.4240193544384963</v>
      </c>
      <c r="BJ110" s="42">
        <f t="shared" si="267"/>
        <v>-82.116356269374378</v>
      </c>
      <c r="BK110" s="42"/>
      <c r="BL110" s="794">
        <f>SUM(BL104:BL106)</f>
        <v>96.465000000000046</v>
      </c>
      <c r="BM110" s="869">
        <f t="shared" si="268"/>
        <v>7.5515433048305951</v>
      </c>
      <c r="BN110" s="42">
        <f t="shared" si="269"/>
        <v>229.15344456955657</v>
      </c>
      <c r="BO110" s="42"/>
      <c r="BP110" s="794">
        <f>SUM(BP104:BP106)</f>
        <v>147.93</v>
      </c>
      <c r="BQ110" s="868">
        <f t="shared" si="270"/>
        <v>10.344682904315356</v>
      </c>
      <c r="BR110" s="873">
        <f t="shared" si="271"/>
        <v>53.350956305395684</v>
      </c>
      <c r="BS110" s="873"/>
      <c r="BT110" s="803">
        <f>SUM(BT104:BT106)</f>
        <v>190.16100000000009</v>
      </c>
      <c r="BU110" s="868">
        <f t="shared" si="272"/>
        <v>11.686731364536715</v>
      </c>
      <c r="BV110" s="873">
        <f t="shared" si="273"/>
        <v>28.547961873859308</v>
      </c>
      <c r="BW110" s="42"/>
      <c r="BX110" s="794">
        <f>SUM(BX104:BX106)</f>
        <v>239.39699999999993</v>
      </c>
      <c r="BY110" s="869">
        <f t="shared" si="274"/>
        <v>12.409107590488095</v>
      </c>
      <c r="BZ110" s="42">
        <f t="shared" si="275"/>
        <v>25.891744363986223</v>
      </c>
      <c r="CA110" s="42"/>
      <c r="CB110" s="794">
        <f>SUM(CB104:CB106)</f>
        <v>206.79699999999997</v>
      </c>
      <c r="CC110" s="869">
        <f t="shared" si="276"/>
        <v>10.466473395134335</v>
      </c>
      <c r="CD110" s="42">
        <f t="shared" si="277"/>
        <v>-13.617547421229158</v>
      </c>
      <c r="CE110" s="42"/>
      <c r="CF110" s="794">
        <f>SUM(CF104:CF106)</f>
        <v>160.53100000000006</v>
      </c>
      <c r="CG110" s="869">
        <f t="shared" si="278"/>
        <v>8.2163812729297714</v>
      </c>
      <c r="CH110" s="42">
        <f t="shared" si="279"/>
        <v>-22.372664980633139</v>
      </c>
      <c r="CI110" s="42"/>
      <c r="CJ110" s="794">
        <f>SUM(CJ104:CJ106)</f>
        <v>159.83699999999993</v>
      </c>
      <c r="CK110" s="869">
        <f t="shared" si="280"/>
        <v>8.1602531441355204</v>
      </c>
      <c r="CL110" s="42">
        <f t="shared" si="281"/>
        <v>-0.43231525375169166</v>
      </c>
      <c r="CM110" s="42"/>
      <c r="CN110" s="794">
        <f>SUM(CN104:CN106)</f>
        <v>144.83399999999997</v>
      </c>
      <c r="CO110" s="869">
        <f t="shared" si="282"/>
        <v>7.7219224992682411</v>
      </c>
      <c r="CP110" s="42">
        <f t="shared" si="283"/>
        <v>-9.3864374331349865</v>
      </c>
      <c r="CQ110" s="42"/>
      <c r="CR110" s="794">
        <f>SUM(CR104:CR106)</f>
        <v>114.32500000000002</v>
      </c>
      <c r="CS110" s="869">
        <f t="shared" si="284"/>
        <v>6.7464457605234536</v>
      </c>
      <c r="CT110" s="42">
        <f t="shared" si="285"/>
        <v>-21.064805225292382</v>
      </c>
      <c r="CU110" s="42"/>
      <c r="CV110" s="794">
        <f>SUM(CV104:CV106)</f>
        <v>111.32152219306019</v>
      </c>
      <c r="CW110" s="869">
        <f t="shared" si="286"/>
        <v>6.8052584332795121</v>
      </c>
      <c r="CX110" s="42">
        <f t="shared" si="287"/>
        <v>-2.6271400016967705</v>
      </c>
      <c r="CY110" s="42"/>
      <c r="CZ110" s="42"/>
      <c r="DA110" s="42"/>
    </row>
    <row r="111" spans="1:105" collapsed="1">
      <c r="AS111" s="870">
        <f>AS107-AO107</f>
        <v>-0.93271506829404416</v>
      </c>
      <c r="BD111" s="890"/>
      <c r="BQ111" s="137"/>
      <c r="BR111" s="137"/>
      <c r="BS111" s="137"/>
      <c r="BT111" s="137"/>
      <c r="BU111" s="137"/>
      <c r="BV111" s="137"/>
    </row>
    <row r="112" spans="1:105">
      <c r="C112" s="837"/>
      <c r="D112" s="838"/>
      <c r="H112" s="839"/>
      <c r="I112" s="840"/>
      <c r="J112" s="840"/>
      <c r="K112" s="840"/>
      <c r="L112" s="839"/>
      <c r="M112" s="840"/>
      <c r="N112" s="840"/>
      <c r="O112" s="840"/>
      <c r="P112" s="839"/>
      <c r="Q112" s="840"/>
      <c r="R112" s="840"/>
      <c r="S112" s="840"/>
      <c r="T112" s="839"/>
      <c r="U112" s="840"/>
      <c r="V112" s="840"/>
      <c r="W112" s="840"/>
      <c r="Y112" s="840"/>
      <c r="Z112" s="840"/>
      <c r="AA112" s="840"/>
      <c r="AC112" s="840"/>
      <c r="AD112" s="840"/>
      <c r="AE112" s="840"/>
      <c r="AF112" s="839"/>
      <c r="AG112" s="840"/>
      <c r="AH112" s="840"/>
      <c r="AI112" s="840"/>
      <c r="AK112" s="840"/>
      <c r="AL112" s="840"/>
      <c r="AM112" s="840"/>
      <c r="AN112" s="839"/>
      <c r="AO112" s="840"/>
      <c r="AP112" s="840"/>
      <c r="AQ112" s="840"/>
      <c r="AR112" s="839"/>
      <c r="AS112" s="840"/>
      <c r="AT112" s="840"/>
      <c r="AU112" s="840"/>
      <c r="AV112" s="839" t="s">
        <v>548</v>
      </c>
      <c r="AW112" s="840"/>
      <c r="AX112" s="840"/>
      <c r="AY112" s="840"/>
      <c r="AZ112" s="839"/>
      <c r="BA112" s="840"/>
      <c r="BB112" s="840"/>
      <c r="BC112" s="840"/>
      <c r="BD112" s="839"/>
      <c r="BE112" s="840"/>
      <c r="BF112" s="840"/>
      <c r="BG112" s="840"/>
      <c r="BH112" s="839"/>
      <c r="BI112" s="840"/>
      <c r="BJ112" s="840"/>
      <c r="BK112" s="840"/>
      <c r="BL112" s="839"/>
      <c r="BM112" s="840"/>
      <c r="BN112" s="840"/>
      <c r="BO112" s="840"/>
      <c r="BP112" s="839"/>
      <c r="BQ112" s="841"/>
      <c r="BR112" s="841"/>
      <c r="BS112" s="841"/>
      <c r="BU112" s="841"/>
      <c r="BV112" s="841"/>
      <c r="BW112" s="840"/>
      <c r="BX112" s="839"/>
      <c r="BY112" s="840"/>
      <c r="BZ112" s="840"/>
      <c r="CA112" s="840"/>
      <c r="CB112" s="840"/>
      <c r="CC112" s="843" t="str">
        <f>+AV112</f>
        <v>8.  Income Taxes/(Credit)   (% Tax Rate)</v>
      </c>
      <c r="CD112" s="840"/>
      <c r="CE112" s="840"/>
      <c r="CF112" s="840"/>
      <c r="CG112" s="840"/>
      <c r="CH112" s="840"/>
      <c r="CI112" s="840"/>
      <c r="CJ112" s="840"/>
      <c r="CK112" s="840"/>
      <c r="CL112" s="840"/>
      <c r="CM112" s="840"/>
      <c r="CN112" s="840"/>
      <c r="CO112" s="840"/>
      <c r="CP112" s="840"/>
      <c r="CQ112" s="840"/>
      <c r="CR112" s="840"/>
      <c r="CS112" s="840"/>
      <c r="CT112" s="840"/>
      <c r="CU112" s="840"/>
      <c r="CV112" s="840"/>
      <c r="CW112" s="840"/>
      <c r="CX112" s="840"/>
      <c r="CY112" s="840"/>
      <c r="CZ112" s="840"/>
      <c r="DA112" s="840"/>
    </row>
    <row r="113" spans="1:107">
      <c r="BH113" s="794"/>
      <c r="BQ113" s="137"/>
      <c r="BR113" s="137"/>
      <c r="BS113" s="137"/>
      <c r="BT113" s="137"/>
      <c r="BU113" s="137"/>
      <c r="BV113" s="137"/>
    </row>
    <row r="114" spans="1:107">
      <c r="A114" s="26" t="str">
        <f>$A$10</f>
        <v>1Q</v>
      </c>
      <c r="B114" s="26" t="str">
        <f>$B$10</f>
        <v>Apr</v>
      </c>
      <c r="D114" s="844">
        <v>0.873</v>
      </c>
      <c r="E114" s="869">
        <f>D114/D104*100</f>
        <v>39.523043337718754</v>
      </c>
      <c r="F114" s="45"/>
      <c r="H114" s="844">
        <v>0.13200000000000001</v>
      </c>
      <c r="I114" s="869">
        <f t="shared" ref="I114:I120" si="288">H114/H104*100</f>
        <v>41.455073064566264</v>
      </c>
      <c r="J114" s="45"/>
      <c r="L114" s="844">
        <v>0.72</v>
      </c>
      <c r="M114" s="869">
        <f t="shared" ref="M114:M120" si="289">L114/L104*100</f>
        <v>39.991823893781749</v>
      </c>
      <c r="N114" s="45"/>
      <c r="P114" s="844">
        <v>0.66900000000000004</v>
      </c>
      <c r="Q114" s="869">
        <f t="shared" ref="Q114:Q120" si="290">P114/P104*100</f>
        <v>40.024984205387412</v>
      </c>
      <c r="R114" s="45"/>
      <c r="T114" s="844">
        <v>1.552</v>
      </c>
      <c r="U114" s="869">
        <f t="shared" ref="U114:U120" si="291">T114/T104*100</f>
        <v>39.994794491954025</v>
      </c>
      <c r="V114" s="45"/>
      <c r="W114" s="45"/>
      <c r="X114" s="844">
        <v>2.585</v>
      </c>
      <c r="Y114" s="869">
        <f t="shared" ref="Y114:Y120" si="292">X114/X104*100</f>
        <v>38.006584769460275</v>
      </c>
      <c r="AB114" s="844">
        <v>4.5819999999999999</v>
      </c>
      <c r="AC114" s="869">
        <f t="shared" ref="AC114:AC120" si="293">AB114/AB104*100</f>
        <v>37.999914081381512</v>
      </c>
      <c r="AF114" s="844">
        <v>7.5860000000000003</v>
      </c>
      <c r="AG114" s="869">
        <f t="shared" ref="AG114:AG120" si="294">AF114/AF104*100</f>
        <v>37.996250261956746</v>
      </c>
      <c r="AJ114" s="844">
        <v>12.122999999999999</v>
      </c>
      <c r="AK114" s="869">
        <f t="shared" ref="AK114:AK120" si="295">AJ114/AJ104*100</f>
        <v>38.002797655431436</v>
      </c>
      <c r="AN114" s="844">
        <v>14.321999999999999</v>
      </c>
      <c r="AO114" s="869">
        <f>AN114/AN104*100</f>
        <v>38.000011780481252</v>
      </c>
      <c r="AR114" s="844">
        <v>21.858000000000001</v>
      </c>
      <c r="AS114" s="869">
        <f t="shared" ref="AS114:AS120" si="296">AR114/AR104*100</f>
        <v>37.998713558055037</v>
      </c>
      <c r="AV114" s="800">
        <v>27.722000000000001</v>
      </c>
      <c r="AW114" s="869">
        <f t="shared" ref="AW114:AW120" si="297">AV114/AV104*100</f>
        <v>37.001147860441527</v>
      </c>
      <c r="AZ114" s="800">
        <v>30.574999999999999</v>
      </c>
      <c r="BA114" s="869">
        <f t="shared" ref="BA114:BA120" si="298">AZ114/AZ104*100</f>
        <v>36.799220085212895</v>
      </c>
      <c r="BD114" s="800">
        <v>27.763999999999999</v>
      </c>
      <c r="BE114" s="869">
        <f t="shared" ref="BE114:BE120" si="299">BD114/BD104*100</f>
        <v>36.100745055716658</v>
      </c>
      <c r="BH114" s="800">
        <v>6.2</v>
      </c>
      <c r="BI114" s="869">
        <f t="shared" ref="BI114:BI120" si="300">BH114/BH104*100</f>
        <v>32.748785125713056</v>
      </c>
      <c r="BL114" s="800">
        <f>8.3+(8.1-5.1)</f>
        <v>11.3</v>
      </c>
      <c r="BM114" s="868">
        <f t="shared" ref="BM114:BM120" si="301">BL114/BL104*100</f>
        <v>36.632411579732242</v>
      </c>
      <c r="BP114" s="800">
        <v>20.100000000000001</v>
      </c>
      <c r="BQ114" s="868">
        <f t="shared" ref="BQ114:BQ120" si="302">BP114/BP104*100</f>
        <v>36.214911174372084</v>
      </c>
      <c r="BR114" s="137"/>
      <c r="BS114" s="137"/>
      <c r="BT114" s="800">
        <v>27.3</v>
      </c>
      <c r="BU114" s="868">
        <f t="shared" ref="BU114:BU120" si="303">BT114/BT104*100</f>
        <v>37.285913300008175</v>
      </c>
      <c r="BV114" s="137"/>
      <c r="BX114" s="800">
        <v>32.9</v>
      </c>
      <c r="BY114" s="868">
        <f t="shared" ref="BY114:BY120" si="304">BX114/BX104*100</f>
        <v>38.014905540470259</v>
      </c>
      <c r="CB114" s="800">
        <v>30.1</v>
      </c>
      <c r="CC114" s="868">
        <f t="shared" ref="CC114:CC120" si="305">CB114/CB104*100</f>
        <v>37.058924921819205</v>
      </c>
      <c r="CF114" s="800">
        <v>24</v>
      </c>
      <c r="CG114" s="868">
        <f t="shared" ref="CG114:CG120" si="306">CF114/CF104*100</f>
        <v>36.471946994103696</v>
      </c>
      <c r="CJ114" s="800">
        <f>CJ104*CK114/100</f>
        <v>27.165059999999976</v>
      </c>
      <c r="CK114" s="868">
        <v>38</v>
      </c>
      <c r="CN114" s="1292">
        <f>19+0.739</f>
        <v>19.739000000000001</v>
      </c>
      <c r="CO114" s="1293">
        <f t="shared" ref="CO114:CO120" si="307">CN114/CN104*100</f>
        <v>36.733972271331545</v>
      </c>
      <c r="CR114" s="1292">
        <v>20.8</v>
      </c>
      <c r="CS114" s="1293">
        <f t="shared" ref="CS114:CS120" si="308">CR114/CR104*100</f>
        <v>38.22194454142857</v>
      </c>
      <c r="CT114" s="1293"/>
      <c r="CV114" s="889">
        <f t="shared" ref="CV114:CV115" si="309">CV104*CW114/100</f>
        <v>11.234675568132097</v>
      </c>
      <c r="CW114" s="1607">
        <v>27</v>
      </c>
      <c r="CX114" s="1293"/>
      <c r="DB114" s="22"/>
    </row>
    <row r="115" spans="1:107">
      <c r="A115" s="26" t="str">
        <f>$A$11</f>
        <v>2Q</v>
      </c>
      <c r="B115" s="26" t="str">
        <f>$B$11</f>
        <v>Jul</v>
      </c>
      <c r="D115" s="854">
        <v>1.0649999999999999</v>
      </c>
      <c r="E115" s="869">
        <f>D115/D105*100</f>
        <v>39.2962539047193</v>
      </c>
      <c r="H115" s="854">
        <v>0.49299999999999999</v>
      </c>
      <c r="I115" s="869">
        <f t="shared" si="288"/>
        <v>41.199240530024454</v>
      </c>
      <c r="L115" s="854">
        <v>0.627</v>
      </c>
      <c r="M115" s="869">
        <f t="shared" si="289"/>
        <v>39.987295902163154</v>
      </c>
      <c r="P115" s="854">
        <v>0.64400000000000002</v>
      </c>
      <c r="Q115" s="869">
        <f t="shared" si="290"/>
        <v>39.961378940601548</v>
      </c>
      <c r="T115" s="854">
        <v>1.8080000000000001</v>
      </c>
      <c r="U115" s="869">
        <f t="shared" si="291"/>
        <v>39.990427070334064</v>
      </c>
      <c r="X115" s="854">
        <v>2.4180000000000001</v>
      </c>
      <c r="Y115" s="869">
        <f t="shared" si="292"/>
        <v>37.990995914003975</v>
      </c>
      <c r="AB115" s="854">
        <v>4.5209999999999999</v>
      </c>
      <c r="AC115" s="869">
        <f t="shared" si="293"/>
        <v>37.996622410392753</v>
      </c>
      <c r="AF115" s="854">
        <v>6.798</v>
      </c>
      <c r="AG115" s="869">
        <f t="shared" si="294"/>
        <v>38.001828313911211</v>
      </c>
      <c r="AJ115" s="854">
        <v>10.045</v>
      </c>
      <c r="AK115" s="869">
        <f t="shared" si="295"/>
        <v>38.001326206561963</v>
      </c>
      <c r="AN115" s="854">
        <v>14.994999999999999</v>
      </c>
      <c r="AO115" s="869">
        <f>AN115/AN105*100</f>
        <v>37.999064303134169</v>
      </c>
      <c r="AR115" s="854">
        <v>21.754999999999999</v>
      </c>
      <c r="AS115" s="869">
        <f t="shared" si="296"/>
        <v>37.999336256135258</v>
      </c>
      <c r="AV115" s="854">
        <v>28.841000000000001</v>
      </c>
      <c r="AW115" s="869">
        <f t="shared" si="297"/>
        <v>36.998409277504102</v>
      </c>
      <c r="AZ115" s="854">
        <v>31.446000000000002</v>
      </c>
      <c r="BA115" s="869">
        <f t="shared" si="298"/>
        <v>36.410161406108898</v>
      </c>
      <c r="BD115" s="854">
        <v>21.664000000000001</v>
      </c>
      <c r="BE115" s="869">
        <f t="shared" si="299"/>
        <v>35.85033675884096</v>
      </c>
      <c r="BH115" s="854">
        <v>3</v>
      </c>
      <c r="BI115" s="869">
        <f t="shared" si="300"/>
        <v>30.991735537189989</v>
      </c>
      <c r="BL115" s="854">
        <f>9.1+1.9</f>
        <v>11</v>
      </c>
      <c r="BM115" s="868">
        <f t="shared" si="301"/>
        <v>37.966382494046151</v>
      </c>
      <c r="BP115" s="855">
        <v>17.3</v>
      </c>
      <c r="BQ115" s="868">
        <f t="shared" si="302"/>
        <v>36.204587309559699</v>
      </c>
      <c r="BR115" s="137"/>
      <c r="BS115" s="137"/>
      <c r="BT115" s="854">
        <v>26</v>
      </c>
      <c r="BU115" s="868">
        <f t="shared" si="303"/>
        <v>37.468836016198068</v>
      </c>
      <c r="BV115" s="137"/>
      <c r="BX115" s="793">
        <v>32.6</v>
      </c>
      <c r="BY115" s="868">
        <f t="shared" si="304"/>
        <v>37.909180766323622</v>
      </c>
      <c r="CB115" s="793">
        <v>26.4</v>
      </c>
      <c r="CC115" s="868">
        <f t="shared" si="305"/>
        <v>37.720752128936361</v>
      </c>
      <c r="CF115" s="928">
        <v>16.600000000000001</v>
      </c>
      <c r="CG115" s="868">
        <f t="shared" si="306"/>
        <v>34.212695795548193</v>
      </c>
      <c r="CJ115" s="928">
        <f>CJ105*CK115/100</f>
        <v>22.902219999999993</v>
      </c>
      <c r="CK115" s="868">
        <v>38</v>
      </c>
      <c r="CN115" s="1292">
        <f>14.1+6.286</f>
        <v>20.385999999999999</v>
      </c>
      <c r="CO115" s="1293">
        <f t="shared" si="307"/>
        <v>37.966291088555771</v>
      </c>
      <c r="CR115" s="1292">
        <v>12.3</v>
      </c>
      <c r="CS115" s="1293">
        <f t="shared" si="308"/>
        <v>35.126799177518848</v>
      </c>
      <c r="CV115" s="889">
        <f t="shared" si="309"/>
        <v>11.59680233256716</v>
      </c>
      <c r="CW115" s="1607">
        <v>27</v>
      </c>
      <c r="DB115" s="22"/>
    </row>
    <row r="116" spans="1:107">
      <c r="A116" s="26" t="str">
        <f>$A$12</f>
        <v>3Q</v>
      </c>
      <c r="B116" s="26" t="str">
        <f>$B$12</f>
        <v>Oct</v>
      </c>
      <c r="D116" s="854">
        <v>0.77300000000000002</v>
      </c>
      <c r="E116" s="869">
        <f>D116/D106*100</f>
        <v>39.534283076718509</v>
      </c>
      <c r="H116" s="854">
        <v>0.35099999999999998</v>
      </c>
      <c r="I116" s="869">
        <f t="shared" si="288"/>
        <v>37.878665246486541</v>
      </c>
      <c r="L116" s="854">
        <v>0.437</v>
      </c>
      <c r="M116" s="869">
        <f t="shared" si="289"/>
        <v>39.983018653862395</v>
      </c>
      <c r="P116" s="854">
        <v>0.63800000000000001</v>
      </c>
      <c r="Q116" s="869">
        <f t="shared" si="290"/>
        <v>40.036848961928648</v>
      </c>
      <c r="T116" s="854">
        <v>1.581</v>
      </c>
      <c r="U116" s="869">
        <f t="shared" si="291"/>
        <v>40.00058697888543</v>
      </c>
      <c r="X116" s="854">
        <v>2.5</v>
      </c>
      <c r="Y116" s="869">
        <f t="shared" si="292"/>
        <v>38.00368757381267</v>
      </c>
      <c r="AB116" s="854">
        <v>4.7930000000000001</v>
      </c>
      <c r="AC116" s="869">
        <f t="shared" si="293"/>
        <v>38.000186472853315</v>
      </c>
      <c r="AF116" s="854">
        <v>5.4550000000000001</v>
      </c>
      <c r="AG116" s="869">
        <f t="shared" si="294"/>
        <v>38.001596694035264</v>
      </c>
      <c r="AJ116" s="854">
        <v>9.5259999999999998</v>
      </c>
      <c r="AK116" s="869">
        <f t="shared" si="295"/>
        <v>37.99809323446064</v>
      </c>
      <c r="AN116" s="854">
        <v>16.401</v>
      </c>
      <c r="AO116" s="869">
        <v>38</v>
      </c>
      <c r="AR116" s="854">
        <v>22.725000000000001</v>
      </c>
      <c r="AS116" s="869">
        <f t="shared" si="296"/>
        <v>38.000401324370401</v>
      </c>
      <c r="AV116" s="854">
        <v>31.251000000000001</v>
      </c>
      <c r="AW116" s="869">
        <f t="shared" si="297"/>
        <v>37.000509110713814</v>
      </c>
      <c r="AZ116" s="854">
        <v>24.777000000000001</v>
      </c>
      <c r="BA116" s="869">
        <f t="shared" si="298"/>
        <v>36.600930644803917</v>
      </c>
      <c r="BD116" s="854">
        <f>9.637</f>
        <v>9.6370000000000005</v>
      </c>
      <c r="BE116" s="869">
        <f t="shared" si="299"/>
        <v>36.311228334589316</v>
      </c>
      <c r="BH116" s="854">
        <v>-1.3</v>
      </c>
      <c r="BI116" s="869">
        <f t="shared" si="300"/>
        <v>-187.0503597122335</v>
      </c>
      <c r="BL116" s="854">
        <v>13.9</v>
      </c>
      <c r="BM116" s="868">
        <f t="shared" si="301"/>
        <v>37.931504980215543</v>
      </c>
      <c r="BP116" s="854">
        <v>15.8</v>
      </c>
      <c r="BQ116" s="868">
        <f t="shared" si="302"/>
        <v>35.391093987993912</v>
      </c>
      <c r="BR116" s="137"/>
      <c r="BS116" s="137"/>
      <c r="BT116" s="854">
        <f>16.1+(4.985-3.533)</f>
        <v>17.552000000000003</v>
      </c>
      <c r="BU116" s="868">
        <f t="shared" si="303"/>
        <v>36.911170928667531</v>
      </c>
      <c r="BV116" s="137"/>
      <c r="BX116" s="793">
        <v>25.2</v>
      </c>
      <c r="BY116" s="868">
        <f t="shared" si="304"/>
        <v>37.692388231598834</v>
      </c>
      <c r="CB116" s="793">
        <v>19.8</v>
      </c>
      <c r="CC116" s="868">
        <f t="shared" si="305"/>
        <v>35.619839171029255</v>
      </c>
      <c r="CF116" s="928">
        <v>15.8</v>
      </c>
      <c r="CG116" s="868">
        <f t="shared" si="306"/>
        <v>34.193953297119499</v>
      </c>
      <c r="CJ116" s="928">
        <f>CJ106*CK116/100</f>
        <v>10.389970000000011</v>
      </c>
      <c r="CK116" s="868">
        <v>37</v>
      </c>
      <c r="CN116" s="1292">
        <f>7+3.979</f>
        <v>10.978999999999999</v>
      </c>
      <c r="CO116" s="1293">
        <f t="shared" si="307"/>
        <v>29.352475671051177</v>
      </c>
      <c r="CR116" s="1661">
        <v>8.1999999999999993</v>
      </c>
      <c r="CS116" s="1630">
        <f t="shared" si="308"/>
        <v>32.944957814383223</v>
      </c>
      <c r="CV116" s="889">
        <f>CV106*CW116/100</f>
        <v>7.2253330914269966</v>
      </c>
      <c r="CW116" s="1607">
        <v>27</v>
      </c>
      <c r="DB116" s="22"/>
      <c r="DC116" s="677"/>
    </row>
    <row r="117" spans="1:107">
      <c r="A117" s="26" t="str">
        <f>$A$13</f>
        <v>4Q</v>
      </c>
      <c r="B117" s="26" t="str">
        <f>$B$13</f>
        <v>Jan</v>
      </c>
      <c r="C117" s="122"/>
      <c r="D117" s="860">
        <v>-0.436</v>
      </c>
      <c r="E117" s="869">
        <f>D117/D107*100</f>
        <v>33.316674995835392</v>
      </c>
      <c r="H117" s="860">
        <v>0.184</v>
      </c>
      <c r="I117" s="869">
        <f t="shared" si="288"/>
        <v>43.610989969472456</v>
      </c>
      <c r="L117" s="860">
        <v>-0.497</v>
      </c>
      <c r="M117" s="869">
        <f t="shared" si="289"/>
        <v>39.958931544802631</v>
      </c>
      <c r="P117" s="860">
        <v>-0.17899999999999999</v>
      </c>
      <c r="Q117" s="869">
        <f t="shared" si="290"/>
        <v>53.508226516166303</v>
      </c>
      <c r="T117" s="860">
        <v>0.90300000000000002</v>
      </c>
      <c r="U117" s="869">
        <f t="shared" si="291"/>
        <v>34.346628610247159</v>
      </c>
      <c r="X117" s="860">
        <v>1.9910000000000001</v>
      </c>
      <c r="Y117" s="869">
        <f t="shared" si="292"/>
        <v>38.001564343653243</v>
      </c>
      <c r="AB117" s="860">
        <v>3.4969999999999999</v>
      </c>
      <c r="AC117" s="869">
        <f t="shared" si="293"/>
        <v>38.001877164501416</v>
      </c>
      <c r="AF117" s="860">
        <v>6.0170000000000003</v>
      </c>
      <c r="AG117" s="869">
        <f t="shared" si="294"/>
        <v>37.998993345597611</v>
      </c>
      <c r="AJ117" s="860">
        <v>9.2230000000000008</v>
      </c>
      <c r="AK117" s="869">
        <f t="shared" si="295"/>
        <v>37.99743349439774</v>
      </c>
      <c r="AN117" s="860">
        <v>15.714</v>
      </c>
      <c r="AO117" s="869">
        <f>AN117/AN107*100</f>
        <v>38.001499359144887</v>
      </c>
      <c r="AR117" s="860">
        <v>19.158999999999999</v>
      </c>
      <c r="AS117" s="869">
        <f t="shared" si="296"/>
        <v>36.754465056496642</v>
      </c>
      <c r="AV117" s="860">
        <v>24.754000000000001</v>
      </c>
      <c r="AW117" s="869">
        <f t="shared" si="297"/>
        <v>35.764440720085524</v>
      </c>
      <c r="AZ117" s="860">
        <v>12.837999999999999</v>
      </c>
      <c r="BA117" s="869">
        <f t="shared" si="298"/>
        <v>34.530245568735062</v>
      </c>
      <c r="BD117" s="860">
        <v>-11.053000000000001</v>
      </c>
      <c r="BE117" s="869">
        <f t="shared" si="299"/>
        <v>35.033280507131579</v>
      </c>
      <c r="BH117" s="860">
        <f>-20.6+7.964</f>
        <v>-12.636000000000001</v>
      </c>
      <c r="BI117" s="869">
        <f t="shared" si="300"/>
        <v>33.713980789754558</v>
      </c>
      <c r="BL117" s="860">
        <f>8.9+0.674</f>
        <v>9.5739999999999998</v>
      </c>
      <c r="BM117" s="868">
        <f t="shared" si="301"/>
        <v>33.701774148127264</v>
      </c>
      <c r="BP117" s="860">
        <v>10.199999999999999</v>
      </c>
      <c r="BQ117" s="868">
        <f t="shared" si="302"/>
        <v>31.934877896055092</v>
      </c>
      <c r="BR117" s="137"/>
      <c r="BS117" s="137"/>
      <c r="BT117" s="860">
        <f>13.7+0.107</f>
        <v>13.806999999999999</v>
      </c>
      <c r="BU117" s="868">
        <f t="shared" si="303"/>
        <v>35.451651003954176</v>
      </c>
      <c r="BV117" s="137"/>
      <c r="BX117" s="796">
        <f>17.5+(1.836*0.34)</f>
        <v>18.12424</v>
      </c>
      <c r="BY117" s="868">
        <f t="shared" si="304"/>
        <v>35.636949939046005</v>
      </c>
      <c r="CB117" s="796">
        <f>7.7-6.2</f>
        <v>1.5</v>
      </c>
      <c r="CC117" s="868">
        <f t="shared" si="305"/>
        <v>20.402611534276531</v>
      </c>
      <c r="CF117" s="796">
        <f>4.6-0.71</f>
        <v>3.8899999999999997</v>
      </c>
      <c r="CG117" s="868">
        <f t="shared" si="306"/>
        <v>24.468486602088269</v>
      </c>
      <c r="CJ117" s="796">
        <f>6.2-3.83-1.3</f>
        <v>1.07</v>
      </c>
      <c r="CK117" s="868">
        <f>CJ117/CJ107*100</f>
        <v>14.768806073153806</v>
      </c>
      <c r="CN117" s="796">
        <v>7.4</v>
      </c>
      <c r="CO117" s="1293">
        <f t="shared" si="307"/>
        <v>35.393150947005957</v>
      </c>
      <c r="CR117" s="1649">
        <v>1.3</v>
      </c>
      <c r="CS117" s="1630">
        <f t="shared" si="308"/>
        <v>4.440649017933386</v>
      </c>
      <c r="CV117" s="797">
        <f>CV107*CW117/100</f>
        <v>8.3783788838577848</v>
      </c>
      <c r="CW117" s="1607">
        <v>27</v>
      </c>
      <c r="CY117" s="869"/>
      <c r="CZ117" s="869"/>
      <c r="DB117" s="22"/>
    </row>
    <row r="118" spans="1:107">
      <c r="B118" s="26" t="str">
        <f>$B$14</f>
        <v>Year</v>
      </c>
      <c r="D118" s="798">
        <f>SUM(D114:D117)</f>
        <v>2.2749999999999999</v>
      </c>
      <c r="E118" s="869">
        <f>D118/D$10*100</f>
        <v>16.341524208082554</v>
      </c>
      <c r="H118" s="798">
        <f>SUM(H114:H117)</f>
        <v>1.1599999999999999</v>
      </c>
      <c r="I118" s="869">
        <f t="shared" si="288"/>
        <v>40.508507484994418</v>
      </c>
      <c r="L118" s="798">
        <f>SUM(L114:L117)</f>
        <v>1.2869999999999999</v>
      </c>
      <c r="M118" s="869">
        <f t="shared" si="289"/>
        <v>39.999341114194593</v>
      </c>
      <c r="P118" s="798">
        <f>SUM(P114:P117)</f>
        <v>1.772</v>
      </c>
      <c r="Q118" s="869">
        <f t="shared" si="290"/>
        <v>39.013512942270594</v>
      </c>
      <c r="T118" s="798">
        <f>SUM(T114:T117)</f>
        <v>5.8440000000000012</v>
      </c>
      <c r="U118" s="869">
        <f t="shared" si="291"/>
        <v>39.003923618517604</v>
      </c>
      <c r="X118" s="798">
        <f>SUM(X114:X117)</f>
        <v>9.4939999999999998</v>
      </c>
      <c r="Y118" s="869">
        <f t="shared" si="292"/>
        <v>38.000797800612759</v>
      </c>
      <c r="AB118" s="798">
        <f>SUM(AB114:AB117)</f>
        <v>17.393000000000001</v>
      </c>
      <c r="AC118" s="869">
        <f t="shared" si="293"/>
        <v>37.999528135566798</v>
      </c>
      <c r="AF118" s="798">
        <f>SUM(AF114:AF117)</f>
        <v>25.855999999999998</v>
      </c>
      <c r="AG118" s="869">
        <f t="shared" si="294"/>
        <v>37.999483003630459</v>
      </c>
      <c r="AJ118" s="798">
        <f>SUM(AJ114:AJ117)</f>
        <v>40.917000000000002</v>
      </c>
      <c r="AK118" s="869">
        <f t="shared" si="295"/>
        <v>38.00013191433235</v>
      </c>
      <c r="AN118" s="798">
        <f>SUM(AN114:AN117)</f>
        <v>61.432000000000002</v>
      </c>
      <c r="AO118" s="869">
        <f>AN118/AN108*100</f>
        <v>38.000281575207936</v>
      </c>
      <c r="AR118" s="798">
        <f>SUM(AR114:AR117)</f>
        <v>85.496999999999986</v>
      </c>
      <c r="AS118" s="869">
        <f>AR118/AR108*100</f>
        <v>37.713219498639177</v>
      </c>
      <c r="AV118" s="798">
        <f>SUM(AV114:AV117)</f>
        <v>112.56800000000001</v>
      </c>
      <c r="AW118" s="869">
        <f t="shared" si="297"/>
        <v>36.721046227519906</v>
      </c>
      <c r="AZ118" s="798">
        <f>SUM(AZ114:AZ117)</f>
        <v>99.635999999999996</v>
      </c>
      <c r="BA118" s="869">
        <f t="shared" si="298"/>
        <v>36.320290457339091</v>
      </c>
      <c r="BD118" s="798">
        <f>SUM(BD114:BD117)</f>
        <v>48.012</v>
      </c>
      <c r="BE118" s="869">
        <f t="shared" si="299"/>
        <v>36.283118963771287</v>
      </c>
      <c r="BH118" s="798">
        <f>SUM(BH114:BH117)</f>
        <v>-4.7360000000000015</v>
      </c>
      <c r="BI118" s="869">
        <f t="shared" si="300"/>
        <v>57.946898323749338</v>
      </c>
      <c r="BL118" s="798">
        <f>SUM(BL114:BL117)</f>
        <v>45.774000000000001</v>
      </c>
      <c r="BM118" s="869">
        <f t="shared" si="301"/>
        <v>36.656442946033152</v>
      </c>
      <c r="BP118" s="798">
        <f>SUM(BP114:BP117)</f>
        <v>63.400000000000006</v>
      </c>
      <c r="BQ118" s="868">
        <f t="shared" si="302"/>
        <v>35.247678879190531</v>
      </c>
      <c r="BR118" s="137"/>
      <c r="BS118" s="137"/>
      <c r="BT118" s="805">
        <f>SUM(BT114:BT117)</f>
        <v>84.659000000000006</v>
      </c>
      <c r="BU118" s="868">
        <f t="shared" si="303"/>
        <v>36.951729977696004</v>
      </c>
      <c r="BV118" s="137"/>
      <c r="BX118" s="798">
        <f>SUM(BX114:BX117)</f>
        <v>108.82424</v>
      </c>
      <c r="BY118" s="869">
        <f t="shared" si="304"/>
        <v>37.492632340528168</v>
      </c>
      <c r="CB118" s="798">
        <f>SUM(CB114:CB117)</f>
        <v>77.8</v>
      </c>
      <c r="CC118" s="869">
        <f t="shared" si="305"/>
        <v>36.329845107845486</v>
      </c>
      <c r="CF118" s="798">
        <f>SUM(CF114:CF117)</f>
        <v>60.290000000000006</v>
      </c>
      <c r="CG118" s="869">
        <f t="shared" si="306"/>
        <v>34.172386625781463</v>
      </c>
      <c r="CJ118" s="798">
        <f>SUM(CJ114:CJ117)</f>
        <v>61.527249999999981</v>
      </c>
      <c r="CK118" s="869">
        <f>CJ118/CJ108*100</f>
        <v>36.824583138818063</v>
      </c>
      <c r="CN118" s="798">
        <f>SUM(CN114:CN117)</f>
        <v>58.503999999999998</v>
      </c>
      <c r="CO118" s="869">
        <f t="shared" si="307"/>
        <v>35.29823460559183</v>
      </c>
      <c r="CR118" s="798">
        <f>SUM(CR114:CR117)</f>
        <v>42.599999999999994</v>
      </c>
      <c r="CS118" s="869">
        <f t="shared" si="308"/>
        <v>29.665738161559872</v>
      </c>
      <c r="CV118" s="798">
        <f>SUM(CV114:CV117)</f>
        <v>38.435189875984037</v>
      </c>
      <c r="CW118" s="869">
        <f>CV118/CV108*100</f>
        <v>26.999999999999996</v>
      </c>
    </row>
    <row r="119" spans="1:107" outlineLevel="1">
      <c r="A119" s="26" t="str">
        <f>$A$15</f>
        <v>6 Mos</v>
      </c>
      <c r="D119" s="794">
        <f>SUM(D114:D115)</f>
        <v>1.9379999999999999</v>
      </c>
      <c r="E119" s="869">
        <f>D119/D$10*100</f>
        <v>13.920823699017138</v>
      </c>
      <c r="H119" s="794">
        <f>SUM(H114:H115)</f>
        <v>0.625</v>
      </c>
      <c r="I119" s="869">
        <f t="shared" si="288"/>
        <v>41.253008994476041</v>
      </c>
      <c r="L119" s="794">
        <f>SUM(L114:L115)</f>
        <v>1.347</v>
      </c>
      <c r="M119" s="869">
        <f t="shared" si="289"/>
        <v>39.989716081922232</v>
      </c>
      <c r="P119" s="794">
        <f>SUM(P114:P115)</f>
        <v>1.3130000000000002</v>
      </c>
      <c r="Q119" s="869">
        <f t="shared" si="290"/>
        <v>39.993761826030521</v>
      </c>
      <c r="T119" s="794">
        <f>SUM(T114:T115)</f>
        <v>3.3600000000000003</v>
      </c>
      <c r="U119" s="869">
        <f t="shared" si="291"/>
        <v>39.992444284633386</v>
      </c>
      <c r="X119" s="794">
        <f>SUM(X114:X115)</f>
        <v>5.0030000000000001</v>
      </c>
      <c r="Y119" s="869">
        <f t="shared" si="292"/>
        <v>37.999048922465292</v>
      </c>
      <c r="AB119" s="794">
        <f>SUM(AB114:AB115)</f>
        <v>9.1029999999999998</v>
      </c>
      <c r="AC119" s="869">
        <f t="shared" si="293"/>
        <v>37.998279203491272</v>
      </c>
      <c r="AF119" s="794">
        <f>SUM(AF114:AF115)</f>
        <v>14.384</v>
      </c>
      <c r="AG119" s="869">
        <f t="shared" si="294"/>
        <v>37.998886292374642</v>
      </c>
      <c r="AJ119" s="794">
        <f>SUM(AJ114:AJ115)</f>
        <v>22.167999999999999</v>
      </c>
      <c r="AK119" s="869">
        <f t="shared" si="295"/>
        <v>38.002130882746734</v>
      </c>
      <c r="AN119" s="794">
        <f>SUM(AN114:AN115)</f>
        <v>29.317</v>
      </c>
      <c r="AO119" s="869">
        <f>AN119/AN109*100</f>
        <v>37.999527160776758</v>
      </c>
      <c r="AR119" s="794">
        <f>SUM(AR114:AR115)</f>
        <v>43.613</v>
      </c>
      <c r="AS119" s="869">
        <f t="shared" si="296"/>
        <v>37.999024169236932</v>
      </c>
      <c r="AV119" s="794">
        <f>SUM(AV114:AV115)</f>
        <v>56.563000000000002</v>
      </c>
      <c r="AW119" s="869">
        <f t="shared" si="297"/>
        <v>36.999751429281623</v>
      </c>
      <c r="AZ119" s="794">
        <f>SUM(AZ114:AZ115)</f>
        <v>62.021000000000001</v>
      </c>
      <c r="BA119" s="869">
        <f t="shared" si="298"/>
        <v>36.600925335788311</v>
      </c>
      <c r="BD119" s="794">
        <f>SUM(BD114:BD115)</f>
        <v>49.427999999999997</v>
      </c>
      <c r="BE119" s="869">
        <f t="shared" si="299"/>
        <v>35.990563290033208</v>
      </c>
      <c r="BH119" s="794">
        <f>SUM(BH114:BH115)</f>
        <v>9.1999999999999993</v>
      </c>
      <c r="BI119" s="869">
        <f t="shared" si="300"/>
        <v>32.154340836012814</v>
      </c>
      <c r="BL119" s="794">
        <f>SUM(BL114:BL115)</f>
        <v>22.3</v>
      </c>
      <c r="BM119" s="869">
        <f t="shared" si="301"/>
        <v>37.278502173186226</v>
      </c>
      <c r="BP119" s="794">
        <f>SUM(BP114:BP115)</f>
        <v>37.400000000000006</v>
      </c>
      <c r="BQ119" s="868">
        <f t="shared" si="302"/>
        <v>36.21013496504851</v>
      </c>
      <c r="BR119" s="137"/>
      <c r="BS119" s="137"/>
      <c r="BT119" s="803">
        <f>SUM(BT114:BT115)</f>
        <v>53.3</v>
      </c>
      <c r="BU119" s="868">
        <f t="shared" si="303"/>
        <v>37.374920236450706</v>
      </c>
      <c r="BV119" s="137"/>
      <c r="BX119" s="794">
        <f>SUM(BX114:BX115)</f>
        <v>65.5</v>
      </c>
      <c r="BY119" s="869">
        <f t="shared" si="304"/>
        <v>37.962211661064096</v>
      </c>
      <c r="CB119" s="794">
        <f>SUM(CB114:CB115)</f>
        <v>56.5</v>
      </c>
      <c r="CC119" s="869">
        <f t="shared" si="305"/>
        <v>37.365253620792259</v>
      </c>
      <c r="CF119" s="794">
        <f>SUM(CF114:CF115)</f>
        <v>40.6</v>
      </c>
      <c r="CG119" s="869">
        <f t="shared" si="306"/>
        <v>35.513103110457976</v>
      </c>
      <c r="CJ119" s="794">
        <f>SUM(CJ114:CJ115)</f>
        <v>50.067279999999968</v>
      </c>
      <c r="CK119" s="869">
        <f>CJ119/CJ109*100</f>
        <v>38</v>
      </c>
      <c r="CN119" s="794">
        <f>SUM(CN114:CN115)</f>
        <v>40.125</v>
      </c>
      <c r="CO119" s="869">
        <f t="shared" si="307"/>
        <v>37.349902261938034</v>
      </c>
      <c r="CR119" s="794">
        <f>SUM(CR114:CR115)</f>
        <v>33.1</v>
      </c>
      <c r="CS119" s="869">
        <f t="shared" si="308"/>
        <v>37.01011908089675</v>
      </c>
      <c r="CV119" s="794">
        <f>SUM(CV114:CV115)</f>
        <v>22.831477900699255</v>
      </c>
      <c r="CW119" s="869">
        <f>CV119/CV109*100</f>
        <v>26.999999999999996</v>
      </c>
    </row>
    <row r="120" spans="1:107" outlineLevel="1">
      <c r="A120" s="26" t="str">
        <f>$A$16</f>
        <v>9 Mos</v>
      </c>
      <c r="D120" s="794">
        <f>SUM(D114:D116)</f>
        <v>2.7109999999999999</v>
      </c>
      <c r="E120" s="869">
        <f>D120/D$10*100</f>
        <v>19.47335038598321</v>
      </c>
      <c r="H120" s="794">
        <f>SUM(H114:H116)</f>
        <v>0.97599999999999998</v>
      </c>
      <c r="I120" s="869">
        <f t="shared" si="288"/>
        <v>39.972412482532555</v>
      </c>
      <c r="L120" s="794">
        <f>SUM(L114:L116)</f>
        <v>1.784</v>
      </c>
      <c r="M120" s="869">
        <f t="shared" si="289"/>
        <v>39.988075304897897</v>
      </c>
      <c r="P120" s="794">
        <f>SUM(P114:P116)</f>
        <v>1.9510000000000001</v>
      </c>
      <c r="Q120" s="869">
        <f t="shared" si="290"/>
        <v>40.00784161898266</v>
      </c>
      <c r="T120" s="794">
        <f>SUM(T114:T116)</f>
        <v>4.9410000000000007</v>
      </c>
      <c r="U120" s="869">
        <f t="shared" si="291"/>
        <v>39.995049388341251</v>
      </c>
      <c r="X120" s="794">
        <f>SUM(X114:X116)</f>
        <v>7.5030000000000001</v>
      </c>
      <c r="Y120" s="869">
        <f t="shared" si="292"/>
        <v>38.000594395542883</v>
      </c>
      <c r="AB120" s="794">
        <f>SUM(AB114:AB116)</f>
        <v>13.896000000000001</v>
      </c>
      <c r="AC120" s="869">
        <f t="shared" si="293"/>
        <v>37.998937036067602</v>
      </c>
      <c r="AF120" s="794">
        <f>SUM(AF114:AF116)</f>
        <v>19.838999999999999</v>
      </c>
      <c r="AG120" s="869">
        <f t="shared" si="294"/>
        <v>37.999631515242157</v>
      </c>
      <c r="AJ120" s="794">
        <f>SUM(AJ114:AJ116)</f>
        <v>31.693999999999999</v>
      </c>
      <c r="AK120" s="869">
        <f t="shared" si="295"/>
        <v>38.000917230443648</v>
      </c>
      <c r="AN120" s="794">
        <f>SUM(AN114:AN116)</f>
        <v>45.718000000000004</v>
      </c>
      <c r="AO120" s="869">
        <f>AN120/AN110*100</f>
        <v>37.999863021623312</v>
      </c>
      <c r="AR120" s="794">
        <f>SUM(AR114:AR116)</f>
        <v>66.337999999999994</v>
      </c>
      <c r="AS120" s="869">
        <f t="shared" si="296"/>
        <v>37.999495921547052</v>
      </c>
      <c r="AV120" s="794">
        <f>SUM(AV114:AV116)</f>
        <v>87.814000000000007</v>
      </c>
      <c r="AW120" s="869">
        <f t="shared" si="297"/>
        <v>37.000021067267788</v>
      </c>
      <c r="AZ120" s="794">
        <f>SUM(AZ114:AZ116)</f>
        <v>86.798000000000002</v>
      </c>
      <c r="BA120" s="869">
        <f t="shared" si="298"/>
        <v>36.600926851277904</v>
      </c>
      <c r="BD120" s="794">
        <f>SUM(BD114:BD116)</f>
        <v>59.064999999999998</v>
      </c>
      <c r="BE120" s="869">
        <f t="shared" si="299"/>
        <v>36.042495545412393</v>
      </c>
      <c r="BH120" s="794">
        <f>SUM(BH114:BH116)</f>
        <v>7.8999999999999995</v>
      </c>
      <c r="BI120" s="869">
        <f t="shared" si="300"/>
        <v>26.956017333742761</v>
      </c>
      <c r="BL120" s="794">
        <f>SUM(BL114:BL116)</f>
        <v>36.200000000000003</v>
      </c>
      <c r="BM120" s="869">
        <f t="shared" si="301"/>
        <v>37.526564038770523</v>
      </c>
      <c r="BP120" s="794">
        <f>SUM(BP114:BP116)</f>
        <v>53.2</v>
      </c>
      <c r="BQ120" s="868">
        <f t="shared" si="302"/>
        <v>35.962955451902928</v>
      </c>
      <c r="BR120" s="137"/>
      <c r="BS120" s="137"/>
      <c r="BT120" s="803"/>
      <c r="BU120" s="868">
        <f t="shared" si="303"/>
        <v>0</v>
      </c>
      <c r="BV120" s="137"/>
      <c r="BX120" s="794">
        <f>SUM(BX114:BX116)</f>
        <v>90.7</v>
      </c>
      <c r="BY120" s="869">
        <f t="shared" si="304"/>
        <v>37.886857395873811</v>
      </c>
      <c r="CB120" s="794">
        <f>SUM(CB114:CB116)</f>
        <v>76.3</v>
      </c>
      <c r="CC120" s="869">
        <f t="shared" si="305"/>
        <v>36.89608650028773</v>
      </c>
      <c r="CF120" s="794">
        <f>SUM(CF114:CF116)</f>
        <v>56.400000000000006</v>
      </c>
      <c r="CG120" s="869">
        <f t="shared" si="306"/>
        <v>35.133401025347119</v>
      </c>
      <c r="CJ120" s="794">
        <f>SUM(CJ114:CJ116)</f>
        <v>60.457249999999981</v>
      </c>
      <c r="CK120" s="869">
        <f>CJ120/CJ110*100</f>
        <v>37.824314770672629</v>
      </c>
      <c r="CN120" s="794">
        <f>SUM(CN114:CN116)</f>
        <v>51.103999999999999</v>
      </c>
      <c r="CO120" s="869">
        <f t="shared" si="307"/>
        <v>35.284532637364158</v>
      </c>
      <c r="CR120" s="794">
        <f>SUM(CR114:CR116)</f>
        <v>41.3</v>
      </c>
      <c r="CS120" s="869">
        <f t="shared" si="308"/>
        <v>36.125082003061436</v>
      </c>
      <c r="CV120" s="794">
        <f>SUM(CV114:CV116)</f>
        <v>30.056810992126252</v>
      </c>
      <c r="CW120" s="869">
        <f>CV120/CV110*100</f>
        <v>27</v>
      </c>
    </row>
    <row r="121" spans="1:107" outlineLevel="1">
      <c r="AS121" s="870">
        <f>AS117-AO117</f>
        <v>-1.2470343026482453</v>
      </c>
      <c r="BQ121" s="137"/>
      <c r="BR121" s="137"/>
      <c r="BS121" s="137"/>
      <c r="BT121" s="137">
        <v>83.1</v>
      </c>
      <c r="BU121" s="137"/>
      <c r="BV121" s="137"/>
    </row>
    <row r="122" spans="1:107" outlineLevel="1">
      <c r="C122" s="837"/>
      <c r="D122" s="837"/>
      <c r="H122" s="923"/>
      <c r="I122" s="840"/>
      <c r="J122" s="840"/>
      <c r="K122" s="840"/>
      <c r="L122" s="923"/>
      <c r="M122" s="840"/>
      <c r="N122" s="840"/>
      <c r="O122" s="840"/>
      <c r="P122" s="923"/>
      <c r="Q122" s="840"/>
      <c r="R122" s="840"/>
      <c r="S122" s="840"/>
      <c r="T122" s="923"/>
      <c r="U122" s="840"/>
      <c r="V122" s="840"/>
      <c r="W122" s="840"/>
      <c r="Y122" s="840"/>
      <c r="Z122" s="840"/>
      <c r="AA122" s="840"/>
      <c r="AC122" s="840"/>
      <c r="AD122" s="840"/>
      <c r="AE122" s="840"/>
      <c r="AF122" s="923"/>
      <c r="AG122" s="840"/>
      <c r="AH122" s="840"/>
      <c r="AI122" s="840"/>
      <c r="AK122" s="840"/>
      <c r="AL122" s="840"/>
      <c r="AM122" s="840"/>
      <c r="AN122" s="923"/>
      <c r="AO122" s="840"/>
      <c r="AP122" s="840"/>
      <c r="AQ122" s="840"/>
      <c r="AR122" s="923"/>
      <c r="AS122" s="840"/>
      <c r="AT122" s="840"/>
      <c r="AU122" s="840"/>
      <c r="AW122" s="840"/>
      <c r="AX122" s="840"/>
      <c r="AY122" s="840"/>
      <c r="AZ122" s="923"/>
      <c r="BA122" s="840"/>
      <c r="BB122" s="840"/>
      <c r="BC122" s="840"/>
      <c r="BD122" s="923"/>
      <c r="BE122" s="840"/>
      <c r="BF122" s="840"/>
      <c r="BG122" s="840"/>
      <c r="BH122" s="923"/>
      <c r="BI122" s="840"/>
      <c r="BJ122" s="840"/>
      <c r="BK122" s="840"/>
      <c r="BL122" s="923"/>
      <c r="BM122" s="840"/>
      <c r="BN122" s="840"/>
      <c r="BO122" s="840"/>
      <c r="BP122" s="923"/>
      <c r="BQ122" s="841"/>
      <c r="BR122" s="841"/>
      <c r="BS122" s="841"/>
      <c r="BT122" s="924"/>
      <c r="BU122" s="841"/>
      <c r="BV122" s="841"/>
      <c r="BW122" s="840"/>
      <c r="BX122" s="923" t="s">
        <v>785</v>
      </c>
      <c r="BY122" s="840"/>
      <c r="BZ122" s="840"/>
      <c r="CA122" s="840"/>
      <c r="CB122" s="840"/>
      <c r="CC122" s="840"/>
      <c r="CD122" s="840"/>
      <c r="CE122" s="840"/>
      <c r="CF122" s="840"/>
      <c r="CG122" s="840"/>
      <c r="CH122" s="840"/>
      <c r="CI122" s="840"/>
      <c r="CJ122" s="840"/>
      <c r="CK122" s="840"/>
      <c r="CL122" s="840"/>
      <c r="CM122" s="840"/>
      <c r="CN122" s="840"/>
      <c r="CO122" s="840"/>
      <c r="CP122" s="840"/>
      <c r="CQ122" s="840"/>
      <c r="CR122" s="840"/>
      <c r="CS122" s="840"/>
      <c r="CT122" s="840"/>
      <c r="CU122" s="840"/>
      <c r="CV122" s="840"/>
      <c r="CW122" s="840"/>
      <c r="CX122" s="840"/>
      <c r="CY122" s="840"/>
      <c r="CZ122" s="840"/>
      <c r="DA122" s="840"/>
    </row>
    <row r="123" spans="1:107" outlineLevel="1">
      <c r="BQ123" s="137"/>
      <c r="BR123" s="137"/>
      <c r="BS123" s="137"/>
      <c r="BT123" s="137"/>
      <c r="BU123" s="137"/>
      <c r="BV123" s="137"/>
    </row>
    <row r="124" spans="1:107" outlineLevel="1">
      <c r="A124" s="26" t="str">
        <f>$A$10</f>
        <v>1Q</v>
      </c>
      <c r="B124" s="26" t="str">
        <f>$B$10</f>
        <v>Apr</v>
      </c>
      <c r="D124" s="798"/>
      <c r="E124" s="42"/>
      <c r="H124" s="798"/>
      <c r="I124" s="42"/>
      <c r="J124" s="42"/>
      <c r="L124" s="798"/>
      <c r="M124" s="42"/>
      <c r="P124" s="798"/>
      <c r="Q124" s="42"/>
      <c r="T124" s="798"/>
      <c r="U124" s="42"/>
      <c r="X124" s="798"/>
      <c r="Y124" s="42"/>
      <c r="AB124" s="798"/>
      <c r="AC124" s="42"/>
      <c r="AF124" s="798"/>
      <c r="AG124" s="42"/>
      <c r="AJ124" s="798"/>
      <c r="AK124" s="42"/>
      <c r="AN124" s="798"/>
      <c r="AO124" s="42"/>
      <c r="AR124" s="798"/>
      <c r="AS124" s="42"/>
      <c r="AV124" s="798"/>
      <c r="AW124" s="42"/>
      <c r="AZ124" s="798"/>
      <c r="BA124" s="42"/>
      <c r="BD124" s="798"/>
      <c r="BE124" s="42"/>
      <c r="BH124" s="798"/>
      <c r="BI124" s="42"/>
      <c r="BL124" s="798"/>
      <c r="BM124" s="42"/>
      <c r="BP124" s="798">
        <v>-0.223</v>
      </c>
      <c r="BQ124" s="873"/>
      <c r="BR124" s="137"/>
      <c r="BS124" s="137"/>
      <c r="BT124" s="805">
        <v>-0.53700000000000003</v>
      </c>
      <c r="BU124" s="873"/>
      <c r="BV124" s="137"/>
      <c r="BX124" s="798"/>
      <c r="BY124" s="42"/>
      <c r="CJ124" s="1292">
        <v>-1.1000000000000001</v>
      </c>
      <c r="CN124" s="1292">
        <v>-0.64600000000000002</v>
      </c>
      <c r="CR124" s="1292">
        <v>-0.74099999999999999</v>
      </c>
      <c r="CV124" s="1292"/>
    </row>
    <row r="125" spans="1:107" outlineLevel="1">
      <c r="A125" s="26" t="str">
        <f>$A$11</f>
        <v>2Q</v>
      </c>
      <c r="B125" s="26" t="str">
        <f>$B$11</f>
        <v>Jul</v>
      </c>
      <c r="D125" s="794"/>
      <c r="E125" s="42"/>
      <c r="H125" s="794"/>
      <c r="I125" s="42"/>
      <c r="J125" s="42"/>
      <c r="L125" s="794"/>
      <c r="M125" s="42"/>
      <c r="P125" s="794"/>
      <c r="Q125" s="42"/>
      <c r="T125" s="794"/>
      <c r="U125" s="42"/>
      <c r="X125" s="794"/>
      <c r="Y125" s="42"/>
      <c r="AB125" s="794"/>
      <c r="AC125" s="42"/>
      <c r="AF125" s="794"/>
      <c r="AG125" s="42"/>
      <c r="AJ125" s="794"/>
      <c r="AK125" s="42"/>
      <c r="AN125" s="794"/>
      <c r="AO125" s="42"/>
      <c r="AR125" s="794"/>
      <c r="AS125" s="42"/>
      <c r="AV125" s="794"/>
      <c r="AW125" s="42"/>
      <c r="AZ125" s="794"/>
      <c r="BA125" s="42"/>
      <c r="BD125" s="794"/>
      <c r="BE125" s="42"/>
      <c r="BH125" s="794"/>
      <c r="BI125" s="42"/>
      <c r="BL125" s="794"/>
      <c r="BM125" s="42"/>
      <c r="BP125" s="794">
        <v>-0.216</v>
      </c>
      <c r="BQ125" s="873"/>
      <c r="BR125" s="137"/>
      <c r="BS125" s="137"/>
      <c r="BT125" s="803">
        <v>-0.57299999999999995</v>
      </c>
      <c r="BU125" s="873"/>
      <c r="BV125" s="137"/>
      <c r="BX125" s="794"/>
      <c r="BY125" s="42"/>
      <c r="CJ125" s="1292">
        <v>-0.28000000000000003</v>
      </c>
      <c r="CN125" s="1292">
        <v>-0.50600000000000001</v>
      </c>
      <c r="CR125" s="1292">
        <v>-0.53700000000000003</v>
      </c>
      <c r="CV125" s="1292"/>
    </row>
    <row r="126" spans="1:107" outlineLevel="1">
      <c r="A126" s="26" t="str">
        <f>$A$12</f>
        <v>3Q</v>
      </c>
      <c r="B126" s="26" t="str">
        <f>$B$12</f>
        <v>Oct</v>
      </c>
      <c r="D126" s="794"/>
      <c r="E126" s="42"/>
      <c r="H126" s="794"/>
      <c r="I126" s="42"/>
      <c r="J126" s="42"/>
      <c r="L126" s="794"/>
      <c r="M126" s="42"/>
      <c r="P126" s="794"/>
      <c r="Q126" s="42"/>
      <c r="T126" s="794"/>
      <c r="U126" s="42"/>
      <c r="X126" s="794"/>
      <c r="Y126" s="42"/>
      <c r="AB126" s="794"/>
      <c r="AC126" s="42"/>
      <c r="AF126" s="794"/>
      <c r="AG126" s="42"/>
      <c r="AJ126" s="794"/>
      <c r="AK126" s="42"/>
      <c r="AN126" s="794"/>
      <c r="AO126" s="42"/>
      <c r="AR126" s="794"/>
      <c r="AS126" s="42"/>
      <c r="AV126" s="794"/>
      <c r="AW126" s="42"/>
      <c r="AZ126" s="794"/>
      <c r="BA126" s="42"/>
      <c r="BD126" s="794"/>
      <c r="BE126" s="42"/>
      <c r="BF126" s="890"/>
      <c r="BH126" s="794"/>
      <c r="BI126" s="42"/>
      <c r="BL126" s="794"/>
      <c r="BM126" s="42"/>
      <c r="BP126" s="794">
        <v>-0.28799999999999998</v>
      </c>
      <c r="BQ126" s="873"/>
      <c r="BR126" s="137"/>
      <c r="BS126" s="137"/>
      <c r="BT126" s="803">
        <v>-0.36199999999999999</v>
      </c>
      <c r="BU126" s="873"/>
      <c r="BV126" s="137"/>
      <c r="BX126" s="794"/>
      <c r="BY126" s="42"/>
      <c r="CJ126" s="1292"/>
      <c r="CN126" s="1292">
        <v>-0.502</v>
      </c>
      <c r="CR126" s="1292">
        <v>-0.39400000000000002</v>
      </c>
      <c r="DA126" s="890"/>
    </row>
    <row r="127" spans="1:107" outlineLevel="1">
      <c r="A127" s="26" t="str">
        <f>$A$13</f>
        <v>4Q</v>
      </c>
      <c r="B127" s="26" t="str">
        <f>$B$13</f>
        <v>Jan</v>
      </c>
      <c r="C127" s="122"/>
      <c r="D127" s="797"/>
      <c r="E127" s="42"/>
      <c r="H127" s="797"/>
      <c r="I127" s="42"/>
      <c r="J127" s="42"/>
      <c r="L127" s="797"/>
      <c r="M127" s="42"/>
      <c r="P127" s="797"/>
      <c r="Q127" s="42"/>
      <c r="T127" s="797"/>
      <c r="U127" s="42"/>
      <c r="X127" s="797"/>
      <c r="Y127" s="42"/>
      <c r="AB127" s="797"/>
      <c r="AC127" s="42"/>
      <c r="AF127" s="797"/>
      <c r="AG127" s="42"/>
      <c r="AJ127" s="797"/>
      <c r="AK127" s="42"/>
      <c r="AN127" s="797"/>
      <c r="AO127" s="42"/>
      <c r="AR127" s="797"/>
      <c r="AS127" s="42"/>
      <c r="AV127" s="797"/>
      <c r="AW127" s="42"/>
      <c r="AZ127" s="797"/>
      <c r="BA127" s="42"/>
      <c r="BD127" s="797"/>
      <c r="BE127" s="42"/>
      <c r="BH127" s="797"/>
      <c r="BI127" s="42"/>
      <c r="BL127" s="797"/>
      <c r="BM127" s="42"/>
      <c r="BP127" s="797">
        <f>+BP128-BP124-BP125-BP126</f>
        <v>-0.21600000000000003</v>
      </c>
      <c r="BQ127" s="873"/>
      <c r="BR127" s="137"/>
      <c r="BS127" s="137"/>
      <c r="BT127" s="804">
        <v>-0.36199999999999999</v>
      </c>
      <c r="BU127" s="873"/>
      <c r="BV127" s="137"/>
      <c r="BX127" s="797"/>
      <c r="BY127" s="42"/>
      <c r="CJ127"/>
      <c r="CN127" s="1292">
        <v>-0.25800000000000001</v>
      </c>
      <c r="CR127" s="1662">
        <v>-0.61699999999999999</v>
      </c>
    </row>
    <row r="128" spans="1:107" outlineLevel="1">
      <c r="B128" s="26" t="str">
        <f>$B$14</f>
        <v>Year</v>
      </c>
      <c r="D128" s="798">
        <f>SUM(D124:D127)</f>
        <v>0</v>
      </c>
      <c r="E128" s="42"/>
      <c r="H128" s="798">
        <f>SUM(H124:H127)</f>
        <v>0</v>
      </c>
      <c r="I128" s="42" t="e">
        <f>IF(D128&lt;0,"       NM",(H128/D128-1)*100)</f>
        <v>#DIV/0!</v>
      </c>
      <c r="J128" s="42"/>
      <c r="L128" s="798">
        <f>SUM(L124:L127)</f>
        <v>0</v>
      </c>
      <c r="M128" s="42" t="e">
        <f>IF(H128&lt;0,"       NM",(L128/H128-1)*100)</f>
        <v>#DIV/0!</v>
      </c>
      <c r="P128" s="798">
        <f>SUM(P124:P127)</f>
        <v>0</v>
      </c>
      <c r="Q128" s="42" t="e">
        <f>IF(L128&lt;0,"       NM",(P128/L128-1)*100)</f>
        <v>#DIV/0!</v>
      </c>
      <c r="T128" s="798">
        <f>SUM(T124:T127)</f>
        <v>0</v>
      </c>
      <c r="U128" s="42" t="e">
        <f>IF(P128&lt;0,"       NM",(T128/P128-1)*100)</f>
        <v>#DIV/0!</v>
      </c>
      <c r="X128" s="798">
        <f>SUM(X124:X127)</f>
        <v>0</v>
      </c>
      <c r="Y128" s="42" t="e">
        <f>IF(T128&lt;0,"       NM",(X128/T128-1)*100)</f>
        <v>#DIV/0!</v>
      </c>
      <c r="AB128" s="798">
        <f>SUM(AB124:AB127)</f>
        <v>0</v>
      </c>
      <c r="AC128" s="42" t="e">
        <f>IF(X128&lt;0,"       NM",(AB128/X128-1)*100)</f>
        <v>#DIV/0!</v>
      </c>
      <c r="AF128" s="798">
        <f>SUM(AF124:AF127)</f>
        <v>0</v>
      </c>
      <c r="AG128" s="42" t="e">
        <f>IF(AB128&lt;0,"       NM",(AF128/AB128-1)*100)</f>
        <v>#DIV/0!</v>
      </c>
      <c r="AJ128" s="798">
        <f>SUM(AJ124:AJ127)</f>
        <v>0</v>
      </c>
      <c r="AK128" s="42" t="e">
        <f>IF(AF128&lt;0,"       NM",(AJ128/AF128-1)*100)</f>
        <v>#DIV/0!</v>
      </c>
      <c r="AN128" s="798">
        <f>SUM(AN124:AN127)</f>
        <v>0</v>
      </c>
      <c r="AO128" s="42" t="e">
        <f>IF(AJ128&lt;0,"       NM",(AN128/AJ128-1)*100)</f>
        <v>#DIV/0!</v>
      </c>
      <c r="AR128" s="798">
        <f>SUM(AR124:AR127)</f>
        <v>0</v>
      </c>
      <c r="AS128" s="42"/>
      <c r="AV128" s="798">
        <f>SUM(AV124:AV127)</f>
        <v>0</v>
      </c>
      <c r="AW128" s="42"/>
      <c r="AZ128" s="798">
        <f>SUM(AZ124:AZ127)</f>
        <v>0</v>
      </c>
      <c r="BA128" s="42"/>
      <c r="BD128" s="798">
        <f>SUM(BD124:BD127)</f>
        <v>0</v>
      </c>
      <c r="BE128" s="42"/>
      <c r="BH128" s="798">
        <f>SUM(BH124:BH127)</f>
        <v>0</v>
      </c>
      <c r="BI128" s="42"/>
      <c r="BL128" s="798">
        <f>SUM(BL124:BL127)</f>
        <v>0</v>
      </c>
      <c r="BM128" s="42"/>
      <c r="BP128" s="798">
        <v>-0.94299999999999995</v>
      </c>
      <c r="BQ128" s="873"/>
      <c r="BR128" s="137"/>
      <c r="BS128" s="137"/>
      <c r="BT128" s="805">
        <f>SUM(BT124:BT127)</f>
        <v>-1.8340000000000001</v>
      </c>
      <c r="BU128" s="873" t="str">
        <f>IF(BP128&lt;0,"       NM",(BT128/BP128-1)*100)</f>
        <v xml:space="preserve">       NM</v>
      </c>
      <c r="BV128" s="137"/>
      <c r="BX128" s="798">
        <f>SUM(BX124:BX127)</f>
        <v>0</v>
      </c>
      <c r="BY128" s="42" t="str">
        <f>IF(BT128&lt;0,"       NM",(BX128/BT128-1)*100)</f>
        <v xml:space="preserve">       NM</v>
      </c>
      <c r="CJ128" s="798">
        <f>SUM(CJ124:CJ127)</f>
        <v>-1.3800000000000001</v>
      </c>
      <c r="CN128" s="798">
        <f>SUM(CN124:CN127)</f>
        <v>-1.9120000000000001</v>
      </c>
      <c r="CR128" s="798">
        <f>SUM(CR124:CR127)</f>
        <v>-2.2890000000000001</v>
      </c>
      <c r="CV128" s="798"/>
    </row>
    <row r="129" spans="1:106" outlineLevel="1">
      <c r="D129" s="798"/>
      <c r="E129" s="42"/>
      <c r="H129" s="798"/>
      <c r="I129" s="42"/>
      <c r="J129" s="42"/>
      <c r="L129" s="798"/>
      <c r="M129" s="42"/>
      <c r="P129" s="798"/>
      <c r="Q129" s="42"/>
      <c r="T129" s="798"/>
      <c r="U129" s="42"/>
      <c r="X129" s="798"/>
      <c r="Y129" s="42"/>
      <c r="AB129" s="798"/>
      <c r="AC129" s="42"/>
      <c r="AF129" s="798"/>
      <c r="AG129" s="42"/>
      <c r="AJ129" s="798"/>
      <c r="AK129" s="42"/>
      <c r="AN129" s="798"/>
      <c r="AO129" s="42"/>
      <c r="AR129" s="798"/>
      <c r="AS129" s="42"/>
      <c r="AV129" s="798"/>
      <c r="AW129" s="42"/>
      <c r="AZ129" s="798"/>
      <c r="BA129" s="42"/>
      <c r="BD129" s="798"/>
      <c r="BE129" s="42"/>
      <c r="BH129" s="798"/>
      <c r="BI129" s="42"/>
      <c r="BL129" s="798"/>
      <c r="BM129" s="42"/>
      <c r="BP129" s="798"/>
      <c r="BQ129" s="873"/>
      <c r="BR129" s="137"/>
      <c r="BS129" s="137"/>
      <c r="BT129" s="805"/>
      <c r="BU129" s="873"/>
      <c r="BV129" s="137"/>
      <c r="BX129" s="798"/>
      <c r="BY129" s="42"/>
    </row>
    <row r="130" spans="1:106">
      <c r="C130" s="837"/>
      <c r="D130" s="837"/>
      <c r="H130" s="923"/>
      <c r="I130" s="840"/>
      <c r="J130" s="840"/>
      <c r="K130" s="840"/>
      <c r="L130" s="923"/>
      <c r="M130" s="840"/>
      <c r="N130" s="840"/>
      <c r="O130" s="840"/>
      <c r="P130" s="923"/>
      <c r="Q130" s="840"/>
      <c r="R130" s="840"/>
      <c r="S130" s="840"/>
      <c r="T130" s="923"/>
      <c r="U130" s="840"/>
      <c r="V130" s="840"/>
      <c r="W130" s="840"/>
      <c r="Y130" s="840"/>
      <c r="Z130" s="840"/>
      <c r="AA130" s="840"/>
      <c r="AC130" s="840"/>
      <c r="AD130" s="840"/>
      <c r="AE130" s="840"/>
      <c r="AF130" s="923"/>
      <c r="AG130" s="840"/>
      <c r="AH130" s="840"/>
      <c r="AI130" s="840"/>
      <c r="AK130" s="840"/>
      <c r="AL130" s="840"/>
      <c r="AM130" s="840"/>
      <c r="AN130" s="923"/>
      <c r="AO130" s="840"/>
      <c r="AP130" s="840"/>
      <c r="AQ130" s="840"/>
      <c r="AR130" s="923"/>
      <c r="AS130" s="840"/>
      <c r="AT130" s="840"/>
      <c r="AU130" s="840"/>
      <c r="AV130" s="923" t="s">
        <v>549</v>
      </c>
      <c r="AW130" s="840"/>
      <c r="AX130" s="840"/>
      <c r="AY130" s="840"/>
      <c r="AZ130" s="923"/>
      <c r="BA130" s="840"/>
      <c r="BB130" s="840"/>
      <c r="BC130" s="840"/>
      <c r="BD130" s="923"/>
      <c r="BE130" s="840"/>
      <c r="BF130" s="840"/>
      <c r="BG130" s="840"/>
      <c r="BH130" s="923"/>
      <c r="BI130" s="840"/>
      <c r="BJ130" s="840"/>
      <c r="BK130" s="840"/>
      <c r="BL130" s="923"/>
      <c r="BM130" s="840"/>
      <c r="BN130" s="840"/>
      <c r="BO130" s="840"/>
      <c r="BP130" s="923"/>
      <c r="BQ130" s="841"/>
      <c r="BR130" s="841"/>
      <c r="BS130" s="841"/>
      <c r="BU130" s="841"/>
      <c r="BV130" s="841"/>
      <c r="BW130" s="840"/>
      <c r="BX130" s="923"/>
      <c r="BY130" s="840"/>
      <c r="BZ130" s="840"/>
      <c r="CA130" s="840"/>
      <c r="CB130" s="925" t="str">
        <f>+AV130</f>
        <v>9.  Net Earnings   (% Change)</v>
      </c>
      <c r="CC130" s="840"/>
      <c r="CD130" s="840"/>
      <c r="CE130" s="840"/>
      <c r="CF130" s="840"/>
      <c r="CG130" s="840"/>
      <c r="CH130" s="840"/>
      <c r="CI130" s="840"/>
      <c r="CJ130" s="840"/>
      <c r="CK130" s="840"/>
      <c r="CL130" s="840"/>
      <c r="CM130" s="840"/>
      <c r="CN130" s="840"/>
      <c r="CO130" s="840"/>
      <c r="CP130" s="840"/>
      <c r="CQ130" s="840"/>
      <c r="CR130" s="840"/>
      <c r="CS130" s="840"/>
      <c r="CT130" s="840"/>
      <c r="CU130" s="840"/>
      <c r="CV130" s="840"/>
      <c r="CW130" s="840"/>
      <c r="CX130" s="840"/>
      <c r="CY130" s="840"/>
    </row>
    <row r="131" spans="1:106">
      <c r="BP131" s="798"/>
      <c r="BQ131" s="137"/>
      <c r="BR131" s="137"/>
      <c r="BS131" s="137"/>
      <c r="BT131" s="137"/>
      <c r="BU131" s="137"/>
      <c r="BV131" s="137"/>
    </row>
    <row r="132" spans="1:106">
      <c r="A132" s="26" t="str">
        <f>$A$10</f>
        <v>1Q</v>
      </c>
      <c r="B132" s="26" t="str">
        <f>$B$10</f>
        <v>Apr</v>
      </c>
      <c r="D132" s="798">
        <f>D104-D114</f>
        <v>1.3358379999999996</v>
      </c>
      <c r="E132" s="42"/>
      <c r="H132" s="798">
        <f>H104-H114</f>
        <v>0.18641700000000011</v>
      </c>
      <c r="I132" s="42">
        <f t="shared" ref="I132:I138" si="310">IF(D132&lt;0,"       NM",(H132/D132-1)*100)</f>
        <v>-86.044939580997081</v>
      </c>
      <c r="J132" s="42"/>
      <c r="L132" s="798">
        <f>L104-L114</f>
        <v>1.0803679999999987</v>
      </c>
      <c r="M132" s="42">
        <f t="shared" ref="M132:M138" si="311">IF(H132&lt;0,"       NM",(L132/H132-1)*100)</f>
        <v>479.54371114222312</v>
      </c>
      <c r="P132" s="798">
        <f>P104-P114</f>
        <v>1.0024559999999996</v>
      </c>
      <c r="Q132" s="42">
        <f t="shared" ref="Q132:Q138" si="312">IF(L132&lt;0,"       NM",(P132/L132-1)*100)</f>
        <v>-7.2116167824296191</v>
      </c>
      <c r="T132" s="798">
        <f>T104-T114</f>
        <v>2.3285049999999989</v>
      </c>
      <c r="U132" s="42">
        <f t="shared" ref="U132:U138" si="313">IF(P132&lt;0,"       NM",(T132/P132-1)*100)</f>
        <v>132.28002027021634</v>
      </c>
      <c r="X132" s="798">
        <f>X104-X114</f>
        <v>4.2164530000000031</v>
      </c>
      <c r="Y132" s="42">
        <f t="shared" ref="Y132:Y138" si="314">IF(T132&lt;0,"       NM",(X132/T132-1)*100)</f>
        <v>81.079834486076052</v>
      </c>
      <c r="AB132" s="798">
        <f>AB104-AB114</f>
        <v>7.4759220000000033</v>
      </c>
      <c r="AC132" s="42">
        <f t="shared" ref="AC132:AC138" si="315">IF(X132&lt;0,"       NM",(AB132/X132-1)*100)</f>
        <v>77.303577201026499</v>
      </c>
      <c r="AF132" s="798">
        <f>AF104-AF114</f>
        <v>12.379128</v>
      </c>
      <c r="AG132" s="42">
        <f t="shared" ref="AG132:AG138" si="316">IF(AB132&lt;0,"       NM",(AF132/AB132-1)*100)</f>
        <v>65.586639346959402</v>
      </c>
      <c r="AJ132" s="798">
        <f>AJ104-AJ114</f>
        <v>19.777283000000018</v>
      </c>
      <c r="AK132" s="42">
        <f t="shared" ref="AK132:AK138" si="317">IF(AF132&lt;0,"       NM",(AJ132/AF132-1)*100)</f>
        <v>59.763135173980089</v>
      </c>
      <c r="AN132" s="798">
        <f>AN104-AN114</f>
        <v>23.367461999999986</v>
      </c>
      <c r="AO132" s="42">
        <f t="shared" ref="AO132:AO138" si="318">IF(AJ132&lt;0,"       NM",(AN132/AJ132-1)*100)</f>
        <v>18.153044581502755</v>
      </c>
      <c r="AR132" s="798">
        <f>AR104-AR114</f>
        <v>35.665000000000006</v>
      </c>
      <c r="AS132" s="42">
        <f t="shared" ref="AS132:AS138" si="319">IF(AN132&lt;0,"       NM",(AR132/AN132-1)*100)</f>
        <v>52.626759380201534</v>
      </c>
      <c r="AV132" s="798">
        <f>AV104-AV114</f>
        <v>47.20000000000001</v>
      </c>
      <c r="AW132" s="42">
        <f t="shared" ref="AW132:AW138" si="320">IF(AR132&lt;0,"       NM",(AV132/AR132-1)*100)</f>
        <v>32.342632833309978</v>
      </c>
      <c r="AZ132" s="798">
        <f>AZ104-AZ114</f>
        <v>52.511000000000038</v>
      </c>
      <c r="BA132" s="42">
        <f t="shared" ref="BA132:BA138" si="321">IF(AV132&lt;0,"       NM",(AZ132/AV132-1)*100)</f>
        <v>11.252118644067854</v>
      </c>
      <c r="BD132" s="798">
        <f>BD104-BD114</f>
        <v>49.142999999999986</v>
      </c>
      <c r="BE132" s="42">
        <f t="shared" ref="BE132:BE138" si="322">IF(AZ132&lt;0,"       NM",(BD132/AZ132-1)*100)</f>
        <v>-6.4138942316848802</v>
      </c>
      <c r="BH132" s="798">
        <f>BH104-BH114</f>
        <v>12.732000000000014</v>
      </c>
      <c r="BI132" s="42">
        <f t="shared" ref="BI132:BI138" si="323">IF(BD132&lt;0,"       NM",(BH132/BD132-1)*100)</f>
        <v>-74.091935779256417</v>
      </c>
      <c r="BL132" s="798">
        <f>BL104-BL114</f>
        <v>19.546999999999986</v>
      </c>
      <c r="BM132" s="42">
        <f t="shared" ref="BM132:BM138" si="324">IF(BH132&lt;0,"       NM",(BL132/BH132-1)*100)</f>
        <v>53.52654728243769</v>
      </c>
      <c r="BP132" s="798">
        <f>BP104-BP114+BP124</f>
        <v>35.179000000000023</v>
      </c>
      <c r="BQ132" s="873">
        <f t="shared" ref="BQ132:BQ138" si="325">IF(BL132&lt;0,"       NM",(BP132/BL132-1)*100)</f>
        <v>79.971351102471218</v>
      </c>
      <c r="BR132" s="137"/>
      <c r="BS132" s="137"/>
      <c r="BT132" s="805">
        <f>BT104-BT114+BT124</f>
        <v>45.38100000000005</v>
      </c>
      <c r="BU132" s="873">
        <f t="shared" ref="BU132:BU138" si="326">IF(BP132&lt;0,"       NM",(BT132/BP132-1)*100)</f>
        <v>29.00025583444674</v>
      </c>
      <c r="BV132" s="137"/>
      <c r="BX132" s="798">
        <f>BX104-BX114+BX124</f>
        <v>53.645000000000032</v>
      </c>
      <c r="BY132" s="42">
        <f t="shared" ref="BY132:BY138" si="327">IF(BT132&lt;0,"       NM",(BX132/BT132-1)*100)</f>
        <v>18.210264207487658</v>
      </c>
      <c r="CB132" s="798">
        <f>CB104-CB114+CB124</f>
        <v>51.122000000000007</v>
      </c>
      <c r="CC132" s="42">
        <f t="shared" ref="CC132:CC138" si="328">IF(BX132&lt;0,"       NM",(CB132/BX132-1)*100)</f>
        <v>-4.7031410196663685</v>
      </c>
      <c r="CF132" s="798">
        <f>CF104-CF114+CF124</f>
        <v>41.804000000000016</v>
      </c>
      <c r="CG132" s="1207">
        <f t="shared" ref="CG132:CG138" si="329">IF(CB132&lt;0,"       NM",(CF132/CB132-1)*100)</f>
        <v>-18.226986424631253</v>
      </c>
      <c r="CJ132" s="798">
        <f>CJ104-CJ114+CJ124</f>
        <v>43.221939999999961</v>
      </c>
      <c r="CK132" s="42">
        <f t="shared" ref="CK132:CK138" si="330">IF(CF132&lt;0,"       NM",(CJ132/CF132-1)*100)</f>
        <v>3.3918763754663184</v>
      </c>
      <c r="CN132" s="798">
        <f>CN104-CN114+CN124</f>
        <v>33.34999999999998</v>
      </c>
      <c r="CO132" s="42">
        <f t="shared" ref="CO132:CO138" si="331">IF(CJ132&lt;0,"       NM",(CN132/CJ132-1)*100)</f>
        <v>-22.840113146240061</v>
      </c>
      <c r="CR132" s="890">
        <f>CR104-CR114+CR124</f>
        <v>32.877999999999972</v>
      </c>
      <c r="CS132" s="42">
        <f t="shared" ref="CS132:CS138" si="332">IF(CN132&lt;0,"       NM",(CR132/CN132-1)*100)</f>
        <v>-1.4152923538231166</v>
      </c>
      <c r="CV132" s="798">
        <f>CV104-CV114+CV124</f>
        <v>30.37523394346826</v>
      </c>
      <c r="CW132" s="42">
        <f t="shared" ref="CW132:CW138" si="333">IF(CR132&lt;0,"       NM",(CV132/CR132-1)*100)</f>
        <v>-7.6122819409079501</v>
      </c>
    </row>
    <row r="133" spans="1:106">
      <c r="A133" s="26" t="str">
        <f>$A$11</f>
        <v>2Q</v>
      </c>
      <c r="B133" s="26" t="str">
        <f>$B$11</f>
        <v>Jul</v>
      </c>
      <c r="D133" s="794">
        <f>D105-D115</f>
        <v>1.6451820000000006</v>
      </c>
      <c r="E133" s="42"/>
      <c r="H133" s="794">
        <f>H105-H115</f>
        <v>0.70362400000000036</v>
      </c>
      <c r="I133" s="42">
        <f t="shared" si="310"/>
        <v>-57.231236422474829</v>
      </c>
      <c r="J133" s="42"/>
      <c r="L133" s="794">
        <f>L105-L115</f>
        <v>0.94099799999999933</v>
      </c>
      <c r="M133" s="42">
        <f t="shared" si="311"/>
        <v>33.735915773196879</v>
      </c>
      <c r="P133" s="794">
        <f>P105-P115</f>
        <v>0.9675559999999982</v>
      </c>
      <c r="Q133" s="42">
        <f t="shared" si="312"/>
        <v>2.8223226829386272</v>
      </c>
      <c r="T133" s="794">
        <f>T105-T115</f>
        <v>2.7130819999999991</v>
      </c>
      <c r="U133" s="42">
        <f t="shared" si="313"/>
        <v>180.40568194502481</v>
      </c>
      <c r="X133" s="794">
        <f>X105-X115</f>
        <v>3.9466660000000005</v>
      </c>
      <c r="Y133" s="42">
        <f t="shared" si="314"/>
        <v>45.467995438398169</v>
      </c>
      <c r="AB133" s="794">
        <f>AB105-AB115</f>
        <v>7.3774260000000043</v>
      </c>
      <c r="AC133" s="42">
        <f t="shared" si="315"/>
        <v>86.928055224333733</v>
      </c>
      <c r="AF133" s="794">
        <f>AF105-AF115</f>
        <v>11.090612999999996</v>
      </c>
      <c r="AG133" s="42">
        <f t="shared" si="316"/>
        <v>50.331741721299394</v>
      </c>
      <c r="AJ133" s="794">
        <f>AJ105-AJ115</f>
        <v>16.388288000000003</v>
      </c>
      <c r="AK133" s="42">
        <f t="shared" si="317"/>
        <v>47.767197358703342</v>
      </c>
      <c r="AN133" s="794">
        <f>AN105-AN115</f>
        <v>24.466497999999994</v>
      </c>
      <c r="AO133" s="42">
        <f t="shared" si="318"/>
        <v>49.292580164566232</v>
      </c>
      <c r="AR133" s="794">
        <f>AR105-AR115</f>
        <v>35.496000000000009</v>
      </c>
      <c r="AS133" s="42">
        <f t="shared" si="319"/>
        <v>45.080019216481325</v>
      </c>
      <c r="AV133" s="794">
        <f>AV105-AV115</f>
        <v>49.111000000000011</v>
      </c>
      <c r="AW133" s="42">
        <f t="shared" si="320"/>
        <v>38.356434527834125</v>
      </c>
      <c r="AZ133" s="794">
        <f>AZ105-AZ115</f>
        <v>54.919999999999973</v>
      </c>
      <c r="BA133" s="42">
        <f t="shared" si="321"/>
        <v>11.828307303862594</v>
      </c>
      <c r="BD133" s="794">
        <f>BD105-BD115</f>
        <v>38.764999999999993</v>
      </c>
      <c r="BE133" s="42">
        <f t="shared" si="322"/>
        <v>-29.415513474144184</v>
      </c>
      <c r="BH133" s="794">
        <f>BH105-BH115</f>
        <v>6.6800000000000281</v>
      </c>
      <c r="BI133" s="42">
        <f t="shared" si="323"/>
        <v>-82.767960789371784</v>
      </c>
      <c r="BL133" s="794">
        <f>BL105-BL115</f>
        <v>17.97300000000002</v>
      </c>
      <c r="BM133" s="42">
        <f t="shared" si="324"/>
        <v>169.05688622754406</v>
      </c>
      <c r="BP133" s="794">
        <f>BP105-BP115+BP125</f>
        <v>30.267999999999983</v>
      </c>
      <c r="BQ133" s="873">
        <f t="shared" si="325"/>
        <v>68.408167807266167</v>
      </c>
      <c r="BR133" s="137"/>
      <c r="BS133" s="137"/>
      <c r="BT133" s="803">
        <f>BT105-BT115+BT125</f>
        <v>42.818000000000005</v>
      </c>
      <c r="BU133" s="873">
        <f t="shared" si="326"/>
        <v>41.462931148407648</v>
      </c>
      <c r="BV133" s="137"/>
      <c r="BX133" s="794">
        <f>BX105-BX115+BX125</f>
        <v>53.395000000000003</v>
      </c>
      <c r="BY133" s="42">
        <f t="shared" si="327"/>
        <v>24.702228034938578</v>
      </c>
      <c r="CB133" s="794">
        <f>CB105-CB115+CB125</f>
        <v>43.588000000000058</v>
      </c>
      <c r="CC133" s="42">
        <f t="shared" si="328"/>
        <v>-18.366888285419879</v>
      </c>
      <c r="CF133" s="794">
        <f>CF105-CF115+CF125</f>
        <v>31.920000000000051</v>
      </c>
      <c r="CG133" s="1207">
        <f t="shared" si="329"/>
        <v>-26.7688354593007</v>
      </c>
      <c r="CJ133" s="794">
        <f>CJ105-CJ115+CJ125</f>
        <v>37.08677999999999</v>
      </c>
      <c r="CK133" s="42">
        <f t="shared" si="330"/>
        <v>16.186654135338131</v>
      </c>
      <c r="CN133" s="794">
        <f>CN105-CN115+CN125</f>
        <v>32.80299999999994</v>
      </c>
      <c r="CO133" s="42">
        <f t="shared" si="331"/>
        <v>-11.550692726626711</v>
      </c>
      <c r="CR133" s="890">
        <f>CR105-CR115+CR125</f>
        <v>22.179000000000006</v>
      </c>
      <c r="CS133" s="42">
        <f t="shared" si="332"/>
        <v>-32.387281651068356</v>
      </c>
      <c r="CV133" s="794">
        <f>CV105-CV115+CV125</f>
        <v>31.354317417681585</v>
      </c>
      <c r="CW133" s="42">
        <f t="shared" si="333"/>
        <v>41.369391846708936</v>
      </c>
    </row>
    <row r="134" spans="1:106">
      <c r="A134" s="26" t="str">
        <f>$A$12</f>
        <v>3Q</v>
      </c>
      <c r="B134" s="26" t="str">
        <f>$B$12</f>
        <v>Oct</v>
      </c>
      <c r="D134" s="794">
        <f>D106-D116</f>
        <v>1.1822649999999997</v>
      </c>
      <c r="E134" s="42"/>
      <c r="H134" s="794">
        <f>H106-H116</f>
        <v>0.57564299999999913</v>
      </c>
      <c r="I134" s="42">
        <f t="shared" si="310"/>
        <v>-51.310154660757171</v>
      </c>
      <c r="J134" s="42"/>
      <c r="L134" s="794">
        <f>L106-L116</f>
        <v>0.65596399999999844</v>
      </c>
      <c r="M134" s="42">
        <f t="shared" si="311"/>
        <v>13.953266173652668</v>
      </c>
      <c r="P134" s="794">
        <f>P106-P116</f>
        <v>0.95553199999999794</v>
      </c>
      <c r="Q134" s="42">
        <f t="shared" si="312"/>
        <v>45.668359849016142</v>
      </c>
      <c r="T134" s="794">
        <f>T106-T116</f>
        <v>2.3714420000000032</v>
      </c>
      <c r="U134" s="42">
        <f t="shared" si="313"/>
        <v>148.1802807232001</v>
      </c>
      <c r="X134" s="794">
        <f>X106-X116</f>
        <v>4.0783089999999982</v>
      </c>
      <c r="Y134" s="42">
        <f t="shared" si="314"/>
        <v>71.97591170266837</v>
      </c>
      <c r="AB134" s="794">
        <f>AB106-AB116</f>
        <v>7.8200959999999933</v>
      </c>
      <c r="AC134" s="42">
        <f t="shared" si="315"/>
        <v>91.748491838161272</v>
      </c>
      <c r="AF134" s="794">
        <f>AF106-AF116</f>
        <v>8.8996599999999919</v>
      </c>
      <c r="AG134" s="42">
        <f t="shared" si="316"/>
        <v>13.804996767303113</v>
      </c>
      <c r="AJ134" s="794">
        <f>AJ106-AJ116</f>
        <v>15.543679000000001</v>
      </c>
      <c r="AK134" s="42">
        <f t="shared" si="317"/>
        <v>74.654750855650832</v>
      </c>
      <c r="AN134" s="794">
        <f>AN106-AN116</f>
        <v>26.758999999999997</v>
      </c>
      <c r="AO134" s="42">
        <f t="shared" si="318"/>
        <v>72.153580886481222</v>
      </c>
      <c r="AR134" s="794">
        <f>AR106-AR116</f>
        <v>37.077000000000041</v>
      </c>
      <c r="AS134" s="42">
        <f t="shared" si="319"/>
        <v>38.558989498860363</v>
      </c>
      <c r="AV134" s="794">
        <f>AV106-AV116</f>
        <v>53.210000000000008</v>
      </c>
      <c r="AW134" s="42">
        <f t="shared" si="320"/>
        <v>43.512150389729356</v>
      </c>
      <c r="AZ134" s="794">
        <f>AZ106-AZ116</f>
        <v>42.917999999999964</v>
      </c>
      <c r="BA134" s="42">
        <f t="shared" si="321"/>
        <v>-19.342228904341376</v>
      </c>
      <c r="BD134" s="794">
        <f>BD106-BD116</f>
        <v>16.902999999999988</v>
      </c>
      <c r="BE134" s="42">
        <f t="shared" si="322"/>
        <v>-60.615592525280768</v>
      </c>
      <c r="BF134" s="890"/>
      <c r="BH134" s="794">
        <f>BH106-BH116</f>
        <v>1.9949999999999879</v>
      </c>
      <c r="BI134" s="42">
        <f t="shared" si="323"/>
        <v>-88.197361415133471</v>
      </c>
      <c r="BL134" s="794">
        <f>BL106-BL116</f>
        <v>22.74500000000004</v>
      </c>
      <c r="BM134" s="42">
        <f t="shared" si="324"/>
        <v>1040.1002506265752</v>
      </c>
      <c r="BP134" s="794">
        <f>BP106-BP116+BP126</f>
        <v>28.555999999999997</v>
      </c>
      <c r="BQ134" s="873">
        <f t="shared" si="325"/>
        <v>25.548472191690252</v>
      </c>
      <c r="BR134" s="137"/>
      <c r="BS134" s="137"/>
      <c r="BT134" s="803">
        <f>BT106-BT116+BT126</f>
        <v>29.638000000000048</v>
      </c>
      <c r="BU134" s="873">
        <f t="shared" si="326"/>
        <v>3.7890460848860164</v>
      </c>
      <c r="BV134" s="137"/>
      <c r="BX134" s="794">
        <f>BX106-BX116+BX126</f>
        <v>41.656999999999911</v>
      </c>
      <c r="BY134" s="42">
        <f t="shared" si="327"/>
        <v>40.552668871043409</v>
      </c>
      <c r="CB134" s="794">
        <f>CB106-CB116+CB126</f>
        <v>35.786999999999907</v>
      </c>
      <c r="CC134" s="42">
        <f t="shared" si="328"/>
        <v>-14.091269174448517</v>
      </c>
      <c r="CF134" s="794">
        <f>CF106-CF116+CF126-0.745</f>
        <v>29.661999999999978</v>
      </c>
      <c r="CG134" s="1207">
        <f t="shared" si="329"/>
        <v>-17.115153547377382</v>
      </c>
      <c r="CJ134" s="794">
        <f>CJ106-CJ116+CJ126</f>
        <v>17.691030000000012</v>
      </c>
      <c r="CK134" s="42">
        <f t="shared" si="330"/>
        <v>-40.357932708515861</v>
      </c>
      <c r="CN134" s="794">
        <f>CN106-CN116+CN126</f>
        <v>25.923000000000062</v>
      </c>
      <c r="CO134" s="42">
        <f t="shared" si="331"/>
        <v>46.531886498412156</v>
      </c>
      <c r="CR134" s="890">
        <f>CR106-CR116+CR126</f>
        <v>16.296000000000049</v>
      </c>
      <c r="CS134" s="42">
        <f t="shared" si="332"/>
        <v>-37.136905450757972</v>
      </c>
      <c r="CV134" s="794">
        <f>CV106-CV116+CV126</f>
        <v>19.5351598397841</v>
      </c>
      <c r="CW134" s="42">
        <f t="shared" si="333"/>
        <v>19.877024053657589</v>
      </c>
    </row>
    <row r="135" spans="1:106">
      <c r="A135" s="26" t="str">
        <f>$A$13</f>
        <v>4Q</v>
      </c>
      <c r="B135" s="26" t="str">
        <f>$B$13</f>
        <v>Jan</v>
      </c>
      <c r="C135" s="122"/>
      <c r="D135" s="797">
        <f>D107-D117</f>
        <v>-0.87265400000000093</v>
      </c>
      <c r="E135" s="42"/>
      <c r="H135" s="797">
        <f>H107-H117</f>
        <v>0.23791199999999851</v>
      </c>
      <c r="I135" s="42" t="str">
        <f t="shared" si="310"/>
        <v xml:space="preserve">       NM</v>
      </c>
      <c r="J135" s="42"/>
      <c r="L135" s="797">
        <f>L107-L117</f>
        <v>-0.74677700000000036</v>
      </c>
      <c r="M135" s="42">
        <f t="shared" si="311"/>
        <v>-413.88790813410213</v>
      </c>
      <c r="P135" s="797">
        <f>P107-P117</f>
        <v>-0.1555279999999985</v>
      </c>
      <c r="Q135" s="42" t="str">
        <f t="shared" si="312"/>
        <v xml:space="preserve">       NM</v>
      </c>
      <c r="T135" s="797">
        <f>T107-T117</f>
        <v>1.7260790000000004</v>
      </c>
      <c r="U135" s="42" t="str">
        <f t="shared" si="313"/>
        <v xml:space="preserve">       NM</v>
      </c>
      <c r="X135" s="797">
        <f>X107-X117</f>
        <v>3.2482580000000003</v>
      </c>
      <c r="Y135" s="42">
        <f t="shared" si="314"/>
        <v>88.187099199978675</v>
      </c>
      <c r="AB135" s="797">
        <f>AB107-AB117</f>
        <v>5.7051769999999955</v>
      </c>
      <c r="AC135" s="42">
        <f t="shared" si="315"/>
        <v>75.638049686939752</v>
      </c>
      <c r="AF135" s="797">
        <f>AF107-AF117</f>
        <v>9.8176299999999905</v>
      </c>
      <c r="AG135" s="42">
        <f t="shared" si="316"/>
        <v>72.082829332025938</v>
      </c>
      <c r="AJ135" s="797">
        <f>AJ107-AJ117</f>
        <v>15.049692000000002</v>
      </c>
      <c r="AK135" s="42">
        <f t="shared" si="317"/>
        <v>53.292515607127356</v>
      </c>
      <c r="AN135" s="797">
        <f>AN107-AN117</f>
        <v>25.637</v>
      </c>
      <c r="AO135" s="42">
        <f t="shared" si="318"/>
        <v>70.349001162282903</v>
      </c>
      <c r="AR135" s="797">
        <f>AR107-AR117</f>
        <v>32.967999999999982</v>
      </c>
      <c r="AS135" s="42">
        <f t="shared" si="319"/>
        <v>28.59538947614768</v>
      </c>
      <c r="AV135" s="797">
        <f>AV107-AV117</f>
        <v>44.460000000000008</v>
      </c>
      <c r="AW135" s="42">
        <f t="shared" si="320"/>
        <v>34.858044164037949</v>
      </c>
      <c r="AZ135" s="797">
        <f>AZ107-AZ117</f>
        <v>24.340999999999973</v>
      </c>
      <c r="BA135" s="42">
        <f t="shared" si="321"/>
        <v>-45.251911830859271</v>
      </c>
      <c r="BD135" s="797">
        <f>BD107-BD117</f>
        <v>-20.496999999999961</v>
      </c>
      <c r="BE135" s="42">
        <f t="shared" si="322"/>
        <v>-184.2077153773468</v>
      </c>
      <c r="BH135" s="797">
        <f>BH107-BH117</f>
        <v>-24.843999999999973</v>
      </c>
      <c r="BI135" s="42" t="str">
        <f t="shared" si="323"/>
        <v xml:space="preserve">       NM</v>
      </c>
      <c r="BL135" s="797">
        <f>BL107-BL117</f>
        <v>18.834000000000017</v>
      </c>
      <c r="BM135" s="42" t="str">
        <f t="shared" si="324"/>
        <v xml:space="preserve">       NM</v>
      </c>
      <c r="BP135" s="797">
        <f>BP107-BP117+BP127</f>
        <v>21.524000000000008</v>
      </c>
      <c r="BQ135" s="873">
        <f t="shared" si="325"/>
        <v>14.282680259105817</v>
      </c>
      <c r="BR135" s="137"/>
      <c r="BS135" s="137"/>
      <c r="BT135" s="804">
        <f>BT107-BT117+BT127</f>
        <v>24.777000000000015</v>
      </c>
      <c r="BU135" s="873">
        <f t="shared" si="326"/>
        <v>15.113361828656412</v>
      </c>
      <c r="BV135" s="137"/>
      <c r="BX135" s="797">
        <f>BX107-BX117+BX127</f>
        <v>32.733759999999954</v>
      </c>
      <c r="BY135" s="42">
        <f t="shared" si="327"/>
        <v>32.11349235177758</v>
      </c>
      <c r="CB135" s="797">
        <f>CB107-CB117+CB127</f>
        <v>5.8519999999999479</v>
      </c>
      <c r="CC135" s="42">
        <f t="shared" si="328"/>
        <v>-82.122432620023005</v>
      </c>
      <c r="CF135" s="797">
        <f>CF107-CF117+CF127</f>
        <v>12.008000000000028</v>
      </c>
      <c r="CG135">
        <f t="shared" si="329"/>
        <v>105.1948051948075</v>
      </c>
      <c r="CJ135" s="797">
        <f>CJ107-CJ117+CJ127</f>
        <v>6.1750000000000451</v>
      </c>
      <c r="CK135" s="42">
        <f t="shared" si="330"/>
        <v>-48.575949367088342</v>
      </c>
      <c r="CN135" s="797">
        <f>CN107-CN117+CN127</f>
        <v>13.249999999999982</v>
      </c>
      <c r="CO135" s="42">
        <f t="shared" si="331"/>
        <v>114.57489878542324</v>
      </c>
      <c r="CR135" s="1129">
        <f>CR107-CR117+CR127</f>
        <v>27.358000000000025</v>
      </c>
      <c r="CS135" s="42">
        <f t="shared" si="332"/>
        <v>106.47547169811369</v>
      </c>
      <c r="CV135" s="797">
        <f>CV107-CV117+CV127</f>
        <v>22.652654019319201</v>
      </c>
      <c r="CW135" s="42">
        <f t="shared" si="333"/>
        <v>-17.199159224653926</v>
      </c>
    </row>
    <row r="136" spans="1:106">
      <c r="B136" s="26" t="str">
        <f>$B$14</f>
        <v>Year</v>
      </c>
      <c r="D136" s="798">
        <f>SUM(D132:D135)</f>
        <v>3.2906309999999994</v>
      </c>
      <c r="E136" s="42"/>
      <c r="H136" s="798">
        <f>SUM(H132:H135)</f>
        <v>1.7035959999999981</v>
      </c>
      <c r="I136" s="42">
        <f t="shared" si="310"/>
        <v>-48.228895916922973</v>
      </c>
      <c r="J136" s="42"/>
      <c r="L136" s="798">
        <f>SUM(L132:L135)</f>
        <v>1.9305529999999957</v>
      </c>
      <c r="M136" s="42">
        <f t="shared" si="311"/>
        <v>13.322231327145516</v>
      </c>
      <c r="P136" s="798">
        <f>SUM(P132:P135)</f>
        <v>2.7700159999999974</v>
      </c>
      <c r="Q136" s="42">
        <f t="shared" si="312"/>
        <v>43.483033099842558</v>
      </c>
      <c r="T136" s="798">
        <f>SUM(T132:T135)</f>
        <v>9.139108000000002</v>
      </c>
      <c r="U136" s="42">
        <f t="shared" si="313"/>
        <v>229.92979101925806</v>
      </c>
      <c r="X136" s="798">
        <f>SUM(X132:X135)</f>
        <v>15.489686000000003</v>
      </c>
      <c r="Y136" s="42">
        <f t="shared" si="314"/>
        <v>69.487941273918622</v>
      </c>
      <c r="AB136" s="798">
        <f>SUM(AB132:AB135)</f>
        <v>28.378620999999995</v>
      </c>
      <c r="AC136" s="42">
        <f t="shared" si="315"/>
        <v>83.209788758790793</v>
      </c>
      <c r="AF136" s="798">
        <f>SUM(AF132:AF135)</f>
        <v>42.187030999999976</v>
      </c>
      <c r="AG136" s="42">
        <f t="shared" si="316"/>
        <v>48.657790665726793</v>
      </c>
      <c r="AJ136" s="798">
        <f>SUM(AJ132:AJ135)</f>
        <v>66.758942000000033</v>
      </c>
      <c r="AK136" s="42">
        <f t="shared" si="317"/>
        <v>58.245177291571125</v>
      </c>
      <c r="AN136" s="798">
        <f>SUM(AN132:AN135)</f>
        <v>100.22995999999998</v>
      </c>
      <c r="AO136" s="42">
        <f t="shared" si="318"/>
        <v>50.137130693293372</v>
      </c>
      <c r="AR136" s="798">
        <f>SUM(AR132:AR135)</f>
        <v>141.20600000000005</v>
      </c>
      <c r="AS136" s="42">
        <f t="shared" si="319"/>
        <v>40.882027689126168</v>
      </c>
      <c r="AV136" s="798">
        <f>SUM(AV132:AV135)</f>
        <v>193.98100000000002</v>
      </c>
      <c r="AW136" s="42">
        <f t="shared" si="320"/>
        <v>37.374474172485563</v>
      </c>
      <c r="AZ136" s="798">
        <f>SUM(AZ132:AZ135)</f>
        <v>174.68999999999997</v>
      </c>
      <c r="BA136" s="42">
        <f t="shared" si="321"/>
        <v>-9.9447884071120605</v>
      </c>
      <c r="BD136" s="798">
        <f>SUM(BD132:BD135)</f>
        <v>84.314000000000021</v>
      </c>
      <c r="BE136" s="42">
        <f t="shared" si="322"/>
        <v>-51.735073558875698</v>
      </c>
      <c r="BH136" s="798">
        <f>SUM(BH132:BH135)</f>
        <v>-3.4369999999999443</v>
      </c>
      <c r="BI136" s="42">
        <f t="shared" si="323"/>
        <v>-104.07642858837195</v>
      </c>
      <c r="BL136" s="798">
        <f>SUM(BL132:BL135)</f>
        <v>79.099000000000075</v>
      </c>
      <c r="BM136" s="42" t="str">
        <f t="shared" si="324"/>
        <v xml:space="preserve">       NM</v>
      </c>
      <c r="BP136" s="798">
        <f>SUM(BP132:BP135)</f>
        <v>115.52700000000002</v>
      </c>
      <c r="BQ136" s="42">
        <f t="shared" si="325"/>
        <v>46.053679566113239</v>
      </c>
      <c r="BT136" s="798">
        <f>SUM(BT132:BT135)</f>
        <v>142.61400000000012</v>
      </c>
      <c r="BU136" s="42">
        <f t="shared" si="326"/>
        <v>23.44646705964848</v>
      </c>
      <c r="BX136" s="798">
        <f>SUM(BX132:BX135)</f>
        <v>181.43075999999991</v>
      </c>
      <c r="BY136" s="42">
        <f t="shared" si="327"/>
        <v>27.218057133240613</v>
      </c>
      <c r="CB136" s="798">
        <f>SUM(CB132:CB135)</f>
        <v>136.3489999999999</v>
      </c>
      <c r="CC136" s="42">
        <f t="shared" si="328"/>
        <v>-24.847914433032201</v>
      </c>
      <c r="CF136" s="798">
        <f>SUM(CF132:CF135)</f>
        <v>115.39400000000008</v>
      </c>
      <c r="CG136" s="1207">
        <f t="shared" si="329"/>
        <v>-15.368649568386894</v>
      </c>
      <c r="CJ136" s="798">
        <f>SUM(CJ132:CJ135)</f>
        <v>104.17475</v>
      </c>
      <c r="CK136" s="42">
        <f t="shared" si="330"/>
        <v>-9.7225592318492033</v>
      </c>
      <c r="CN136" s="798">
        <f>SUM(CN132:CN135)</f>
        <v>105.32599999999996</v>
      </c>
      <c r="CO136" s="42">
        <f t="shared" si="331"/>
        <v>1.1051142431346861</v>
      </c>
      <c r="CR136" s="798">
        <f>SUM(CR132:CR135)</f>
        <v>98.711000000000041</v>
      </c>
      <c r="CS136" s="42">
        <f t="shared" si="332"/>
        <v>-6.2805005411768473</v>
      </c>
      <c r="CV136" s="798">
        <f>SUM(CV132:CV135)</f>
        <v>103.91736522025315</v>
      </c>
      <c r="CW136" s="42">
        <f t="shared" si="333"/>
        <v>5.2743516125387302</v>
      </c>
    </row>
    <row r="137" spans="1:106" hidden="1" outlineLevel="1">
      <c r="A137" s="26" t="str">
        <f>$A$15</f>
        <v>6 Mos</v>
      </c>
      <c r="D137" s="794">
        <f>SUM(D132:D133)</f>
        <v>2.98102</v>
      </c>
      <c r="E137" s="42"/>
      <c r="H137" s="794">
        <f>SUM(H132:H133)</f>
        <v>0.89004100000000053</v>
      </c>
      <c r="I137" s="42">
        <f t="shared" si="310"/>
        <v>-70.14307183447275</v>
      </c>
      <c r="J137" s="42"/>
      <c r="L137" s="794">
        <f>SUM(L132:L133)</f>
        <v>2.0213659999999978</v>
      </c>
      <c r="M137" s="42">
        <f t="shared" si="311"/>
        <v>127.10931294176295</v>
      </c>
      <c r="P137" s="794">
        <f>SUM(P132:P133)</f>
        <v>1.9700119999999979</v>
      </c>
      <c r="Q137" s="42">
        <f t="shared" si="312"/>
        <v>-2.5405592060022797</v>
      </c>
      <c r="T137" s="794">
        <f>SUM(T132:T133)</f>
        <v>5.041586999999998</v>
      </c>
      <c r="U137" s="42">
        <f t="shared" si="313"/>
        <v>155.91656294479441</v>
      </c>
      <c r="X137" s="794">
        <f>SUM(X132:X133)</f>
        <v>8.1631190000000036</v>
      </c>
      <c r="Y137" s="42">
        <f t="shared" si="314"/>
        <v>61.915662667330885</v>
      </c>
      <c r="AB137" s="794">
        <f>SUM(AB132:AB133)</f>
        <v>14.853348000000008</v>
      </c>
      <c r="AC137" s="42">
        <f t="shared" si="315"/>
        <v>81.956774120284194</v>
      </c>
      <c r="AF137" s="794">
        <f>SUM(AF132:AF133)</f>
        <v>23.469740999999996</v>
      </c>
      <c r="AG137" s="42">
        <f t="shared" si="316"/>
        <v>58.009769918539476</v>
      </c>
      <c r="AJ137" s="794">
        <f>SUM(AJ132:AJ133)</f>
        <v>36.165571000000021</v>
      </c>
      <c r="AK137" s="42">
        <f t="shared" si="317"/>
        <v>54.094461459971079</v>
      </c>
      <c r="AN137" s="794">
        <f>SUM(AN132:AN133)</f>
        <v>47.833959999999976</v>
      </c>
      <c r="AO137" s="42">
        <f t="shared" si="318"/>
        <v>32.263804157827195</v>
      </c>
      <c r="AR137" s="794">
        <f>SUM(AR132:AR133)</f>
        <v>71.161000000000016</v>
      </c>
      <c r="AS137" s="42">
        <f t="shared" si="319"/>
        <v>48.766692115810706</v>
      </c>
      <c r="AV137" s="794">
        <f>SUM(AV132:AV133)</f>
        <v>96.311000000000021</v>
      </c>
      <c r="AW137" s="42">
        <f t="shared" si="320"/>
        <v>35.342392602689678</v>
      </c>
      <c r="AZ137" s="794">
        <f>SUM(AZ132:AZ133)</f>
        <v>107.43100000000001</v>
      </c>
      <c r="BA137" s="42">
        <f t="shared" si="321"/>
        <v>11.54592933309797</v>
      </c>
      <c r="BD137" s="794">
        <f>SUM(BD132:BD133)</f>
        <v>87.907999999999987</v>
      </c>
      <c r="BE137" s="42">
        <f t="shared" si="322"/>
        <v>-18.172594502517914</v>
      </c>
      <c r="BH137" s="794">
        <f>SUM(BH132:BH133)</f>
        <v>19.412000000000042</v>
      </c>
      <c r="BI137" s="42">
        <f t="shared" si="323"/>
        <v>-77.917823178777752</v>
      </c>
      <c r="BL137" s="794">
        <f>SUM(BL132:BL133)</f>
        <v>37.52000000000001</v>
      </c>
      <c r="BM137" s="42">
        <f t="shared" si="324"/>
        <v>93.282505666597615</v>
      </c>
      <c r="BP137" s="794">
        <f>SUM(BP132:BP133)</f>
        <v>65.447000000000003</v>
      </c>
      <c r="BQ137" s="42">
        <f t="shared" si="325"/>
        <v>74.432302771854978</v>
      </c>
      <c r="BT137" s="794">
        <f>SUM(BT132:BT133)</f>
        <v>88.199000000000055</v>
      </c>
      <c r="BU137" s="42">
        <f t="shared" si="326"/>
        <v>34.764007517533344</v>
      </c>
      <c r="BX137" s="794">
        <f>SUM(BX132:BX133)</f>
        <v>107.04000000000003</v>
      </c>
      <c r="BY137" s="42">
        <f t="shared" si="327"/>
        <v>21.361920203176865</v>
      </c>
      <c r="CB137" s="794">
        <f>SUM(CB132:CB133)</f>
        <v>94.710000000000065</v>
      </c>
      <c r="CC137" s="42">
        <f t="shared" si="328"/>
        <v>-11.51905829596409</v>
      </c>
      <c r="CF137" s="794">
        <f>SUM(CF132:CF133)</f>
        <v>73.724000000000075</v>
      </c>
      <c r="CG137" s="42">
        <f t="shared" si="329"/>
        <v>-22.158167036215794</v>
      </c>
      <c r="CJ137" s="794">
        <f>SUM(CJ132:CJ133)</f>
        <v>80.308719999999951</v>
      </c>
      <c r="CK137" s="42">
        <f t="shared" si="330"/>
        <v>8.9315826596493295</v>
      </c>
      <c r="CN137" s="794">
        <f>SUM(CN132:CN133)</f>
        <v>66.152999999999921</v>
      </c>
      <c r="CO137" s="42">
        <f t="shared" si="331"/>
        <v>-17.626628839309156</v>
      </c>
      <c r="CR137" s="794">
        <f>SUM(CR132:CR133)</f>
        <v>55.056999999999974</v>
      </c>
      <c r="CS137" s="42">
        <f t="shared" si="332"/>
        <v>-16.77323779722758</v>
      </c>
      <c r="CV137" s="794">
        <f>SUM(CV132:CV133)</f>
        <v>61.729551361149845</v>
      </c>
      <c r="CW137" s="42">
        <f t="shared" si="333"/>
        <v>12.119351510525235</v>
      </c>
    </row>
    <row r="138" spans="1:106" hidden="1" outlineLevel="1">
      <c r="A138" s="26" t="str">
        <f>$A$16</f>
        <v>9 Mos</v>
      </c>
      <c r="D138" s="794">
        <f>SUM(D132:D134)</f>
        <v>4.1632850000000001</v>
      </c>
      <c r="E138" s="42"/>
      <c r="H138" s="794">
        <f>SUM(H132:H134)</f>
        <v>1.4656839999999995</v>
      </c>
      <c r="I138" s="42">
        <f t="shared" si="310"/>
        <v>-64.79501163144009</v>
      </c>
      <c r="J138" s="42"/>
      <c r="L138" s="794">
        <f>SUM(L132:L134)</f>
        <v>2.677329999999996</v>
      </c>
      <c r="M138" s="42">
        <f t="shared" si="311"/>
        <v>82.667614574491964</v>
      </c>
      <c r="P138" s="794">
        <f>SUM(P132:P134)</f>
        <v>2.9255439999999959</v>
      </c>
      <c r="Q138" s="42">
        <f t="shared" si="312"/>
        <v>9.2709527775806535</v>
      </c>
      <c r="T138" s="794">
        <f>SUM(T132:T134)</f>
        <v>7.4130290000000016</v>
      </c>
      <c r="U138" s="42">
        <f t="shared" si="313"/>
        <v>153.3897627244715</v>
      </c>
      <c r="X138" s="794">
        <f>SUM(X132:X134)</f>
        <v>12.241428000000003</v>
      </c>
      <c r="Y138" s="42">
        <f t="shared" si="314"/>
        <v>65.133955364264722</v>
      </c>
      <c r="AB138" s="794">
        <f>SUM(AB132:AB134)</f>
        <v>22.673444</v>
      </c>
      <c r="AC138" s="42">
        <f t="shared" si="315"/>
        <v>85.218946678443032</v>
      </c>
      <c r="AF138" s="794">
        <f>SUM(AF132:AF134)</f>
        <v>32.369400999999989</v>
      </c>
      <c r="AG138" s="42">
        <f t="shared" si="316"/>
        <v>42.763494597468245</v>
      </c>
      <c r="AJ138" s="794">
        <f>SUM(AJ132:AJ134)</f>
        <v>51.709250000000026</v>
      </c>
      <c r="AK138" s="42">
        <f t="shared" si="317"/>
        <v>59.747318153956705</v>
      </c>
      <c r="AN138" s="794">
        <f>SUM(AN132:AN134)</f>
        <v>74.592959999999977</v>
      </c>
      <c r="AO138" s="42">
        <f t="shared" si="318"/>
        <v>44.254577275825781</v>
      </c>
      <c r="AR138" s="794">
        <f>SUM(AR132:AR134)</f>
        <v>108.23800000000006</v>
      </c>
      <c r="AS138" s="42">
        <f t="shared" si="319"/>
        <v>45.104846355473867</v>
      </c>
      <c r="AV138" s="794">
        <f>SUM(AV132:AV134)</f>
        <v>149.52100000000002</v>
      </c>
      <c r="AW138" s="42">
        <f t="shared" si="320"/>
        <v>38.140948650196727</v>
      </c>
      <c r="AZ138" s="794">
        <f>SUM(AZ132:AZ134)</f>
        <v>150.34899999999999</v>
      </c>
      <c r="BA138" s="42">
        <f t="shared" si="321"/>
        <v>0.55376836698521892</v>
      </c>
      <c r="BD138" s="794">
        <f>SUM(BD132:BD134)</f>
        <v>104.81099999999998</v>
      </c>
      <c r="BE138" s="42">
        <f t="shared" si="322"/>
        <v>-30.288196130336765</v>
      </c>
      <c r="BH138" s="794">
        <f>SUM(BH132:BH134)</f>
        <v>21.407000000000028</v>
      </c>
      <c r="BI138" s="42">
        <f t="shared" si="323"/>
        <v>-79.575617063094498</v>
      </c>
      <c r="BL138" s="794">
        <f>SUM(BL132:BL134)</f>
        <v>60.26500000000005</v>
      </c>
      <c r="BM138" s="42">
        <f t="shared" si="324"/>
        <v>181.52006353062066</v>
      </c>
      <c r="BP138" s="794">
        <f>SUM(BP132:BP134)</f>
        <v>94.003</v>
      </c>
      <c r="BQ138" s="42">
        <f t="shared" si="325"/>
        <v>55.982742885588507</v>
      </c>
      <c r="BT138" s="794">
        <f>SUM(BT132:BT134)</f>
        <v>117.8370000000001</v>
      </c>
      <c r="BU138" s="42">
        <f t="shared" si="326"/>
        <v>25.354509962448123</v>
      </c>
      <c r="BX138" s="794">
        <f>SUM(BX132:BX134)</f>
        <v>148.69699999999995</v>
      </c>
      <c r="BY138" s="42">
        <f t="shared" si="327"/>
        <v>26.188718314281445</v>
      </c>
      <c r="CB138" s="794">
        <f>SUM(CB132:CB134)</f>
        <v>130.49699999999996</v>
      </c>
      <c r="CC138" s="42">
        <f t="shared" si="328"/>
        <v>-12.239655137628869</v>
      </c>
      <c r="CF138" s="794">
        <f>SUM(CF132:CF134)</f>
        <v>103.38600000000005</v>
      </c>
      <c r="CG138" s="42">
        <f t="shared" si="329"/>
        <v>-20.77519023425819</v>
      </c>
      <c r="CJ138" s="794">
        <f>SUM(CJ132:CJ134)</f>
        <v>97.999749999999963</v>
      </c>
      <c r="CK138" s="42">
        <f t="shared" si="330"/>
        <v>-5.2098446598186303</v>
      </c>
      <c r="CN138" s="794">
        <f>SUM(CN132:CN134)</f>
        <v>92.075999999999979</v>
      </c>
      <c r="CO138" s="42">
        <f t="shared" si="331"/>
        <v>-6.0446582771894741</v>
      </c>
      <c r="CR138" s="794">
        <f>SUM(CR132:CR134)</f>
        <v>71.353000000000023</v>
      </c>
      <c r="CS138" s="42">
        <f t="shared" si="332"/>
        <v>-22.506407750119429</v>
      </c>
      <c r="CV138" s="794">
        <f>SUM(CV132:CV134)</f>
        <v>81.264711200933945</v>
      </c>
      <c r="CW138" s="42">
        <f t="shared" si="333"/>
        <v>13.891092457127119</v>
      </c>
    </row>
    <row r="139" spans="1:106" collapsed="1">
      <c r="BD139" s="929"/>
      <c r="BP139" s="798"/>
      <c r="BQ139" s="798"/>
      <c r="BT139" s="798"/>
    </row>
    <row r="140" spans="1:106">
      <c r="AK140" s="923"/>
      <c r="AL140" s="923"/>
      <c r="AM140" s="923"/>
      <c r="AN140" s="923"/>
      <c r="AO140" s="923"/>
      <c r="AP140" s="923"/>
      <c r="AQ140" s="923"/>
      <c r="AR140" s="923"/>
      <c r="AS140" s="923"/>
      <c r="AT140" s="923"/>
      <c r="AU140" s="923"/>
      <c r="AV140" s="923" t="s">
        <v>232</v>
      </c>
      <c r="AW140" s="923"/>
      <c r="AX140" s="923"/>
      <c r="AY140" s="923"/>
      <c r="AZ140" s="923"/>
      <c r="BA140" s="923"/>
      <c r="BB140" s="923"/>
      <c r="BC140" s="923"/>
      <c r="BD140" s="923"/>
      <c r="BE140" s="923"/>
      <c r="BF140" s="923"/>
      <c r="BG140" s="923"/>
      <c r="BH140" s="923"/>
      <c r="BI140" s="923"/>
      <c r="BJ140" s="923"/>
      <c r="BK140" s="923"/>
      <c r="BL140" s="923"/>
      <c r="BM140" s="923"/>
      <c r="BN140" s="923"/>
      <c r="BO140" s="923"/>
      <c r="BP140" s="923"/>
      <c r="BQ140" s="923"/>
      <c r="BR140" s="923"/>
      <c r="BS140" s="923"/>
      <c r="BU140" s="923"/>
      <c r="BV140" s="923"/>
      <c r="BW140" s="923"/>
      <c r="BX140" s="923"/>
      <c r="BY140" s="923"/>
      <c r="BZ140" s="923"/>
      <c r="CA140" s="923"/>
      <c r="CB140" s="925" t="str">
        <f>+AV140</f>
        <v>Loss on discontinued operations, net of tax</v>
      </c>
      <c r="CC140" s="923"/>
      <c r="CD140" s="923"/>
      <c r="CE140" s="923"/>
      <c r="CF140" s="923"/>
      <c r="CG140" s="923"/>
      <c r="CH140" s="923"/>
      <c r="CI140" s="923"/>
      <c r="CJ140" s="923"/>
      <c r="CK140" s="923"/>
      <c r="CL140" s="923"/>
      <c r="CM140" s="923"/>
      <c r="CN140" s="923"/>
      <c r="CO140" s="923"/>
      <c r="CP140" s="923"/>
      <c r="CQ140" s="923"/>
      <c r="CR140" s="923"/>
      <c r="CS140" s="923"/>
      <c r="CT140" s="923"/>
      <c r="CU140" s="923"/>
      <c r="CV140" s="923"/>
      <c r="CW140" s="923"/>
      <c r="CX140" s="923"/>
      <c r="CY140" s="923"/>
      <c r="CZ140" s="107"/>
      <c r="DA140" s="923"/>
    </row>
    <row r="141" spans="1:106">
      <c r="A141" s="26" t="str">
        <f>$A$10</f>
        <v>1Q</v>
      </c>
      <c r="B141" s="26" t="str">
        <f>$B$10</f>
        <v>Apr</v>
      </c>
      <c r="AZ141" s="800">
        <v>0.496</v>
      </c>
      <c r="BA141" s="869">
        <f t="shared" ref="BA141:BA147" si="334">AZ141/AZ10*100</f>
        <v>0.12696364897622758</v>
      </c>
      <c r="BD141" s="800">
        <v>1.9850000000000001</v>
      </c>
      <c r="BE141" s="869">
        <f t="shared" ref="BE141:BE147" si="335">BD141/BD10*100</f>
        <v>0.43810473903524255</v>
      </c>
      <c r="BH141" s="800">
        <v>0</v>
      </c>
      <c r="BI141" s="869">
        <f t="shared" ref="BI141:BI147" si="336">BH141/BH10*100</f>
        <v>0</v>
      </c>
      <c r="BL141" s="800">
        <v>5.0999999999999996</v>
      </c>
      <c r="BM141" s="869">
        <f t="shared" ref="BM141:BM147" si="337">BL141/BL10*100</f>
        <v>1.2419546905706416</v>
      </c>
      <c r="BP141" s="800">
        <v>0</v>
      </c>
      <c r="BQ141" s="869">
        <f t="shared" ref="BQ141:BQ147" si="338">BP141/BP10*100</f>
        <v>0</v>
      </c>
      <c r="BT141" s="800">
        <v>0</v>
      </c>
      <c r="BU141" s="869">
        <f t="shared" ref="BU141:BU147" si="339">BT141/BT10*100</f>
        <v>0</v>
      </c>
      <c r="BX141" s="800">
        <v>0</v>
      </c>
      <c r="BY141" s="869">
        <f t="shared" ref="BY141:BY147" si="340">BX141/BX10*100</f>
        <v>0</v>
      </c>
      <c r="CB141" s="800">
        <v>0</v>
      </c>
      <c r="CC141" s="869">
        <f t="shared" ref="CC141:CC147" si="341">CB141/CB10*100</f>
        <v>0</v>
      </c>
      <c r="CF141" s="800">
        <v>0</v>
      </c>
      <c r="CG141" s="869">
        <f t="shared" ref="CG141:CG147" si="342">CF141/CF10*100</f>
        <v>0</v>
      </c>
      <c r="CJ141" s="800">
        <v>0</v>
      </c>
      <c r="CK141" s="869">
        <f t="shared" ref="CK141:CK147" si="343">CJ141/CJ10*100</f>
        <v>0</v>
      </c>
      <c r="CN141" s="800">
        <v>0</v>
      </c>
      <c r="CO141" s="869">
        <f t="shared" ref="CO141:CO147" si="344">CN141/CN10*100</f>
        <v>0</v>
      </c>
      <c r="CR141" s="800">
        <v>0</v>
      </c>
      <c r="CS141" s="869">
        <f t="shared" ref="CS141:CS147" si="345">CR141/CR10*100</f>
        <v>0</v>
      </c>
      <c r="CV141" s="800">
        <v>0</v>
      </c>
      <c r="CW141" s="869">
        <f t="shared" ref="CW141:CW147" si="346">CV141/CV10*100</f>
        <v>0</v>
      </c>
      <c r="DB141" s="929"/>
    </row>
    <row r="142" spans="1:106">
      <c r="A142" s="26" t="str">
        <f>$A$11</f>
        <v>2Q</v>
      </c>
      <c r="B142" s="26" t="str">
        <f>$B$11</f>
        <v>Jul</v>
      </c>
      <c r="AZ142" s="854">
        <v>0.627</v>
      </c>
      <c r="BA142" s="869">
        <f t="shared" si="334"/>
        <v>0.15542346076239297</v>
      </c>
      <c r="BD142" s="854">
        <v>8.2000000000000003E-2</v>
      </c>
      <c r="BE142" s="869">
        <f t="shared" si="335"/>
        <v>1.8806088585850943E-2</v>
      </c>
      <c r="BH142" s="854">
        <v>0</v>
      </c>
      <c r="BI142" s="869">
        <f t="shared" si="336"/>
        <v>0</v>
      </c>
      <c r="BL142" s="854">
        <f>4.968-1.9</f>
        <v>3.0680000000000001</v>
      </c>
      <c r="BM142" s="869">
        <f t="shared" si="337"/>
        <v>0.73062405486824711</v>
      </c>
      <c r="BN142" s="798"/>
      <c r="BP142" s="854">
        <v>0</v>
      </c>
      <c r="BQ142" s="869">
        <f t="shared" si="338"/>
        <v>0</v>
      </c>
      <c r="BT142" s="854">
        <v>0</v>
      </c>
      <c r="BU142" s="869">
        <f t="shared" si="339"/>
        <v>0</v>
      </c>
      <c r="BX142" s="854">
        <v>0</v>
      </c>
      <c r="BY142" s="869">
        <f t="shared" si="340"/>
        <v>0</v>
      </c>
      <c r="CB142" s="854">
        <v>0</v>
      </c>
      <c r="CC142" s="869">
        <f t="shared" si="341"/>
        <v>0</v>
      </c>
      <c r="CF142" s="854">
        <v>0</v>
      </c>
      <c r="CG142" s="869">
        <f t="shared" si="342"/>
        <v>0</v>
      </c>
      <c r="CJ142" s="854">
        <v>0</v>
      </c>
      <c r="CK142" s="869">
        <f t="shared" si="343"/>
        <v>0</v>
      </c>
      <c r="CN142" s="854">
        <v>0</v>
      </c>
      <c r="CO142" s="869">
        <f t="shared" si="344"/>
        <v>0</v>
      </c>
      <c r="CR142" s="854">
        <v>0</v>
      </c>
      <c r="CS142" s="869">
        <f t="shared" si="345"/>
        <v>0</v>
      </c>
      <c r="CV142" s="854">
        <v>0</v>
      </c>
      <c r="CW142" s="869">
        <f t="shared" si="346"/>
        <v>0</v>
      </c>
    </row>
    <row r="143" spans="1:106">
      <c r="A143" s="26" t="str">
        <f>$A$12</f>
        <v>3Q</v>
      </c>
      <c r="B143" s="26" t="str">
        <f>$B$12</f>
        <v>Oct</v>
      </c>
      <c r="AZ143" s="854">
        <v>0.77100000000000002</v>
      </c>
      <c r="BA143" s="869">
        <f t="shared" si="334"/>
        <v>0.19168661848396024</v>
      </c>
      <c r="BD143" s="854">
        <f>-6.833+0.166</f>
        <v>-6.6669999999999998</v>
      </c>
      <c r="BE143" s="869">
        <f t="shared" si="335"/>
        <v>-1.6029794692640047</v>
      </c>
      <c r="BH143" s="854">
        <v>0</v>
      </c>
      <c r="BI143" s="869">
        <f t="shared" si="336"/>
        <v>0</v>
      </c>
      <c r="BL143" s="854">
        <v>0</v>
      </c>
      <c r="BM143" s="869">
        <f t="shared" si="337"/>
        <v>0</v>
      </c>
      <c r="BP143" s="854">
        <v>0</v>
      </c>
      <c r="BQ143" s="869">
        <f t="shared" si="338"/>
        <v>0</v>
      </c>
      <c r="BT143" s="854">
        <v>0</v>
      </c>
      <c r="BU143" s="869">
        <f t="shared" si="339"/>
        <v>0</v>
      </c>
      <c r="BX143" s="854">
        <v>0</v>
      </c>
      <c r="BY143" s="869">
        <f t="shared" si="340"/>
        <v>0</v>
      </c>
      <c r="CB143" s="854">
        <v>0</v>
      </c>
      <c r="CC143" s="869">
        <f t="shared" si="341"/>
        <v>0</v>
      </c>
      <c r="CF143" s="854">
        <v>-2.4500000000000002</v>
      </c>
      <c r="CG143" s="869">
        <f t="shared" si="342"/>
        <v>-0.37955014786963931</v>
      </c>
      <c r="CJ143" s="854">
        <v>-3.5019999999999998</v>
      </c>
      <c r="CK143" s="869">
        <f t="shared" si="343"/>
        <v>-0.55876885765116036</v>
      </c>
      <c r="CN143" s="854">
        <v>0</v>
      </c>
      <c r="CO143" s="869">
        <f t="shared" si="344"/>
        <v>0</v>
      </c>
      <c r="CR143" s="854">
        <v>0</v>
      </c>
      <c r="CS143" s="869">
        <f t="shared" si="345"/>
        <v>0</v>
      </c>
      <c r="CV143" s="854">
        <v>0</v>
      </c>
      <c r="CW143" s="869">
        <f t="shared" si="346"/>
        <v>0</v>
      </c>
    </row>
    <row r="144" spans="1:106">
      <c r="A144" s="26" t="str">
        <f>$A$13</f>
        <v>4Q</v>
      </c>
      <c r="B144" s="26" t="str">
        <f>$B$13</f>
        <v>Jan</v>
      </c>
      <c r="AZ144" s="860">
        <v>6.16</v>
      </c>
      <c r="BA144" s="869">
        <f t="shared" si="334"/>
        <v>1.385418470596967</v>
      </c>
      <c r="BD144" s="860">
        <v>0.04</v>
      </c>
      <c r="BE144" s="869">
        <f t="shared" si="335"/>
        <v>9.7728544308900381E-3</v>
      </c>
      <c r="BH144" s="860">
        <f>-9.1-6.6</f>
        <v>-15.7</v>
      </c>
      <c r="BI144" s="869">
        <f t="shared" si="336"/>
        <v>-4.20484280047887</v>
      </c>
      <c r="BL144" s="860">
        <v>1.2849999999999999</v>
      </c>
      <c r="BM144" s="869">
        <f t="shared" si="337"/>
        <v>0.29490739678241107</v>
      </c>
      <c r="BP144" s="860">
        <v>0.13300000000000001</v>
      </c>
      <c r="BQ144" s="869">
        <f t="shared" si="338"/>
        <v>2.8001532715474953E-2</v>
      </c>
      <c r="BT144" s="860">
        <v>1.8340000000000001</v>
      </c>
      <c r="BU144" s="869">
        <f t="shared" si="339"/>
        <v>0.32220264332659299</v>
      </c>
      <c r="BV144" s="930"/>
      <c r="BX144" s="860">
        <v>0</v>
      </c>
      <c r="BY144" s="869">
        <f t="shared" si="340"/>
        <v>0</v>
      </c>
      <c r="CB144" s="860">
        <v>0</v>
      </c>
      <c r="CC144" s="869">
        <f t="shared" si="341"/>
        <v>0</v>
      </c>
      <c r="CF144" s="860">
        <v>0</v>
      </c>
      <c r="CG144" s="869">
        <f t="shared" si="342"/>
        <v>0</v>
      </c>
      <c r="CJ144" s="860">
        <v>0</v>
      </c>
      <c r="CK144" s="869">
        <f t="shared" si="343"/>
        <v>0</v>
      </c>
      <c r="CN144" s="860">
        <v>0</v>
      </c>
      <c r="CO144" s="869">
        <f t="shared" si="344"/>
        <v>0</v>
      </c>
      <c r="CR144" s="860">
        <v>0</v>
      </c>
      <c r="CS144" s="869">
        <f t="shared" si="345"/>
        <v>0</v>
      </c>
      <c r="CV144" s="860">
        <v>0</v>
      </c>
      <c r="CW144" s="869">
        <f t="shared" si="346"/>
        <v>0</v>
      </c>
    </row>
    <row r="145" spans="1:116">
      <c r="B145" s="26" t="str">
        <f>$B$14</f>
        <v>Year</v>
      </c>
      <c r="AZ145" s="798">
        <f>SUM(AZ141:AZ144)</f>
        <v>8.0540000000000003</v>
      </c>
      <c r="BA145" s="869">
        <f t="shared" si="334"/>
        <v>0.49082012789112495</v>
      </c>
      <c r="BD145" s="798">
        <f>SUM(BD141:BD144)</f>
        <v>-4.5599999999999996</v>
      </c>
      <c r="BE145" s="869">
        <f t="shared" si="335"/>
        <v>-0.26599359398761147</v>
      </c>
      <c r="BH145" s="798">
        <f>SUM(BH141:BH144)</f>
        <v>-15.7</v>
      </c>
      <c r="BI145" s="869">
        <f t="shared" si="336"/>
        <v>-0.99216129382888318</v>
      </c>
      <c r="BL145" s="798">
        <f>SUM(BL141:BL144)</f>
        <v>9.4529999999999994</v>
      </c>
      <c r="BM145" s="869">
        <f t="shared" si="337"/>
        <v>0.55179023915580117</v>
      </c>
      <c r="BP145" s="798">
        <f>SUM(BP141:BP144)</f>
        <v>0.13300000000000001</v>
      </c>
      <c r="BQ145" s="869">
        <f t="shared" si="338"/>
        <v>6.9816859354199304E-3</v>
      </c>
      <c r="BT145" s="798">
        <f>SUM(BT141:BT144)</f>
        <v>1.8340000000000001</v>
      </c>
      <c r="BU145" s="869">
        <f t="shared" si="339"/>
        <v>8.3501793877142183E-2</v>
      </c>
      <c r="BX145" s="798">
        <f>SUM(BX141:BX144)</f>
        <v>0</v>
      </c>
      <c r="BY145" s="869">
        <f t="shared" si="340"/>
        <v>0</v>
      </c>
      <c r="CB145" s="798">
        <f>SUM(CB141:CB144)</f>
        <v>0</v>
      </c>
      <c r="CC145" s="869">
        <f t="shared" si="341"/>
        <v>0</v>
      </c>
      <c r="CF145" s="798">
        <f>SUM(CF141:CF144)</f>
        <v>-2.4500000000000002</v>
      </c>
      <c r="CG145" s="869">
        <f t="shared" si="342"/>
        <v>-9.4582397482332395E-2</v>
      </c>
      <c r="CJ145" s="798">
        <f>SUM(CJ141:CJ144)</f>
        <v>-3.5019999999999998</v>
      </c>
      <c r="CK145" s="869">
        <f t="shared" si="343"/>
        <v>-0.13607472219696562</v>
      </c>
      <c r="CN145" s="798">
        <f>SUM(CN141:CN144)</f>
        <v>0</v>
      </c>
      <c r="CO145" s="869">
        <f t="shared" si="344"/>
        <v>0</v>
      </c>
      <c r="CR145" s="798">
        <f>SUM(CR141:CR144)</f>
        <v>0</v>
      </c>
      <c r="CS145" s="869">
        <f t="shared" si="345"/>
        <v>0</v>
      </c>
      <c r="CV145" s="798">
        <f>SUM(CV141:CV144)</f>
        <v>0</v>
      </c>
      <c r="CW145" s="869">
        <f t="shared" si="346"/>
        <v>0</v>
      </c>
    </row>
    <row r="146" spans="1:116" outlineLevel="1">
      <c r="A146" s="26" t="str">
        <f>$A$15</f>
        <v>6 Mos</v>
      </c>
      <c r="AZ146" s="794">
        <f>SUM(AZ141:AZ142)</f>
        <v>1.123</v>
      </c>
      <c r="BA146" s="869">
        <f t="shared" si="334"/>
        <v>0.14142205352881396</v>
      </c>
      <c r="BD146" s="794">
        <f>SUM(BD141:BD142)</f>
        <v>2.0670000000000002</v>
      </c>
      <c r="BE146" s="869">
        <f t="shared" si="335"/>
        <v>0.23247784037421398</v>
      </c>
      <c r="BH146" s="794">
        <f>SUM(BH141:BH142)</f>
        <v>0</v>
      </c>
      <c r="BI146" s="869">
        <f t="shared" si="336"/>
        <v>0</v>
      </c>
      <c r="BL146" s="794">
        <f>SUM(BL141:BL142)</f>
        <v>8.1679999999999993</v>
      </c>
      <c r="BM146" s="869">
        <f t="shared" si="337"/>
        <v>0.98343523269898059</v>
      </c>
      <c r="BP146" s="794">
        <f>SUM(BP141:BP142)</f>
        <v>0</v>
      </c>
      <c r="BQ146" s="869">
        <f t="shared" si="338"/>
        <v>0</v>
      </c>
      <c r="BT146" s="794">
        <f>SUM(BT141:BT142)</f>
        <v>0</v>
      </c>
      <c r="BU146" s="869">
        <f t="shared" si="339"/>
        <v>0</v>
      </c>
      <c r="BX146" s="794">
        <f>SUM(BX141:BX142)</f>
        <v>0</v>
      </c>
      <c r="BY146" s="869">
        <f t="shared" si="340"/>
        <v>0</v>
      </c>
      <c r="CB146" s="794">
        <f>SUM(CB141:CB142)</f>
        <v>0</v>
      </c>
      <c r="CC146" s="869">
        <f t="shared" si="341"/>
        <v>0</v>
      </c>
      <c r="CF146" s="794">
        <f>SUM(CF141:CF142)</f>
        <v>0</v>
      </c>
      <c r="CG146" s="869">
        <f t="shared" si="342"/>
        <v>0</v>
      </c>
      <c r="CJ146" s="794">
        <f>SUM(CJ141:CJ142)</f>
        <v>0</v>
      </c>
      <c r="CK146" s="869">
        <f t="shared" si="343"/>
        <v>0</v>
      </c>
      <c r="CN146" s="794">
        <f>SUM(CN141:CN142)</f>
        <v>0</v>
      </c>
      <c r="CO146" s="869">
        <f t="shared" si="344"/>
        <v>0</v>
      </c>
      <c r="CR146" s="794">
        <f>SUM(CR141:CR142)</f>
        <v>0</v>
      </c>
      <c r="CS146" s="869">
        <f t="shared" si="345"/>
        <v>0</v>
      </c>
      <c r="CV146" s="794">
        <f>SUM(CV141:CV142)</f>
        <v>0</v>
      </c>
      <c r="CW146" s="869">
        <f t="shared" si="346"/>
        <v>0</v>
      </c>
    </row>
    <row r="147" spans="1:116" outlineLevel="1">
      <c r="A147" s="26" t="str">
        <f>$A$16</f>
        <v>9 Mos</v>
      </c>
      <c r="AZ147" s="794">
        <f>SUM(AZ141:AZ143)</f>
        <v>1.8940000000000001</v>
      </c>
      <c r="BA147" s="869">
        <f t="shared" si="334"/>
        <v>0.15832202063703299</v>
      </c>
      <c r="BD147" s="794">
        <f>SUM(BD141:BD143)</f>
        <v>-4.5999999999999996</v>
      </c>
      <c r="BE147" s="869">
        <f t="shared" si="335"/>
        <v>-0.35248231841413602</v>
      </c>
      <c r="BH147" s="794">
        <f>SUM(BH141:BH143)</f>
        <v>0</v>
      </c>
      <c r="BI147" s="869">
        <f t="shared" si="336"/>
        <v>0</v>
      </c>
      <c r="BL147" s="794">
        <f>SUM(BL141:BL143)</f>
        <v>8.1679999999999993</v>
      </c>
      <c r="BM147" s="869">
        <f t="shared" si="337"/>
        <v>0.6394133179272925</v>
      </c>
      <c r="BP147" s="794">
        <f>SUM(BP141:BP143)</f>
        <v>0</v>
      </c>
      <c r="BQ147" s="869">
        <f t="shared" si="338"/>
        <v>0</v>
      </c>
      <c r="BT147" s="794">
        <f>SUM(BT141:BT143)</f>
        <v>0</v>
      </c>
      <c r="BU147" s="869">
        <f t="shared" si="339"/>
        <v>0</v>
      </c>
      <c r="BX147" s="794">
        <f>SUM(BX141:BX143)</f>
        <v>0</v>
      </c>
      <c r="BY147" s="869">
        <f t="shared" si="340"/>
        <v>0</v>
      </c>
      <c r="CB147" s="794">
        <f>SUM(CB141:CB143)</f>
        <v>0</v>
      </c>
      <c r="CC147" s="869">
        <f t="shared" si="341"/>
        <v>0</v>
      </c>
      <c r="CF147" s="794">
        <f>SUM(CF141:CF143)</f>
        <v>-2.4500000000000002</v>
      </c>
      <c r="CG147" s="869">
        <f t="shared" si="342"/>
        <v>-0.12539717636268344</v>
      </c>
      <c r="CJ147" s="794">
        <f>SUM(CJ141:CJ143)</f>
        <v>-3.5019999999999998</v>
      </c>
      <c r="CK147" s="869">
        <f t="shared" si="343"/>
        <v>-0.17878968268149806</v>
      </c>
      <c r="CN147" s="794">
        <f>SUM(CN141:CN143)</f>
        <v>0</v>
      </c>
      <c r="CO147" s="869">
        <f t="shared" si="344"/>
        <v>0</v>
      </c>
      <c r="CR147" s="794">
        <f>SUM(CR141:CR143)</f>
        <v>0</v>
      </c>
      <c r="CS147" s="869">
        <f t="shared" si="345"/>
        <v>0</v>
      </c>
      <c r="CV147" s="794">
        <f>SUM(CV141:CV143)</f>
        <v>0</v>
      </c>
      <c r="CW147" s="869">
        <f t="shared" si="346"/>
        <v>0</v>
      </c>
    </row>
    <row r="148" spans="1:116">
      <c r="BD148" s="929"/>
      <c r="BP148" s="930"/>
      <c r="BT148" s="930"/>
    </row>
    <row r="149" spans="1:116">
      <c r="C149" s="837"/>
      <c r="D149" s="837"/>
      <c r="H149" s="923"/>
      <c r="I149" s="840"/>
      <c r="J149" s="840"/>
      <c r="K149" s="840"/>
      <c r="L149" s="923"/>
      <c r="M149" s="840"/>
      <c r="N149" s="840"/>
      <c r="O149" s="840"/>
      <c r="P149" s="923"/>
      <c r="Q149" s="840"/>
      <c r="R149" s="840"/>
      <c r="S149" s="840"/>
      <c r="T149" s="923"/>
      <c r="U149" s="840"/>
      <c r="V149" s="840"/>
      <c r="W149" s="840"/>
      <c r="Y149" s="840"/>
      <c r="Z149" s="840"/>
      <c r="AA149" s="840"/>
      <c r="AC149" s="840"/>
      <c r="AD149" s="840"/>
      <c r="AE149" s="840"/>
      <c r="AF149" s="923"/>
      <c r="AG149" s="840"/>
      <c r="AH149" s="840"/>
      <c r="AI149" s="840"/>
      <c r="AK149" s="840"/>
      <c r="AL149" s="840"/>
      <c r="AM149" s="840"/>
      <c r="AN149" s="923"/>
      <c r="AO149" s="840"/>
      <c r="AP149" s="840"/>
      <c r="AQ149" s="840"/>
      <c r="AR149" s="923"/>
      <c r="AS149" s="840"/>
      <c r="AT149" s="840"/>
      <c r="AU149" s="840"/>
      <c r="AV149" s="923" t="s">
        <v>550</v>
      </c>
      <c r="AW149" s="840"/>
      <c r="AX149" s="840"/>
      <c r="AY149" s="840"/>
      <c r="AZ149" s="923"/>
      <c r="BA149" s="840"/>
      <c r="BB149" s="840"/>
      <c r="BC149" s="840"/>
      <c r="BD149" s="923"/>
      <c r="BE149" s="840"/>
      <c r="BF149" s="840"/>
      <c r="BG149" s="840"/>
      <c r="BH149" s="923"/>
      <c r="BI149" s="840"/>
      <c r="BJ149" s="840"/>
      <c r="BK149" s="840"/>
      <c r="BL149" s="923"/>
      <c r="BM149" s="840"/>
      <c r="BN149" s="840"/>
      <c r="BO149" s="840"/>
      <c r="BP149" s="923"/>
      <c r="BQ149" s="840"/>
      <c r="BR149" s="840"/>
      <c r="BS149" s="840"/>
      <c r="BU149" s="840"/>
      <c r="BV149" s="840"/>
      <c r="BW149" s="840"/>
      <c r="BX149" s="923"/>
      <c r="BY149" s="840"/>
      <c r="BZ149" s="840"/>
      <c r="CA149" s="840"/>
      <c r="CB149" s="925" t="str">
        <f>+AV149</f>
        <v>10.  Earnings Per Share -- Fully Diluted   (% Change)</v>
      </c>
      <c r="CC149" s="840"/>
      <c r="CD149" s="840"/>
      <c r="CE149" s="840"/>
      <c r="CF149" s="840"/>
      <c r="CG149" s="840"/>
      <c r="CH149" s="840"/>
      <c r="CI149" s="840"/>
      <c r="CJ149" s="840"/>
      <c r="CK149" s="840"/>
      <c r="CL149" s="840"/>
      <c r="CM149" s="840"/>
      <c r="CN149" s="840"/>
      <c r="CO149" s="840"/>
      <c r="CP149" s="840"/>
      <c r="CQ149" s="840"/>
      <c r="CR149" s="840"/>
      <c r="CS149" s="840"/>
      <c r="CT149" s="840"/>
      <c r="CU149" s="840"/>
      <c r="CV149" s="840"/>
      <c r="CW149" s="840"/>
      <c r="CX149" s="840"/>
      <c r="CY149" s="840"/>
      <c r="DA149" s="840"/>
      <c r="DB149" s="122"/>
      <c r="DC149" s="931">
        <v>2010</v>
      </c>
      <c r="DE149" s="931">
        <v>2011</v>
      </c>
      <c r="DI149" s="931">
        <v>2009</v>
      </c>
      <c r="DK149" s="931">
        <v>2009</v>
      </c>
    </row>
    <row r="150" spans="1:116">
      <c r="DB150" s="122"/>
      <c r="DC150" s="931"/>
      <c r="DD150" s="931"/>
      <c r="DE150" s="931"/>
      <c r="DF150" s="932"/>
      <c r="DG150" s="932"/>
      <c r="DH150" s="46"/>
      <c r="DI150" s="931"/>
      <c r="DJ150" s="931"/>
      <c r="DK150" s="931" t="s">
        <v>502</v>
      </c>
      <c r="DL150" s="46"/>
    </row>
    <row r="151" spans="1:116">
      <c r="A151" s="26" t="str">
        <f>$A$10</f>
        <v>1Q</v>
      </c>
      <c r="B151" s="26" t="str">
        <f>$B$10</f>
        <v>Apr</v>
      </c>
      <c r="D151" s="320">
        <f>D132/D171</f>
        <v>1.3820881423107612E-2</v>
      </c>
      <c r="E151" s="42"/>
      <c r="H151" s="320">
        <f>H132/H171</f>
        <v>1.9563486076643764E-3</v>
      </c>
      <c r="I151" s="42">
        <f t="shared" ref="I151:I157" si="347">IF(D151&lt;0,"       NM",(H151/D151-1)*100)</f>
        <v>-85.844979435294988</v>
      </c>
      <c r="L151" s="320">
        <f>L132/L171</f>
        <v>1.1244463883802142E-2</v>
      </c>
      <c r="M151" s="42">
        <f t="shared" ref="M151:M157" si="348">IF(H151&lt;0,"       NM",(L151/H151-1)*100)</f>
        <v>474.767903826024</v>
      </c>
      <c r="P151" s="320">
        <f>P132/P171</f>
        <v>7.0638212162730165E-3</v>
      </c>
      <c r="Q151" s="42">
        <f t="shared" ref="Q151:Q157" si="349">IF(L151&lt;0,"       NM",(P151/L151-1)*100)</f>
        <v>-37.179564190262717</v>
      </c>
      <c r="T151" s="320">
        <f>T132/T171</f>
        <v>1.5691460495739641E-2</v>
      </c>
      <c r="U151" s="42">
        <f t="shared" ref="U151:U157" si="350">IF(P151&lt;0,"       NM",(T151/P151-1)*100)</f>
        <v>122.13841510584977</v>
      </c>
      <c r="X151" s="320">
        <f>X132/X171</f>
        <v>2.669478612125609E-2</v>
      </c>
      <c r="Y151" s="42">
        <f t="shared" ref="Y151:Y157" si="351">IF(T151&lt;0,"       NM",(X151/T151-1)*100)</f>
        <v>70.12301772995535</v>
      </c>
      <c r="AB151" s="320">
        <f>AB132/AB171</f>
        <v>4.6544745058398229E-2</v>
      </c>
      <c r="AC151" s="42">
        <f t="shared" ref="AC151:AC157" si="352">IF(X151&lt;0,"       NM",(AB151/X151-1)*100)</f>
        <v>74.358936037087545</v>
      </c>
      <c r="AF151" s="320">
        <f>AF132/AF171</f>
        <v>7.4686614489504671E-2</v>
      </c>
      <c r="AG151" s="42">
        <f t="shared" ref="AG151:AG157" si="353">IF(AB151&lt;0,"       NM",(AF151/AB151-1)*100)</f>
        <v>60.461969220795432</v>
      </c>
      <c r="AJ151" s="320">
        <f>AJ132/AJ171</f>
        <v>0.11589816835812566</v>
      </c>
      <c r="AK151" s="42">
        <f t="shared" ref="AK151:AK157" si="354">IF(AF151&lt;0,"       NM",(AJ151/AF151-1)*100)</f>
        <v>55.17930374848126</v>
      </c>
      <c r="AN151" s="320">
        <f>AN132/AN171</f>
        <v>0.13401369522115697</v>
      </c>
      <c r="AO151" s="42">
        <f t="shared" ref="AO151:AO157" si="355">IF(AJ151&lt;0,"       NM",(AN151/AJ151-1)*100)</f>
        <v>15.630554925643247</v>
      </c>
      <c r="AR151" s="320">
        <f>AR132/AR171</f>
        <v>0.19862884002762371</v>
      </c>
      <c r="AS151" s="42">
        <f t="shared" ref="AS151:AS157" si="356">IF(AN151&lt;0,"       NM",(AR151/AN151-1)*100)</f>
        <v>48.215329560038754</v>
      </c>
      <c r="AV151" s="320">
        <f>AV132/AV171</f>
        <v>0.26022284337561957</v>
      </c>
      <c r="AW151" s="42">
        <f t="shared" ref="AW151:AW157" si="357">IF(AR151&lt;0,"       NM",(AV151/AR151-1)*100)</f>
        <v>31.009597266655664</v>
      </c>
      <c r="AX151" s="315"/>
      <c r="AZ151" s="320">
        <f>AZ132/AZ171</f>
        <v>0.28684660472077939</v>
      </c>
      <c r="BA151" s="42">
        <f t="shared" ref="BA151:BA157" si="358">IF(AV151&lt;0,"       NM",(AZ151/AV151-1)*100)</f>
        <v>10.231139203536266</v>
      </c>
      <c r="BB151" s="933"/>
      <c r="BD151" s="320">
        <f>BD132/BD171</f>
        <v>0.27828081202752053</v>
      </c>
      <c r="BE151" s="42">
        <f t="shared" ref="BE151:BE157" si="359">IF(AZ151&lt;0,"       NM",(BD151/AZ151-1)*100)</f>
        <v>-2.9861928125650694</v>
      </c>
      <c r="BF151" s="236"/>
      <c r="BH151" s="320">
        <f>BH132/BH171</f>
        <v>7.2115139534752085E-2</v>
      </c>
      <c r="BI151" s="42">
        <f t="shared" ref="BI151:BI157" si="360">IF(BD151&lt;0,"       NM",(BH151/BD151-1)*100)</f>
        <v>-74.085478977393421</v>
      </c>
      <c r="BL151" s="320">
        <f>BL132/BL171</f>
        <v>0.11000495238952787</v>
      </c>
      <c r="BM151" s="42">
        <f t="shared" ref="BM151:BM157" si="361">IF(BH151&lt;0,"       NM",(BL151/BH151-1)*100)</f>
        <v>52.540719049037946</v>
      </c>
      <c r="BP151" s="320">
        <f>BP132/BP171</f>
        <v>0.196714252962261</v>
      </c>
      <c r="BQ151" s="42">
        <f t="shared" ref="BQ151:BQ157" si="362">IF(BL151&lt;0,"       NM",(BP151/BL151-1)*100)</f>
        <v>78.823088133064445</v>
      </c>
      <c r="BR151" s="934"/>
      <c r="BT151" s="320">
        <f>BT132/BT171</f>
        <v>0.25768261106568574</v>
      </c>
      <c r="BU151" s="42">
        <f t="shared" ref="BU151:BU157" si="363">IF(BP151&lt;0,"       NM",(BT151/BP151-1)*100)</f>
        <v>30.993360768383837</v>
      </c>
      <c r="BV151" s="934"/>
      <c r="BX151" s="320">
        <f>(BX132)/BX171</f>
        <v>0.31976518652028202</v>
      </c>
      <c r="BY151" s="42">
        <f t="shared" ref="BY151:BY157" si="364">IF(BT151&lt;0,"       NM",(BX151/BT151-1)*100)</f>
        <v>24.092652273990979</v>
      </c>
      <c r="BZ151" s="934"/>
      <c r="CB151" s="320">
        <f>(CB132)/CB171</f>
        <v>0.32044178116537964</v>
      </c>
      <c r="CC151" s="42">
        <f t="shared" ref="CC151:CC157" si="365">IF(BX151&lt;0,"       NM",(CB151/BX151-1)*100)</f>
        <v>0.21159109046873237</v>
      </c>
      <c r="CF151" s="824">
        <f>(CF132)/CF171</f>
        <v>0.27768625783824008</v>
      </c>
      <c r="CG151" s="1207">
        <f t="shared" ref="CG151:CG157" si="366">IF(CB151&lt;0,"       NM",(CF151/CB151-1)*100)</f>
        <v>-13.342680586672151</v>
      </c>
      <c r="CJ151" s="824">
        <f>(CJ132)/CJ171</f>
        <v>0.30063044703034664</v>
      </c>
      <c r="CK151" s="42">
        <f t="shared" ref="CK151:CK157" si="367">IF(CF151&lt;0,"       NM",(CJ151/CF151-1)*100)</f>
        <v>8.2626304127272121</v>
      </c>
      <c r="CN151" s="824">
        <f>(CN132)/CN171</f>
        <v>0.253248183219555</v>
      </c>
      <c r="CO151" s="42">
        <f t="shared" ref="CO151:CO157" si="368">IF(CJ151&lt;0,"       NM",(CN151/CJ151-1)*100)</f>
        <v>-15.760966422010048</v>
      </c>
      <c r="CR151" s="824">
        <f>(CR132)/CR171</f>
        <v>0.26072337692203973</v>
      </c>
      <c r="CS151" s="42">
        <f t="shared" ref="CS151:CS157" si="369">IF(CN151&lt;0,"       NM",(CR151/CN151-1)*100)</f>
        <v>2.9517264872159332</v>
      </c>
      <c r="CV151" s="824">
        <f>(CV132)/CV171</f>
        <v>0.24666968532202774</v>
      </c>
      <c r="CW151" s="42">
        <f t="shared" ref="CW151:CW157" si="370">IF(CR151&lt;0,"       NM",(CV151/CR151-1)*100)</f>
        <v>-5.3902690912960409</v>
      </c>
      <c r="CY151" s="42"/>
      <c r="CZ151" s="22"/>
      <c r="DA151" s="22"/>
      <c r="DB151" s="935"/>
      <c r="DC151" s="936"/>
      <c r="DD151" s="936"/>
      <c r="DE151" s="937"/>
      <c r="DF151" s="932"/>
      <c r="DG151" s="932"/>
      <c r="DH151" s="938"/>
      <c r="DI151" s="936"/>
      <c r="DJ151" s="936"/>
      <c r="DK151" s="937">
        <f>DI151</f>
        <v>0</v>
      </c>
      <c r="DL151" s="122" t="s">
        <v>465</v>
      </c>
    </row>
    <row r="152" spans="1:116">
      <c r="A152" s="26" t="str">
        <f>$A$11</f>
        <v>2Q</v>
      </c>
      <c r="B152" s="26" t="str">
        <f>$B$11</f>
        <v>Jul</v>
      </c>
      <c r="D152" s="824">
        <f>D133/D172</f>
        <v>1.6982386434157795E-2</v>
      </c>
      <c r="E152" s="42"/>
      <c r="H152" s="824">
        <f>H133/H172</f>
        <v>7.4549050839447109E-3</v>
      </c>
      <c r="I152" s="42">
        <f t="shared" si="347"/>
        <v>-56.102134921684701</v>
      </c>
      <c r="L152" s="824">
        <f>L133/L172</f>
        <v>9.510074677186342E-3</v>
      </c>
      <c r="M152" s="42">
        <f t="shared" si="348"/>
        <v>27.568018238994838</v>
      </c>
      <c r="P152" s="824">
        <f>P133/P172</f>
        <v>6.7574629955854662E-3</v>
      </c>
      <c r="Q152" s="42">
        <f t="shared" si="349"/>
        <v>-28.944164741462007</v>
      </c>
      <c r="T152" s="824">
        <f>T133/T172</f>
        <v>1.7791827716204037E-2</v>
      </c>
      <c r="U152" s="42">
        <f t="shared" si="350"/>
        <v>163.29153008795063</v>
      </c>
      <c r="X152" s="824">
        <f>X133/X172</f>
        <v>2.4890876089317109E-2</v>
      </c>
      <c r="Y152" s="42">
        <f t="shared" si="351"/>
        <v>39.900613283522077</v>
      </c>
      <c r="AB152" s="824">
        <f>AB133/AB172</f>
        <v>4.5346377731585806E-2</v>
      </c>
      <c r="AC152" s="42">
        <f t="shared" si="352"/>
        <v>82.180721839067658</v>
      </c>
      <c r="AF152" s="824">
        <f>AF133/AF172</f>
        <v>6.6322525009774674E-2</v>
      </c>
      <c r="AG152" s="42">
        <f t="shared" si="353"/>
        <v>46.257602762343765</v>
      </c>
      <c r="AJ152" s="824">
        <f>AJ133/AJ172</f>
        <v>9.5634349971009683E-2</v>
      </c>
      <c r="AK152" s="42">
        <f t="shared" si="354"/>
        <v>44.195882103274876</v>
      </c>
      <c r="AN152" s="824">
        <f>AN133/AN172</f>
        <v>0.13962072146183946</v>
      </c>
      <c r="AO152" s="42">
        <f t="shared" si="355"/>
        <v>45.994322650976002</v>
      </c>
      <c r="AR152" s="824">
        <f>AR133/AR172</f>
        <v>0.19678674782955799</v>
      </c>
      <c r="AS152" s="42">
        <f t="shared" si="356"/>
        <v>40.943798147714695</v>
      </c>
      <c r="AV152" s="824">
        <f>AV133/AV172</f>
        <v>0.26940842165317191</v>
      </c>
      <c r="AW152" s="42">
        <f t="shared" si="357"/>
        <v>36.903742058135649</v>
      </c>
      <c r="AX152" s="315"/>
      <c r="AZ152" s="824">
        <f>AZ133/AZ172</f>
        <v>0.30768368861872863</v>
      </c>
      <c r="BA152" s="42">
        <f t="shared" si="358"/>
        <v>14.207153113732684</v>
      </c>
      <c r="BB152" s="939"/>
      <c r="BC152" s="824"/>
      <c r="BD152" s="824">
        <f>BD133/BD172</f>
        <v>0.21936078950644528</v>
      </c>
      <c r="BE152" s="42">
        <f t="shared" si="359"/>
        <v>-28.705746316545934</v>
      </c>
      <c r="BF152" s="236"/>
      <c r="BG152" s="824"/>
      <c r="BH152" s="824">
        <f>BH133/BH172</f>
        <v>3.7822167867011071E-2</v>
      </c>
      <c r="BI152" s="42">
        <f t="shared" si="360"/>
        <v>-82.758008871088705</v>
      </c>
      <c r="BK152" s="824"/>
      <c r="BL152" s="824">
        <f>BL133/BL172</f>
        <v>0.10065185981653854</v>
      </c>
      <c r="BM152" s="42">
        <f t="shared" si="361"/>
        <v>166.1186957089476</v>
      </c>
      <c r="BN152" s="929"/>
      <c r="BO152" s="824"/>
      <c r="BP152" s="824">
        <f>BP133/BP172</f>
        <v>0.169308736169689</v>
      </c>
      <c r="BQ152" s="42">
        <f t="shared" si="362"/>
        <v>68.212228247241143</v>
      </c>
      <c r="BR152" s="934"/>
      <c r="BS152" s="824"/>
      <c r="BT152" s="824">
        <f>BT133/BT172</f>
        <v>0.2482274848546335</v>
      </c>
      <c r="BU152" s="42">
        <f t="shared" si="363"/>
        <v>46.612331100179325</v>
      </c>
      <c r="BV152" s="934"/>
      <c r="BW152" s="824"/>
      <c r="BX152" s="824">
        <f>BX133/BX172</f>
        <v>0.32413253041303453</v>
      </c>
      <c r="BY152" s="42">
        <f t="shared" si="364"/>
        <v>30.578823937587885</v>
      </c>
      <c r="BZ152" s="934"/>
      <c r="CA152" s="929"/>
      <c r="CB152" s="906">
        <f>CB133/CB172</f>
        <v>0.27490581883562776</v>
      </c>
      <c r="CC152" s="42">
        <f t="shared" si="365"/>
        <v>-15.187217251745244</v>
      </c>
      <c r="CD152" s="929"/>
      <c r="CE152" s="929"/>
      <c r="CF152" s="906">
        <f>CF133/CF172</f>
        <v>0.21391521130158597</v>
      </c>
      <c r="CG152" s="1207">
        <f t="shared" si="366"/>
        <v>-22.18600093383597</v>
      </c>
      <c r="CH152" s="929"/>
      <c r="CI152" s="929"/>
      <c r="CJ152" s="906">
        <f>CJ133/CJ172</f>
        <v>0.26403613814510779</v>
      </c>
      <c r="CK152" s="42">
        <f t="shared" si="367"/>
        <v>23.430277135766374</v>
      </c>
      <c r="CL152" s="929"/>
      <c r="CM152" s="929"/>
      <c r="CN152" s="906">
        <f>CN133/CN172</f>
        <v>0.25357523847806884</v>
      </c>
      <c r="CO152" s="42">
        <f t="shared" si="368"/>
        <v>-3.9619196601375473</v>
      </c>
      <c r="CP152" s="929"/>
      <c r="CQ152" s="929"/>
      <c r="CR152" s="906">
        <f>CR133/CR172</f>
        <v>0.17647620487440027</v>
      </c>
      <c r="CS152" s="42">
        <f t="shared" si="369"/>
        <v>-30.404795857201449</v>
      </c>
      <c r="CT152" s="929"/>
      <c r="CU152" s="929"/>
      <c r="CV152" s="906">
        <f>CV133/CV172</f>
        <v>0.25811404367726815</v>
      </c>
      <c r="CW152" s="42">
        <f t="shared" si="370"/>
        <v>46.259969643482691</v>
      </c>
      <c r="CX152" s="929"/>
      <c r="CY152" s="42"/>
      <c r="CZ152" s="22"/>
      <c r="DA152" s="22"/>
      <c r="DB152" s="940"/>
      <c r="DC152" s="936"/>
      <c r="DD152" s="936"/>
      <c r="DE152" s="937"/>
      <c r="DF152" s="932"/>
      <c r="DG152" s="932"/>
      <c r="DH152" s="938"/>
      <c r="DI152" s="936"/>
      <c r="DJ152" s="936"/>
      <c r="DK152" s="937">
        <f>DI152</f>
        <v>0</v>
      </c>
      <c r="DL152" s="122"/>
    </row>
    <row r="153" spans="1:116">
      <c r="A153" s="26" t="str">
        <f>$A$12</f>
        <v>3Q</v>
      </c>
      <c r="B153" s="26" t="str">
        <f>$B$12</f>
        <v>Oct</v>
      </c>
      <c r="D153" s="824">
        <f>D134/D173</f>
        <v>1.225570229938004E-2</v>
      </c>
      <c r="E153" s="42"/>
      <c r="H153" s="824">
        <f>H134/H173</f>
        <v>6.0913829665654945E-3</v>
      </c>
      <c r="I153" s="42">
        <f t="shared" si="347"/>
        <v>-50.297560941296446</v>
      </c>
      <c r="L153" s="824">
        <f>L134/L173</f>
        <v>6.7327895732597525E-3</v>
      </c>
      <c r="M153" s="42">
        <f t="shared" si="348"/>
        <v>10.529737010705498</v>
      </c>
      <c r="P153" s="824">
        <f>P134/P173</f>
        <v>6.5591299179608206E-3</v>
      </c>
      <c r="Q153" s="42">
        <f t="shared" si="349"/>
        <v>-2.5793120876470899</v>
      </c>
      <c r="T153" s="824">
        <f>T134/T173</f>
        <v>1.5385505714121313E-2</v>
      </c>
      <c r="U153" s="42">
        <f t="shared" si="350"/>
        <v>134.56625964964175</v>
      </c>
      <c r="X153" s="824">
        <f>X134/X173</f>
        <v>2.5631688724400956E-2</v>
      </c>
      <c r="Y153" s="42">
        <f t="shared" si="351"/>
        <v>66.596335542453858</v>
      </c>
      <c r="AB153" s="824">
        <f>AB134/AB173</f>
        <v>4.7482365314584614E-2</v>
      </c>
      <c r="AC153" s="42">
        <f t="shared" si="352"/>
        <v>85.24868113501303</v>
      </c>
      <c r="AF153" s="824">
        <f>AF134/AF173</f>
        <v>5.2993225301623308E-2</v>
      </c>
      <c r="AG153" s="42">
        <f t="shared" si="353"/>
        <v>11.606119346682986</v>
      </c>
      <c r="AJ153" s="824">
        <f>AJ134/AJ173</f>
        <v>9.020426767385549E-2</v>
      </c>
      <c r="AK153" s="42">
        <f t="shared" si="354"/>
        <v>70.218489553026544</v>
      </c>
      <c r="AN153" s="824">
        <f>AN134/AN173</f>
        <v>0.15116541820605811</v>
      </c>
      <c r="AO153" s="42">
        <f t="shared" si="355"/>
        <v>67.581226591867122</v>
      </c>
      <c r="AR153" s="824">
        <f>AR134/AR173</f>
        <v>0.20571133723188251</v>
      </c>
      <c r="AS153" s="42">
        <f t="shared" si="356"/>
        <v>36.083596151251498</v>
      </c>
      <c r="AV153" s="824">
        <f>AV134/AV173</f>
        <v>0.29147220578890864</v>
      </c>
      <c r="AW153" s="42">
        <f t="shared" si="357"/>
        <v>41.689908641425298</v>
      </c>
      <c r="AX153" s="315"/>
      <c r="AZ153" s="824">
        <f>AZ134/AZ173</f>
        <v>0.24359760250647031</v>
      </c>
      <c r="BA153" s="42">
        <f t="shared" si="358"/>
        <v>-16.425100689398253</v>
      </c>
      <c r="BB153" s="939"/>
      <c r="BD153" s="906">
        <f>(BD134+6.833*35%)/BD173</f>
        <v>0.10924700193642625</v>
      </c>
      <c r="BE153" s="42">
        <f t="shared" si="359"/>
        <v>-55.152677689623609</v>
      </c>
      <c r="BF153" s="236"/>
      <c r="BH153" s="824">
        <f>BH134/BH201</f>
        <v>1.1343219086174281E-2</v>
      </c>
      <c r="BI153" s="42">
        <f t="shared" si="360"/>
        <v>-89.616905832550714</v>
      </c>
      <c r="BL153" s="824">
        <f>BL134/BL173</f>
        <v>0.12688911079993997</v>
      </c>
      <c r="BM153" s="42">
        <f t="shared" si="361"/>
        <v>1018.6340476716982</v>
      </c>
      <c r="BP153" s="824">
        <f>BP134/BP173</f>
        <v>0.16109487651047599</v>
      </c>
      <c r="BQ153" s="42">
        <f t="shared" si="362"/>
        <v>26.957211296457608</v>
      </c>
      <c r="BR153" s="934"/>
      <c r="BT153" s="824">
        <f>BT134/BT173</f>
        <v>0.17686409070565448</v>
      </c>
      <c r="BU153" s="42">
        <f t="shared" si="363"/>
        <v>9.7887745015609049</v>
      </c>
      <c r="BV153" s="934"/>
      <c r="BX153" s="824">
        <f>BX134/BX173</f>
        <v>0.25337112480308444</v>
      </c>
      <c r="BY153" s="42">
        <f t="shared" si="364"/>
        <v>43.257528304463207</v>
      </c>
      <c r="BZ153" s="934"/>
      <c r="CB153" s="824">
        <f>(CB134-1)/CB173</f>
        <v>0.22295411828949349</v>
      </c>
      <c r="CC153" s="42">
        <f t="shared" si="365"/>
        <v>-12.004922240934324</v>
      </c>
      <c r="CF153" s="824">
        <f>CF134/CF173</f>
        <v>0.19902440333608418</v>
      </c>
      <c r="CG153" s="1207">
        <f t="shared" si="366"/>
        <v>-10.733022173798968</v>
      </c>
      <c r="CJ153" s="824">
        <f>CJ134/CJ173</f>
        <v>0.12991679640454729</v>
      </c>
      <c r="CK153" s="42">
        <f t="shared" si="367"/>
        <v>-34.723182571153231</v>
      </c>
      <c r="CN153" s="824">
        <f>CN134/CN173</f>
        <v>0.20095971968123089</v>
      </c>
      <c r="CO153" s="42">
        <f t="shared" si="368"/>
        <v>54.683401409824924</v>
      </c>
      <c r="CR153" s="824">
        <f>CR134/CR173</f>
        <v>0.13037947339365902</v>
      </c>
      <c r="CS153" s="42">
        <f t="shared" si="369"/>
        <v>-35.121588744017288</v>
      </c>
      <c r="CV153" s="824">
        <f>CV134/CV173</f>
        <v>0.1630538848806766</v>
      </c>
      <c r="CW153" s="42">
        <f t="shared" si="370"/>
        <v>25.061008942997233</v>
      </c>
      <c r="CY153" s="42"/>
      <c r="CZ153" s="22"/>
      <c r="DA153" s="22"/>
      <c r="DB153" s="940"/>
      <c r="DC153" s="936"/>
      <c r="DD153" s="936"/>
      <c r="DE153" s="937"/>
      <c r="DF153" s="932"/>
      <c r="DG153" s="932"/>
      <c r="DH153" s="938"/>
      <c r="DI153" s="936"/>
      <c r="DJ153" s="936"/>
      <c r="DK153" s="937"/>
      <c r="DL153" s="122"/>
    </row>
    <row r="154" spans="1:116">
      <c r="A154" s="26" t="str">
        <f>$A$13</f>
        <v>4Q</v>
      </c>
      <c r="B154" s="26" t="str">
        <f>$B$13</f>
        <v>Jan</v>
      </c>
      <c r="C154" s="122"/>
      <c r="D154" s="941">
        <f>D135/D174</f>
        <v>-9.1880943647974708E-3</v>
      </c>
      <c r="E154" s="42"/>
      <c r="H154" s="941">
        <f>H135/H174</f>
        <v>2.5341032187558761E-3</v>
      </c>
      <c r="I154" s="42" t="str">
        <f t="shared" si="347"/>
        <v xml:space="preserve">       NM</v>
      </c>
      <c r="L154" s="941">
        <f>L135/L174</f>
        <v>-7.8234759110397765E-3</v>
      </c>
      <c r="M154" s="42">
        <f t="shared" si="348"/>
        <v>-408.72759456423131</v>
      </c>
      <c r="P154" s="941">
        <f>P135/P174</f>
        <v>-1.0411425909337487E-3</v>
      </c>
      <c r="Q154" s="42" t="str">
        <f t="shared" si="349"/>
        <v xml:space="preserve">       NM</v>
      </c>
      <c r="T154" s="941">
        <f>T135/T174</f>
        <v>1.0984564033761723E-2</v>
      </c>
      <c r="U154" s="42" t="str">
        <f t="shared" si="350"/>
        <v xml:space="preserve">       NM</v>
      </c>
      <c r="X154" s="941">
        <f>X135/X174</f>
        <v>2.0190985208686011E-2</v>
      </c>
      <c r="Y154" s="42">
        <f t="shared" si="351"/>
        <v>83.812349280570402</v>
      </c>
      <c r="AB154" s="941">
        <f>AB135/AB174</f>
        <v>3.4720851764862712E-2</v>
      </c>
      <c r="AC154" s="42">
        <f t="shared" si="352"/>
        <v>71.962147493060712</v>
      </c>
      <c r="AF154" s="941">
        <f>AF135/AF174</f>
        <v>5.8005110975793514E-2</v>
      </c>
      <c r="AG154" s="42">
        <f t="shared" si="353"/>
        <v>67.061313381990033</v>
      </c>
      <c r="AJ154" s="941">
        <f>AJ135/AJ174</f>
        <v>8.6520201046477799E-2</v>
      </c>
      <c r="AK154" s="42">
        <f t="shared" si="354"/>
        <v>49.159616438944667</v>
      </c>
      <c r="AN154" s="941">
        <f>AN135/AN174</f>
        <v>0.1440879916369727</v>
      </c>
      <c r="AO154" s="42">
        <f t="shared" si="355"/>
        <v>66.536820180954109</v>
      </c>
      <c r="AR154" s="941">
        <f>AR135/AR174</f>
        <v>0.18262998703730365</v>
      </c>
      <c r="AS154" s="42">
        <f>IF(AN154&lt;0,"       NM",(AR154/AN154-1)*100)</f>
        <v>26.748929568979541</v>
      </c>
      <c r="AV154" s="941">
        <f>AV135/AV174</f>
        <v>0.24270678661891873</v>
      </c>
      <c r="AW154" s="42">
        <f t="shared" si="357"/>
        <v>32.895364313497936</v>
      </c>
      <c r="AX154" s="315"/>
      <c r="AZ154" s="941">
        <f>AZ135/AZ174</f>
        <v>0.13799300425753841</v>
      </c>
      <c r="BA154" s="42">
        <f t="shared" si="358"/>
        <v>-43.144150940366821</v>
      </c>
      <c r="BB154" s="939"/>
      <c r="BD154" s="941">
        <f>BD135/BD174</f>
        <v>-0.11672285369353751</v>
      </c>
      <c r="BE154" s="942" t="s">
        <v>371</v>
      </c>
      <c r="BF154" s="236"/>
      <c r="BH154" s="941">
        <f>BH135/BH202</f>
        <v>-0.14030688601618563</v>
      </c>
      <c r="BI154" s="943" t="str">
        <f t="shared" si="360"/>
        <v xml:space="preserve">       NM</v>
      </c>
      <c r="BL154" s="941">
        <f>BL135/BL174</f>
        <v>0.10491953049707825</v>
      </c>
      <c r="BM154" s="943" t="str">
        <f t="shared" si="361"/>
        <v xml:space="preserve">       NM</v>
      </c>
      <c r="BP154" s="941">
        <f>BP135/BP174</f>
        <v>0.12146932510144082</v>
      </c>
      <c r="BQ154" s="943">
        <f t="shared" si="362"/>
        <v>15.773797810526258</v>
      </c>
      <c r="BR154" s="934"/>
      <c r="BT154" s="941">
        <f>BT135/BT174</f>
        <v>0.15034496149902013</v>
      </c>
      <c r="BU154" s="943">
        <f t="shared" si="363"/>
        <v>23.771957548512646</v>
      </c>
      <c r="BV154" s="934"/>
      <c r="BX154" s="941">
        <f>BX135/BX174</f>
        <v>0.20038436566870405</v>
      </c>
      <c r="BY154" s="943">
        <f t="shared" si="364"/>
        <v>33.283060284005629</v>
      </c>
      <c r="BZ154" s="934"/>
      <c r="CB154" s="941">
        <f>CB135/CB174</f>
        <v>3.8937741419236283E-2</v>
      </c>
      <c r="CC154" s="943">
        <f t="shared" si="365"/>
        <v>-80.568473349057513</v>
      </c>
      <c r="CF154" s="941">
        <f>CF135/CF174</f>
        <v>8.0723879693991613E-2</v>
      </c>
      <c r="CG154" s="1209">
        <f t="shared" si="366"/>
        <v>107.31525957001674</v>
      </c>
      <c r="CJ154" s="941">
        <f>CJ135/CJ174</f>
        <v>4.5647754574016222E-2</v>
      </c>
      <c r="CK154" s="943">
        <f t="shared" si="367"/>
        <v>-43.45198131326454</v>
      </c>
      <c r="CN154" s="941">
        <f>CN135/CN174</f>
        <v>0.10440880973956883</v>
      </c>
      <c r="CO154" s="943">
        <f t="shared" si="368"/>
        <v>128.72715364404974</v>
      </c>
      <c r="CR154" s="941">
        <f>CR135/CR174</f>
        <v>0.21920069226331665</v>
      </c>
      <c r="CS154" s="943">
        <f t="shared" si="369"/>
        <v>109.94463284283951</v>
      </c>
      <c r="CV154" s="941">
        <f>CV135/CV174</f>
        <v>0.19174198716214932</v>
      </c>
      <c r="CW154" s="943">
        <f t="shared" si="370"/>
        <v>-12.526741963105813</v>
      </c>
      <c r="CY154" s="943"/>
      <c r="CZ154" s="22"/>
      <c r="DA154" s="22"/>
      <c r="DB154" s="944"/>
      <c r="DC154" s="945"/>
      <c r="DD154" s="945"/>
      <c r="DE154" s="946"/>
      <c r="DF154" s="932"/>
      <c r="DG154" s="932"/>
      <c r="DH154" s="122"/>
      <c r="DI154" s="945"/>
      <c r="DJ154" s="945"/>
      <c r="DK154" s="946"/>
      <c r="DL154" s="122"/>
    </row>
    <row r="155" spans="1:116">
      <c r="B155" s="26" t="str">
        <f>$B$14</f>
        <v>Year</v>
      </c>
      <c r="D155" s="320">
        <f>D136/D175</f>
        <v>3.4192762067501888E-2</v>
      </c>
      <c r="E155" s="42"/>
      <c r="H155" s="320">
        <f>H136/H175</f>
        <v>1.8021063410258345E-2</v>
      </c>
      <c r="I155" s="42">
        <f t="shared" si="347"/>
        <v>-47.295678030683995</v>
      </c>
      <c r="L155" s="320">
        <f>L136/L175</f>
        <v>1.9989830679340643E-2</v>
      </c>
      <c r="M155" s="42">
        <f t="shared" si="348"/>
        <v>10.924811839691962</v>
      </c>
      <c r="P155" s="320">
        <f>P136/P175</f>
        <v>1.9004329023931069E-2</v>
      </c>
      <c r="Q155" s="42">
        <f t="shared" si="349"/>
        <v>-4.9300150222286954</v>
      </c>
      <c r="T155" s="320">
        <f>T136/T175</f>
        <v>5.9523377802287655E-2</v>
      </c>
      <c r="U155" s="42">
        <f t="shared" si="350"/>
        <v>213.20957307849838</v>
      </c>
      <c r="X155" s="320">
        <f>X136/X175</f>
        <v>9.7340225286672785E-2</v>
      </c>
      <c r="Y155" s="42">
        <f t="shared" si="351"/>
        <v>63.532764571925426</v>
      </c>
      <c r="AB155" s="320">
        <f>AB136/AB175</f>
        <v>0.17374937002843643</v>
      </c>
      <c r="AC155" s="42">
        <f t="shared" si="352"/>
        <v>78.496987773280935</v>
      </c>
      <c r="AF155" s="947">
        <f>AF136/AF175</f>
        <v>0.25177768510465509</v>
      </c>
      <c r="AG155" s="42">
        <f t="shared" si="353"/>
        <v>44.908545604193129</v>
      </c>
      <c r="AJ155" s="320">
        <f>AJ136/AJ175</f>
        <v>0.38798878120447505</v>
      </c>
      <c r="AK155" s="42">
        <f t="shared" si="354"/>
        <v>54.099749166889751</v>
      </c>
      <c r="AN155" s="320">
        <f>AN136/AN175</f>
        <v>0.56904734889716002</v>
      </c>
      <c r="AO155" s="42">
        <f t="shared" si="355"/>
        <v>46.665928620566177</v>
      </c>
      <c r="AR155" s="320">
        <f>AR136/AR175</f>
        <v>0.78382894159834382</v>
      </c>
      <c r="AS155" s="42">
        <f t="shared" si="356"/>
        <v>37.74406349795678</v>
      </c>
      <c r="AV155" s="320">
        <f>AV136/AV175</f>
        <v>1.0634456822069209</v>
      </c>
      <c r="AW155" s="42">
        <f t="shared" si="357"/>
        <v>35.67318400343791</v>
      </c>
      <c r="AX155" s="315"/>
      <c r="AZ155" s="320">
        <f>AZ136/AZ175</f>
        <v>0.97891870082711296</v>
      </c>
      <c r="BA155" s="42">
        <f t="shared" si="358"/>
        <v>-7.9484060910748999</v>
      </c>
      <c r="BB155" s="933"/>
      <c r="BD155" s="947">
        <f>(BD136+6.833*15%)/BD175</f>
        <v>0.48390434067647659</v>
      </c>
      <c r="BE155" s="42">
        <f t="shared" si="359"/>
        <v>-50.567463848875938</v>
      </c>
      <c r="BH155" s="320">
        <f>BH136/BH175</f>
        <v>-1.9461399952436183E-2</v>
      </c>
      <c r="BI155" s="42">
        <f t="shared" si="360"/>
        <v>-104.0217452741238</v>
      </c>
      <c r="BL155" s="320">
        <f>BL136/BL175</f>
        <v>0.44224468572834358</v>
      </c>
      <c r="BM155" s="42" t="str">
        <f t="shared" si="361"/>
        <v xml:space="preserve">       NM</v>
      </c>
      <c r="BN155" s="315"/>
      <c r="BP155" s="320">
        <f>BP136/BP175</f>
        <v>0.64890414190547885</v>
      </c>
      <c r="BQ155" s="42">
        <f t="shared" si="362"/>
        <v>46.729664108180913</v>
      </c>
      <c r="BR155" s="948"/>
      <c r="BT155" s="320">
        <f>BT136/BT175</f>
        <v>0.83767400881057341</v>
      </c>
      <c r="BU155" s="42">
        <f t="shared" si="363"/>
        <v>29.090562798810325</v>
      </c>
      <c r="BV155" s="948"/>
      <c r="BX155" s="320">
        <f>BX136/BX175</f>
        <v>1.0913168266424884</v>
      </c>
      <c r="BY155" s="42">
        <f t="shared" si="364"/>
        <v>30.279418385210064</v>
      </c>
      <c r="BZ155" s="948"/>
      <c r="CB155" s="320">
        <f>CB136/CB175</f>
        <v>0.85248924903761902</v>
      </c>
      <c r="CC155" s="42">
        <f t="shared" si="365"/>
        <v>-21.88434850213379</v>
      </c>
      <c r="CF155" s="320">
        <f>CF136/CF175</f>
        <v>0.76864766929112927</v>
      </c>
      <c r="CG155" s="1207">
        <f t="shared" si="366"/>
        <v>-9.8349134421506275</v>
      </c>
      <c r="CJ155" s="320">
        <f>CJ136/CJ175</f>
        <v>0.75085771329311446</v>
      </c>
      <c r="CK155" s="42">
        <f t="shared" si="367"/>
        <v>-2.3144487011092174</v>
      </c>
      <c r="CN155" s="320">
        <f>CN136/CN175</f>
        <v>0.81498332520872485</v>
      </c>
      <c r="CO155" s="42">
        <f t="shared" si="368"/>
        <v>8.5403147334490281</v>
      </c>
      <c r="CR155" s="947">
        <f>CR136/CR175</f>
        <v>0.78715022766600506</v>
      </c>
      <c r="CS155" s="42">
        <f t="shared" si="369"/>
        <v>-3.4151738669734755</v>
      </c>
      <c r="CV155" s="947">
        <f>CV136/CV175</f>
        <v>0.86137447547208656</v>
      </c>
      <c r="CW155" s="42">
        <f t="shared" si="370"/>
        <v>9.4294894668537808</v>
      </c>
      <c r="CY155" s="42"/>
      <c r="CZ155" s="22"/>
      <c r="DA155" s="22"/>
      <c r="DB155" s="935"/>
      <c r="DC155" s="936"/>
      <c r="DD155" s="936"/>
      <c r="DE155" s="937"/>
      <c r="DF155" s="949"/>
      <c r="DG155" s="949"/>
      <c r="DH155" s="122"/>
      <c r="DI155" s="936"/>
      <c r="DJ155" s="936"/>
      <c r="DK155" s="937"/>
      <c r="DL155" s="122"/>
    </row>
    <row r="156" spans="1:116" hidden="1" outlineLevel="1">
      <c r="A156" s="26" t="str">
        <f>$A$15</f>
        <v>6 Mos</v>
      </c>
      <c r="D156" s="824">
        <f>SUM(D151:D152)</f>
        <v>3.0803267857265407E-2</v>
      </c>
      <c r="E156" s="42"/>
      <c r="H156" s="824">
        <f>SUM(H151:H152)</f>
        <v>9.4112536916090873E-3</v>
      </c>
      <c r="I156" s="42">
        <f t="shared" si="347"/>
        <v>-69.447223147821617</v>
      </c>
      <c r="L156" s="824">
        <f>SUM(L151:L152)</f>
        <v>2.0754538560988484E-2</v>
      </c>
      <c r="M156" s="42">
        <f t="shared" si="348"/>
        <v>120.52894588839824</v>
      </c>
      <c r="P156" s="824">
        <f>SUM(P151:P152)</f>
        <v>1.3821284211858482E-2</v>
      </c>
      <c r="Q156" s="42">
        <f t="shared" si="349"/>
        <v>-33.405967223777147</v>
      </c>
      <c r="T156" s="824">
        <f>SUM(T151:T152)</f>
        <v>3.3483288211943678E-2</v>
      </c>
      <c r="U156" s="42">
        <f t="shared" si="350"/>
        <v>142.25887912221248</v>
      </c>
      <c r="X156" s="824">
        <f>SUM(X151:X152)</f>
        <v>5.1585662210573202E-2</v>
      </c>
      <c r="Y156" s="42">
        <f t="shared" si="351"/>
        <v>54.063907594870876</v>
      </c>
      <c r="AB156" s="824">
        <f>SUM(AB151:AB152)</f>
        <v>9.1891122789984042E-2</v>
      </c>
      <c r="AC156" s="42">
        <f t="shared" si="352"/>
        <v>78.133068089508157</v>
      </c>
      <c r="AF156" s="824">
        <f>SUM(AF151:AF152)</f>
        <v>0.14100913949927935</v>
      </c>
      <c r="AG156" s="42">
        <f t="shared" si="353"/>
        <v>53.452406737431971</v>
      </c>
      <c r="AJ156" s="824">
        <f>SUM(AJ151:AJ152)</f>
        <v>0.21153251832913533</v>
      </c>
      <c r="AK156" s="42">
        <f t="shared" si="354"/>
        <v>50.013338908586434</v>
      </c>
      <c r="AN156" s="824">
        <f>SUM(AN151:AN152)</f>
        <v>0.27363441668299643</v>
      </c>
      <c r="AO156" s="42">
        <f t="shared" si="355"/>
        <v>29.358085860460115</v>
      </c>
      <c r="AR156" s="824">
        <f>SUM(AR151:AR152)</f>
        <v>0.39541558785718167</v>
      </c>
      <c r="AS156" s="42">
        <f t="shared" si="356"/>
        <v>44.505063599243023</v>
      </c>
      <c r="AV156" s="824">
        <f>SUM(AV151:AV152)</f>
        <v>0.52963126502879154</v>
      </c>
      <c r="AW156" s="42">
        <f t="shared" si="357"/>
        <v>33.942940362808002</v>
      </c>
      <c r="AZ156" s="824">
        <f>SUM(AZ151:AZ152)</f>
        <v>0.59453029333950802</v>
      </c>
      <c r="BA156" s="42">
        <f t="shared" si="358"/>
        <v>12.253624851091161</v>
      </c>
      <c r="BD156" s="824">
        <f>SUM(BD151:BD152)</f>
        <v>0.4976416015339658</v>
      </c>
      <c r="BE156" s="42">
        <f t="shared" si="359"/>
        <v>-16.29667872116546</v>
      </c>
      <c r="BH156" s="824">
        <f>SUM(BH151:BH152)</f>
        <v>0.10993730740176316</v>
      </c>
      <c r="BI156" s="42">
        <f t="shared" si="360"/>
        <v>-77.908336629637759</v>
      </c>
      <c r="BL156" s="824">
        <f>SUM(BL151:BL152)</f>
        <v>0.21065681220606641</v>
      </c>
      <c r="BM156" s="42">
        <f t="shared" si="361"/>
        <v>91.615400799499596</v>
      </c>
      <c r="BP156" s="824">
        <f>SUM(BP151:BP152)</f>
        <v>0.36602298913194997</v>
      </c>
      <c r="BQ156" s="42">
        <f t="shared" si="362"/>
        <v>73.753217519451937</v>
      </c>
      <c r="BT156" s="824">
        <f>SUM(BT151:BT152)</f>
        <v>0.50591009592031921</v>
      </c>
      <c r="BU156" s="42">
        <f t="shared" si="363"/>
        <v>38.218120430118788</v>
      </c>
      <c r="BX156" s="824">
        <f>SUM(BX151:BX152)</f>
        <v>0.64389771693331654</v>
      </c>
      <c r="BY156" s="42">
        <f t="shared" si="364"/>
        <v>27.275126969344043</v>
      </c>
      <c r="CB156" s="824">
        <f>SUM(CB151:CB152)</f>
        <v>0.59534760000100739</v>
      </c>
      <c r="CC156" s="42">
        <f t="shared" si="365"/>
        <v>-7.5400355763859839</v>
      </c>
      <c r="CF156" s="824">
        <f>SUM(CF151:CF152)</f>
        <v>0.49160146913982605</v>
      </c>
      <c r="CG156" s="42">
        <f t="shared" si="366"/>
        <v>-17.426144131765341</v>
      </c>
      <c r="CJ156" s="824">
        <f>SUM(CJ151:CJ152)</f>
        <v>0.56466658517545443</v>
      </c>
      <c r="CK156" s="42">
        <f t="shared" si="367"/>
        <v>14.862672433317424</v>
      </c>
      <c r="CN156" s="824">
        <f>SUM(CN151:CN152)</f>
        <v>0.50682342169762384</v>
      </c>
      <c r="CO156" s="42">
        <f t="shared" si="368"/>
        <v>-10.243773050579474</v>
      </c>
      <c r="CR156" s="824">
        <f>SUM(CR151:CR152)</f>
        <v>0.43719958179644003</v>
      </c>
      <c r="CS156" s="42">
        <f t="shared" si="369"/>
        <v>-13.737297236180634</v>
      </c>
      <c r="CV156" s="824">
        <f>SUM(CV151:CV152)</f>
        <v>0.50478372899929591</v>
      </c>
      <c r="CW156" s="42">
        <f t="shared" si="370"/>
        <v>15.458419910914522</v>
      </c>
      <c r="DB156" s="950"/>
      <c r="DC156" s="936">
        <v>1.5679902972576862</v>
      </c>
      <c r="DD156" s="936"/>
      <c r="DE156" s="937">
        <v>1.577</v>
      </c>
      <c r="DF156" s="949"/>
      <c r="DG156" s="949"/>
      <c r="DH156" s="122"/>
      <c r="DI156" s="936"/>
      <c r="DJ156" s="936"/>
      <c r="DK156" s="937"/>
      <c r="DL156" s="122"/>
    </row>
    <row r="157" spans="1:116" hidden="1" outlineLevel="1">
      <c r="A157" s="26" t="str">
        <f>$A$16</f>
        <v>9 Mos</v>
      </c>
      <c r="D157" s="824">
        <f>SUM(D151:D153)</f>
        <v>4.3058970156645449E-2</v>
      </c>
      <c r="E157" s="42"/>
      <c r="H157" s="824">
        <f>SUM(H151:H153)</f>
        <v>1.5502636658174581E-2</v>
      </c>
      <c r="I157" s="42">
        <f t="shared" si="347"/>
        <v>-63.996731455078695</v>
      </c>
      <c r="L157" s="824">
        <f>SUM(L151:L153)</f>
        <v>2.7487328134248236E-2</v>
      </c>
      <c r="M157" s="42">
        <f t="shared" si="348"/>
        <v>77.307439633206499</v>
      </c>
      <c r="P157" s="824">
        <f>SUM(P151:P153)</f>
        <v>2.0380414129819301E-2</v>
      </c>
      <c r="Q157" s="42">
        <f t="shared" si="349"/>
        <v>-25.855237619745118</v>
      </c>
      <c r="T157" s="824">
        <f>SUM(T151:T153)</f>
        <v>4.8868793926064989E-2</v>
      </c>
      <c r="U157" s="42">
        <f t="shared" si="350"/>
        <v>139.78312518470042</v>
      </c>
      <c r="X157" s="824">
        <f>SUM(X151:X153)</f>
        <v>7.7217350934974158E-2</v>
      </c>
      <c r="Y157" s="42">
        <f t="shared" si="351"/>
        <v>58.009528640707856</v>
      </c>
      <c r="AB157" s="824">
        <f>SUM(AB151:AB153)</f>
        <v>0.13937348810456865</v>
      </c>
      <c r="AC157" s="42">
        <f t="shared" si="352"/>
        <v>80.495039543556814</v>
      </c>
      <c r="AF157" s="824">
        <f>SUM(AF151:AF153)</f>
        <v>0.19400236480090266</v>
      </c>
      <c r="AG157" s="42">
        <f t="shared" si="353"/>
        <v>39.196031784285438</v>
      </c>
      <c r="AJ157" s="824">
        <f>SUM(AJ151:AJ153)</f>
        <v>0.30173678600299081</v>
      </c>
      <c r="AK157" s="42">
        <f t="shared" si="354"/>
        <v>55.532529880577464</v>
      </c>
      <c r="AN157" s="824">
        <f>SUM(AN151:AN153)</f>
        <v>0.42479983488905454</v>
      </c>
      <c r="AO157" s="42">
        <f t="shared" si="355"/>
        <v>40.784900812473012</v>
      </c>
      <c r="AR157" s="824">
        <f>SUM(AR151:AR153)</f>
        <v>0.60112692508906418</v>
      </c>
      <c r="AS157" s="42">
        <f t="shared" si="356"/>
        <v>41.508276538304486</v>
      </c>
      <c r="AV157" s="824">
        <f>SUM(AV151:AV153)</f>
        <v>0.82110347081770019</v>
      </c>
      <c r="AW157" s="42">
        <f t="shared" si="357"/>
        <v>36.594026410652589</v>
      </c>
      <c r="AZ157" s="824">
        <f>SUM(AZ151:AZ153)</f>
        <v>0.83812789584597835</v>
      </c>
      <c r="BA157" s="42">
        <f t="shared" si="358"/>
        <v>2.0733592821528646</v>
      </c>
      <c r="BD157" s="824">
        <f>SUM(BD151:BD153)</f>
        <v>0.60688860347039209</v>
      </c>
      <c r="BE157" s="42">
        <f t="shared" si="359"/>
        <v>-27.589976842637011</v>
      </c>
      <c r="BH157" s="824">
        <f>SUM(BH151:BH153)</f>
        <v>0.12128052648793744</v>
      </c>
      <c r="BI157" s="42">
        <f t="shared" si="360"/>
        <v>-80.016015164164429</v>
      </c>
      <c r="BL157" s="824">
        <f>SUM(BL151:BL153)</f>
        <v>0.33754592300600639</v>
      </c>
      <c r="BM157" s="42">
        <f t="shared" si="361"/>
        <v>178.31831933841306</v>
      </c>
      <c r="BP157" s="824">
        <f>SUM(BP151:BP153)</f>
        <v>0.52711786564242602</v>
      </c>
      <c r="BQ157" s="42">
        <f t="shared" si="362"/>
        <v>56.161822648661165</v>
      </c>
      <c r="BT157" s="824">
        <f>SUM(BT151:BT153)</f>
        <v>0.68277418662597367</v>
      </c>
      <c r="BU157" s="42">
        <f t="shared" si="363"/>
        <v>29.529699357437099</v>
      </c>
      <c r="BX157" s="824">
        <f>SUM(BX151:BX153)</f>
        <v>0.89726884173640098</v>
      </c>
      <c r="BY157" s="42">
        <f t="shared" si="364"/>
        <v>31.415167607665918</v>
      </c>
      <c r="CB157" s="824">
        <f>SUM(CB151:CB153)</f>
        <v>0.81830171829050091</v>
      </c>
      <c r="CC157" s="42">
        <f t="shared" si="365"/>
        <v>-8.8008320107363041</v>
      </c>
      <c r="CF157" s="824">
        <f>SUM(CF151:CF153)</f>
        <v>0.69062587247591023</v>
      </c>
      <c r="CG157" s="42">
        <f t="shared" si="366"/>
        <v>-15.602539132059501</v>
      </c>
      <c r="CJ157" s="824">
        <f>SUM(CJ151:CJ153)</f>
        <v>0.69458338158000177</v>
      </c>
      <c r="CK157" s="42">
        <f t="shared" si="367"/>
        <v>0.57303226852822853</v>
      </c>
      <c r="CN157" s="824">
        <f>SUM(CN151:CN153)</f>
        <v>0.70778314137885467</v>
      </c>
      <c r="CO157" s="42">
        <f t="shared" si="368"/>
        <v>1.9003852019647827</v>
      </c>
      <c r="CR157" s="824">
        <f>SUM(CR151:CR153)</f>
        <v>0.56757905519009899</v>
      </c>
      <c r="CS157" s="42">
        <f t="shared" si="369"/>
        <v>-19.808904449973152</v>
      </c>
      <c r="CV157" s="824">
        <f>SUM(CV151:CV153)</f>
        <v>0.66783761387997254</v>
      </c>
      <c r="CW157" s="42">
        <f t="shared" si="370"/>
        <v>17.664245671696598</v>
      </c>
    </row>
    <row r="158" spans="1:116" collapsed="1">
      <c r="BB158" s="929"/>
      <c r="BD158" s="320"/>
      <c r="BE158" s="890"/>
      <c r="BH158" s="315"/>
      <c r="BI158" s="929"/>
      <c r="BL158" s="824"/>
      <c r="BM158" s="929"/>
      <c r="BP158" s="824"/>
      <c r="BQ158" s="929"/>
      <c r="BT158" s="824"/>
      <c r="BU158" s="929"/>
      <c r="BX158" s="824"/>
      <c r="BY158" s="929"/>
      <c r="CB158" s="320"/>
      <c r="CF158" s="320"/>
      <c r="CJ158" s="320"/>
      <c r="CN158" s="320"/>
      <c r="CR158" s="320"/>
      <c r="CV158" s="320"/>
      <c r="DB158" s="137"/>
      <c r="DC158" s="137"/>
      <c r="DD158" s="137"/>
      <c r="DE158" s="137"/>
    </row>
    <row r="159" spans="1:116" hidden="1" outlineLevel="1">
      <c r="AJ159" s="923" t="s">
        <v>233</v>
      </c>
      <c r="AK159" s="923"/>
      <c r="AL159" s="923"/>
      <c r="AM159" s="923"/>
      <c r="AN159" s="923"/>
      <c r="AO159" s="923"/>
      <c r="AP159" s="923"/>
      <c r="AQ159" s="923"/>
      <c r="AR159" s="923"/>
      <c r="AS159" s="923"/>
      <c r="AT159" s="923"/>
      <c r="AU159" s="923"/>
      <c r="AV159" s="923" t="s">
        <v>233</v>
      </c>
      <c r="AW159" s="923"/>
      <c r="AX159" s="923"/>
      <c r="AY159" s="923"/>
      <c r="AZ159" s="923"/>
      <c r="BA159" s="923"/>
      <c r="BB159" s="923"/>
      <c r="BC159" s="923"/>
      <c r="BD159" s="923"/>
      <c r="BE159" s="923"/>
      <c r="BF159" s="923"/>
      <c r="BG159" s="923"/>
      <c r="BH159" s="923"/>
      <c r="BI159" s="923"/>
      <c r="BJ159" s="923"/>
      <c r="BK159" s="923"/>
      <c r="BL159" s="923"/>
      <c r="BM159" s="923"/>
      <c r="BN159" s="923"/>
      <c r="BO159" s="923"/>
      <c r="BP159" s="923"/>
      <c r="BQ159" s="923"/>
      <c r="BR159" s="923"/>
      <c r="BS159" s="923"/>
      <c r="BT159" s="923"/>
      <c r="BU159" s="923"/>
      <c r="BV159" s="923"/>
      <c r="BW159" s="923"/>
      <c r="BX159" s="923"/>
      <c r="BY159" s="923"/>
      <c r="BZ159" s="923"/>
      <c r="CA159" s="923"/>
      <c r="CB159" s="923"/>
      <c r="CC159" s="923"/>
      <c r="CD159" s="923"/>
      <c r="CE159" s="923"/>
      <c r="CF159" s="923"/>
      <c r="CG159" s="923"/>
      <c r="CH159" s="923"/>
      <c r="CI159" s="923"/>
      <c r="CJ159" s="923"/>
      <c r="CK159" s="923"/>
      <c r="CL159" s="923"/>
      <c r="CM159" s="923"/>
      <c r="CN159" s="923"/>
      <c r="CO159" s="923"/>
      <c r="CP159" s="923"/>
      <c r="CQ159" s="923"/>
      <c r="CR159" s="923"/>
      <c r="CS159" s="923"/>
      <c r="CT159" s="923"/>
      <c r="CU159" s="923"/>
      <c r="CV159" s="923"/>
      <c r="CW159" s="923"/>
      <c r="CX159" s="923"/>
      <c r="CY159" s="923"/>
      <c r="CZ159" s="923"/>
      <c r="DA159" s="923"/>
      <c r="DB159" s="137"/>
      <c r="DC159" s="137"/>
      <c r="DD159" s="137"/>
      <c r="DE159" s="137"/>
    </row>
    <row r="160" spans="1:116" hidden="1" outlineLevel="1">
      <c r="BB160" s="929"/>
      <c r="DB160" s="137"/>
      <c r="DC160" s="137"/>
      <c r="DD160" s="137"/>
      <c r="DE160" s="137"/>
    </row>
    <row r="161" spans="1:109" hidden="1" outlineLevel="1">
      <c r="A161" s="26" t="str">
        <f>$A$10</f>
        <v>1Q</v>
      </c>
      <c r="B161" s="26" t="str">
        <f>$B$10</f>
        <v>Apr</v>
      </c>
      <c r="AZ161" s="320">
        <f>(AZ132-AZ141)/AZ171</f>
        <v>0.28413715496850833</v>
      </c>
      <c r="BA161" s="42"/>
      <c r="BD161" s="320">
        <f t="shared" ref="BD161:BD167" si="371">(BD132-BD141)/BD171</f>
        <v>0.267040403182423</v>
      </c>
      <c r="BE161" s="42">
        <f t="shared" ref="BE161:BE167" si="372">IF(AZ161&lt;0,"       NM",(BD161/AZ161-1)*100)</f>
        <v>-6.0170771358572299</v>
      </c>
      <c r="BH161" s="320">
        <f t="shared" ref="BH161:BH167" si="373">(BH132-BH141)/BH171</f>
        <v>7.2115139534752085E-2</v>
      </c>
      <c r="BI161" s="42">
        <f t="shared" ref="BI161:BI167" si="374">IF(BD161&lt;0,"       NM",(BH161/BD161-1)*100)</f>
        <v>-72.994670965393894</v>
      </c>
      <c r="BL161" s="320">
        <f t="shared" ref="BL161:BL167" si="375">(BL132-BL141)/BL171</f>
        <v>8.1303603988924583E-2</v>
      </c>
      <c r="BM161" s="42">
        <f t="shared" ref="BM161:BM167" si="376">IF(BH161&lt;0,"       NM",(BL161/BH161-1)*100)</f>
        <v>12.741380677416014</v>
      </c>
      <c r="BP161" s="320">
        <f t="shared" ref="BP161:BP167" si="377">(BP132-BP141)/BP171</f>
        <v>0.196714252962261</v>
      </c>
      <c r="BQ161" s="42">
        <f t="shared" ref="BQ161:BQ167" si="378">IF(BL161&lt;0,"       NM",(BP161/BL161-1)*100)</f>
        <v>141.95022521886975</v>
      </c>
      <c r="BT161" s="320">
        <f t="shared" ref="BT161:BT167" si="379">(BT132-BT141)/BT171</f>
        <v>0.25768261106568574</v>
      </c>
      <c r="BU161" s="42">
        <f t="shared" ref="BU161:BU167" si="380">IF(BP161&lt;0,"       NM",(BT161/BP161-1)*100)</f>
        <v>30.993360768383837</v>
      </c>
      <c r="BX161" s="320">
        <f t="shared" ref="BX161:BX167" si="381">(BX132-BX141)/BX171</f>
        <v>0.31976518652028202</v>
      </c>
      <c r="BY161" s="42">
        <f t="shared" ref="BY161:BY167" si="382">IF(BT161&lt;0,"       NM",(BX161/BT161-1)*100)</f>
        <v>24.092652273990979</v>
      </c>
      <c r="CB161" s="320">
        <f t="shared" ref="CB161:CB167" si="383">(CB132-CB141)/CB171</f>
        <v>0.32044178116537964</v>
      </c>
      <c r="CC161" s="42">
        <f t="shared" ref="CC161:CC167" si="384">IF(BX161&lt;0,"       NM",(CB161/BX161-1)*100)</f>
        <v>0.21159109046873237</v>
      </c>
      <c r="CF161" s="320">
        <f t="shared" ref="CF161:CF167" si="385">(CF132-CF141)/CF171</f>
        <v>0.27768625783824008</v>
      </c>
      <c r="CG161" s="42">
        <f t="shared" ref="CG161:CG167" si="386">IF(CB161&lt;0,"       NM",(CF161/CB161-1)*100)</f>
        <v>-13.342680586672151</v>
      </c>
      <c r="CJ161" s="320">
        <f t="shared" ref="CJ161:CJ167" si="387">(CJ132-CJ141)/CJ171</f>
        <v>0.30063044703034664</v>
      </c>
      <c r="CK161" s="42">
        <f t="shared" ref="CK161:CK167" si="388">IF(CF161&lt;0,"       NM",(CJ161/CF161-1)*100)</f>
        <v>8.2626304127272121</v>
      </c>
      <c r="CN161" s="320">
        <f t="shared" ref="CN161:CN167" si="389">(CN132-CN141)/CN171</f>
        <v>0.253248183219555</v>
      </c>
      <c r="CO161" s="42">
        <f t="shared" ref="CO161:CO167" si="390">IF(CJ161&lt;0,"       NM",(CN161/CJ161-1)*100)</f>
        <v>-15.760966422010048</v>
      </c>
      <c r="CR161" s="320">
        <f t="shared" ref="CR161:CR167" si="391">(CR132-CR141)/CR171</f>
        <v>0.26072337692203973</v>
      </c>
      <c r="CS161" s="42">
        <f t="shared" ref="CS161:CS167" si="392">IF(CN161&lt;0,"       NM",(CR161/CN161-1)*100)</f>
        <v>2.9517264872159332</v>
      </c>
      <c r="CV161" s="320">
        <f t="shared" ref="CV161:CV167" si="393">(CV132-CV141)/CV171</f>
        <v>0.24666968532202774</v>
      </c>
      <c r="CW161" s="42">
        <f t="shared" ref="CW161:CW167" si="394">IF(CR161&lt;0,"       NM",(CV161/CR161-1)*100)</f>
        <v>-5.3902690912960409</v>
      </c>
      <c r="DB161" s="137"/>
      <c r="DC161" s="137"/>
      <c r="DD161" s="137"/>
      <c r="DE161" s="137"/>
    </row>
    <row r="162" spans="1:109" hidden="1" outlineLevel="1">
      <c r="A162" s="26" t="str">
        <f>$A$11</f>
        <v>2Q</v>
      </c>
      <c r="B162" s="26" t="str">
        <f>$B$11</f>
        <v>Jul</v>
      </c>
      <c r="AZ162" s="824">
        <f>(AZ133-AZ142)/AZ172</f>
        <v>0.30417098518165758</v>
      </c>
      <c r="BA162" s="42"/>
      <c r="BC162" s="824"/>
      <c r="BD162" s="824">
        <f t="shared" si="371"/>
        <v>0.21889677339037333</v>
      </c>
      <c r="BE162" s="42">
        <f t="shared" si="372"/>
        <v>-28.034959264887348</v>
      </c>
      <c r="BG162" s="824"/>
      <c r="BH162" s="824">
        <f t="shared" si="373"/>
        <v>3.7822167867011071E-2</v>
      </c>
      <c r="BI162" s="42">
        <f t="shared" si="374"/>
        <v>-82.721459397868671</v>
      </c>
      <c r="BK162" s="824"/>
      <c r="BL162" s="824">
        <f t="shared" si="375"/>
        <v>8.3470537504340248E-2</v>
      </c>
      <c r="BM162" s="42">
        <f t="shared" si="376"/>
        <v>120.69210257285175</v>
      </c>
      <c r="BO162" s="824"/>
      <c r="BP162" s="824">
        <f t="shared" si="377"/>
        <v>0.169308736169689</v>
      </c>
      <c r="BQ162" s="42">
        <f t="shared" si="378"/>
        <v>102.83652319944076</v>
      </c>
      <c r="BS162" s="824"/>
      <c r="BT162" s="824">
        <f t="shared" si="379"/>
        <v>0.2482274848546335</v>
      </c>
      <c r="BU162" s="42">
        <f t="shared" si="380"/>
        <v>46.612331100179325</v>
      </c>
      <c r="BW162" s="824"/>
      <c r="BX162" s="824">
        <f t="shared" si="381"/>
        <v>0.32413253041303453</v>
      </c>
      <c r="BY162" s="42">
        <f t="shared" si="382"/>
        <v>30.578823937587885</v>
      </c>
      <c r="CB162" s="824">
        <f t="shared" si="383"/>
        <v>0.27490581883562776</v>
      </c>
      <c r="CC162" s="42">
        <f t="shared" si="384"/>
        <v>-15.187217251745244</v>
      </c>
      <c r="CF162" s="824">
        <f t="shared" si="385"/>
        <v>0.21391521130158597</v>
      </c>
      <c r="CG162" s="42">
        <f t="shared" si="386"/>
        <v>-22.18600093383597</v>
      </c>
      <c r="CJ162" s="824">
        <f t="shared" si="387"/>
        <v>0.26403613814510779</v>
      </c>
      <c r="CK162" s="42">
        <f t="shared" si="388"/>
        <v>23.430277135766374</v>
      </c>
      <c r="CN162" s="824">
        <f t="shared" si="389"/>
        <v>0.25357523847806884</v>
      </c>
      <c r="CO162" s="42">
        <f t="shared" si="390"/>
        <v>-3.9619196601375473</v>
      </c>
      <c r="CR162" s="824">
        <f t="shared" si="391"/>
        <v>0.17647620487440027</v>
      </c>
      <c r="CS162" s="42">
        <f t="shared" si="392"/>
        <v>-30.404795857201449</v>
      </c>
      <c r="CV162" s="824">
        <f t="shared" si="393"/>
        <v>0.25811404367726815</v>
      </c>
      <c r="CW162" s="42">
        <f t="shared" si="394"/>
        <v>46.259969643482691</v>
      </c>
      <c r="DB162" s="137"/>
      <c r="DC162" s="137"/>
      <c r="DD162" s="137"/>
      <c r="DE162" s="137"/>
    </row>
    <row r="163" spans="1:109" hidden="1" outlineLevel="1">
      <c r="A163" s="26" t="str">
        <f>$A$12</f>
        <v>3Q</v>
      </c>
      <c r="B163" s="26" t="str">
        <f>$B$12</f>
        <v>Oct</v>
      </c>
      <c r="AZ163" s="824">
        <f>(AZ134-AZ143)/AZ173</f>
        <v>0.23922149570903126</v>
      </c>
      <c r="BA163" s="42"/>
      <c r="BB163" s="813"/>
      <c r="BD163" s="824">
        <f>(BD134-BD143)/BD173</f>
        <v>0.13345487900166456</v>
      </c>
      <c r="BE163" s="42">
        <f t="shared" si="372"/>
        <v>-44.212839817711135</v>
      </c>
      <c r="BH163" s="824">
        <f>(BH134-BH143)/BH201</f>
        <v>1.1343219086174281E-2</v>
      </c>
      <c r="BI163" s="42">
        <f t="shared" si="374"/>
        <v>-91.500333917328874</v>
      </c>
      <c r="BL163" s="824">
        <f t="shared" si="375"/>
        <v>0.12688911079993997</v>
      </c>
      <c r="BM163" s="42">
        <f t="shared" si="376"/>
        <v>1018.6340476716982</v>
      </c>
      <c r="BP163" s="824">
        <f t="shared" si="377"/>
        <v>0.16109487651047599</v>
      </c>
      <c r="BQ163" s="42">
        <f t="shared" si="378"/>
        <v>26.957211296457608</v>
      </c>
      <c r="BT163" s="824">
        <f t="shared" si="379"/>
        <v>0.17686409070565448</v>
      </c>
      <c r="BU163" s="42">
        <f t="shared" si="380"/>
        <v>9.7887745015609049</v>
      </c>
      <c r="BX163" s="824">
        <f t="shared" si="381"/>
        <v>0.25337112480308444</v>
      </c>
      <c r="BY163" s="42">
        <f t="shared" si="382"/>
        <v>43.257528304463207</v>
      </c>
      <c r="CB163" s="824">
        <f t="shared" si="383"/>
        <v>0.2293632400386956</v>
      </c>
      <c r="CC163" s="42">
        <f t="shared" si="384"/>
        <v>-9.4753831096765051</v>
      </c>
      <c r="CF163" s="824">
        <f t="shared" si="385"/>
        <v>0.21546327422049544</v>
      </c>
      <c r="CG163" s="42">
        <f t="shared" si="386"/>
        <v>-6.0602413080034552</v>
      </c>
      <c r="CJ163" s="824">
        <f t="shared" si="387"/>
        <v>0.15563427136268845</v>
      </c>
      <c r="CK163" s="42">
        <f t="shared" si="388"/>
        <v>-27.767610547206612</v>
      </c>
      <c r="CN163" s="824">
        <f t="shared" si="389"/>
        <v>0.20095971968123089</v>
      </c>
      <c r="CO163" s="42">
        <f t="shared" si="390"/>
        <v>29.123051061752637</v>
      </c>
      <c r="CR163" s="824">
        <f t="shared" si="391"/>
        <v>0.13037947339365902</v>
      </c>
      <c r="CS163" s="42">
        <f t="shared" si="392"/>
        <v>-35.121588744017288</v>
      </c>
      <c r="CV163" s="824">
        <f t="shared" si="393"/>
        <v>0.1630538848806766</v>
      </c>
      <c r="CW163" s="42">
        <f t="shared" si="394"/>
        <v>25.061008942997233</v>
      </c>
      <c r="DB163" s="137"/>
      <c r="DC163" s="137"/>
      <c r="DD163" s="137"/>
      <c r="DE163" s="137"/>
    </row>
    <row r="164" spans="1:109" hidden="1" outlineLevel="1">
      <c r="A164" s="26" t="str">
        <f>$A$13</f>
        <v>4Q</v>
      </c>
      <c r="B164" s="26" t="str">
        <f>$B$13</f>
        <v>Jan</v>
      </c>
      <c r="AZ164" s="941">
        <f>(AZ135-AZ144)/AZ174</f>
        <v>0.10307098354243066</v>
      </c>
      <c r="BA164" s="42"/>
      <c r="BB164" s="951"/>
      <c r="BD164" s="941">
        <f>(BD135-BD144)/BD202</f>
        <v>-0.11695063893760939</v>
      </c>
      <c r="BE164" s="42">
        <f t="shared" si="372"/>
        <v>-213.46611327276702</v>
      </c>
      <c r="BH164" s="941">
        <f>(BH135+BH144)/BH202</f>
        <v>-0.22897288627597134</v>
      </c>
      <c r="BI164" s="42" t="str">
        <f t="shared" si="374"/>
        <v xml:space="preserve">       NM</v>
      </c>
      <c r="BL164" s="941">
        <f>(BL135-BL144)/BL174</f>
        <v>9.7761115041585758E-2</v>
      </c>
      <c r="BM164" s="42" t="str">
        <f t="shared" si="376"/>
        <v xml:space="preserve">       NM</v>
      </c>
      <c r="BP164" s="941">
        <f>(BP135-BP144)/BP174</f>
        <v>0.12071874806006878</v>
      </c>
      <c r="BQ164" s="42">
        <f t="shared" si="378"/>
        <v>23.483399313435903</v>
      </c>
      <c r="BT164" s="941">
        <f>(BT135-BT144)/BT174</f>
        <v>0.1392163882500714</v>
      </c>
      <c r="BU164" s="42">
        <f t="shared" si="380"/>
        <v>15.322922484913715</v>
      </c>
      <c r="BX164" s="941">
        <f>(BX135-BX144)/BX174</f>
        <v>0.20038436566870405</v>
      </c>
      <c r="BY164" s="42">
        <f t="shared" si="382"/>
        <v>43.937339696500331</v>
      </c>
      <c r="CB164" s="941">
        <f>(CB135-CB144)/CB174</f>
        <v>3.8937741419236283E-2</v>
      </c>
      <c r="CC164" s="42">
        <f t="shared" si="384"/>
        <v>-80.568473349057513</v>
      </c>
      <c r="CF164" s="941">
        <f>(CF135-CF144)/CF174</f>
        <v>8.0723879693991613E-2</v>
      </c>
      <c r="CG164" s="42">
        <f t="shared" si="386"/>
        <v>107.31525957001674</v>
      </c>
      <c r="CJ164" s="1129">
        <f>(CJ135-CJ144)/CJ174</f>
        <v>4.5647754574016222E-2</v>
      </c>
      <c r="CK164" s="42">
        <f t="shared" si="388"/>
        <v>-43.45198131326454</v>
      </c>
      <c r="CN164" s="1129">
        <f>(CN135-CN144)/CN174</f>
        <v>0.10440880973956883</v>
      </c>
      <c r="CO164" s="42">
        <f t="shared" si="390"/>
        <v>128.72715364404974</v>
      </c>
      <c r="CR164" s="1129">
        <f>(CR135-CR144)/CR174</f>
        <v>0.21920069226331665</v>
      </c>
      <c r="CS164" s="42">
        <f t="shared" si="392"/>
        <v>109.94463284283951</v>
      </c>
      <c r="CV164" s="1129">
        <f>(CV135-CV144)/CV174</f>
        <v>0.19174198716214932</v>
      </c>
      <c r="CW164" s="42">
        <f t="shared" si="394"/>
        <v>-12.526741963105813</v>
      </c>
      <c r="DB164" s="137"/>
      <c r="DC164" s="137"/>
      <c r="DD164" s="137"/>
      <c r="DE164" s="137"/>
    </row>
    <row r="165" spans="1:109" hidden="1" outlineLevel="1">
      <c r="B165" s="26" t="str">
        <f>$B$14</f>
        <v>Year</v>
      </c>
      <c r="AZ165" s="320">
        <f>(AZ136-AZ145)/AZ175</f>
        <v>0.93378611615448393</v>
      </c>
      <c r="BA165" s="42"/>
      <c r="BB165" s="952"/>
      <c r="BD165" s="320">
        <f>(BD136-BD145)/BD175</f>
        <v>0.50394942020356681</v>
      </c>
      <c r="BE165" s="42">
        <f t="shared" si="372"/>
        <v>-46.031600654020188</v>
      </c>
      <c r="BH165" s="320">
        <f t="shared" si="373"/>
        <v>6.943705196878959E-2</v>
      </c>
      <c r="BI165" s="42">
        <f t="shared" si="374"/>
        <v>-86.221424376132632</v>
      </c>
      <c r="BL165" s="320">
        <f t="shared" si="375"/>
        <v>0.38939270259088254</v>
      </c>
      <c r="BM165" s="42">
        <f t="shared" si="376"/>
        <v>460.78518823913475</v>
      </c>
      <c r="BP165" s="320">
        <f t="shared" si="377"/>
        <v>0.6481570935888652</v>
      </c>
      <c r="BQ165" s="42">
        <f t="shared" si="378"/>
        <v>66.453323155841161</v>
      </c>
      <c r="BT165" s="320">
        <f t="shared" si="379"/>
        <v>0.82690161527165995</v>
      </c>
      <c r="BU165" s="42">
        <f t="shared" si="380"/>
        <v>27.577345592729841</v>
      </c>
      <c r="BX165" s="320">
        <f t="shared" si="381"/>
        <v>1.0913168266424884</v>
      </c>
      <c r="BY165" s="42">
        <f t="shared" si="382"/>
        <v>31.976622912262755</v>
      </c>
      <c r="CA165" s="320"/>
      <c r="CB165" s="320">
        <f t="shared" si="383"/>
        <v>0.85248924903761902</v>
      </c>
      <c r="CC165" s="42">
        <f t="shared" si="384"/>
        <v>-21.88434850213379</v>
      </c>
      <c r="CD165" s="320"/>
      <c r="CE165" s="320"/>
      <c r="CF165" s="320">
        <f t="shared" si="385"/>
        <v>0.78496729413958988</v>
      </c>
      <c r="CG165" s="42">
        <f t="shared" si="386"/>
        <v>-7.9205638046761511</v>
      </c>
      <c r="CH165" s="320"/>
      <c r="CI165" s="320"/>
      <c r="CJ165" s="320">
        <f t="shared" si="387"/>
        <v>0.77609899020476991</v>
      </c>
      <c r="CK165" s="42">
        <f t="shared" si="388"/>
        <v>-1.1297673165530542</v>
      </c>
      <c r="CL165" s="320"/>
      <c r="CM165" s="320"/>
      <c r="CN165" s="320">
        <f t="shared" si="389"/>
        <v>0.81498332520872485</v>
      </c>
      <c r="CO165" s="42">
        <f t="shared" si="390"/>
        <v>5.010228784564652</v>
      </c>
      <c r="CP165" s="320"/>
      <c r="CQ165" s="320"/>
      <c r="CR165" s="320">
        <f t="shared" si="391"/>
        <v>0.78715022766600506</v>
      </c>
      <c r="CS165" s="42">
        <f t="shared" si="392"/>
        <v>-3.4151738669734755</v>
      </c>
      <c r="CT165" s="320"/>
      <c r="CU165" s="320"/>
      <c r="CV165" s="320">
        <f t="shared" si="393"/>
        <v>0.86137447547208656</v>
      </c>
      <c r="CW165" s="42">
        <f t="shared" si="394"/>
        <v>9.4294894668537808</v>
      </c>
      <c r="CX165" s="320"/>
      <c r="CY165" s="320"/>
      <c r="CZ165" s="320"/>
      <c r="DB165" s="137"/>
      <c r="DC165" s="137"/>
      <c r="DD165" s="137"/>
      <c r="DE165" s="137"/>
    </row>
    <row r="166" spans="1:109" hidden="1" outlineLevel="1">
      <c r="A166" s="26" t="str">
        <f>$A$15</f>
        <v>6 Mos</v>
      </c>
      <c r="AZ166" s="824">
        <f>SUM(AZ161:AZ162)</f>
        <v>0.58830814015016597</v>
      </c>
      <c r="BA166" s="42"/>
      <c r="BD166" s="824">
        <f t="shared" si="371"/>
        <v>0.48592041617489301</v>
      </c>
      <c r="BE166" s="42">
        <f t="shared" si="372"/>
        <v>-17.403757824792031</v>
      </c>
      <c r="BH166" s="824">
        <f t="shared" si="373"/>
        <v>0.10993099581784278</v>
      </c>
      <c r="BI166" s="42">
        <f t="shared" si="374"/>
        <v>-77.376748916374765</v>
      </c>
      <c r="BL166" s="824">
        <f t="shared" si="375"/>
        <v>0.16477945758411044</v>
      </c>
      <c r="BM166" s="42">
        <f t="shared" si="376"/>
        <v>49.893536721119446</v>
      </c>
      <c r="BP166" s="824">
        <f t="shared" si="377"/>
        <v>0.36602751064716299</v>
      </c>
      <c r="BQ166" s="42">
        <f t="shared" si="378"/>
        <v>122.13176084787571</v>
      </c>
      <c r="BT166" s="824">
        <f t="shared" si="379"/>
        <v>0.50600819834369393</v>
      </c>
      <c r="BU166" s="42">
        <f t="shared" si="380"/>
        <v>38.243214956448227</v>
      </c>
      <c r="BX166" s="824">
        <f t="shared" si="381"/>
        <v>0.64385789506286295</v>
      </c>
      <c r="BY166" s="42">
        <f t="shared" si="382"/>
        <v>27.242581675630852</v>
      </c>
      <c r="CB166" s="824">
        <f>(CB137-CB146)/CB176</f>
        <v>0.59548787313561902</v>
      </c>
      <c r="CC166" s="42">
        <f t="shared" si="384"/>
        <v>-7.5125306838897066</v>
      </c>
      <c r="CF166" s="824">
        <f>(CF137-CF146)/CF176</f>
        <v>0.49188356095836078</v>
      </c>
      <c r="CG166" s="42">
        <f t="shared" si="386"/>
        <v>-17.398223683669023</v>
      </c>
      <c r="CJ166" s="824">
        <f>(CJ137-CJ146)/CJ176</f>
        <v>0.56509274114103947</v>
      </c>
      <c r="CK166" s="42">
        <f t="shared" si="388"/>
        <v>14.883437055721416</v>
      </c>
      <c r="CN166" s="824">
        <f>(CN137-CN146)/CN176</f>
        <v>0.50682050633784148</v>
      </c>
      <c r="CO166" s="42">
        <f t="shared" si="390"/>
        <v>-10.311977231477842</v>
      </c>
      <c r="CR166" s="824">
        <f>(CR137-CR146)/CR176</f>
        <v>0.43734212407657458</v>
      </c>
      <c r="CS166" s="42">
        <f t="shared" si="392"/>
        <v>-13.708676226086503</v>
      </c>
      <c r="CV166" s="824">
        <f>(CV137-CV146)/CV176</f>
        <v>0.50470575400750439</v>
      </c>
      <c r="CW166" s="42">
        <f t="shared" si="394"/>
        <v>15.402959427511043</v>
      </c>
      <c r="DB166" s="137"/>
      <c r="DC166" s="137"/>
      <c r="DD166" s="137"/>
      <c r="DE166" s="137"/>
    </row>
    <row r="167" spans="1:109" hidden="1" outlineLevel="1">
      <c r="A167" s="26" t="str">
        <f>$A$16</f>
        <v>9 Mos</v>
      </c>
      <c r="AZ167" s="824">
        <f>SUM(AZ161:AZ163)</f>
        <v>0.82752963585919725</v>
      </c>
      <c r="BA167" s="42"/>
      <c r="BD167" s="824">
        <f t="shared" si="371"/>
        <v>0.61939285977125136</v>
      </c>
      <c r="BE167" s="42">
        <f t="shared" si="372"/>
        <v>-25.151579722198612</v>
      </c>
      <c r="BH167" s="824">
        <f t="shared" si="373"/>
        <v>0.12135579256079047</v>
      </c>
      <c r="BI167" s="42">
        <f t="shared" si="374"/>
        <v>-80.407298752909668</v>
      </c>
      <c r="BL167" s="824">
        <f t="shared" si="375"/>
        <v>0.29185503885088793</v>
      </c>
      <c r="BM167" s="42">
        <f t="shared" si="376"/>
        <v>140.49535064812804</v>
      </c>
      <c r="BP167" s="824">
        <f t="shared" si="377"/>
        <v>0.52724872819325863</v>
      </c>
      <c r="BQ167" s="42">
        <f t="shared" si="378"/>
        <v>80.654317386185696</v>
      </c>
      <c r="BT167" s="824">
        <f t="shared" si="379"/>
        <v>0.68485727902174098</v>
      </c>
      <c r="BU167" s="42">
        <f t="shared" si="380"/>
        <v>29.892637459470972</v>
      </c>
      <c r="BX167" s="824">
        <f t="shared" si="381"/>
        <v>0.89773588126792214</v>
      </c>
      <c r="BY167" s="42">
        <f t="shared" si="382"/>
        <v>31.08364454419754</v>
      </c>
      <c r="CB167" s="824">
        <f t="shared" si="383"/>
        <v>0.82572179266664458</v>
      </c>
      <c r="CC167" s="42">
        <f t="shared" si="384"/>
        <v>-8.0217456051292153</v>
      </c>
      <c r="CF167" s="824">
        <f t="shared" si="385"/>
        <v>0.70746146938830123</v>
      </c>
      <c r="CG167" s="42">
        <f t="shared" si="386"/>
        <v>-14.322054271623985</v>
      </c>
      <c r="CJ167" s="824">
        <f t="shared" si="387"/>
        <v>0.72431577720478368</v>
      </c>
      <c r="CK167" s="42">
        <f t="shared" si="388"/>
        <v>2.3823640644423216</v>
      </c>
      <c r="CN167" s="824">
        <f t="shared" si="389"/>
        <v>0.70819157691252577</v>
      </c>
      <c r="CO167" s="42">
        <f t="shared" si="390"/>
        <v>-2.2261285477562009</v>
      </c>
      <c r="CR167" s="824">
        <f t="shared" si="391"/>
        <v>0.5681438759558245</v>
      </c>
      <c r="CS167" s="42">
        <f t="shared" si="392"/>
        <v>-19.775397720382603</v>
      </c>
      <c r="CV167" s="824">
        <f t="shared" si="393"/>
        <v>0.66898484623076926</v>
      </c>
      <c r="CW167" s="42">
        <f t="shared" si="394"/>
        <v>17.749196029842551</v>
      </c>
      <c r="DB167" s="137"/>
      <c r="DC167" s="137"/>
      <c r="DD167" s="137"/>
      <c r="DE167" s="137"/>
    </row>
    <row r="168" spans="1:109" collapsed="1">
      <c r="AZ168" s="824"/>
      <c r="BA168" s="42"/>
      <c r="BD168" s="824"/>
      <c r="BE168" s="42"/>
      <c r="BH168" s="824"/>
      <c r="BI168" s="42"/>
      <c r="BL168" s="824"/>
      <c r="BM168" s="42"/>
      <c r="BP168" s="824"/>
      <c r="BQ168" s="42"/>
      <c r="BT168" s="824"/>
      <c r="BU168" s="42"/>
      <c r="BX168" s="890"/>
      <c r="BY168" s="42"/>
      <c r="DA168" s="316"/>
      <c r="DB168" s="137"/>
      <c r="DC168" s="137"/>
      <c r="DD168" s="137"/>
      <c r="DE168" s="137"/>
    </row>
    <row r="169" spans="1:109">
      <c r="C169" s="837"/>
      <c r="D169" s="838"/>
      <c r="H169" s="839"/>
      <c r="I169" s="840"/>
      <c r="J169" s="840"/>
      <c r="K169" s="840"/>
      <c r="L169" s="839"/>
      <c r="M169" s="840"/>
      <c r="N169" s="840"/>
      <c r="O169" s="840"/>
      <c r="P169" s="839"/>
      <c r="Q169" s="840"/>
      <c r="R169" s="840"/>
      <c r="S169" s="840"/>
      <c r="T169" s="839"/>
      <c r="U169" s="840"/>
      <c r="V169" s="840"/>
      <c r="W169" s="840"/>
      <c r="Y169" s="840"/>
      <c r="Z169" s="840"/>
      <c r="AA169" s="840"/>
      <c r="AC169" s="840"/>
      <c r="AD169" s="840"/>
      <c r="AE169" s="840"/>
      <c r="AF169" s="953"/>
      <c r="AG169" s="840"/>
      <c r="AH169" s="840"/>
      <c r="AI169" s="840"/>
      <c r="AK169" s="840"/>
      <c r="AL169" s="840"/>
      <c r="AM169" s="840"/>
      <c r="AN169" s="839"/>
      <c r="AO169" s="840"/>
      <c r="AP169" s="840"/>
      <c r="AQ169" s="840"/>
      <c r="AR169" s="839"/>
      <c r="AS169" s="840"/>
      <c r="AT169" s="840"/>
      <c r="AU169" s="840"/>
      <c r="AV169" s="839" t="s">
        <v>715</v>
      </c>
      <c r="AW169" s="840"/>
      <c r="AX169" s="840"/>
      <c r="AY169" s="840"/>
      <c r="AZ169" s="839"/>
      <c r="BA169" s="840"/>
      <c r="BB169" s="840"/>
      <c r="BC169" s="840"/>
      <c r="BD169" s="839"/>
      <c r="BE169" s="840"/>
      <c r="BF169" s="840"/>
      <c r="BG169" s="840"/>
      <c r="BH169" s="839"/>
      <c r="BI169" s="840"/>
      <c r="BJ169" s="840"/>
      <c r="BK169" s="840"/>
      <c r="BL169" s="839"/>
      <c r="BM169" s="840"/>
      <c r="BN169" s="840"/>
      <c r="BO169" s="840"/>
      <c r="BP169" s="839"/>
      <c r="BQ169" s="840"/>
      <c r="BR169" s="840"/>
      <c r="BS169" s="840"/>
      <c r="BU169" s="840"/>
      <c r="BV169" s="840"/>
      <c r="BW169" s="840"/>
      <c r="BX169" s="839"/>
      <c r="BY169" s="840"/>
      <c r="BZ169" s="840"/>
      <c r="CA169" s="840"/>
      <c r="CB169" s="843" t="str">
        <f>+AV169</f>
        <v>11.  Average Shares Outstanding -- Fully Diluted   (c)</v>
      </c>
      <c r="CC169" s="840"/>
      <c r="CD169" s="840"/>
      <c r="CE169" s="840"/>
      <c r="CF169" s="840"/>
      <c r="CG169" s="840"/>
      <c r="CH169" s="840"/>
      <c r="CI169" s="840"/>
      <c r="CJ169" s="840"/>
      <c r="CK169" s="840"/>
      <c r="CL169" s="840"/>
      <c r="CM169" s="840"/>
      <c r="CN169" s="840"/>
      <c r="CO169" s="840"/>
      <c r="CP169" s="840"/>
      <c r="CQ169" s="840"/>
      <c r="CR169" s="840"/>
      <c r="CS169" s="840"/>
      <c r="CT169" s="840"/>
      <c r="CU169" s="840"/>
      <c r="CV169" s="840"/>
      <c r="CW169" s="840"/>
      <c r="CX169" s="840"/>
      <c r="CY169" s="840"/>
      <c r="CZ169" s="840"/>
      <c r="DA169" s="954"/>
    </row>
    <row r="170" spans="1:109">
      <c r="BT170" s="318"/>
      <c r="BX170" s="318"/>
      <c r="DA170" s="316"/>
    </row>
    <row r="171" spans="1:109">
      <c r="A171" s="26" t="str">
        <f>$A$10</f>
        <v>1Q</v>
      </c>
      <c r="B171" s="26" t="str">
        <f>$B$10</f>
        <v>Apr</v>
      </c>
      <c r="D171" s="955">
        <f>8.054467*2*3/2*2*2</f>
        <v>96.653604000000001</v>
      </c>
      <c r="E171" s="689"/>
      <c r="F171" s="689"/>
      <c r="H171" s="955">
        <f>7.940686*2*3/2*2*2</f>
        <v>95.288232000000008</v>
      </c>
      <c r="I171" s="689"/>
      <c r="J171" s="689"/>
      <c r="L171" s="955">
        <f>8.006666*2*3/2*2*2</f>
        <v>96.07999199999999</v>
      </c>
      <c r="M171" s="689"/>
      <c r="N171" s="689"/>
      <c r="P171" s="955">
        <f>7.884118*2*3/2*3/2*2*2</f>
        <v>141.91412399999999</v>
      </c>
      <c r="Q171" s="689"/>
      <c r="R171" s="689"/>
      <c r="T171" s="955">
        <f>8.244063*2*3/2*3/2*2*2</f>
        <v>148.393134</v>
      </c>
      <c r="U171" s="689"/>
      <c r="V171" s="689"/>
      <c r="W171" s="689"/>
      <c r="X171" s="955">
        <f>8.775024*2*3/2*3/2*2*2</f>
        <v>157.95043199999998</v>
      </c>
      <c r="AB171" s="955">
        <f>26.76966*3/2*2*2</f>
        <v>160.61795999999998</v>
      </c>
      <c r="AF171" s="955">
        <f>27.624602*3/2*2*2</f>
        <v>165.747612</v>
      </c>
      <c r="AJ171" s="955">
        <f>42.660905*2*2</f>
        <v>170.64362</v>
      </c>
      <c r="AN171" s="955">
        <f>87.183112*2</f>
        <v>174.36622399999999</v>
      </c>
      <c r="AR171" s="955">
        <f>89.778*2</f>
        <v>179.55600000000001</v>
      </c>
      <c r="AV171" s="955">
        <v>181.38300000000001</v>
      </c>
      <c r="AZ171" s="955">
        <v>183.06299999999999</v>
      </c>
      <c r="BA171" s="26" t="s">
        <v>407</v>
      </c>
      <c r="BD171" s="955">
        <v>176.595</v>
      </c>
      <c r="BH171" s="955">
        <v>176.55099999999999</v>
      </c>
      <c r="BL171" s="955">
        <v>177.69200000000001</v>
      </c>
      <c r="BM171" s="318"/>
      <c r="BP171" s="956">
        <v>178.833</v>
      </c>
      <c r="BQ171" s="318"/>
      <c r="BT171" s="956">
        <v>176.11199999999999</v>
      </c>
      <c r="BU171" s="318"/>
      <c r="BV171" s="45"/>
      <c r="BX171" s="956">
        <v>167.76372870283501</v>
      </c>
      <c r="BY171" s="318"/>
      <c r="BZ171" s="45"/>
      <c r="CB171" s="955">
        <v>159.536</v>
      </c>
      <c r="CF171" s="955">
        <f>149.044+1.5</f>
        <v>150.54400000000001</v>
      </c>
      <c r="CJ171" s="955">
        <f>143.771</f>
        <v>143.77099999999999</v>
      </c>
      <c r="CN171" s="955">
        <v>131.68899999999999</v>
      </c>
      <c r="CR171" s="955">
        <v>126.10299999999999</v>
      </c>
      <c r="CV171" s="1622">
        <f>CR174-((15/9))</f>
        <v>123.14133333333334</v>
      </c>
      <c r="CZ171" s="957"/>
      <c r="DA171" s="107"/>
    </row>
    <row r="172" spans="1:109">
      <c r="A172" s="26" t="str">
        <f>$A$11</f>
        <v>2Q</v>
      </c>
      <c r="B172" s="26" t="str">
        <f>$B$11</f>
        <v>Jul</v>
      </c>
      <c r="D172" s="955">
        <f>8.072982*2*3/2*2*2</f>
        <v>96.875783999999996</v>
      </c>
      <c r="E172" s="689"/>
      <c r="F172" s="689"/>
      <c r="H172" s="955">
        <f>7.865336*2*3/2*2*2</f>
        <v>94.384032000000005</v>
      </c>
      <c r="I172" s="689"/>
      <c r="J172" s="689"/>
      <c r="L172" s="955">
        <f>8.245624*2*3/2*2*2</f>
        <v>98.947487999999993</v>
      </c>
      <c r="M172" s="689"/>
      <c r="N172" s="689"/>
      <c r="P172" s="955">
        <f>7.954629*2*3/2*3/2*2*2</f>
        <v>143.18332199999998</v>
      </c>
      <c r="Q172" s="689"/>
      <c r="R172" s="689"/>
      <c r="T172" s="955">
        <f>8.471686*2*3/2*3/2*2*2</f>
        <v>152.49034800000001</v>
      </c>
      <c r="U172" s="689"/>
      <c r="V172" s="689"/>
      <c r="W172" s="689"/>
      <c r="X172" s="955">
        <f>17.617638*3/2*3/2*2*2</f>
        <v>158.558742</v>
      </c>
      <c r="AB172" s="955">
        <f>18.076725*3/2*3/2*2*2</f>
        <v>162.69052500000001</v>
      </c>
      <c r="AF172" s="955">
        <f>27.870403*3/2*2*2</f>
        <v>167.222418</v>
      </c>
      <c r="AJ172" s="955">
        <f>85.682017*2</f>
        <v>171.364034</v>
      </c>
      <c r="AN172" s="955">
        <f>87.617718*2</f>
        <v>175.23543599999999</v>
      </c>
      <c r="AR172" s="955">
        <f>90.189*2</f>
        <v>180.37799999999999</v>
      </c>
      <c r="AV172" s="955">
        <v>182.292</v>
      </c>
      <c r="AZ172" s="955">
        <v>178.495</v>
      </c>
      <c r="BA172" s="26" t="s">
        <v>57</v>
      </c>
      <c r="BD172" s="955">
        <v>176.71799999999999</v>
      </c>
      <c r="BH172" s="955">
        <v>176.61600000000001</v>
      </c>
      <c r="BL172" s="955">
        <v>178.566</v>
      </c>
      <c r="BM172" s="318"/>
      <c r="BP172" s="956">
        <v>178.774</v>
      </c>
      <c r="BQ172" s="318"/>
      <c r="BT172" s="956">
        <v>172.495</v>
      </c>
      <c r="BU172" s="318"/>
      <c r="BV172" s="45"/>
      <c r="BX172" s="956">
        <v>164.732</v>
      </c>
      <c r="BY172" s="318"/>
      <c r="BZ172" s="45"/>
      <c r="CB172" s="955">
        <f>157.572615+0.983505</f>
        <v>158.55612000000002</v>
      </c>
      <c r="CF172" s="958">
        <v>149.21799999999999</v>
      </c>
      <c r="CJ172" s="958">
        <f>138.961+1.5</f>
        <v>140.46100000000001</v>
      </c>
      <c r="CN172" s="1069">
        <v>129.36199999999999</v>
      </c>
      <c r="CR172" s="1069">
        <v>125.67700000000001</v>
      </c>
      <c r="CV172" s="1622">
        <f>CV171-((15/9))</f>
        <v>121.47466666666666</v>
      </c>
      <c r="CZ172" s="107"/>
      <c r="DA172" s="107"/>
      <c r="DB172" s="315"/>
    </row>
    <row r="173" spans="1:109">
      <c r="A173" s="26" t="str">
        <f>$A$12</f>
        <v>3Q</v>
      </c>
      <c r="B173" s="26" t="str">
        <f>$B$12</f>
        <v>Oct</v>
      </c>
      <c r="D173" s="955">
        <f>8.038877*2*3/2*2*2</f>
        <v>96.466523999999993</v>
      </c>
      <c r="E173" s="689"/>
      <c r="F173" s="689"/>
      <c r="H173" s="955">
        <f>7.8751*2*3/2*2*2</f>
        <v>94.501199999999997</v>
      </c>
      <c r="I173" s="689"/>
      <c r="J173" s="689"/>
      <c r="L173" s="955">
        <f>8.119022*2*3/2*2*2</f>
        <v>97.428263999999984</v>
      </c>
      <c r="M173" s="689"/>
      <c r="N173" s="689"/>
      <c r="P173" s="955">
        <f>8.093316*2*3/2*3/2*2*2</f>
        <v>145.679688</v>
      </c>
      <c r="Q173" s="689"/>
      <c r="R173" s="689"/>
      <c r="T173" s="955">
        <f>8.563045*2*3/2*3/2*2*2</f>
        <v>154.13481000000002</v>
      </c>
      <c r="U173" s="689"/>
      <c r="V173" s="689"/>
      <c r="W173" s="689"/>
      <c r="X173" s="955">
        <f>17.67911*3/2*3/2*2*2</f>
        <v>159.11199000000002</v>
      </c>
      <c r="Z173" s="26" t="s">
        <v>366</v>
      </c>
      <c r="AB173" s="955">
        <f>18.299416*3/2*3/2*2*2</f>
        <v>164.69474400000001</v>
      </c>
      <c r="AF173" s="955">
        <f>27.98993*3/2*2*2</f>
        <v>167.93958000000001</v>
      </c>
      <c r="AJ173" s="955">
        <f>86.158224*2</f>
        <v>172.31644800000001</v>
      </c>
      <c r="AN173" s="955">
        <f>88.509*2</f>
        <v>177.018</v>
      </c>
      <c r="AR173" s="955">
        <f>90.119*2</f>
        <v>180.238</v>
      </c>
      <c r="AV173" s="955">
        <v>182.55600000000001</v>
      </c>
      <c r="AW173" s="26" t="s">
        <v>152</v>
      </c>
      <c r="AZ173" s="955">
        <v>176.184</v>
      </c>
      <c r="BD173" s="955">
        <v>176.614</v>
      </c>
      <c r="BH173" s="955">
        <v>176.029</v>
      </c>
      <c r="BL173" s="955">
        <v>179.251</v>
      </c>
      <c r="BM173" s="318"/>
      <c r="BP173" s="955">
        <v>177.262</v>
      </c>
      <c r="BQ173" s="318"/>
      <c r="BT173" s="955">
        <v>167.57499999999999</v>
      </c>
      <c r="BU173" s="318"/>
      <c r="BV173" s="45"/>
      <c r="BX173" s="956">
        <v>164.411</v>
      </c>
      <c r="BY173" s="318"/>
      <c r="BZ173" s="45"/>
      <c r="CB173" s="955">
        <f>155.227618+0.8</f>
        <v>156.02761800000002</v>
      </c>
      <c r="CF173" s="958">
        <f>149.037</f>
        <v>149.03700000000001</v>
      </c>
      <c r="CJ173" s="958">
        <v>136.172</v>
      </c>
      <c r="CN173" s="1069">
        <v>128.99600000000001</v>
      </c>
      <c r="CR173" s="1638">
        <v>124.989</v>
      </c>
      <c r="CV173" s="1622">
        <f>CV172-((15/9))</f>
        <v>119.80799999999999</v>
      </c>
      <c r="CZ173" s="957"/>
      <c r="DA173" s="107"/>
    </row>
    <row r="174" spans="1:109">
      <c r="A174" s="26" t="str">
        <f>$A$13</f>
        <v>4Q</v>
      </c>
      <c r="B174" s="26" t="str">
        <f>$B$13</f>
        <v>Jan</v>
      </c>
      <c r="C174" s="122"/>
      <c r="D174" s="959">
        <f>7.914717*2*3/2*2*2</f>
        <v>94.976603999999995</v>
      </c>
      <c r="E174" s="689"/>
      <c r="F174" s="689"/>
      <c r="H174" s="959">
        <f>7.823675*2*3/2*2*2</f>
        <v>93.884099999999989</v>
      </c>
      <c r="I174" s="689"/>
      <c r="J174" s="689"/>
      <c r="L174" s="959">
        <f>7.954446*2*3/2*2*2</f>
        <v>95.453351999999995</v>
      </c>
      <c r="M174" s="689"/>
      <c r="N174" s="689"/>
      <c r="P174" s="959">
        <f>8.299002*2*3/2*3/2*2*2</f>
        <v>149.38203599999997</v>
      </c>
      <c r="Q174" s="689"/>
      <c r="R174" s="689"/>
      <c r="T174" s="959">
        <f>8.729821*2*3/2*3/2*2*2</f>
        <v>157.13677799999999</v>
      </c>
      <c r="U174" s="689"/>
      <c r="V174" s="689"/>
      <c r="W174" s="689"/>
      <c r="X174" s="959">
        <f>17.875183*3/2*3/2*2*2</f>
        <v>160.87664699999999</v>
      </c>
      <c r="AB174" s="959">
        <f>3/2*18.257287*3/2*2*2</f>
        <v>164.315583</v>
      </c>
      <c r="AF174" s="959">
        <f>42.313642*2*2</f>
        <v>169.25456800000001</v>
      </c>
      <c r="AJ174" s="959">
        <f>86.972128*2</f>
        <v>173.944256</v>
      </c>
      <c r="AN174" s="959">
        <f>88.963*2</f>
        <v>177.92599999999999</v>
      </c>
      <c r="AR174" s="959">
        <v>180.518</v>
      </c>
      <c r="AV174" s="959">
        <v>183.184</v>
      </c>
      <c r="AZ174" s="959">
        <v>176.393</v>
      </c>
      <c r="BD174" s="959">
        <v>175.60400000000001</v>
      </c>
      <c r="BH174" s="959">
        <v>175.93799999999999</v>
      </c>
      <c r="BL174" s="959">
        <v>179.50899999999999</v>
      </c>
      <c r="BM174" s="318"/>
      <c r="BP174" s="959">
        <v>177.197</v>
      </c>
      <c r="BQ174" s="318"/>
      <c r="BT174" s="959">
        <v>164.80099999999999</v>
      </c>
      <c r="BU174" s="318"/>
      <c r="BX174" s="959">
        <f>162.203056+1.151804</f>
        <v>163.35486</v>
      </c>
      <c r="BY174" s="318"/>
      <c r="CB174" s="959">
        <v>150.291203</v>
      </c>
      <c r="CF174" s="959">
        <v>148.75399999999999</v>
      </c>
      <c r="CJ174" s="1070">
        <v>135.27500000000001</v>
      </c>
      <c r="CN174" s="1070">
        <f>126.905</f>
        <v>126.905</v>
      </c>
      <c r="CR174" s="1650">
        <v>124.80800000000001</v>
      </c>
      <c r="CV174" s="1623">
        <f>CV173-((15/9))</f>
        <v>118.14133333333332</v>
      </c>
      <c r="CZ174" s="960"/>
    </row>
    <row r="175" spans="1:109">
      <c r="B175" s="26" t="str">
        <f>$B$14</f>
        <v>Year</v>
      </c>
      <c r="D175" s="955">
        <f>8.019804*2*3/2*2*2</f>
        <v>96.237648000000007</v>
      </c>
      <c r="H175" s="955">
        <f>7.8778*2*3/2*2*2</f>
        <v>94.533599999999993</v>
      </c>
      <c r="I175" s="696"/>
      <c r="J175" s="696"/>
      <c r="K175" s="696"/>
      <c r="L175" s="955">
        <f>8.048063*2*3/2*2*2</f>
        <v>96.576756000000017</v>
      </c>
      <c r="M175" s="696"/>
      <c r="N175" s="696"/>
      <c r="O175" s="696"/>
      <c r="P175" s="955">
        <f>8.097617*2*3/2*3/2*2*2</f>
        <v>145.75710599999999</v>
      </c>
      <c r="Q175" s="696"/>
      <c r="R175" s="696"/>
      <c r="S175" s="696"/>
      <c r="T175" s="955">
        <f>8.529896*2*3/2*3/2*2*2</f>
        <v>153.53812800000003</v>
      </c>
      <c r="U175" s="696"/>
      <c r="V175" s="696"/>
      <c r="W175" s="696"/>
      <c r="X175" s="955">
        <f>17.681038*3/2*3/2*2*2</f>
        <v>159.12934200000001</v>
      </c>
      <c r="Y175" s="696"/>
      <c r="Z175" s="696"/>
      <c r="AA175" s="696"/>
      <c r="AB175" s="955">
        <f>18.147865*3/2*3/2*2*2</f>
        <v>163.33078499999999</v>
      </c>
      <c r="AE175" s="696"/>
      <c r="AF175" s="955">
        <f>41.889168*2*2</f>
        <v>167.55667199999999</v>
      </c>
      <c r="AI175" s="696"/>
      <c r="AJ175" s="955">
        <f>86.032052*2</f>
        <v>172.06410399999999</v>
      </c>
      <c r="AM175" s="696"/>
      <c r="AN175" s="318">
        <f>+(AN171+AN172+AN173+AN174)/4</f>
        <v>176.136415</v>
      </c>
      <c r="AQ175" s="696"/>
      <c r="AR175" s="955">
        <v>180.149</v>
      </c>
      <c r="AU175" s="696"/>
      <c r="AV175" s="955">
        <v>182.40799999999999</v>
      </c>
      <c r="AZ175" s="955">
        <v>178.452</v>
      </c>
      <c r="BD175" s="955">
        <v>176.35499999999999</v>
      </c>
      <c r="BH175" s="955">
        <v>176.60599999999999</v>
      </c>
      <c r="BL175" s="955">
        <v>178.858</v>
      </c>
      <c r="BP175" s="955">
        <v>178.03399999999999</v>
      </c>
      <c r="BT175" s="955">
        <v>170.25</v>
      </c>
      <c r="BX175" s="955">
        <f>164.11908+2.130313</f>
        <v>166.249393</v>
      </c>
      <c r="CB175" s="955">
        <f>155.994861+3.947332</f>
        <v>159.94219299999997</v>
      </c>
      <c r="CF175" s="955">
        <f>150.126</f>
        <v>150.126</v>
      </c>
      <c r="CJ175" s="958">
        <v>138.74100000000001</v>
      </c>
      <c r="CN175" s="958">
        <v>129.23699999999999</v>
      </c>
      <c r="CR175" s="1651">
        <f>125.403</f>
        <v>125.40300000000001</v>
      </c>
      <c r="CV175" s="318">
        <f>+(CV171+CV172+CV173+CV174)/4</f>
        <v>120.64133333333332</v>
      </c>
      <c r="CZ175" s="961"/>
      <c r="DA175" s="962"/>
    </row>
    <row r="176" spans="1:109" hidden="1" outlineLevel="1">
      <c r="A176" s="26" t="str">
        <f>$A$15</f>
        <v>6 Mos</v>
      </c>
      <c r="D176" s="794">
        <f>(D171+D172)/2</f>
        <v>96.764693999999992</v>
      </c>
      <c r="H176" s="794">
        <f>(H171+H172)/2</f>
        <v>94.836132000000006</v>
      </c>
      <c r="L176" s="794">
        <f>(L171+L172)/2</f>
        <v>97.513739999999984</v>
      </c>
      <c r="P176" s="794">
        <f>(P171+P172)/2</f>
        <v>142.548723</v>
      </c>
      <c r="T176" s="794">
        <f>(T171+T172)/2</f>
        <v>150.44174100000001</v>
      </c>
      <c r="X176" s="794">
        <f>(X171+X172)/2</f>
        <v>158.25458699999999</v>
      </c>
      <c r="AB176" s="794">
        <f>(AB171+AB172)/2</f>
        <v>161.65424250000001</v>
      </c>
      <c r="AF176" s="794">
        <f>(AF171+AF172)/2</f>
        <v>166.485015</v>
      </c>
      <c r="AJ176" s="794">
        <f>(AJ171+AJ172)/2</f>
        <v>171.003827</v>
      </c>
      <c r="AN176" s="794">
        <f>(AN171+AN172)/2</f>
        <v>174.80082999999999</v>
      </c>
      <c r="AR176" s="794">
        <f>(AR171+AR172)/2</f>
        <v>179.96699999999998</v>
      </c>
      <c r="AV176" s="794">
        <f>(AV171+AV172)/2</f>
        <v>181.83750000000001</v>
      </c>
      <c r="AZ176" s="794">
        <f>(AZ171+AZ172)/2</f>
        <v>180.779</v>
      </c>
      <c r="BD176" s="794">
        <f>(BD171+BD172)/2</f>
        <v>176.65649999999999</v>
      </c>
      <c r="BH176" s="794">
        <f>(BH171+BH172)/2</f>
        <v>176.58350000000002</v>
      </c>
      <c r="BL176" s="794">
        <f>(BL171+BL172)/2</f>
        <v>178.12900000000002</v>
      </c>
      <c r="BP176" s="794">
        <f>(BP171+BP172)/2</f>
        <v>178.80349999999999</v>
      </c>
      <c r="BT176" s="794">
        <f>(BT171+BT172)/2</f>
        <v>174.30349999999999</v>
      </c>
      <c r="BX176" s="794">
        <f>(BX171+BX172)/2</f>
        <v>166.24786435141749</v>
      </c>
      <c r="CB176" s="794">
        <f>(CB171+CB172)/2</f>
        <v>159.04606000000001</v>
      </c>
      <c r="CF176" s="794">
        <f>(CF171+CF172)/2</f>
        <v>149.881</v>
      </c>
      <c r="CJ176" s="794">
        <f>(CJ171+CJ172)/2</f>
        <v>142.11599999999999</v>
      </c>
      <c r="CN176" s="794">
        <f>(CN171+CN172)/2</f>
        <v>130.52549999999999</v>
      </c>
      <c r="CR176" s="794">
        <f>(CR171+CR172)/2</f>
        <v>125.89</v>
      </c>
      <c r="CV176" s="794">
        <f>(CV171+CV172)/2</f>
        <v>122.30799999999999</v>
      </c>
    </row>
    <row r="177" spans="1:116" hidden="1" outlineLevel="1">
      <c r="A177" s="26" t="str">
        <f>$A$16</f>
        <v>9 Mos</v>
      </c>
      <c r="D177" s="794">
        <f>(D171+D172+D173)/3</f>
        <v>96.665303999999992</v>
      </c>
      <c r="H177" s="794">
        <f>(H171+H172+H173)/3</f>
        <v>94.724488000000008</v>
      </c>
      <c r="L177" s="794">
        <f>(L171+L172+L173)/3</f>
        <v>97.485247999999999</v>
      </c>
      <c r="P177" s="794">
        <f>(P171+P172+P173)/3</f>
        <v>143.592378</v>
      </c>
      <c r="T177" s="794">
        <f>(T171+T172+T173)/3</f>
        <v>151.672764</v>
      </c>
      <c r="X177" s="794">
        <f>(X171+X172+X173)/3</f>
        <v>158.54038800000001</v>
      </c>
      <c r="AB177" s="794">
        <f>(AB171+AB172+AB173)/3</f>
        <v>162.667743</v>
      </c>
      <c r="AF177" s="794">
        <f>(AF171+AF172+AF173)/3</f>
        <v>166.96987000000001</v>
      </c>
      <c r="AJ177" s="794">
        <f>(AJ171+AJ172+AJ173)/3</f>
        <v>171.44136733333335</v>
      </c>
      <c r="AN177" s="794">
        <f>(AN171+AN172+AN173)/3</f>
        <v>175.53988666666666</v>
      </c>
      <c r="AR177" s="794">
        <f>(AR171+AR172+AR173)/3</f>
        <v>180.05733333333333</v>
      </c>
      <c r="AV177" s="794">
        <f>(AV171+AV172+AV173)/3</f>
        <v>182.077</v>
      </c>
      <c r="AZ177" s="794">
        <f>(AZ171+AZ172+AZ173)/3</f>
        <v>179.24733333333333</v>
      </c>
      <c r="BD177" s="794">
        <f>(BD171+BD172+BD173)/3</f>
        <v>176.64233333333334</v>
      </c>
      <c r="BH177" s="794">
        <f>(BH171+BH172+BH173)/3</f>
        <v>176.39866666666668</v>
      </c>
      <c r="BL177" s="794">
        <f>(BL171+BL172+BL173)/3</f>
        <v>178.50300000000001</v>
      </c>
      <c r="BP177" s="794">
        <f>(BP171+BP172+BP173)/3</f>
        <v>178.28966666666665</v>
      </c>
      <c r="BT177" s="794">
        <f>(BT171+BT172+BT173)/3</f>
        <v>172.06066666666666</v>
      </c>
      <c r="BX177" s="794">
        <f>(BX171+BX172+BX173)/3</f>
        <v>165.63557623427832</v>
      </c>
      <c r="CB177" s="794">
        <f>(CB171+CB172+CB173)/3</f>
        <v>158.03991266666668</v>
      </c>
      <c r="CF177" s="794">
        <f>(CF171+CF172+CF173)/3</f>
        <v>149.59966666666665</v>
      </c>
      <c r="CJ177" s="794">
        <f>(CJ171+CJ172+CJ173)/3</f>
        <v>140.13466666666667</v>
      </c>
      <c r="CN177" s="794">
        <f>(CN171+CN172+CN173)/3</f>
        <v>130.01566666666668</v>
      </c>
      <c r="CR177" s="794">
        <f>(CR171+CR172+CR173)/3</f>
        <v>125.58966666666667</v>
      </c>
      <c r="CV177" s="794">
        <f>(CV171+CV172+CV173)/3</f>
        <v>121.47466666666666</v>
      </c>
    </row>
    <row r="178" spans="1:116" collapsed="1">
      <c r="BL178" s="318"/>
      <c r="BP178" s="318"/>
      <c r="BT178" s="963"/>
      <c r="BX178" s="318"/>
      <c r="CZ178" s="964"/>
    </row>
    <row r="179" spans="1:116" hidden="1">
      <c r="A179" s="135" t="s">
        <v>617</v>
      </c>
      <c r="B179" s="135" t="s">
        <v>369</v>
      </c>
      <c r="C179" s="135"/>
      <c r="D179" s="135"/>
      <c r="E179" s="135"/>
      <c r="F179" s="135"/>
      <c r="G179" s="135"/>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c r="AD179" s="135"/>
      <c r="AE179" s="135"/>
      <c r="AF179" s="135"/>
      <c r="AG179" s="135"/>
      <c r="AH179" s="135"/>
      <c r="AI179" s="135"/>
      <c r="AJ179" s="135"/>
      <c r="AK179" s="135"/>
      <c r="AL179" s="135"/>
      <c r="AM179" s="135"/>
      <c r="AN179" s="135"/>
      <c r="AO179" s="135"/>
      <c r="AP179" s="135"/>
      <c r="AQ179" s="135"/>
      <c r="AR179" s="135"/>
      <c r="AS179" s="135"/>
      <c r="AT179" s="135"/>
      <c r="AU179" s="135"/>
      <c r="AV179" s="135"/>
      <c r="AW179" s="135"/>
      <c r="AX179" s="135"/>
      <c r="AY179" s="135"/>
      <c r="AZ179" s="135"/>
      <c r="BA179" s="135"/>
      <c r="BB179" s="135"/>
      <c r="BC179" s="135"/>
      <c r="BD179" s="135"/>
      <c r="BE179" s="135"/>
      <c r="BF179" s="135"/>
      <c r="BG179" s="135"/>
      <c r="BH179" s="135"/>
      <c r="BI179" s="135"/>
      <c r="BJ179" s="135"/>
      <c r="BK179" s="135"/>
      <c r="BL179" s="135"/>
      <c r="BM179" s="135"/>
      <c r="BN179" s="135"/>
      <c r="BO179" s="135"/>
      <c r="BP179" s="135"/>
      <c r="BQ179" s="135"/>
      <c r="BR179" s="135"/>
      <c r="BS179" s="135"/>
      <c r="BT179" s="135"/>
      <c r="BU179" s="135"/>
      <c r="BV179" s="135"/>
      <c r="BW179" s="135"/>
      <c r="BX179" s="135"/>
      <c r="BY179" s="135"/>
      <c r="BZ179" s="135"/>
      <c r="CA179" s="135"/>
      <c r="CB179" s="135"/>
      <c r="CC179" s="135"/>
      <c r="CD179" s="135"/>
      <c r="CE179" s="135"/>
      <c r="CF179" s="135"/>
      <c r="CG179" s="135"/>
      <c r="CH179" s="135"/>
      <c r="CI179" s="135"/>
      <c r="CJ179" s="135"/>
      <c r="CK179" s="135"/>
      <c r="CL179" s="135"/>
      <c r="CM179" s="135"/>
      <c r="CN179" s="135"/>
      <c r="CO179" s="135"/>
      <c r="CP179" s="135"/>
      <c r="CQ179" s="135"/>
      <c r="CR179" s="135"/>
      <c r="CS179" s="135"/>
      <c r="CT179" s="135"/>
      <c r="CU179" s="135"/>
      <c r="CV179" s="135"/>
      <c r="CW179" s="135"/>
      <c r="CX179" s="135"/>
      <c r="CY179" s="135"/>
      <c r="CZ179" s="135"/>
      <c r="DA179" s="135"/>
      <c r="DB179" s="135"/>
      <c r="DC179" s="135"/>
      <c r="DD179" s="135"/>
      <c r="DE179" s="135"/>
      <c r="DF179" s="135"/>
      <c r="DG179" s="135"/>
      <c r="DH179" s="135"/>
      <c r="DI179" s="135"/>
      <c r="DJ179" s="135"/>
      <c r="DK179" s="135"/>
      <c r="DL179" s="135"/>
    </row>
    <row r="180" spans="1:116" hidden="1">
      <c r="A180" s="135"/>
      <c r="B180" s="135" t="s">
        <v>370</v>
      </c>
      <c r="C180" s="135"/>
      <c r="D180" s="135"/>
      <c r="E180" s="135"/>
      <c r="F180" s="135"/>
      <c r="G180" s="135"/>
      <c r="H180" s="135"/>
      <c r="I180" s="135"/>
      <c r="J180" s="135"/>
      <c r="K180" s="135"/>
      <c r="L180" s="135"/>
      <c r="M180" s="135"/>
      <c r="N180" s="135"/>
      <c r="O180" s="135"/>
      <c r="P180" s="135"/>
      <c r="Q180" s="135"/>
      <c r="R180" s="135"/>
      <c r="S180" s="135"/>
      <c r="T180" s="135"/>
      <c r="U180" s="135"/>
      <c r="V180" s="135"/>
      <c r="W180" s="135"/>
      <c r="X180" s="135"/>
      <c r="Y180" s="135"/>
      <c r="Z180" s="135"/>
      <c r="AA180" s="135"/>
      <c r="AB180" s="135"/>
      <c r="AC180" s="135"/>
      <c r="AD180" s="135"/>
      <c r="AE180" s="135"/>
      <c r="AF180" s="135"/>
      <c r="AG180" s="135"/>
      <c r="AH180" s="135"/>
      <c r="AI180" s="135"/>
      <c r="AJ180" s="135"/>
      <c r="AK180" s="135"/>
      <c r="AL180" s="135"/>
      <c r="AM180" s="135"/>
      <c r="AN180" s="135"/>
      <c r="AO180" s="135"/>
      <c r="AP180" s="135"/>
      <c r="AQ180" s="135"/>
      <c r="AR180" s="135"/>
      <c r="AS180" s="135"/>
      <c r="AT180" s="135"/>
      <c r="AU180" s="135"/>
      <c r="AV180" s="135"/>
      <c r="AW180" s="135"/>
      <c r="AX180" s="135"/>
      <c r="AY180" s="135"/>
      <c r="AZ180" s="135"/>
      <c r="BA180" s="135"/>
      <c r="BB180" s="135"/>
      <c r="BC180" s="135"/>
      <c r="BD180" s="135"/>
      <c r="BE180" s="135"/>
      <c r="BF180" s="135"/>
      <c r="BG180" s="135"/>
      <c r="BH180" s="135"/>
      <c r="BI180" s="135"/>
      <c r="BJ180" s="135"/>
      <c r="BK180" s="135"/>
      <c r="BL180" s="135"/>
      <c r="BM180" s="135"/>
      <c r="BN180" s="135"/>
      <c r="BO180" s="135"/>
      <c r="BP180" s="135"/>
      <c r="BQ180" s="135"/>
      <c r="BR180" s="135"/>
      <c r="BS180" s="135"/>
      <c r="BT180" s="135"/>
      <c r="BU180" s="135"/>
      <c r="BV180" s="135"/>
      <c r="BW180" s="135"/>
      <c r="BX180" s="135"/>
      <c r="BY180" s="135"/>
      <c r="BZ180" s="135"/>
      <c r="CA180" s="135"/>
      <c r="CB180" s="135"/>
      <c r="CC180" s="135"/>
      <c r="CD180" s="135"/>
      <c r="CE180" s="135"/>
      <c r="CF180" s="135"/>
      <c r="CG180" s="135"/>
      <c r="CH180" s="135"/>
      <c r="CI180" s="135"/>
      <c r="CJ180" s="135"/>
      <c r="CK180" s="135"/>
      <c r="CL180" s="135"/>
      <c r="CM180" s="135"/>
      <c r="CN180" s="135"/>
      <c r="CO180" s="135"/>
      <c r="CP180" s="135"/>
      <c r="CQ180" s="135"/>
      <c r="CR180" s="135"/>
      <c r="CS180" s="135"/>
      <c r="CT180" s="135"/>
      <c r="CU180" s="135"/>
      <c r="CV180" s="135"/>
      <c r="CW180" s="135"/>
      <c r="CX180" s="135"/>
      <c r="CY180" s="135"/>
      <c r="CZ180" s="135"/>
      <c r="DA180" s="135"/>
      <c r="DB180" s="135"/>
      <c r="DC180" s="135"/>
      <c r="DD180" s="135"/>
      <c r="DE180" s="135"/>
      <c r="DF180" s="135"/>
      <c r="DG180" s="135"/>
      <c r="DH180" s="135"/>
      <c r="DI180" s="135"/>
      <c r="DJ180" s="135"/>
      <c r="DK180" s="135"/>
      <c r="DL180" s="135"/>
    </row>
    <row r="181" spans="1:116">
      <c r="A181" s="135" t="s">
        <v>618</v>
      </c>
      <c r="B181" s="135" t="s">
        <v>30</v>
      </c>
      <c r="C181" s="135"/>
      <c r="D181" s="135"/>
      <c r="E181" s="135"/>
      <c r="F181" s="135"/>
      <c r="G181" s="135"/>
      <c r="H181" s="135"/>
      <c r="I181" s="135"/>
      <c r="J181" s="135"/>
      <c r="K181" s="135"/>
      <c r="L181" s="135"/>
      <c r="M181" s="135"/>
      <c r="N181" s="135"/>
      <c r="O181" s="135"/>
      <c r="P181" s="135"/>
      <c r="Q181" s="135"/>
      <c r="R181" s="135"/>
      <c r="S181" s="135"/>
      <c r="T181" s="135"/>
      <c r="U181" s="135"/>
      <c r="V181" s="135"/>
      <c r="W181" s="135"/>
      <c r="X181" s="135"/>
      <c r="Y181" s="135"/>
      <c r="Z181" s="135"/>
      <c r="AA181" s="135"/>
      <c r="AB181" s="135"/>
      <c r="AC181" s="135"/>
      <c r="AD181" s="135"/>
      <c r="AE181" s="135"/>
      <c r="AF181" s="135"/>
      <c r="AG181" s="135"/>
      <c r="AH181" s="135"/>
      <c r="AI181" s="135"/>
      <c r="AJ181" s="135"/>
      <c r="AK181" s="135"/>
      <c r="AL181" s="135"/>
      <c r="AM181" s="135"/>
      <c r="AN181" s="135"/>
      <c r="AO181" s="135"/>
      <c r="AP181" s="135"/>
      <c r="AQ181" s="135"/>
      <c r="AR181" s="135"/>
      <c r="AS181" s="135"/>
      <c r="AT181" s="135"/>
      <c r="AU181" s="135"/>
      <c r="AV181" s="135"/>
      <c r="AW181" s="135"/>
      <c r="AX181" s="135"/>
      <c r="AY181" s="135"/>
      <c r="AZ181" s="135"/>
      <c r="BA181" s="135"/>
      <c r="BB181" s="135"/>
      <c r="BC181" s="135"/>
      <c r="BD181" s="135"/>
      <c r="BE181" s="135"/>
      <c r="BF181" s="135"/>
      <c r="BG181" s="135"/>
      <c r="BH181" s="135"/>
      <c r="BI181" s="965"/>
      <c r="BJ181" s="135"/>
      <c r="BK181" s="135"/>
      <c r="BL181" s="135"/>
      <c r="BM181" s="135"/>
      <c r="BN181" s="135"/>
      <c r="BO181" s="135"/>
      <c r="BP181" s="135"/>
      <c r="BQ181" s="135"/>
      <c r="BR181" s="135"/>
      <c r="BS181" s="135"/>
      <c r="BT181" s="135"/>
      <c r="BU181" s="135"/>
      <c r="BV181" s="135"/>
      <c r="BW181" s="135"/>
      <c r="BX181" s="135"/>
      <c r="BY181" s="135"/>
      <c r="BZ181" s="135"/>
      <c r="CA181" s="135"/>
      <c r="CB181" s="135"/>
      <c r="CC181" s="135"/>
      <c r="CD181" s="135"/>
      <c r="CE181" s="135"/>
      <c r="CF181" s="135"/>
      <c r="CG181" s="135"/>
      <c r="CH181" s="135"/>
      <c r="CI181" s="135"/>
      <c r="CJ181" s="135"/>
      <c r="CK181" s="135"/>
      <c r="CL181" s="135"/>
      <c r="CM181" s="135"/>
      <c r="CN181" s="135"/>
      <c r="CO181" s="135"/>
      <c r="CP181" s="135"/>
      <c r="CQ181" s="135"/>
      <c r="CR181" s="135"/>
      <c r="CS181" s="135"/>
      <c r="CT181" s="135"/>
      <c r="CU181" s="135"/>
      <c r="CV181" s="135"/>
      <c r="CW181" s="135"/>
      <c r="CX181" s="135"/>
      <c r="CY181" s="135"/>
      <c r="CZ181" s="135"/>
      <c r="DA181" s="135"/>
      <c r="DB181" s="135"/>
      <c r="DC181" s="135"/>
      <c r="DD181" s="135"/>
      <c r="DE181" s="135"/>
      <c r="DF181" s="135"/>
      <c r="DG181" s="135"/>
      <c r="DH181" s="135"/>
      <c r="DI181" s="135"/>
      <c r="DJ181" s="135"/>
      <c r="DK181" s="135"/>
      <c r="DL181" s="135"/>
    </row>
    <row r="182" spans="1:116">
      <c r="A182" s="135"/>
      <c r="B182" s="135" t="s">
        <v>31</v>
      </c>
      <c r="C182" s="135"/>
      <c r="D182" s="135"/>
      <c r="E182" s="135"/>
      <c r="F182" s="135"/>
      <c r="G182" s="135"/>
      <c r="H182" s="135"/>
      <c r="I182" s="135"/>
      <c r="J182" s="135"/>
      <c r="K182" s="135"/>
      <c r="L182" s="135"/>
      <c r="M182" s="135"/>
      <c r="N182" s="135"/>
      <c r="O182" s="135"/>
      <c r="P182" s="135"/>
      <c r="Q182" s="135"/>
      <c r="R182" s="135"/>
      <c r="S182" s="135"/>
      <c r="T182" s="135"/>
      <c r="U182" s="135"/>
      <c r="V182" s="135"/>
      <c r="W182" s="135"/>
      <c r="X182" s="135"/>
      <c r="Y182" s="135"/>
      <c r="Z182" s="135"/>
      <c r="AA182" s="135"/>
      <c r="AB182" s="135"/>
      <c r="AC182" s="135"/>
      <c r="AD182" s="135"/>
      <c r="AE182" s="135"/>
      <c r="AF182" s="135"/>
      <c r="AG182" s="135"/>
      <c r="AH182" s="135"/>
      <c r="AI182" s="135"/>
      <c r="AJ182" s="135"/>
      <c r="AK182" s="135"/>
      <c r="AL182" s="135"/>
      <c r="AM182" s="135"/>
      <c r="AN182" s="135"/>
      <c r="AO182" s="135"/>
      <c r="AP182" s="135"/>
      <c r="AQ182" s="135"/>
      <c r="AR182" s="135"/>
      <c r="AS182" s="135"/>
      <c r="AT182" s="135"/>
      <c r="AU182" s="135"/>
      <c r="AV182" s="135"/>
      <c r="AW182" s="135"/>
      <c r="AX182" s="135"/>
      <c r="AY182" s="135"/>
      <c r="AZ182" s="135"/>
      <c r="BA182" s="135"/>
      <c r="BB182" s="135"/>
      <c r="BC182" s="135"/>
      <c r="BD182" s="135"/>
      <c r="BE182" s="135"/>
      <c r="BF182" s="135"/>
      <c r="BG182" s="135"/>
      <c r="BH182" s="135"/>
      <c r="BI182" s="135"/>
      <c r="BJ182" s="135"/>
      <c r="BK182" s="135"/>
      <c r="BL182" s="135"/>
      <c r="BM182" s="135"/>
      <c r="BN182" s="135"/>
      <c r="BO182" s="135"/>
      <c r="BP182" s="135"/>
      <c r="BQ182" s="135"/>
      <c r="BR182" s="135"/>
      <c r="BS182" s="135"/>
      <c r="BT182" s="135"/>
      <c r="BU182" s="135"/>
      <c r="BV182" s="135"/>
      <c r="BW182" s="135"/>
      <c r="BX182" s="135"/>
      <c r="BY182" s="135"/>
      <c r="BZ182" s="135"/>
      <c r="CA182" s="135"/>
      <c r="CB182" s="135"/>
      <c r="CC182" s="135"/>
      <c r="CD182" s="135"/>
      <c r="CE182" s="135"/>
      <c r="CF182" s="135"/>
      <c r="CG182" s="135"/>
      <c r="CH182" s="135"/>
      <c r="CI182" s="135"/>
      <c r="CJ182" s="135"/>
      <c r="CK182" s="135"/>
      <c r="CL182" s="135"/>
      <c r="CM182" s="135"/>
      <c r="CN182" s="135"/>
      <c r="CO182" s="135"/>
      <c r="CP182" s="135"/>
      <c r="CQ182" s="135"/>
      <c r="CR182" s="135"/>
      <c r="CS182" s="135"/>
      <c r="CT182" s="135"/>
      <c r="CU182" s="135"/>
      <c r="CV182" s="135"/>
      <c r="CW182" s="135"/>
      <c r="CX182" s="135"/>
      <c r="CY182" s="135"/>
      <c r="CZ182" s="135"/>
      <c r="DA182" s="135"/>
      <c r="DB182" s="135"/>
      <c r="DC182" s="135"/>
      <c r="DD182" s="135"/>
      <c r="DE182" s="135"/>
      <c r="DF182" s="135"/>
      <c r="DG182" s="135"/>
      <c r="DH182" s="135"/>
      <c r="DI182" s="135"/>
      <c r="DJ182" s="135"/>
      <c r="DK182" s="135"/>
      <c r="DL182" s="135"/>
    </row>
    <row r="183" spans="1:116">
      <c r="A183" s="135" t="s">
        <v>619</v>
      </c>
      <c r="B183" s="135" t="s">
        <v>533</v>
      </c>
      <c r="C183" s="135"/>
      <c r="D183" s="135"/>
      <c r="E183" s="135"/>
      <c r="F183" s="135"/>
      <c r="G183" s="135"/>
      <c r="H183" s="135"/>
      <c r="I183" s="135"/>
      <c r="J183" s="135"/>
      <c r="K183" s="135"/>
      <c r="L183" s="135"/>
      <c r="M183" s="135"/>
      <c r="N183" s="135"/>
      <c r="O183" s="135"/>
      <c r="P183" s="135"/>
      <c r="Q183" s="135"/>
      <c r="R183" s="135"/>
      <c r="S183" s="135"/>
      <c r="T183" s="135"/>
      <c r="U183" s="135"/>
      <c r="V183" s="135"/>
      <c r="W183" s="135"/>
      <c r="X183" s="135"/>
      <c r="Y183" s="135"/>
      <c r="Z183" s="135"/>
      <c r="AA183" s="135"/>
      <c r="AB183" s="135"/>
      <c r="AC183" s="135"/>
      <c r="AD183" s="135"/>
      <c r="AE183" s="135"/>
      <c r="AF183" s="135"/>
      <c r="AG183" s="135"/>
      <c r="AH183" s="135"/>
      <c r="AI183" s="135"/>
      <c r="AJ183" s="135"/>
      <c r="AK183" s="135"/>
      <c r="AL183" s="135"/>
      <c r="AM183" s="135"/>
      <c r="AN183" s="135"/>
      <c r="AO183" s="135"/>
      <c r="AP183" s="135"/>
      <c r="AQ183" s="135"/>
      <c r="AR183" s="135"/>
      <c r="AS183" s="135"/>
      <c r="AT183" s="135"/>
      <c r="AU183" s="135"/>
      <c r="AV183" s="135"/>
      <c r="AW183" s="135"/>
      <c r="AX183" s="135"/>
      <c r="AY183" s="135"/>
      <c r="AZ183" s="135"/>
      <c r="BA183" s="135"/>
      <c r="BB183" s="135"/>
      <c r="BC183" s="135"/>
      <c r="BD183" s="135"/>
      <c r="BE183" s="135"/>
      <c r="BF183" s="135"/>
      <c r="BG183" s="135"/>
      <c r="BH183" s="135"/>
      <c r="BI183" s="135"/>
      <c r="BJ183" s="135"/>
      <c r="BK183" s="135"/>
      <c r="BL183" s="135"/>
      <c r="BM183" s="135"/>
      <c r="BN183" s="135"/>
      <c r="BO183" s="135"/>
      <c r="BP183" s="135"/>
      <c r="BQ183" s="135"/>
      <c r="BR183" s="135"/>
      <c r="BS183" s="135"/>
      <c r="BT183" s="135"/>
      <c r="BU183" s="135"/>
      <c r="BV183" s="135"/>
      <c r="BW183" s="135"/>
      <c r="BX183" s="135"/>
      <c r="BY183" s="135"/>
      <c r="BZ183" s="135"/>
      <c r="CA183" s="135"/>
      <c r="CB183" s="135"/>
      <c r="CC183" s="135"/>
      <c r="CD183" s="135"/>
      <c r="CE183" s="135"/>
      <c r="CF183" s="135"/>
      <c r="CG183" s="135"/>
      <c r="CH183" s="135"/>
      <c r="CI183" s="135"/>
      <c r="CJ183" s="135"/>
      <c r="CK183" s="135"/>
      <c r="CL183" s="135"/>
      <c r="CM183" s="135"/>
      <c r="CN183" s="135"/>
      <c r="CO183" s="135"/>
      <c r="CP183" s="135"/>
      <c r="CQ183" s="135"/>
      <c r="CR183" s="135"/>
      <c r="CS183" s="135"/>
      <c r="CT183" s="135"/>
      <c r="CU183" s="135"/>
      <c r="CV183" s="135"/>
      <c r="CW183" s="135"/>
      <c r="CX183" s="135"/>
      <c r="CY183" s="135"/>
      <c r="CZ183" s="135"/>
      <c r="DA183" s="135"/>
      <c r="DB183" s="135"/>
      <c r="DC183" s="135"/>
      <c r="DD183" s="135"/>
      <c r="DE183" s="135"/>
      <c r="DF183" s="135"/>
      <c r="DG183" s="135"/>
      <c r="DH183" s="135"/>
      <c r="DI183" s="135"/>
      <c r="DJ183" s="135"/>
      <c r="DK183" s="135"/>
      <c r="DL183" s="135"/>
    </row>
    <row r="184" spans="1:116" ht="7.5" customHeight="1"/>
    <row r="185" spans="1:116">
      <c r="A185" s="675" t="s">
        <v>700</v>
      </c>
    </row>
    <row r="188" spans="1:116">
      <c r="C188" s="837"/>
      <c r="D188" s="838"/>
      <c r="H188" s="839"/>
      <c r="I188" s="840"/>
      <c r="J188" s="840"/>
      <c r="K188" s="840"/>
      <c r="L188" s="839"/>
      <c r="M188" s="840"/>
      <c r="N188" s="840"/>
      <c r="O188" s="840"/>
      <c r="P188" s="839"/>
      <c r="Q188" s="840"/>
      <c r="R188" s="840"/>
      <c r="S188" s="840"/>
      <c r="T188" s="839"/>
      <c r="U188" s="840"/>
      <c r="V188" s="840"/>
      <c r="W188" s="840"/>
      <c r="Y188" s="840"/>
      <c r="Z188" s="840"/>
      <c r="AA188" s="840"/>
      <c r="AB188" s="839"/>
      <c r="AC188" s="840"/>
      <c r="AD188" s="840"/>
      <c r="AE188" s="840"/>
      <c r="AG188" s="840"/>
      <c r="AH188" s="840"/>
      <c r="AI188" s="840"/>
      <c r="AJ188" s="839" t="s">
        <v>689</v>
      </c>
      <c r="AK188" s="840"/>
      <c r="AL188" s="840"/>
      <c r="AM188" s="840"/>
      <c r="AN188" s="839"/>
      <c r="AO188" s="840"/>
      <c r="AP188" s="840"/>
      <c r="AQ188" s="840"/>
      <c r="AR188" s="839"/>
      <c r="AS188" s="840"/>
      <c r="AT188" s="840"/>
      <c r="AU188" s="840"/>
      <c r="AV188" s="839" t="s">
        <v>689</v>
      </c>
      <c r="AW188" s="840"/>
      <c r="AX188" s="840"/>
      <c r="AY188" s="840"/>
      <c r="AZ188" s="839"/>
      <c r="BA188" s="840"/>
      <c r="BB188" s="840"/>
      <c r="BC188" s="840"/>
      <c r="BD188" s="839"/>
      <c r="BE188" s="840"/>
      <c r="BF188" s="840"/>
      <c r="BG188" s="840"/>
      <c r="BH188" s="839"/>
      <c r="BI188" s="840"/>
      <c r="BJ188" s="840"/>
      <c r="BK188" s="840"/>
      <c r="BL188" s="839"/>
      <c r="BM188" s="840"/>
      <c r="BN188" s="840"/>
      <c r="BO188" s="840"/>
      <c r="BP188" s="839"/>
      <c r="BQ188" s="840"/>
      <c r="BR188" s="840"/>
      <c r="BS188" s="840"/>
      <c r="BT188" s="839"/>
      <c r="BU188" s="840"/>
      <c r="BV188" s="840"/>
      <c r="BW188" s="840"/>
      <c r="BX188" s="839"/>
      <c r="BY188" s="840"/>
      <c r="BZ188" s="840"/>
      <c r="CA188" s="840"/>
      <c r="CB188" s="840"/>
      <c r="CC188" s="840"/>
      <c r="CD188" s="840"/>
      <c r="CE188" s="840"/>
      <c r="CF188" s="840"/>
      <c r="CG188" s="840"/>
      <c r="CH188" s="840"/>
      <c r="CI188" s="840"/>
      <c r="CJ188" s="840"/>
      <c r="CK188" s="840"/>
      <c r="CL188" s="840"/>
      <c r="CM188" s="840"/>
      <c r="CN188" s="840"/>
      <c r="CO188" s="840"/>
      <c r="CP188" s="840"/>
      <c r="CQ188" s="840"/>
      <c r="CR188" s="840"/>
      <c r="CS188" s="840"/>
      <c r="CT188" s="840"/>
      <c r="CU188" s="840"/>
      <c r="CV188" s="840"/>
      <c r="CW188" s="840"/>
      <c r="CX188" s="840"/>
      <c r="CY188" s="840"/>
      <c r="CZ188" s="840"/>
      <c r="DA188" s="840"/>
    </row>
    <row r="189" spans="1:116">
      <c r="A189" s="26" t="str">
        <f>$A$10</f>
        <v>1Q</v>
      </c>
      <c r="B189" s="26" t="str">
        <f>$B$10</f>
        <v>Apr</v>
      </c>
      <c r="X189" s="318">
        <f>+(X190-X200)+X199</f>
        <v>151.23478499999999</v>
      </c>
      <c r="AB189" s="318">
        <f>77.5215*2</f>
        <v>155.04300000000001</v>
      </c>
      <c r="AC189" s="318"/>
      <c r="AD189" s="318"/>
      <c r="AE189" s="318"/>
      <c r="AF189" s="318">
        <f>79.8736*2</f>
        <v>159.74719999999999</v>
      </c>
      <c r="AG189" s="318"/>
      <c r="AH189" s="318"/>
      <c r="AI189" s="318"/>
      <c r="AJ189" s="318">
        <f>81.886*2</f>
        <v>163.77199999999999</v>
      </c>
      <c r="AK189" s="318"/>
      <c r="AL189" s="318"/>
      <c r="AM189" s="318"/>
      <c r="AN189" s="318">
        <f>85.5127*2</f>
        <v>171.02539999999999</v>
      </c>
      <c r="AO189" s="318"/>
      <c r="AP189" s="318"/>
      <c r="AQ189" s="318"/>
      <c r="AR189" s="318">
        <f>89.1441*2</f>
        <v>178.28819999999999</v>
      </c>
      <c r="AV189" s="318">
        <f>AR192+(AV171-AR174)</f>
        <v>180.11519999999999</v>
      </c>
      <c r="AZ189" s="318">
        <f>AV192+(AZ171-AV174)</f>
        <v>181.79519999999997</v>
      </c>
      <c r="BD189" s="318">
        <f>AZ192+(BD171-AZ174)</f>
        <v>175.32719999999998</v>
      </c>
      <c r="BH189" s="318">
        <f>BD192+(BH171-BD174)</f>
        <v>175.28319999999997</v>
      </c>
      <c r="BL189" s="318">
        <f>BH192+(BL171-BH174)</f>
        <v>176.42419999999998</v>
      </c>
      <c r="BP189" s="318">
        <f>BL192+(BP171-BL174)</f>
        <v>177.56519999999998</v>
      </c>
      <c r="BT189" s="318">
        <f>BP192+(BT171-BP174)</f>
        <v>174.84419999999997</v>
      </c>
      <c r="BX189" s="318">
        <f>BT192+(BX171-BT174)</f>
        <v>166.49592870283499</v>
      </c>
      <c r="CB189" s="318">
        <f>BX192+(CB171-BX174)</f>
        <v>158.26819999999998</v>
      </c>
      <c r="CF189" s="318">
        <f>CB192+(CF171-CB174)</f>
        <v>149.27619999999999</v>
      </c>
      <c r="CJ189" s="318">
        <f>CF192+(CJ171-CF174)</f>
        <v>142.50319999999996</v>
      </c>
      <c r="CN189" s="318">
        <f>CJ192+(CN171-CJ174)</f>
        <v>130.42119999999997</v>
      </c>
      <c r="CR189" s="318">
        <f>CN192+(CR171-CN174)</f>
        <v>124.83519999999997</v>
      </c>
      <c r="CV189" s="318">
        <f>CR192+(CV171-CR174)</f>
        <v>121.87353333333331</v>
      </c>
    </row>
    <row r="190" spans="1:116">
      <c r="A190" s="26" t="str">
        <f>$A$11</f>
        <v>2Q</v>
      </c>
      <c r="B190" s="26" t="str">
        <f>$B$11</f>
        <v>Jul</v>
      </c>
      <c r="X190" s="318">
        <f>+(X191-X201)+X200</f>
        <v>151.84309500000001</v>
      </c>
      <c r="AB190" s="318">
        <f>78.471*2</f>
        <v>156.94200000000001</v>
      </c>
      <c r="AC190" s="318"/>
      <c r="AD190" s="318"/>
      <c r="AE190" s="318"/>
      <c r="AF190" s="318">
        <f>80.2286*2</f>
        <v>160.4572</v>
      </c>
      <c r="AG190" s="318"/>
      <c r="AH190" s="318"/>
      <c r="AI190" s="318"/>
      <c r="AJ190" s="318">
        <f>83.577*2</f>
        <v>167.154</v>
      </c>
      <c r="AK190" s="318"/>
      <c r="AL190" s="318"/>
      <c r="AM190" s="318"/>
      <c r="AN190" s="318">
        <f>86.3998*2</f>
        <v>172.7996</v>
      </c>
      <c r="AO190" s="318"/>
      <c r="AP190" s="318"/>
      <c r="AQ190" s="318"/>
      <c r="AR190" s="318">
        <f>AR189+(AR172-AR171)</f>
        <v>179.11019999999996</v>
      </c>
      <c r="AV190" s="318">
        <f>AV189+(AV172-AV171)</f>
        <v>181.02419999999998</v>
      </c>
      <c r="AZ190" s="318">
        <f>AZ189+(AZ172-AZ171)</f>
        <v>177.22719999999998</v>
      </c>
      <c r="BD190" s="318">
        <f>BD189+(BD172-BD171)</f>
        <v>175.45019999999997</v>
      </c>
      <c r="BH190" s="318">
        <f>BH189+(BH172-BH171)</f>
        <v>175.34819999999999</v>
      </c>
      <c r="BL190" s="318">
        <f>BL189+(BL172-BL171)</f>
        <v>177.29819999999998</v>
      </c>
      <c r="BP190" s="318">
        <f>BP189+(BP172-BP171)</f>
        <v>177.50619999999998</v>
      </c>
      <c r="BT190" s="318">
        <f>BT189+(BT172-BT171)</f>
        <v>171.22719999999998</v>
      </c>
      <c r="BX190" s="318">
        <f>BX189+(BX172-BX171)</f>
        <v>163.46419999999998</v>
      </c>
      <c r="CB190" s="318">
        <f>CB189+(CB172-CB171)</f>
        <v>157.28832</v>
      </c>
      <c r="CF190" s="318">
        <f>CF189+(CF172-CF171)</f>
        <v>147.95019999999997</v>
      </c>
      <c r="CJ190" s="318">
        <f>CJ189+(CJ172-CJ171)</f>
        <v>139.19319999999999</v>
      </c>
      <c r="CN190" s="318">
        <f>CN189+(CN172-CN171)</f>
        <v>128.09419999999997</v>
      </c>
      <c r="CR190" s="318">
        <f>CR189+(CR172-CR171)</f>
        <v>124.40919999999998</v>
      </c>
      <c r="CV190" s="318">
        <f>CV189+(CV172-CV171)</f>
        <v>120.20686666666664</v>
      </c>
    </row>
    <row r="191" spans="1:116">
      <c r="A191" s="26" t="str">
        <f>$A$12</f>
        <v>3Q</v>
      </c>
      <c r="B191" s="26" t="str">
        <f>$B$12</f>
        <v>Oct</v>
      </c>
      <c r="X191" s="318">
        <f>+(X192-X202)+X201</f>
        <v>152.39634300000003</v>
      </c>
      <c r="AB191" s="318">
        <f>78.723*2</f>
        <v>157.446</v>
      </c>
      <c r="AC191" s="318"/>
      <c r="AD191" s="318"/>
      <c r="AE191" s="318"/>
      <c r="AF191" s="318">
        <f>81.1805*2</f>
        <v>162.36099999999999</v>
      </c>
      <c r="AG191" s="318"/>
      <c r="AH191" s="318"/>
      <c r="AI191" s="318"/>
      <c r="AJ191" s="318">
        <f>84.8976*2</f>
        <v>169.79519999999999</v>
      </c>
      <c r="AK191" s="318"/>
      <c r="AL191" s="318"/>
      <c r="AM191" s="318"/>
      <c r="AN191" s="318">
        <f>87.1191*2</f>
        <v>174.23820000000001</v>
      </c>
      <c r="AO191" s="318"/>
      <c r="AP191" s="318"/>
      <c r="AQ191" s="318"/>
      <c r="AR191" s="318">
        <f>AR190+(AR173-AR172)</f>
        <v>178.97019999999998</v>
      </c>
      <c r="AV191" s="318">
        <f>AV190+(AV173-AV172)</f>
        <v>181.28819999999999</v>
      </c>
      <c r="AZ191" s="318">
        <f>AZ190+(AZ173-AZ172)</f>
        <v>174.91619999999998</v>
      </c>
      <c r="BD191" s="318">
        <f>BD190+(BD173-BD172)</f>
        <v>175.34619999999998</v>
      </c>
      <c r="BH191" s="318">
        <f>BH190+(BH173-BH172)</f>
        <v>174.76119999999997</v>
      </c>
      <c r="BL191" s="318">
        <f>BL190+(BL173-BL172)</f>
        <v>177.98319999999998</v>
      </c>
      <c r="BP191" s="318">
        <f>BP190+(BP173-BP172)</f>
        <v>175.99419999999998</v>
      </c>
      <c r="BT191" s="318">
        <f>BT190+(BT173-BT172)</f>
        <v>166.30719999999997</v>
      </c>
      <c r="BX191" s="318">
        <f>BX190+(BX173-BX172)</f>
        <v>163.14319999999998</v>
      </c>
      <c r="CB191" s="318">
        <f>CB190+(CB173-CB172)</f>
        <v>154.759818</v>
      </c>
      <c r="CF191" s="318">
        <f>CF190+(CF173-CF172)</f>
        <v>147.76919999999998</v>
      </c>
      <c r="CJ191" s="318">
        <f>CJ190+(CJ173-CJ172)</f>
        <v>134.90419999999997</v>
      </c>
      <c r="CN191" s="318">
        <f>CN190+(CN173-CN172)</f>
        <v>127.72819999999999</v>
      </c>
      <c r="CR191" s="318">
        <f>CR190+(CR173-CR172)</f>
        <v>123.72119999999998</v>
      </c>
      <c r="CV191" s="318">
        <f>CV190+(CV173-CV172)</f>
        <v>118.54019999999997</v>
      </c>
    </row>
    <row r="192" spans="1:116">
      <c r="A192" s="26" t="str">
        <f>$A$13</f>
        <v>4Q</v>
      </c>
      <c r="B192" s="26" t="str">
        <f>$B$13</f>
        <v>Jan</v>
      </c>
      <c r="X192" s="318">
        <f>77.0805*2</f>
        <v>154.161</v>
      </c>
      <c r="AB192" s="318">
        <f>78.7455*2</f>
        <v>157.49100000000001</v>
      </c>
      <c r="AC192" s="318"/>
      <c r="AD192" s="318"/>
      <c r="AE192" s="318"/>
      <c r="AF192" s="318">
        <f>81.5813*2</f>
        <v>163.1626</v>
      </c>
      <c r="AG192" s="318"/>
      <c r="AH192" s="318"/>
      <c r="AI192" s="318"/>
      <c r="AJ192" s="318">
        <f>85.282*2</f>
        <v>170.56399999999999</v>
      </c>
      <c r="AK192" s="318"/>
      <c r="AL192" s="318"/>
      <c r="AM192" s="318"/>
      <c r="AN192" s="318">
        <f>87.537*2</f>
        <v>175.07400000000001</v>
      </c>
      <c r="AO192" s="318"/>
      <c r="AP192" s="318"/>
      <c r="AQ192" s="318"/>
      <c r="AR192" s="318">
        <f>AR191+(AR174-AR173)</f>
        <v>179.25019999999998</v>
      </c>
      <c r="AV192" s="318">
        <f>AV191+(AV174-AV173)</f>
        <v>181.91619999999998</v>
      </c>
      <c r="AZ192" s="318">
        <f>AZ191+(AZ174-AZ173)</f>
        <v>175.12519999999998</v>
      </c>
      <c r="BD192" s="318">
        <f>BD191+(BD174-BD173)</f>
        <v>174.33619999999999</v>
      </c>
      <c r="BH192" s="318">
        <f>BH191+(BH174-BH173)</f>
        <v>174.67019999999997</v>
      </c>
      <c r="BL192" s="318">
        <f>BL191+(BL174-BL173)</f>
        <v>178.24119999999996</v>
      </c>
      <c r="BP192" s="318">
        <f>BP191+(BP174-BP173)</f>
        <v>175.92919999999998</v>
      </c>
      <c r="BT192" s="318">
        <f>BT191+(BT174-BT173)</f>
        <v>163.53319999999997</v>
      </c>
      <c r="BX192" s="318">
        <f>BX191+(BX174-BX173)</f>
        <v>162.08705999999998</v>
      </c>
      <c r="CB192" s="318">
        <f>CB191+(CB174-CB173)</f>
        <v>149.02340299999997</v>
      </c>
      <c r="CF192" s="318">
        <f>CF191+(CF174-CF173)</f>
        <v>147.48619999999997</v>
      </c>
      <c r="CJ192" s="318">
        <f>CJ191+(CJ174-CJ173)</f>
        <v>134.00719999999998</v>
      </c>
      <c r="CN192" s="318">
        <f>CN191+(CN174-CN173)</f>
        <v>125.63719999999998</v>
      </c>
      <c r="CR192" s="318">
        <f>CR191+(CR174-CR173)</f>
        <v>123.54019999999998</v>
      </c>
      <c r="CV192" s="318">
        <f>CV191+(CV174-CV173)</f>
        <v>116.8735333333333</v>
      </c>
    </row>
    <row r="193" spans="1:105">
      <c r="B193" s="26" t="str">
        <f>$B$14</f>
        <v>Year</v>
      </c>
    </row>
    <row r="194" spans="1:105">
      <c r="A194" s="26" t="str">
        <f>$A$15</f>
        <v>6 Mos</v>
      </c>
    </row>
    <row r="195" spans="1:105">
      <c r="A195" s="26" t="str">
        <f>$A$16</f>
        <v>9 Mos</v>
      </c>
    </row>
    <row r="198" spans="1:105">
      <c r="C198" s="837"/>
      <c r="D198" s="838"/>
      <c r="H198" s="839"/>
      <c r="I198" s="840"/>
      <c r="J198" s="840"/>
      <c r="K198" s="840"/>
      <c r="L198" s="839"/>
      <c r="M198" s="840"/>
      <c r="N198" s="840"/>
      <c r="O198" s="840"/>
      <c r="P198" s="839"/>
      <c r="Q198" s="840"/>
      <c r="R198" s="840"/>
      <c r="S198" s="840"/>
      <c r="T198" s="839"/>
      <c r="U198" s="840"/>
      <c r="V198" s="840"/>
      <c r="W198" s="840"/>
      <c r="Y198" s="840"/>
      <c r="Z198" s="840"/>
      <c r="AA198" s="840"/>
      <c r="AB198" s="839"/>
      <c r="AC198" s="840"/>
      <c r="AD198" s="840"/>
      <c r="AE198" s="840"/>
      <c r="AF198" s="839" t="s">
        <v>690</v>
      </c>
      <c r="AG198" s="840"/>
      <c r="AH198" s="840"/>
      <c r="AI198" s="840"/>
      <c r="AJ198" s="839" t="s">
        <v>690</v>
      </c>
      <c r="AK198" s="840"/>
      <c r="AL198" s="840"/>
      <c r="AM198" s="840"/>
      <c r="AN198" s="839"/>
      <c r="AO198" s="840"/>
      <c r="AP198" s="840"/>
      <c r="AQ198" s="840"/>
      <c r="AR198" s="839"/>
      <c r="AS198" s="840"/>
      <c r="AT198" s="840"/>
      <c r="AU198" s="840"/>
      <c r="AV198" s="839" t="s">
        <v>690</v>
      </c>
      <c r="AW198" s="840"/>
      <c r="AX198" s="840"/>
      <c r="AY198" s="840"/>
      <c r="AZ198" s="839"/>
      <c r="BA198" s="840"/>
      <c r="BB198" s="840"/>
      <c r="BC198" s="840"/>
      <c r="BD198" s="839"/>
      <c r="BE198" s="840"/>
      <c r="BF198" s="840"/>
      <c r="BG198" s="840"/>
      <c r="BH198" s="839"/>
      <c r="BI198" s="840"/>
      <c r="BJ198" s="840"/>
      <c r="BK198" s="840"/>
      <c r="BL198" s="839"/>
      <c r="BM198" s="840"/>
      <c r="BN198" s="840"/>
      <c r="BO198" s="840"/>
      <c r="BP198" s="839"/>
      <c r="BQ198" s="840"/>
      <c r="BR198" s="840"/>
      <c r="BS198" s="840"/>
      <c r="BT198" s="839"/>
      <c r="BU198" s="840"/>
      <c r="BV198" s="840"/>
      <c r="BW198" s="840"/>
      <c r="BX198" s="839"/>
      <c r="BY198" s="840"/>
      <c r="BZ198" s="840"/>
      <c r="CA198" s="840"/>
      <c r="CB198" s="840"/>
      <c r="CC198" s="840"/>
      <c r="CD198" s="840"/>
      <c r="CE198" s="840"/>
      <c r="CF198" s="840"/>
      <c r="CG198" s="840"/>
      <c r="CH198" s="840"/>
      <c r="CI198" s="840"/>
      <c r="CJ198" s="840"/>
      <c r="CK198" s="840"/>
      <c r="CL198" s="840"/>
      <c r="CM198" s="840"/>
      <c r="CN198" s="840"/>
      <c r="CO198" s="840"/>
      <c r="CP198" s="840"/>
      <c r="CQ198" s="840"/>
      <c r="CR198" s="840"/>
      <c r="CS198" s="840"/>
      <c r="CT198" s="840"/>
      <c r="CU198" s="840"/>
      <c r="CV198" s="840"/>
      <c r="CW198" s="840"/>
      <c r="CX198" s="840"/>
      <c r="CY198" s="840"/>
      <c r="CZ198" s="840"/>
      <c r="DA198" s="840"/>
    </row>
    <row r="199" spans="1:105">
      <c r="A199" s="26" t="str">
        <f>$A$10</f>
        <v>1Q</v>
      </c>
      <c r="B199" s="26" t="str">
        <f>$B$10</f>
        <v>Apr</v>
      </c>
      <c r="X199" s="318">
        <f>+-(X172-X200)+X171</f>
        <v>150.99178499999999</v>
      </c>
      <c r="AB199" s="318">
        <f>77.148*2</f>
        <v>154.29599999999999</v>
      </c>
      <c r="AC199" s="318"/>
      <c r="AD199" s="318"/>
      <c r="AE199" s="318"/>
      <c r="AF199" s="318">
        <f>79.2495*2</f>
        <v>158.499</v>
      </c>
      <c r="AG199" s="318"/>
      <c r="AH199" s="318"/>
      <c r="AI199" s="318"/>
      <c r="AJ199" s="318">
        <f>81.886*2</f>
        <v>163.77199999999999</v>
      </c>
      <c r="AK199" s="318"/>
      <c r="AL199" s="318"/>
      <c r="AM199" s="318"/>
      <c r="AN199" s="318">
        <f>85.513*2</f>
        <v>171.02600000000001</v>
      </c>
      <c r="AO199" s="318"/>
      <c r="AP199" s="318"/>
      <c r="AQ199" s="318"/>
      <c r="AR199" s="318">
        <f>88.47*2</f>
        <v>176.94</v>
      </c>
      <c r="AV199" s="318">
        <v>179.60499999999999</v>
      </c>
      <c r="AZ199" s="955">
        <v>175.42099999999999</v>
      </c>
      <c r="BD199" s="955">
        <v>175.42099999999999</v>
      </c>
      <c r="BH199" s="955">
        <v>176.36799999999999</v>
      </c>
      <c r="BL199" s="955">
        <v>177.221</v>
      </c>
      <c r="BP199" s="955">
        <v>177.33600000000001</v>
      </c>
      <c r="BT199" s="955">
        <v>174.881</v>
      </c>
      <c r="BX199" s="955">
        <v>163.97399999999999</v>
      </c>
      <c r="CB199" s="955">
        <v>158.584</v>
      </c>
      <c r="CF199" s="955">
        <v>148.47499999999999</v>
      </c>
      <c r="CJ199" s="958">
        <f>CF202+(CJ171-CF174)</f>
        <v>143.77099999999999</v>
      </c>
      <c r="CN199" s="958">
        <v>131.59399999999999</v>
      </c>
      <c r="CR199" s="958">
        <v>126.05</v>
      </c>
      <c r="CV199" s="987">
        <f>CR202+(CV171-CR174)</f>
        <v>123.09933333333333</v>
      </c>
    </row>
    <row r="200" spans="1:105">
      <c r="A200" s="26" t="str">
        <f>$A$11</f>
        <v>2Q</v>
      </c>
      <c r="B200" s="26" t="str">
        <f>$B$11</f>
        <v>Jul</v>
      </c>
      <c r="X200" s="318">
        <f>+-(X173-X201)+X172</f>
        <v>151.60009500000001</v>
      </c>
      <c r="AB200" s="318">
        <f>77.8185*2</f>
        <v>155.637</v>
      </c>
      <c r="AC200" s="318"/>
      <c r="AD200" s="318"/>
      <c r="AE200" s="318"/>
      <c r="AF200" s="318">
        <f>80.001*2</f>
        <v>160.00200000000001</v>
      </c>
      <c r="AG200" s="318"/>
      <c r="AH200" s="318"/>
      <c r="AI200" s="318"/>
      <c r="AJ200" s="318">
        <f>82.468*2</f>
        <v>164.93600000000001</v>
      </c>
      <c r="AK200" s="318"/>
      <c r="AL200" s="318"/>
      <c r="AM200" s="318"/>
      <c r="AN200" s="318">
        <f>85.969*2</f>
        <v>171.93799999999999</v>
      </c>
      <c r="AO200" s="318"/>
      <c r="AP200" s="318"/>
      <c r="AQ200" s="318"/>
      <c r="AR200" s="318">
        <f>AVERAGE(AR190,AR189)</f>
        <v>178.69919999999996</v>
      </c>
      <c r="AV200" s="318">
        <f>AVERAGE(AV190,AV189)</f>
        <v>180.56969999999998</v>
      </c>
      <c r="AZ200" s="955">
        <v>177.38499999999999</v>
      </c>
      <c r="BD200" s="955">
        <v>175.5</v>
      </c>
      <c r="BH200" s="955">
        <v>176.47300000000001</v>
      </c>
      <c r="BL200" s="955">
        <v>177.22800000000001</v>
      </c>
      <c r="BP200" s="955">
        <v>177.499</v>
      </c>
      <c r="BT200" s="955">
        <v>171.28200000000001</v>
      </c>
      <c r="BX200" s="955">
        <v>163.822</v>
      </c>
      <c r="CB200" s="955">
        <v>156.589</v>
      </c>
      <c r="CF200" s="958">
        <v>148.69399999999999</v>
      </c>
      <c r="CJ200" s="958">
        <f>CJ199+(CJ172-CJ171)</f>
        <v>140.46100000000001</v>
      </c>
      <c r="CN200" s="958">
        <v>129.215</v>
      </c>
      <c r="CR200" s="958">
        <v>125.643</v>
      </c>
      <c r="CV200" s="987">
        <f>CV199+(CV172-CV171)</f>
        <v>121.43266666666666</v>
      </c>
    </row>
    <row r="201" spans="1:105">
      <c r="A201" s="26" t="str">
        <f>$A$12</f>
        <v>3Q</v>
      </c>
      <c r="B201" s="26" t="str">
        <f>$B$12</f>
        <v>Oct</v>
      </c>
      <c r="X201" s="318">
        <f>+-(X174-X202)+X173</f>
        <v>152.15334300000004</v>
      </c>
      <c r="AB201" s="318">
        <f>78.6105*2</f>
        <v>157.221</v>
      </c>
      <c r="AC201" s="318"/>
      <c r="AD201" s="318"/>
      <c r="AE201" s="318"/>
      <c r="AF201" s="318">
        <f>80.793*2</f>
        <v>161.58600000000001</v>
      </c>
      <c r="AG201" s="318"/>
      <c r="AH201" s="318"/>
      <c r="AI201" s="318"/>
      <c r="AJ201" s="318">
        <f>83.745*2</f>
        <v>167.49</v>
      </c>
      <c r="AK201" s="318"/>
      <c r="AL201" s="318"/>
      <c r="AM201" s="318"/>
      <c r="AN201" s="318">
        <f>86.818*2</f>
        <v>173.636</v>
      </c>
      <c r="AO201" s="318"/>
      <c r="AP201" s="318"/>
      <c r="AQ201" s="318"/>
      <c r="AR201" s="318">
        <f>AVERAGE(AR191,AR190)</f>
        <v>179.04019999999997</v>
      </c>
      <c r="AV201" s="318">
        <f>AVERAGE(AV191,AV190)</f>
        <v>181.15619999999998</v>
      </c>
      <c r="AZ201" s="955">
        <v>175.23400000000001</v>
      </c>
      <c r="BD201" s="955">
        <v>175.511</v>
      </c>
      <c r="BH201" s="955">
        <v>175.876</v>
      </c>
      <c r="BL201" s="955">
        <v>177.66200000000001</v>
      </c>
      <c r="BP201" s="955">
        <v>176.215</v>
      </c>
      <c r="BT201" s="955">
        <v>166.51900000000001</v>
      </c>
      <c r="BX201" s="955">
        <v>163.25299999999999</v>
      </c>
      <c r="CB201" s="955">
        <v>155.22800000000001</v>
      </c>
      <c r="CF201" s="958">
        <v>148.56399999999999</v>
      </c>
      <c r="CJ201" s="958">
        <f>CJ200+(CJ173-CJ172)</f>
        <v>136.172</v>
      </c>
      <c r="CN201" s="958">
        <v>128.75299999999999</v>
      </c>
      <c r="CR201" s="1638">
        <v>124.947</v>
      </c>
      <c r="CV201" s="987">
        <f>CV200+(CV173-CV172)</f>
        <v>119.76599999999999</v>
      </c>
    </row>
    <row r="202" spans="1:105">
      <c r="A202" s="26" t="str">
        <f>$A$13</f>
        <v>4Q</v>
      </c>
      <c r="B202" s="26" t="str">
        <f>$B$13</f>
        <v>Jan</v>
      </c>
      <c r="X202" s="318">
        <f>76.959*2</f>
        <v>153.91800000000001</v>
      </c>
      <c r="AB202" s="318">
        <f>78.651*2</f>
        <v>157.30199999999999</v>
      </c>
      <c r="AC202" s="318"/>
      <c r="AD202" s="318"/>
      <c r="AE202" s="318"/>
      <c r="AF202" s="318">
        <f>81.424*2</f>
        <v>162.84800000000001</v>
      </c>
      <c r="AG202" s="318"/>
      <c r="AH202" s="318"/>
      <c r="AI202" s="318"/>
      <c r="AJ202" s="318">
        <f>85.136*2</f>
        <v>170.27199999999999</v>
      </c>
      <c r="AK202" s="318"/>
      <c r="AL202" s="318"/>
      <c r="AM202" s="318"/>
      <c r="AN202" s="318">
        <f>87.31*2</f>
        <v>174.62</v>
      </c>
      <c r="AO202" s="318"/>
      <c r="AP202" s="318"/>
      <c r="AQ202" s="318"/>
      <c r="AR202" s="966">
        <f>AVERAGE(AR192,AR191)</f>
        <v>179.11019999999996</v>
      </c>
      <c r="AV202" s="966">
        <f>AVERAGE(AV192,AV191)</f>
        <v>181.60219999999998</v>
      </c>
      <c r="AZ202" s="959">
        <v>175.32599999999999</v>
      </c>
      <c r="BD202" s="959">
        <v>175.60400000000001</v>
      </c>
      <c r="BH202" s="959">
        <v>177.06899999999999</v>
      </c>
      <c r="BL202" s="959">
        <v>177.95</v>
      </c>
      <c r="BP202" s="959">
        <v>176.029</v>
      </c>
      <c r="BT202" s="959">
        <v>163.87100000000001</v>
      </c>
      <c r="BX202" s="959">
        <v>161.05099999999999</v>
      </c>
      <c r="CB202" s="959">
        <v>150.291</v>
      </c>
      <c r="CF202" s="1070">
        <v>148.75399999999999</v>
      </c>
      <c r="CJ202" s="1070">
        <v>135.27500000000001</v>
      </c>
      <c r="CN202" s="1070">
        <v>126.489</v>
      </c>
      <c r="CR202" s="966">
        <f>CR201+(CR174-CR173)</f>
        <v>124.76600000000001</v>
      </c>
      <c r="CV202" s="966">
        <f>CV201+(CV174-CV173)</f>
        <v>118.09933333333332</v>
      </c>
    </row>
    <row r="203" spans="1:105">
      <c r="B203" s="26" t="str">
        <f>$B$14</f>
        <v>Year</v>
      </c>
      <c r="X203" s="318">
        <f>+(X199+X200+X201+X202)/4</f>
        <v>152.16580575</v>
      </c>
      <c r="AB203" s="318">
        <f>+(AB199+AB200+AB201+AB202)/4</f>
        <v>156.114</v>
      </c>
      <c r="AC203" s="318"/>
      <c r="AD203" s="318"/>
      <c r="AE203" s="318"/>
      <c r="AF203" s="318">
        <f>+(AF199+AF200+AF201+AF202)/4</f>
        <v>160.73374999999999</v>
      </c>
      <c r="AG203" s="318"/>
      <c r="AH203" s="318"/>
      <c r="AI203" s="318"/>
      <c r="AJ203" s="318">
        <f>+(AJ199+AJ200+AJ201+AJ202)/4</f>
        <v>166.61750000000001</v>
      </c>
      <c r="AK203" s="318"/>
      <c r="AL203" s="318"/>
      <c r="AM203" s="318"/>
      <c r="AN203" s="318">
        <f>+(AN199+AN200+AN201+AN202)/4</f>
        <v>172.80500000000001</v>
      </c>
      <c r="AO203" s="318"/>
      <c r="AP203" s="318"/>
      <c r="AQ203" s="318"/>
      <c r="AR203" s="955">
        <v>178.256</v>
      </c>
      <c r="AV203" s="955">
        <v>180.465</v>
      </c>
      <c r="AZ203" s="955">
        <v>177.273</v>
      </c>
      <c r="BD203" s="955">
        <v>175.57400000000001</v>
      </c>
      <c r="BH203" s="955">
        <v>176.60599999999999</v>
      </c>
      <c r="BL203" s="955">
        <v>177.499</v>
      </c>
      <c r="BP203" s="318">
        <f>+(BP199+BP200+BP201+BP202)/4</f>
        <v>176.76975000000002</v>
      </c>
      <c r="BT203" s="318">
        <f>+(BT199+BT200+BT201+BT202)/4</f>
        <v>169.13825</v>
      </c>
      <c r="BX203" s="318">
        <f>+(BX199+BX200+BX201+BX202)/4</f>
        <v>163.02499999999998</v>
      </c>
      <c r="CB203" s="318">
        <f>+(CB199+CB200+CB201+CB202)/4</f>
        <v>155.173</v>
      </c>
      <c r="CF203" s="958">
        <v>148.62200000000001</v>
      </c>
      <c r="CJ203" s="958">
        <v>138.36600000000001</v>
      </c>
      <c r="CN203" s="958">
        <v>128.995</v>
      </c>
      <c r="CR203" s="318">
        <f>+(CR199+CR200+CR201+CR202)/4</f>
        <v>125.3515</v>
      </c>
      <c r="CV203" s="318">
        <f>+(CV199+CV200+CV201+CV202)/4</f>
        <v>120.59933333333333</v>
      </c>
    </row>
    <row r="204" spans="1:105">
      <c r="A204" s="26" t="str">
        <f>$A$15</f>
        <v>6 Mos</v>
      </c>
    </row>
    <row r="205" spans="1:105">
      <c r="C205" s="837"/>
      <c r="D205" s="838"/>
      <c r="H205" s="839"/>
      <c r="I205" s="840"/>
      <c r="J205" s="840"/>
      <c r="K205" s="840"/>
      <c r="L205" s="839"/>
      <c r="M205" s="840"/>
      <c r="N205" s="840"/>
      <c r="O205" s="840"/>
      <c r="P205" s="839"/>
      <c r="Q205" s="840"/>
      <c r="R205" s="840"/>
      <c r="S205" s="840"/>
      <c r="T205" s="839"/>
      <c r="U205" s="840"/>
      <c r="V205" s="840"/>
      <c r="W205" s="840"/>
      <c r="Y205" s="840"/>
      <c r="Z205" s="840"/>
      <c r="AA205" s="840"/>
      <c r="AB205" s="839"/>
      <c r="AC205" s="840"/>
      <c r="AD205" s="840"/>
      <c r="AE205" s="840"/>
      <c r="AF205" s="839" t="s">
        <v>690</v>
      </c>
      <c r="AG205" s="840"/>
      <c r="AH205" s="840"/>
      <c r="AI205" s="840"/>
      <c r="AJ205" s="839" t="s">
        <v>180</v>
      </c>
      <c r="AK205" s="840"/>
      <c r="AL205" s="840"/>
      <c r="AM205" s="840"/>
      <c r="AN205" s="839"/>
      <c r="AO205" s="840"/>
      <c r="AP205" s="840"/>
      <c r="AQ205" s="840"/>
      <c r="AR205" s="839"/>
      <c r="AS205" s="840"/>
      <c r="AT205" s="840"/>
      <c r="AU205" s="840"/>
      <c r="AV205" s="839" t="s">
        <v>180</v>
      </c>
      <c r="AW205" s="840"/>
      <c r="AX205" s="840"/>
      <c r="AY205" s="840"/>
      <c r="AZ205" s="839"/>
      <c r="BA205" s="840"/>
      <c r="BB205" s="840"/>
      <c r="BC205" s="840"/>
      <c r="BD205" s="839"/>
      <c r="BE205" s="840"/>
      <c r="BF205" s="840"/>
      <c r="BG205" s="840"/>
      <c r="BH205" s="839"/>
      <c r="BI205" s="840"/>
      <c r="BJ205" s="840"/>
      <c r="BK205" s="840"/>
      <c r="BL205" s="839"/>
      <c r="BM205" s="840"/>
      <c r="BN205" s="840"/>
      <c r="BO205" s="840"/>
      <c r="BP205" s="839"/>
      <c r="BQ205" s="840"/>
      <c r="BR205" s="840"/>
      <c r="BS205" s="840"/>
      <c r="BT205" s="839"/>
      <c r="BU205" s="840"/>
      <c r="BV205" s="840"/>
      <c r="BW205" s="840"/>
      <c r="BX205" s="839"/>
      <c r="BY205" s="840"/>
      <c r="BZ205" s="840"/>
      <c r="CA205" s="840"/>
      <c r="CB205" s="840"/>
      <c r="CC205" s="840"/>
      <c r="CD205" s="840"/>
      <c r="CE205" s="840"/>
      <c r="CF205" s="840"/>
      <c r="CG205" s="840"/>
      <c r="CH205" s="840"/>
      <c r="CI205" s="840"/>
      <c r="CJ205" s="840"/>
      <c r="CK205" s="840"/>
      <c r="CL205" s="840"/>
      <c r="CM205" s="840"/>
      <c r="CN205" s="840"/>
      <c r="CO205" s="840"/>
      <c r="CP205" s="840"/>
      <c r="CQ205" s="840"/>
      <c r="CR205" s="840"/>
      <c r="CS205" s="840"/>
      <c r="CT205" s="840"/>
      <c r="CU205" s="840"/>
      <c r="CV205" s="840"/>
      <c r="CW205" s="840"/>
      <c r="CX205" s="840"/>
      <c r="CY205" s="840"/>
      <c r="CZ205" s="840"/>
      <c r="DA205" s="840"/>
    </row>
    <row r="206" spans="1:105">
      <c r="A206" s="26" t="str">
        <f>$A$10</f>
        <v>1Q</v>
      </c>
      <c r="B206" s="26" t="str">
        <f>$B$10</f>
        <v>Apr</v>
      </c>
      <c r="X206" s="318">
        <f>+-(X179-X207)+X178</f>
        <v>153.91800000000001</v>
      </c>
      <c r="AB206" s="318">
        <f>77.148*2</f>
        <v>154.29599999999999</v>
      </c>
      <c r="AC206" s="318"/>
      <c r="AD206" s="318"/>
      <c r="AE206" s="318"/>
      <c r="AF206" s="318">
        <f>79.2495*2</f>
        <v>158.499</v>
      </c>
      <c r="AG206" s="318"/>
      <c r="AH206" s="318"/>
      <c r="AI206" s="318"/>
      <c r="AJ206" s="318"/>
      <c r="AK206" s="318"/>
      <c r="AL206" s="318"/>
      <c r="AM206" s="318"/>
      <c r="AN206" s="318"/>
      <c r="AO206" s="318"/>
      <c r="AP206" s="318"/>
      <c r="AQ206" s="318"/>
      <c r="AR206" s="318"/>
      <c r="AV206" s="318"/>
      <c r="AZ206" s="955"/>
      <c r="BD206" s="955"/>
      <c r="BH206" s="955"/>
      <c r="BL206" s="955"/>
      <c r="BP206" s="967">
        <v>0.04</v>
      </c>
      <c r="BT206" s="967">
        <v>0.05</v>
      </c>
      <c r="BX206" s="967">
        <v>5.2499999999999998E-2</v>
      </c>
      <c r="CB206" s="967">
        <v>5.5E-2</v>
      </c>
      <c r="CF206" s="968">
        <v>7.7499999999999999E-2</v>
      </c>
      <c r="CJ206" s="968">
        <v>0.08</v>
      </c>
      <c r="CN206" s="968">
        <f>+CJ209</f>
        <v>0.08</v>
      </c>
      <c r="CR206" s="968">
        <v>8.2500000000000004E-2</v>
      </c>
      <c r="CV206" s="1639">
        <v>8.5000000000000006E-2</v>
      </c>
    </row>
    <row r="207" spans="1:105">
      <c r="A207" s="26" t="str">
        <f>$A$11</f>
        <v>2Q</v>
      </c>
      <c r="B207" s="26" t="str">
        <f>$B$11</f>
        <v>Jul</v>
      </c>
      <c r="X207" s="318">
        <f>+-(X180-X208)+X179</f>
        <v>153.91800000000001</v>
      </c>
      <c r="AB207" s="318">
        <f>77.8185*2</f>
        <v>155.637</v>
      </c>
      <c r="AC207" s="318"/>
      <c r="AD207" s="318"/>
      <c r="AE207" s="318"/>
      <c r="AF207" s="318">
        <f>80.001*2</f>
        <v>160.00200000000001</v>
      </c>
      <c r="AG207" s="318"/>
      <c r="AH207" s="318"/>
      <c r="AI207" s="318"/>
      <c r="AJ207" s="318"/>
      <c r="AK207" s="318"/>
      <c r="AL207" s="318"/>
      <c r="AM207" s="318"/>
      <c r="AN207" s="318"/>
      <c r="AO207" s="318"/>
      <c r="AP207" s="318"/>
      <c r="AQ207" s="318"/>
      <c r="AR207" s="318"/>
      <c r="AV207" s="318"/>
      <c r="AZ207" s="955"/>
      <c r="BD207" s="955"/>
      <c r="BH207" s="955"/>
      <c r="BL207" s="955"/>
      <c r="BP207" s="967">
        <v>0.04</v>
      </c>
      <c r="BT207" s="967">
        <v>0.05</v>
      </c>
      <c r="BX207" s="967">
        <v>5.2499999999999998E-2</v>
      </c>
      <c r="CB207" s="967">
        <v>5.5E-2</v>
      </c>
      <c r="CF207" s="968">
        <f>CF206</f>
        <v>7.7499999999999999E-2</v>
      </c>
      <c r="CJ207" s="968">
        <f>CJ206</f>
        <v>0.08</v>
      </c>
      <c r="CN207" s="968">
        <f>CN206</f>
        <v>0.08</v>
      </c>
      <c r="CR207" s="968">
        <f>CR206</f>
        <v>8.2500000000000004E-2</v>
      </c>
      <c r="CV207" s="1640">
        <f>CV206</f>
        <v>8.5000000000000006E-2</v>
      </c>
    </row>
    <row r="208" spans="1:105">
      <c r="A208" s="26" t="str">
        <f>$A$12</f>
        <v>3Q</v>
      </c>
      <c r="B208" s="26" t="str">
        <f>$B$12</f>
        <v>Oct</v>
      </c>
      <c r="X208" s="318">
        <f>+-(X181-X209)+X180</f>
        <v>153.91800000000001</v>
      </c>
      <c r="AB208" s="318">
        <f>78.6105*2</f>
        <v>157.221</v>
      </c>
      <c r="AC208" s="318"/>
      <c r="AD208" s="318"/>
      <c r="AE208" s="318"/>
      <c r="AF208" s="318">
        <f>80.793*2</f>
        <v>161.58600000000001</v>
      </c>
      <c r="AG208" s="318"/>
      <c r="AH208" s="318"/>
      <c r="AI208" s="318"/>
      <c r="AJ208" s="318"/>
      <c r="AK208" s="318"/>
      <c r="AL208" s="318"/>
      <c r="AM208" s="318"/>
      <c r="AN208" s="318"/>
      <c r="AO208" s="318"/>
      <c r="AP208" s="318"/>
      <c r="AQ208" s="318"/>
      <c r="AR208" s="318"/>
      <c r="AV208" s="318"/>
      <c r="AZ208" s="955"/>
      <c r="BD208" s="955"/>
      <c r="BH208" s="955"/>
      <c r="BL208" s="955"/>
      <c r="BP208" s="967">
        <v>0.04</v>
      </c>
      <c r="BT208" s="967">
        <v>0.05</v>
      </c>
      <c r="BX208" s="967">
        <f>+BX207</f>
        <v>5.2499999999999998E-2</v>
      </c>
      <c r="CB208" s="967">
        <v>7.4999999999999997E-2</v>
      </c>
      <c r="CF208" s="968">
        <f>CF207</f>
        <v>7.7499999999999999E-2</v>
      </c>
      <c r="CJ208" s="968">
        <f>+CJ207</f>
        <v>0.08</v>
      </c>
      <c r="CN208" s="968">
        <f>+CN207</f>
        <v>0.08</v>
      </c>
      <c r="CR208" s="1639">
        <f>+CR207</f>
        <v>8.2500000000000004E-2</v>
      </c>
      <c r="CV208" s="963">
        <f>+CV207</f>
        <v>8.5000000000000006E-2</v>
      </c>
    </row>
    <row r="209" spans="1:100">
      <c r="A209" s="26" t="str">
        <f>$A$13</f>
        <v>4Q</v>
      </c>
      <c r="B209" s="26" t="str">
        <f>$B$13</f>
        <v>Jan</v>
      </c>
      <c r="X209" s="318">
        <f>76.959*2</f>
        <v>153.91800000000001</v>
      </c>
      <c r="AB209" s="318">
        <f>78.651*2</f>
        <v>157.30199999999999</v>
      </c>
      <c r="AC209" s="318"/>
      <c r="AD209" s="318"/>
      <c r="AE209" s="318"/>
      <c r="AF209" s="318">
        <f>81.424*2</f>
        <v>162.84800000000001</v>
      </c>
      <c r="AG209" s="318"/>
      <c r="AH209" s="318"/>
      <c r="AI209" s="318"/>
      <c r="AJ209" s="318"/>
      <c r="AK209" s="318"/>
      <c r="AL209" s="318"/>
      <c r="AM209" s="318"/>
      <c r="AN209" s="318"/>
      <c r="AO209" s="318"/>
      <c r="AP209" s="318"/>
      <c r="AQ209" s="318"/>
      <c r="AR209" s="966"/>
      <c r="AV209" s="966"/>
      <c r="AZ209" s="959"/>
      <c r="BD209" s="959"/>
      <c r="BH209" s="959"/>
      <c r="BL209" s="959"/>
      <c r="BP209" s="969">
        <v>0.04</v>
      </c>
      <c r="BT209" s="969">
        <v>0.05</v>
      </c>
      <c r="BX209" s="969">
        <v>5.5E-2</v>
      </c>
      <c r="CB209" s="969">
        <v>7.4999999999999997E-2</v>
      </c>
      <c r="CF209" s="1194">
        <f>+CF208</f>
        <v>7.7499999999999999E-2</v>
      </c>
      <c r="CJ209" s="1194">
        <f>+CJ208</f>
        <v>0.08</v>
      </c>
      <c r="CN209" s="1194">
        <f>+CN208</f>
        <v>0.08</v>
      </c>
      <c r="CR209" s="1643">
        <f>+CR208</f>
        <v>8.2500000000000004E-2</v>
      </c>
      <c r="CV209" s="970">
        <f>+CV208</f>
        <v>8.5000000000000006E-2</v>
      </c>
    </row>
    <row r="210" spans="1:100">
      <c r="B210" s="26" t="str">
        <f>$B$14</f>
        <v>Year</v>
      </c>
      <c r="X210" s="318">
        <f>+(X206+X207+X208+X209)/4</f>
        <v>153.91800000000001</v>
      </c>
      <c r="AB210" s="318">
        <f>+(AB206+AB207+AB208+AB209)/4</f>
        <v>156.114</v>
      </c>
      <c r="AC210" s="318"/>
      <c r="AD210" s="318"/>
      <c r="AE210" s="318"/>
      <c r="AF210" s="318">
        <f>+(AF206+AF207+AF208+AF209)/4</f>
        <v>160.73374999999999</v>
      </c>
      <c r="AG210" s="318"/>
      <c r="AH210" s="318"/>
      <c r="AI210" s="318"/>
      <c r="AJ210" s="318"/>
      <c r="AK210" s="318"/>
      <c r="AL210" s="318"/>
      <c r="AM210" s="318"/>
      <c r="AN210" s="318"/>
      <c r="AO210" s="318"/>
      <c r="AP210" s="318"/>
      <c r="AQ210" s="318"/>
      <c r="AR210" s="955"/>
      <c r="AV210" s="955"/>
      <c r="AZ210" s="955"/>
      <c r="BD210" s="955"/>
      <c r="BH210" s="955"/>
      <c r="BL210" s="955"/>
      <c r="BP210" s="963">
        <f>SUM(BP206:BP209)</f>
        <v>0.16</v>
      </c>
      <c r="BT210" s="963">
        <f>SUM(BT206:BT209)</f>
        <v>0.2</v>
      </c>
      <c r="BX210" s="963">
        <f>SUM(BX206:BX209)</f>
        <v>0.21249999999999999</v>
      </c>
      <c r="CB210" s="963">
        <f>SUM(CB206:CB209)</f>
        <v>0.26</v>
      </c>
      <c r="CF210" s="963">
        <f>SUM(CF206:CF209)</f>
        <v>0.31</v>
      </c>
      <c r="CJ210" s="963">
        <f>SUM(CJ206:CJ209)</f>
        <v>0.32</v>
      </c>
      <c r="CN210" s="963">
        <f>SUM(CN206:CN209)</f>
        <v>0.32</v>
      </c>
      <c r="CR210" s="963">
        <f>SUM(CR206:CR209)</f>
        <v>0.33</v>
      </c>
      <c r="CV210" s="963">
        <f>SUM(CV206:CV209)</f>
        <v>0.34</v>
      </c>
    </row>
  </sheetData>
  <mergeCells count="8">
    <mergeCell ref="CV6:CX6"/>
    <mergeCell ref="CR6:CT6"/>
    <mergeCell ref="BT6:BV6"/>
    <mergeCell ref="BX6:BZ6"/>
    <mergeCell ref="CB6:CD6"/>
    <mergeCell ref="CF6:CH6"/>
    <mergeCell ref="CJ6:CL6"/>
    <mergeCell ref="CN6:CP6"/>
  </mergeCells>
  <phoneticPr fontId="0" type="noConversion"/>
  <dataValidations disablePrompts="1" count="1">
    <dataValidation type="custom" allowBlank="1" showInputMessage="1" showErrorMessage="1" sqref="DI150:DJ150 DC19:DE23 DD150 DH150:DH156 DL150:DL156">
      <formula1>-1</formula1>
    </dataValidation>
  </dataValidations>
  <pageMargins left="0.25" right="0.25" top="0.25" bottom="0.25" header="0.5" footer="0"/>
  <pageSetup scale="46" fitToHeight="3" orientation="landscape" r:id="rId1"/>
  <headerFooter alignWithMargins="0">
    <oddFooter>&amp;R&amp;8&amp;D/&amp;T
&amp;F/&amp;A</oddFooter>
  </headerFooter>
  <rowBreaks count="1" manualBreakCount="1">
    <brk id="118" max="105" man="1"/>
  </rowBreaks>
  <colBreaks count="1" manualBreakCount="1">
    <brk id="103" max="178" man="1"/>
  </col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Q103"/>
  <sheetViews>
    <sheetView zoomScaleNormal="100" workbookViewId="0">
      <selection activeCell="N65" sqref="N65"/>
    </sheetView>
  </sheetViews>
  <sheetFormatPr defaultRowHeight="12.75" outlineLevelRow="2" outlineLevelCol="1"/>
  <cols>
    <col min="1" max="1" width="27.85546875" style="26" customWidth="1"/>
    <col min="2" max="2" width="9.140625" style="26" hidden="1" customWidth="1" outlineLevel="1"/>
    <col min="3" max="3" width="8.85546875" style="26" hidden="1" customWidth="1" outlineLevel="1" collapsed="1"/>
    <col min="4" max="4" width="9.140625" style="26" hidden="1" customWidth="1" outlineLevel="1"/>
    <col min="5" max="5" width="8.85546875" style="26" hidden="1" customWidth="1" outlineLevel="1" collapsed="1"/>
    <col min="6" max="6" width="9.140625" style="26" hidden="1" customWidth="1" outlineLevel="1"/>
    <col min="7" max="7" width="9.140625" style="26" hidden="1" customWidth="1" outlineLevel="1" collapsed="1"/>
    <col min="8" max="8" width="9.5703125" style="26" hidden="1" customWidth="1" outlineLevel="1"/>
    <col min="9" max="9" width="9.140625" style="26" hidden="1" customWidth="1" outlineLevel="1"/>
    <col min="10" max="11" width="9.5703125" style="26" hidden="1" customWidth="1" outlineLevel="1"/>
    <col min="12" max="12" width="9.42578125" style="26" hidden="1" customWidth="1" outlineLevel="1"/>
    <col min="13" max="14" width="9.28515625" style="26" hidden="1" customWidth="1" outlineLevel="1"/>
    <col min="15" max="15" width="9.140625" style="26" hidden="1" customWidth="1" outlineLevel="1"/>
    <col min="16" max="16" width="9.28515625" style="26" hidden="1" customWidth="1" outlineLevel="1"/>
    <col min="17" max="17" width="8" style="26" hidden="1" customWidth="1" outlineLevel="1"/>
    <col min="18" max="18" width="7.7109375" style="1076" hidden="1" customWidth="1" outlineLevel="1"/>
    <col min="19" max="19" width="7.42578125" style="1076" hidden="1" customWidth="1" outlineLevel="1" collapsed="1"/>
    <col min="20" max="20" width="7.5703125" style="1076" customWidth="1" collapsed="1"/>
    <col min="21" max="21" width="7.28515625" style="1076" customWidth="1"/>
    <col min="22" max="22" width="7.42578125" style="137" customWidth="1"/>
    <col min="23" max="23" width="7.7109375" style="26" customWidth="1"/>
    <col min="24" max="24" width="7.85546875" style="26" customWidth="1"/>
    <col min="25" max="26" width="7" style="26" customWidth="1"/>
    <col min="27" max="30" width="8" style="26" customWidth="1"/>
    <col min="31" max="31" width="1.42578125" style="26" customWidth="1"/>
    <col min="32" max="32" width="7.42578125" style="26" customWidth="1"/>
    <col min="33" max="33" width="2.140625" style="26" customWidth="1"/>
    <col min="34" max="34" width="2.28515625" style="26" customWidth="1"/>
    <col min="35" max="35" width="7.85546875" style="26" customWidth="1"/>
    <col min="36" max="36" width="2.28515625" style="26" customWidth="1"/>
    <col min="37" max="40" width="9.140625" style="26"/>
    <col min="41" max="41" width="9.42578125" style="26" bestFit="1" customWidth="1"/>
    <col min="42" max="43" width="9.28515625" style="26" bestFit="1" customWidth="1"/>
    <col min="44" max="16384" width="9.140625" style="26"/>
  </cols>
  <sheetData>
    <row r="1" spans="1:43">
      <c r="A1" s="259" t="str">
        <f>+sumry!A1</f>
        <v>Chico's</v>
      </c>
      <c r="B1" s="3"/>
      <c r="C1" s="3"/>
      <c r="D1" s="3"/>
      <c r="E1" s="3"/>
      <c r="F1" s="3"/>
      <c r="G1" s="3"/>
      <c r="H1" s="3"/>
      <c r="I1" s="3"/>
      <c r="J1" s="3"/>
      <c r="K1" s="3"/>
      <c r="N1" s="236"/>
      <c r="O1" s="236"/>
      <c r="S1" s="1242"/>
      <c r="T1" s="1239"/>
      <c r="U1" s="1239"/>
      <c r="V1" s="754"/>
      <c r="W1" s="236"/>
      <c r="X1" s="236"/>
      <c r="Y1" s="236"/>
      <c r="Z1" s="236"/>
      <c r="AA1" s="236"/>
      <c r="AB1" s="236"/>
      <c r="AC1" s="236"/>
      <c r="AD1" s="236"/>
      <c r="AE1" s="3"/>
      <c r="AF1" s="3"/>
      <c r="AG1" s="3"/>
      <c r="AH1" s="3"/>
      <c r="AI1" s="3"/>
      <c r="AJ1" s="3"/>
      <c r="AK1" s="3"/>
      <c r="AL1" s="3"/>
      <c r="AM1" s="3"/>
      <c r="AN1" s="3"/>
      <c r="AO1" s="3"/>
      <c r="AP1" s="3"/>
      <c r="AQ1" s="3"/>
    </row>
    <row r="2" spans="1:43">
      <c r="A2" s="148" t="s">
        <v>531</v>
      </c>
      <c r="B2" s="4"/>
      <c r="C2" s="4"/>
      <c r="D2" s="4"/>
      <c r="E2" s="4"/>
      <c r="F2" s="4"/>
      <c r="G2" s="4"/>
      <c r="H2" s="4"/>
      <c r="I2" s="4"/>
      <c r="J2" s="4"/>
      <c r="K2" s="4"/>
      <c r="L2" s="4"/>
      <c r="M2" s="4"/>
      <c r="N2" s="4"/>
      <c r="O2" s="4"/>
      <c r="P2" s="4"/>
      <c r="Q2" s="4"/>
      <c r="R2" s="1246"/>
      <c r="S2" s="1246"/>
      <c r="T2" s="1246"/>
      <c r="U2" s="1246"/>
      <c r="V2" s="1277"/>
      <c r="W2" s="4"/>
      <c r="X2" s="4"/>
      <c r="Y2" s="4"/>
      <c r="Z2" s="4"/>
      <c r="AA2" s="4"/>
      <c r="AB2" s="4"/>
      <c r="AC2" s="4"/>
      <c r="AD2" s="4"/>
      <c r="AE2" s="4"/>
      <c r="AF2" s="4"/>
      <c r="AG2" s="4"/>
      <c r="AH2" s="4"/>
      <c r="AI2" s="4"/>
      <c r="AJ2" s="4"/>
      <c r="AK2" s="3"/>
      <c r="AL2" s="3"/>
      <c r="AM2" s="3"/>
      <c r="AN2" s="3"/>
      <c r="AO2" s="3"/>
      <c r="AP2" s="3"/>
      <c r="AQ2" s="3"/>
    </row>
    <row r="3" spans="1:43" ht="13.5" customHeight="1">
      <c r="A3" s="25"/>
      <c r="B3" s="56"/>
      <c r="C3" s="56"/>
      <c r="D3" s="56"/>
      <c r="E3" s="56"/>
      <c r="F3" s="56"/>
      <c r="G3" s="56"/>
      <c r="H3" s="56"/>
      <c r="I3" s="56"/>
      <c r="J3" s="56"/>
      <c r="K3" s="56"/>
      <c r="L3" s="56"/>
      <c r="M3" s="56"/>
      <c r="N3" s="56"/>
      <c r="O3" s="56"/>
      <c r="P3" s="56"/>
      <c r="Q3" s="56"/>
      <c r="R3" s="1247"/>
      <c r="S3" s="1247"/>
      <c r="T3" s="1247"/>
      <c r="U3" s="1247"/>
      <c r="V3" s="168"/>
      <c r="W3" s="56"/>
      <c r="X3" s="658"/>
      <c r="Y3" s="56"/>
      <c r="Z3" s="56"/>
      <c r="AA3" s="56"/>
      <c r="AB3" s="56"/>
      <c r="AC3" s="56"/>
      <c r="AD3" s="56"/>
      <c r="AE3" s="112"/>
      <c r="AF3" s="56"/>
      <c r="AG3" s="56"/>
      <c r="AH3" s="56"/>
      <c r="AI3" s="56"/>
      <c r="AJ3" s="56"/>
      <c r="AK3" s="3"/>
      <c r="AL3" s="3"/>
      <c r="AM3" s="3"/>
      <c r="AN3" s="3"/>
      <c r="AO3" s="3"/>
      <c r="AP3" s="3"/>
      <c r="AQ3" s="3"/>
    </row>
    <row r="4" spans="1:43" ht="12.75" customHeight="1">
      <c r="A4" s="5"/>
      <c r="B4" s="3">
        <f>A4+1</f>
        <v>1</v>
      </c>
      <c r="C4" s="3">
        <f>B4+1</f>
        <v>2</v>
      </c>
      <c r="D4" s="3">
        <f>C4+1</f>
        <v>3</v>
      </c>
      <c r="E4" s="3">
        <f>D4+1</f>
        <v>4</v>
      </c>
      <c r="F4" s="3">
        <f>E4+1</f>
        <v>5</v>
      </c>
      <c r="G4" s="3"/>
      <c r="H4" s="3"/>
      <c r="I4" s="3"/>
      <c r="J4" s="3"/>
      <c r="K4" s="3"/>
      <c r="L4" s="3"/>
      <c r="M4" s="3"/>
      <c r="N4" s="3"/>
      <c r="O4" s="3"/>
      <c r="P4" s="3"/>
      <c r="Q4" s="3"/>
      <c r="R4" s="1248"/>
      <c r="S4" s="1248"/>
      <c r="T4" s="1248"/>
      <c r="U4" s="1248"/>
      <c r="V4" s="213"/>
      <c r="W4" s="152"/>
      <c r="X4" s="236"/>
      <c r="Y4" s="1616"/>
      <c r="Z4" s="1616"/>
      <c r="AA4" s="1616"/>
      <c r="AB4" s="236"/>
      <c r="AC4" s="236"/>
      <c r="AD4" s="236"/>
      <c r="AE4" s="227"/>
      <c r="AF4" s="228"/>
      <c r="AG4" s="193" t="s">
        <v>378</v>
      </c>
      <c r="AH4" s="228"/>
      <c r="AI4" s="193"/>
      <c r="AJ4" s="229"/>
      <c r="AK4" s="3"/>
      <c r="AL4" s="3"/>
      <c r="AM4" s="3"/>
      <c r="AN4" s="3"/>
      <c r="AO4" s="3"/>
      <c r="AP4" s="3"/>
      <c r="AQ4" s="3"/>
    </row>
    <row r="5" spans="1:43">
      <c r="A5" s="6"/>
      <c r="B5" s="92">
        <v>1994</v>
      </c>
      <c r="C5" s="54">
        <f t="shared" ref="C5:H5" si="0">B5+1</f>
        <v>1995</v>
      </c>
      <c r="D5" s="54">
        <f t="shared" si="0"/>
        <v>1996</v>
      </c>
      <c r="E5" s="54">
        <f t="shared" si="0"/>
        <v>1997</v>
      </c>
      <c r="F5" s="54">
        <f t="shared" si="0"/>
        <v>1998</v>
      </c>
      <c r="G5" s="54">
        <f t="shared" si="0"/>
        <v>1999</v>
      </c>
      <c r="H5" s="54">
        <f t="shared" si="0"/>
        <v>2000</v>
      </c>
      <c r="I5" s="54">
        <v>2001</v>
      </c>
      <c r="J5" s="54">
        <v>2002</v>
      </c>
      <c r="K5" s="54">
        <v>2003</v>
      </c>
      <c r="L5" s="54">
        <f t="shared" ref="L5:V5" si="1">K5+1</f>
        <v>2004</v>
      </c>
      <c r="M5" s="54">
        <f t="shared" si="1"/>
        <v>2005</v>
      </c>
      <c r="N5" s="54">
        <f t="shared" si="1"/>
        <v>2006</v>
      </c>
      <c r="O5" s="54">
        <f t="shared" si="1"/>
        <v>2007</v>
      </c>
      <c r="P5" s="54">
        <f t="shared" si="1"/>
        <v>2008</v>
      </c>
      <c r="Q5" s="54">
        <f t="shared" si="1"/>
        <v>2009</v>
      </c>
      <c r="R5" s="1220">
        <f t="shared" si="1"/>
        <v>2010</v>
      </c>
      <c r="S5" s="1220">
        <f t="shared" si="1"/>
        <v>2011</v>
      </c>
      <c r="T5" s="1220">
        <f t="shared" si="1"/>
        <v>2012</v>
      </c>
      <c r="U5" s="1220">
        <f t="shared" si="1"/>
        <v>2013</v>
      </c>
      <c r="V5" s="54">
        <f t="shared" si="1"/>
        <v>2014</v>
      </c>
      <c r="W5" s="54">
        <f t="shared" ref="W5:AD5" si="2">V5+1</f>
        <v>2015</v>
      </c>
      <c r="X5" s="54">
        <f t="shared" si="2"/>
        <v>2016</v>
      </c>
      <c r="Y5" s="54">
        <f t="shared" si="2"/>
        <v>2017</v>
      </c>
      <c r="Z5" s="194">
        <f t="shared" si="2"/>
        <v>2018</v>
      </c>
      <c r="AA5" s="194">
        <f t="shared" si="2"/>
        <v>2019</v>
      </c>
      <c r="AB5" s="194">
        <f t="shared" si="2"/>
        <v>2020</v>
      </c>
      <c r="AC5" s="194">
        <f t="shared" si="2"/>
        <v>2021</v>
      </c>
      <c r="AD5" s="194">
        <f t="shared" si="2"/>
        <v>2022</v>
      </c>
      <c r="AE5" s="230"/>
      <c r="AF5" s="28" t="str">
        <f>+'yrP&amp;L'!AF5</f>
        <v>'11-16A</v>
      </c>
      <c r="AG5" s="231"/>
      <c r="AH5" s="485"/>
      <c r="AI5" s="252" t="str">
        <f>+'yrP&amp;L'!AH5</f>
        <v>'17-22E</v>
      </c>
      <c r="AJ5" s="232"/>
      <c r="AK5" s="3"/>
      <c r="AL5" s="3"/>
      <c r="AM5" s="3"/>
      <c r="AN5" s="3"/>
      <c r="AO5" s="3"/>
      <c r="AP5" s="3"/>
      <c r="AQ5" s="3"/>
    </row>
    <row r="6" spans="1:43">
      <c r="A6" s="3"/>
      <c r="B6" s="3"/>
      <c r="C6" s="3"/>
      <c r="D6" s="10"/>
      <c r="E6" s="10"/>
      <c r="F6" s="3"/>
      <c r="G6" s="3"/>
      <c r="H6" s="3"/>
      <c r="I6" s="3"/>
      <c r="J6" s="3"/>
      <c r="K6" s="3"/>
      <c r="L6" s="3"/>
      <c r="M6" s="3"/>
      <c r="N6" s="3"/>
      <c r="O6" s="3"/>
      <c r="P6" s="3"/>
      <c r="Q6" s="22"/>
      <c r="R6" s="1242"/>
      <c r="S6" s="1242"/>
      <c r="T6" s="1242"/>
      <c r="U6" s="1242"/>
      <c r="V6" s="673"/>
      <c r="W6" s="22"/>
      <c r="X6" s="22"/>
      <c r="Y6" s="22"/>
      <c r="Z6" s="22"/>
      <c r="AA6" s="22"/>
      <c r="AB6" s="22"/>
      <c r="AC6" s="22"/>
      <c r="AD6" s="22"/>
      <c r="AE6" s="97"/>
      <c r="AF6" s="56"/>
      <c r="AG6" s="56"/>
      <c r="AH6" s="56"/>
      <c r="AI6" s="127"/>
      <c r="AJ6" s="96"/>
      <c r="AK6" s="56"/>
      <c r="AL6" s="56"/>
      <c r="AM6" s="56"/>
      <c r="AN6" s="3"/>
      <c r="AO6" s="3"/>
      <c r="AP6" s="3"/>
      <c r="AQ6" s="3"/>
    </row>
    <row r="7" spans="1:43">
      <c r="A7" s="6" t="s">
        <v>766</v>
      </c>
      <c r="B7" s="8">
        <f>'qtrP&amp;L'!D14</f>
        <v>59.271447999999999</v>
      </c>
      <c r="C7" s="8">
        <f>'qtrP&amp;L'!H14</f>
        <v>60.343188000000005</v>
      </c>
      <c r="D7" s="8">
        <f>'qtrP&amp;L'!L14</f>
        <v>64.072604999999996</v>
      </c>
      <c r="E7" s="8">
        <f>'qtrP&amp;L'!P14</f>
        <v>75.339151999999999</v>
      </c>
      <c r="F7" s="8">
        <f>'qtrP&amp;L'!T14</f>
        <v>106.74159300000001</v>
      </c>
      <c r="G7" s="8">
        <f>'qtrP&amp;L'!X14</f>
        <v>155.00228100000001</v>
      </c>
      <c r="H7" s="8">
        <f>+'qtrP&amp;L'!AB14</f>
        <v>259.44589599999995</v>
      </c>
      <c r="I7" s="165">
        <f>+qtrSales!S65</f>
        <v>367.88243299999999</v>
      </c>
      <c r="J7" s="165">
        <f>+qtrSales!S72</f>
        <v>515.03808400000003</v>
      </c>
      <c r="K7" s="165">
        <f>+qtrSales!S79</f>
        <v>745.71953199999996</v>
      </c>
      <c r="L7" s="165">
        <f>+qtrSales!S86</f>
        <v>1040.828</v>
      </c>
      <c r="M7" s="165">
        <v>1368.4260000000002</v>
      </c>
      <c r="N7" s="165">
        <v>1587.97</v>
      </c>
      <c r="O7" s="165">
        <v>1642.2329999999999</v>
      </c>
      <c r="P7" s="165">
        <v>1511.8130000000001</v>
      </c>
      <c r="Q7" s="165">
        <v>1614.8229999999999</v>
      </c>
      <c r="R7" s="1249">
        <v>1767.5758960999999</v>
      </c>
      <c r="S7" s="1249">
        <f>+'qtrP&amp;L'!BT14-yrSales!S13-S11</f>
        <v>1964.5046545400003</v>
      </c>
      <c r="T7" s="1249">
        <f>+'qtrP&amp;L'!BX14-yrSales!T13-T11</f>
        <v>2197.5496836289999</v>
      </c>
      <c r="U7" s="1249">
        <f>+'qtrP&amp;L'!CB14-yrSales!U13-U11</f>
        <v>2138.5222228991497</v>
      </c>
      <c r="V7" s="1287">
        <f>'qtrP&amp;L'!CF14-V11-V13</f>
        <v>2105.9809000000005</v>
      </c>
      <c r="W7" s="165">
        <f>'qtrP&amp;L'!CJ14-W11-W13</f>
        <v>2055.10338</v>
      </c>
      <c r="X7" s="430">
        <f>X15-X11</f>
        <v>2005.8920999999998</v>
      </c>
      <c r="Y7" s="430">
        <f>Y15-Y11</f>
        <v>1803.0794099999998</v>
      </c>
      <c r="Z7" s="430">
        <f>Z15-Z11</f>
        <v>1681.9382063056842</v>
      </c>
      <c r="AA7" s="430">
        <f>Z7*(1+(AA74+(AA63*AA87)))</f>
        <v>1617.7037233928693</v>
      </c>
      <c r="AB7" s="430">
        <f>AA7*(1+(AB74+(AB63*AB87)))</f>
        <v>1587.1686241965499</v>
      </c>
      <c r="AC7" s="430">
        <f>AB7*(1+(AC74+(AC63*AC87)))</f>
        <v>1557.1342538055194</v>
      </c>
      <c r="AD7" s="430">
        <f>AC7*(1+(AD74+(AD63*AD87)))</f>
        <v>1527.5932221377545</v>
      </c>
      <c r="AE7" s="97"/>
      <c r="AF7" s="55"/>
      <c r="AG7" s="93"/>
      <c r="AH7" s="93"/>
      <c r="AI7" s="127"/>
      <c r="AJ7" s="98"/>
      <c r="AK7" s="56"/>
      <c r="AL7" s="56"/>
      <c r="AM7" s="56"/>
      <c r="AN7" s="3"/>
      <c r="AO7" s="3"/>
      <c r="AP7" s="3"/>
      <c r="AQ7" s="3"/>
    </row>
    <row r="8" spans="1:43" hidden="1" outlineLevel="1">
      <c r="A8" s="6" t="s">
        <v>454</v>
      </c>
      <c r="B8" s="8"/>
      <c r="C8" s="8"/>
      <c r="D8" s="8"/>
      <c r="E8" s="8"/>
      <c r="F8" s="8"/>
      <c r="G8" s="8"/>
      <c r="H8" s="8"/>
      <c r="I8" s="165"/>
      <c r="J8" s="165"/>
      <c r="K8" s="165"/>
      <c r="L8" s="165"/>
      <c r="M8" s="165"/>
      <c r="N8" s="165"/>
      <c r="O8" s="165"/>
      <c r="P8" s="165"/>
      <c r="Q8" s="165"/>
      <c r="R8" s="1249"/>
      <c r="S8" s="1250">
        <f>S7-S11</f>
        <v>1772.1333090800003</v>
      </c>
      <c r="T8" s="1250">
        <f>T7-T11</f>
        <v>1937.8483672579998</v>
      </c>
      <c r="U8" s="1250">
        <f>U7-U11</f>
        <v>1787.9254457982997</v>
      </c>
      <c r="V8" s="1278"/>
      <c r="W8" s="430"/>
      <c r="X8" s="430"/>
      <c r="Y8" s="430"/>
      <c r="Z8" s="430"/>
      <c r="AA8" s="430"/>
      <c r="AB8" s="430"/>
      <c r="AC8" s="430"/>
      <c r="AD8" s="430"/>
      <c r="AE8" s="97"/>
      <c r="AF8" s="55"/>
      <c r="AG8" s="93"/>
      <c r="AH8" s="93"/>
      <c r="AI8" s="127"/>
      <c r="AJ8" s="98"/>
      <c r="AK8" s="56"/>
      <c r="AL8" s="56"/>
      <c r="AM8" s="56"/>
      <c r="AN8" s="3"/>
      <c r="AO8" s="3"/>
      <c r="AP8" s="3"/>
      <c r="AQ8" s="3"/>
    </row>
    <row r="9" spans="1:43" hidden="1" outlineLevel="1">
      <c r="A9" s="6" t="s">
        <v>432</v>
      </c>
      <c r="B9" s="8"/>
      <c r="C9" s="8"/>
      <c r="D9" s="8"/>
      <c r="E9" s="8"/>
      <c r="F9" s="8"/>
      <c r="G9" s="8"/>
      <c r="H9" s="8"/>
      <c r="I9" s="165"/>
      <c r="J9" s="165"/>
      <c r="K9" s="165"/>
      <c r="L9" s="165"/>
      <c r="M9" s="165"/>
      <c r="N9" s="165"/>
      <c r="O9" s="165"/>
      <c r="P9" s="165"/>
      <c r="Q9" s="165"/>
      <c r="R9" s="1249"/>
      <c r="S9" s="1249"/>
      <c r="T9" s="1251">
        <f>T8/S8-1</f>
        <v>9.351162089720555E-2</v>
      </c>
      <c r="U9" s="1251">
        <f>U8/T8-1</f>
        <v>-7.7365661830309684E-2</v>
      </c>
      <c r="V9" s="1279"/>
      <c r="W9" s="432"/>
      <c r="X9" s="432"/>
      <c r="Y9" s="432"/>
      <c r="Z9" s="432"/>
      <c r="AA9" s="432"/>
      <c r="AB9" s="432"/>
      <c r="AC9" s="432"/>
      <c r="AD9" s="432"/>
      <c r="AE9" s="97"/>
      <c r="AF9" s="55"/>
      <c r="AG9" s="93"/>
      <c r="AH9" s="93"/>
      <c r="AI9" s="127"/>
      <c r="AJ9" s="98"/>
      <c r="AK9" s="56"/>
      <c r="AL9" s="56"/>
      <c r="AM9" s="56"/>
      <c r="AN9" s="3"/>
      <c r="AO9" s="3"/>
      <c r="AP9" s="3"/>
      <c r="AQ9" s="3"/>
    </row>
    <row r="10" spans="1:43" hidden="1" outlineLevel="1">
      <c r="A10" s="6" t="s">
        <v>433</v>
      </c>
      <c r="B10" s="8"/>
      <c r="C10" s="8"/>
      <c r="D10" s="8"/>
      <c r="E10" s="8"/>
      <c r="F10" s="8"/>
      <c r="G10" s="8"/>
      <c r="H10" s="8"/>
      <c r="I10" s="165"/>
      <c r="J10" s="165"/>
      <c r="K10" s="165"/>
      <c r="L10" s="165"/>
      <c r="M10" s="165"/>
      <c r="N10" s="165"/>
      <c r="O10" s="165"/>
      <c r="P10" s="165"/>
      <c r="Q10" s="165"/>
      <c r="R10" s="1249"/>
      <c r="S10" s="1249"/>
      <c r="T10" s="1251">
        <f>T9-T63</f>
        <v>9.7921297187089085E-3</v>
      </c>
      <c r="U10" s="1251">
        <f>U9-U63</f>
        <v>-0.15999601504239191</v>
      </c>
      <c r="V10" s="1279"/>
      <c r="W10" s="432"/>
      <c r="X10" s="432"/>
      <c r="Y10" s="432">
        <f>Y11/Y15</f>
        <v>0.21</v>
      </c>
      <c r="Z10" s="432">
        <f>Z11/Z15</f>
        <v>0.23030566090803464</v>
      </c>
      <c r="AA10" s="432">
        <f>AA11/AA15</f>
        <v>0.24622339903856341</v>
      </c>
      <c r="AB10" s="432">
        <f>AB11/AB15</f>
        <v>0.25903108029595606</v>
      </c>
      <c r="AC10" s="432"/>
      <c r="AD10" s="432"/>
      <c r="AE10" s="97"/>
      <c r="AF10" s="55"/>
      <c r="AG10" s="93"/>
      <c r="AH10" s="93"/>
      <c r="AI10" s="127"/>
      <c r="AJ10" s="98"/>
      <c r="AK10" s="56"/>
      <c r="AL10" s="56"/>
      <c r="AM10" s="56"/>
      <c r="AN10" s="3"/>
      <c r="AO10" s="3"/>
      <c r="AP10" s="3"/>
      <c r="AQ10" s="3"/>
    </row>
    <row r="11" spans="1:43" hidden="1" outlineLevel="1">
      <c r="A11" s="3" t="s">
        <v>35</v>
      </c>
      <c r="B11" s="150">
        <v>0</v>
      </c>
      <c r="C11" s="150">
        <v>0</v>
      </c>
      <c r="D11" s="150">
        <v>0</v>
      </c>
      <c r="E11" s="150">
        <v>0</v>
      </c>
      <c r="F11" s="150">
        <v>0</v>
      </c>
      <c r="G11" s="150">
        <v>0</v>
      </c>
      <c r="H11" s="150">
        <v>0</v>
      </c>
      <c r="I11" s="321">
        <v>10.202907</v>
      </c>
      <c r="J11" s="321">
        <v>16.070060999999999</v>
      </c>
      <c r="K11" s="321">
        <v>22.779541000000002</v>
      </c>
      <c r="L11" s="321">
        <v>26.503</v>
      </c>
      <c r="M11" s="321">
        <v>36.149000000000001</v>
      </c>
      <c r="N11" s="321">
        <v>52.957000000000008</v>
      </c>
      <c r="O11" s="321">
        <v>72.094000000000008</v>
      </c>
      <c r="P11" s="321">
        <v>70.591000000000008</v>
      </c>
      <c r="Q11" s="321">
        <v>98.328000000000003</v>
      </c>
      <c r="R11" s="1252">
        <v>137.40810390000001</v>
      </c>
      <c r="S11" s="1252">
        <f>+R11*1.4</f>
        <v>192.37134546000001</v>
      </c>
      <c r="T11" s="1252">
        <f>+S11*1.35</f>
        <v>259.70131637100002</v>
      </c>
      <c r="U11" s="1252">
        <f>+T11*1.35</f>
        <v>350.59677710085003</v>
      </c>
      <c r="V11" s="1288">
        <f>V15*0.15</f>
        <v>388.55010000000004</v>
      </c>
      <c r="W11" s="321">
        <f>W15*0.17</f>
        <v>437.5096200000001</v>
      </c>
      <c r="X11" s="321">
        <f>X15*0.19</f>
        <v>470.5179</v>
      </c>
      <c r="Y11" s="321">
        <f>Y15*0.21</f>
        <v>479.29958999999997</v>
      </c>
      <c r="Z11" s="321">
        <f>+Y11*1.05</f>
        <v>503.26456949999999</v>
      </c>
      <c r="AA11" s="321">
        <f>+Z11*1.05</f>
        <v>528.42779797499998</v>
      </c>
      <c r="AB11" s="1610">
        <f>+AA11*1.05</f>
        <v>554.84918787375</v>
      </c>
      <c r="AC11" s="1610">
        <f>+AB11*1.05</f>
        <v>582.59164726743757</v>
      </c>
      <c r="AD11" s="1295">
        <f>+AC11*1.05</f>
        <v>611.72122963080949</v>
      </c>
      <c r="AE11" s="321">
        <f>+Z11*1.3</f>
        <v>654.24394035</v>
      </c>
      <c r="AF11" s="55">
        <f>((W11/R11)^(1/5)-1)*100</f>
        <v>26.065152057587703</v>
      </c>
      <c r="AG11" s="105"/>
      <c r="AH11" s="486"/>
      <c r="AI11" s="55"/>
      <c r="AJ11" s="106"/>
      <c r="AK11" s="17"/>
      <c r="AL11" s="17"/>
      <c r="AM11" s="17"/>
      <c r="AN11" s="17"/>
      <c r="AO11" s="3"/>
      <c r="AP11" s="3"/>
      <c r="AQ11" s="3"/>
    </row>
    <row r="12" spans="1:43" hidden="1" outlineLevel="1">
      <c r="A12" s="3" t="s">
        <v>431</v>
      </c>
      <c r="B12" s="150"/>
      <c r="C12" s="150"/>
      <c r="D12" s="150"/>
      <c r="E12" s="150"/>
      <c r="F12" s="150"/>
      <c r="G12" s="150"/>
      <c r="H12" s="150"/>
      <c r="I12" s="321"/>
      <c r="J12" s="321"/>
      <c r="K12" s="321"/>
      <c r="L12" s="321"/>
      <c r="M12" s="256">
        <f t="shared" ref="M12:S12" si="3">M11/L11-1</f>
        <v>0.3639587971173075</v>
      </c>
      <c r="N12" s="256">
        <f t="shared" si="3"/>
        <v>0.46496445268195541</v>
      </c>
      <c r="O12" s="256">
        <f t="shared" si="3"/>
        <v>0.36136865759012027</v>
      </c>
      <c r="P12" s="256">
        <f t="shared" si="3"/>
        <v>-2.0847782062307529E-2</v>
      </c>
      <c r="Q12" s="256">
        <f t="shared" si="3"/>
        <v>0.39292544375345284</v>
      </c>
      <c r="R12" s="1253">
        <f t="shared" si="3"/>
        <v>0.39744634183548944</v>
      </c>
      <c r="S12" s="1253">
        <f t="shared" si="3"/>
        <v>0.39999999999999991</v>
      </c>
      <c r="T12" s="1253">
        <f>T11/S11-1</f>
        <v>0.35000000000000009</v>
      </c>
      <c r="U12" s="1253">
        <f t="shared" ref="U12:AA12" si="4">U11/T11-1</f>
        <v>0.35000000000000009</v>
      </c>
      <c r="V12" s="1253">
        <f>V11/U11-1</f>
        <v>0.10825348485229402</v>
      </c>
      <c r="W12" s="1253">
        <f t="shared" si="4"/>
        <v>0.12600568112065869</v>
      </c>
      <c r="X12" s="1253">
        <f>X11/W11-1</f>
        <v>7.5445838196654735E-2</v>
      </c>
      <c r="Y12" s="1617">
        <f t="shared" si="4"/>
        <v>1.8663880800284138E-2</v>
      </c>
      <c r="Z12" s="1617">
        <f>Z11/Y11-1</f>
        <v>5.0000000000000044E-2</v>
      </c>
      <c r="AA12" s="1617">
        <f t="shared" si="4"/>
        <v>5.0000000000000044E-2</v>
      </c>
      <c r="AB12" s="1618">
        <f t="shared" ref="AB12" si="5">AB11/AA11-1</f>
        <v>5.0000000000000044E-2</v>
      </c>
      <c r="AC12" s="1618">
        <f t="shared" ref="AC12" si="6">AC11/AB11-1</f>
        <v>5.0000000000000044E-2</v>
      </c>
      <c r="AD12" s="1618">
        <f t="shared" ref="AD12" si="7">AD11/AC11-1</f>
        <v>5.0000000000000044E-2</v>
      </c>
      <c r="AE12" s="95"/>
      <c r="AF12" s="151"/>
      <c r="AG12" s="105"/>
      <c r="AH12" s="486"/>
      <c r="AI12" s="55"/>
      <c r="AJ12" s="106"/>
      <c r="AK12" s="17"/>
      <c r="AL12" s="17"/>
      <c r="AM12" s="17"/>
      <c r="AN12" s="17"/>
      <c r="AO12" s="3"/>
      <c r="AP12" s="3"/>
      <c r="AQ12" s="3"/>
    </row>
    <row r="13" spans="1:43" hidden="1" outlineLevel="1">
      <c r="A13" s="3" t="s">
        <v>287</v>
      </c>
      <c r="B13" s="150"/>
      <c r="C13" s="150"/>
      <c r="D13" s="150"/>
      <c r="E13" s="150"/>
      <c r="F13" s="150"/>
      <c r="G13" s="150"/>
      <c r="H13" s="150"/>
      <c r="I13" s="321"/>
      <c r="J13" s="321"/>
      <c r="K13" s="321"/>
      <c r="L13" s="321"/>
      <c r="M13" s="321"/>
      <c r="N13" s="321"/>
      <c r="O13" s="321"/>
      <c r="P13" s="321"/>
      <c r="Q13" s="321"/>
      <c r="R13" s="1252"/>
      <c r="S13" s="1252">
        <v>39.484000000000002</v>
      </c>
      <c r="T13" s="1252">
        <v>123.806</v>
      </c>
      <c r="U13" s="1252">
        <v>96.918000000000006</v>
      </c>
      <c r="V13" s="1288">
        <v>95.802999999999983</v>
      </c>
      <c r="W13" s="321">
        <v>80.972999999999985</v>
      </c>
      <c r="X13" s="152">
        <f>W13*(1+X14)</f>
        <v>0</v>
      </c>
      <c r="Y13" s="152">
        <v>0</v>
      </c>
      <c r="Z13" s="152">
        <v>0</v>
      </c>
      <c r="AA13" s="152">
        <f>Z13*(1+AA14)</f>
        <v>0</v>
      </c>
      <c r="AB13" s="152">
        <f>AA13*(1+AB14)</f>
        <v>0</v>
      </c>
      <c r="AC13" s="152">
        <f>AB13*(1+AC14)</f>
        <v>0</v>
      </c>
      <c r="AD13" s="152">
        <f>AC13*(1+AD14)</f>
        <v>0</v>
      </c>
      <c r="AE13" s="95"/>
      <c r="AF13" s="151"/>
      <c r="AG13" s="105"/>
      <c r="AH13" s="486"/>
      <c r="AI13" s="55"/>
      <c r="AJ13" s="106"/>
      <c r="AK13" s="17"/>
      <c r="AL13" s="17"/>
      <c r="AM13" s="17"/>
      <c r="AN13" s="17"/>
      <c r="AO13" s="3"/>
      <c r="AP13" s="3"/>
      <c r="AQ13" s="3"/>
    </row>
    <row r="14" spans="1:43" hidden="1" outlineLevel="2">
      <c r="A14" s="156" t="s">
        <v>453</v>
      </c>
      <c r="B14" s="433"/>
      <c r="C14" s="433"/>
      <c r="D14" s="433"/>
      <c r="E14" s="433"/>
      <c r="F14" s="433"/>
      <c r="G14" s="433"/>
      <c r="H14" s="433"/>
      <c r="I14" s="434"/>
      <c r="J14" s="434"/>
      <c r="K14" s="434"/>
      <c r="L14" s="434"/>
      <c r="M14" s="434"/>
      <c r="N14" s="434"/>
      <c r="O14" s="434"/>
      <c r="P14" s="434"/>
      <c r="Q14" s="434"/>
      <c r="R14" s="1254"/>
      <c r="S14" s="1254"/>
      <c r="T14" s="1255">
        <f>T13/S13-1</f>
        <v>2.1355992300678754</v>
      </c>
      <c r="U14" s="1255">
        <f>U13/T13-1</f>
        <v>-0.21717848892622327</v>
      </c>
      <c r="V14" s="1280">
        <f>V13/U13-1</f>
        <v>-1.1504570874347642E-2</v>
      </c>
      <c r="W14" s="435">
        <f>W13/V13-1</f>
        <v>-0.15479682264647243</v>
      </c>
      <c r="X14" s="436">
        <v>-1</v>
      </c>
      <c r="Y14" s="436">
        <v>0</v>
      </c>
      <c r="Z14" s="436">
        <v>0</v>
      </c>
      <c r="AA14" s="436">
        <v>0</v>
      </c>
      <c r="AB14" s="436">
        <v>0</v>
      </c>
      <c r="AC14" s="436">
        <v>0</v>
      </c>
      <c r="AD14" s="436">
        <v>0</v>
      </c>
      <c r="AE14" s="95"/>
      <c r="AF14" s="151"/>
      <c r="AG14" s="105"/>
      <c r="AH14" s="486"/>
      <c r="AI14" s="55"/>
      <c r="AJ14" s="106"/>
      <c r="AK14" s="17"/>
      <c r="AL14" s="17"/>
      <c r="AM14" s="17"/>
      <c r="AN14" s="17"/>
      <c r="AO14" s="3"/>
      <c r="AP14" s="3"/>
      <c r="AQ14" s="3"/>
    </row>
    <row r="15" spans="1:43" collapsed="1">
      <c r="A15" s="322" t="s">
        <v>402</v>
      </c>
      <c r="B15" s="8">
        <f t="shared" ref="B15:M15" si="8">B7+B11</f>
        <v>59.271447999999999</v>
      </c>
      <c r="C15" s="8">
        <f t="shared" si="8"/>
        <v>60.343188000000005</v>
      </c>
      <c r="D15" s="8">
        <f t="shared" si="8"/>
        <v>64.072604999999996</v>
      </c>
      <c r="E15" s="8">
        <f t="shared" si="8"/>
        <v>75.339151999999999</v>
      </c>
      <c r="F15" s="8">
        <f t="shared" si="8"/>
        <v>106.74159300000001</v>
      </c>
      <c r="G15" s="8">
        <f t="shared" si="8"/>
        <v>155.00228100000001</v>
      </c>
      <c r="H15" s="8">
        <f t="shared" si="8"/>
        <v>259.44589599999995</v>
      </c>
      <c r="I15" s="8">
        <f t="shared" si="8"/>
        <v>378.08533999999997</v>
      </c>
      <c r="J15" s="8">
        <f t="shared" si="8"/>
        <v>531.10814500000004</v>
      </c>
      <c r="K15" s="8">
        <f t="shared" si="8"/>
        <v>768.49907299999995</v>
      </c>
      <c r="L15" s="8">
        <f t="shared" si="8"/>
        <v>1067.3309999999999</v>
      </c>
      <c r="M15" s="8">
        <f t="shared" si="8"/>
        <v>1404.5750000000003</v>
      </c>
      <c r="N15" s="8">
        <f>'yrP&amp;L'!N7</f>
        <v>1640.9270000000001</v>
      </c>
      <c r="O15" s="8">
        <f>'yrP&amp;L'!O7</f>
        <v>1714.327</v>
      </c>
      <c r="P15" s="8">
        <f>'yrP&amp;L'!P7</f>
        <v>1582.404</v>
      </c>
      <c r="Q15" s="8">
        <f>'yrP&amp;L'!Q7</f>
        <v>1713.1510000000001</v>
      </c>
      <c r="R15" s="1256">
        <f>'yrP&amp;L'!R7</f>
        <v>1904.9839999999999</v>
      </c>
      <c r="S15" s="1256">
        <f>'yrP&amp;L'!S7</f>
        <v>2196.36</v>
      </c>
      <c r="T15" s="1256">
        <f>'yrP&amp;L'!T7</f>
        <v>2581.0569999999998</v>
      </c>
      <c r="U15" s="1256">
        <f>'yrP&amp;L'!U7</f>
        <v>2586.0369999999998</v>
      </c>
      <c r="V15" s="8">
        <f>'yrP&amp;L'!V7</f>
        <v>2590.3340000000003</v>
      </c>
      <c r="W15" s="8">
        <f>'yrP&amp;L'!W7</f>
        <v>2573.5860000000002</v>
      </c>
      <c r="X15" s="8">
        <f>'qtrP&amp;L'!CN14</f>
        <v>2476.41</v>
      </c>
      <c r="Y15" s="8">
        <f>'qtrP&amp;L'!CR14</f>
        <v>2282.3789999999999</v>
      </c>
      <c r="Z15" s="8">
        <f>'qtrP&amp;L'!CV14</f>
        <v>2185.2027758056843</v>
      </c>
      <c r="AA15" s="8">
        <f>AA7+AA13+AA11</f>
        <v>2146.131521367869</v>
      </c>
      <c r="AB15" s="8">
        <f>AB7+AB13+AB11</f>
        <v>2142.0178120702999</v>
      </c>
      <c r="AC15" s="8">
        <f>AC7+AC13+AC11</f>
        <v>2139.7259010729567</v>
      </c>
      <c r="AD15" s="8">
        <f>AD7+AD13+AD11</f>
        <v>2139.3144517685641</v>
      </c>
      <c r="AE15" s="97"/>
      <c r="AF15" s="55">
        <f>((X15/S15)^(1/5)-1)*100</f>
        <v>2.4292056345670332</v>
      </c>
      <c r="AG15" s="93" t="s">
        <v>576</v>
      </c>
      <c r="AH15" s="93"/>
      <c r="AI15" s="55">
        <f>((AD15/Y15)^(1/5)-1)*100</f>
        <v>-1.286313195017208</v>
      </c>
      <c r="AJ15" s="98" t="s">
        <v>576</v>
      </c>
      <c r="AK15" s="56"/>
      <c r="AL15" s="56"/>
      <c r="AM15" s="56"/>
      <c r="AN15" s="3"/>
      <c r="AO15" s="3"/>
      <c r="AP15" s="3"/>
      <c r="AQ15" s="3"/>
    </row>
    <row r="16" spans="1:43">
      <c r="A16" s="7" t="s">
        <v>577</v>
      </c>
      <c r="B16" s="10">
        <f>+'qtrP&amp;L'!E14/100</f>
        <v>0.26553015995146056</v>
      </c>
      <c r="C16" s="10">
        <f t="shared" ref="C16:M16" si="9">C15/B15-1</f>
        <v>1.808189332577137E-2</v>
      </c>
      <c r="D16" s="10">
        <f t="shared" si="9"/>
        <v>6.1803446645874782E-2</v>
      </c>
      <c r="E16" s="10">
        <f t="shared" si="9"/>
        <v>0.17584031428096303</v>
      </c>
      <c r="F16" s="10">
        <f t="shared" si="9"/>
        <v>0.41681436764778046</v>
      </c>
      <c r="G16" s="10">
        <f t="shared" si="9"/>
        <v>0.45212636090225855</v>
      </c>
      <c r="H16" s="10">
        <f>H15/G15-1</f>
        <v>0.6738198581735706</v>
      </c>
      <c r="I16" s="10">
        <f>I15/H15-1</f>
        <v>0.4572800951147058</v>
      </c>
      <c r="J16" s="10">
        <f t="shared" si="9"/>
        <v>0.40473086049832041</v>
      </c>
      <c r="K16" s="10">
        <f t="shared" si="9"/>
        <v>0.44697286274907322</v>
      </c>
      <c r="L16" s="10">
        <f t="shared" si="9"/>
        <v>0.3888513825181934</v>
      </c>
      <c r="M16" s="10">
        <f t="shared" si="9"/>
        <v>0.31596946027052564</v>
      </c>
      <c r="N16" s="10">
        <f t="shared" ref="N16:W16" si="10">N15/M15-1</f>
        <v>0.16827296513180134</v>
      </c>
      <c r="O16" s="10">
        <f t="shared" si="10"/>
        <v>4.4730813741257203E-2</v>
      </c>
      <c r="P16" s="10">
        <f t="shared" si="10"/>
        <v>-7.6953230043043108E-2</v>
      </c>
      <c r="Q16" s="10">
        <f>Q15/P15-1</f>
        <v>8.2625549480410898E-2</v>
      </c>
      <c r="R16" s="1257">
        <f t="shared" si="10"/>
        <v>0.11197670257904879</v>
      </c>
      <c r="S16" s="1257">
        <f t="shared" si="10"/>
        <v>0.15295456549766318</v>
      </c>
      <c r="T16" s="1257">
        <f t="shared" si="10"/>
        <v>0.17515206978819475</v>
      </c>
      <c r="U16" s="1257">
        <f t="shared" si="10"/>
        <v>1.9294420851612148E-3</v>
      </c>
      <c r="V16" s="208">
        <f t="shared" si="10"/>
        <v>1.6616158237490186E-3</v>
      </c>
      <c r="W16" s="10">
        <f t="shared" si="10"/>
        <v>-6.4655754817718458E-3</v>
      </c>
      <c r="X16" s="10">
        <f t="shared" ref="X16:AD16" si="11">X15/W15-1</f>
        <v>-3.7758986876677336E-2</v>
      </c>
      <c r="Y16" s="10">
        <f t="shared" si="11"/>
        <v>-7.8351726894981044E-2</v>
      </c>
      <c r="Z16" s="10">
        <f t="shared" si="11"/>
        <v>-4.2576725510669156E-2</v>
      </c>
      <c r="AA16" s="10">
        <f t="shared" si="11"/>
        <v>-1.7879921657801168E-2</v>
      </c>
      <c r="AB16" s="10">
        <f t="shared" si="11"/>
        <v>-1.9168020489942483E-3</v>
      </c>
      <c r="AC16" s="10">
        <f t="shared" si="11"/>
        <v>-1.0699775624778418E-3</v>
      </c>
      <c r="AD16" s="10">
        <f t="shared" si="11"/>
        <v>-1.9229065937198531E-4</v>
      </c>
      <c r="AE16" s="97"/>
      <c r="AF16" s="55"/>
      <c r="AG16" s="56"/>
      <c r="AH16" s="56"/>
      <c r="AI16" s="55"/>
      <c r="AJ16" s="96"/>
      <c r="AK16" s="56"/>
      <c r="AL16" s="56"/>
      <c r="AM16" s="56"/>
      <c r="AN16" s="3"/>
      <c r="AO16" s="3"/>
      <c r="AP16" s="3"/>
      <c r="AQ16" s="3"/>
    </row>
    <row r="17" spans="1:43">
      <c r="A17" s="3"/>
      <c r="B17" s="3"/>
      <c r="C17" s="3"/>
      <c r="D17" s="10"/>
      <c r="E17" s="10"/>
      <c r="F17" s="3"/>
      <c r="G17" s="3"/>
      <c r="H17" s="3"/>
      <c r="I17" s="3"/>
      <c r="J17" s="3"/>
      <c r="K17" s="3"/>
      <c r="L17" s="3"/>
      <c r="M17" s="3"/>
      <c r="N17" s="236"/>
      <c r="O17" s="236"/>
      <c r="P17" s="247"/>
      <c r="Q17" s="236"/>
      <c r="R17" s="1258"/>
      <c r="S17" s="1253"/>
      <c r="T17" s="1239"/>
      <c r="U17" s="1239"/>
      <c r="V17" s="754"/>
      <c r="W17" s="236"/>
      <c r="X17" s="236"/>
      <c r="Y17" s="236"/>
      <c r="Z17" s="236"/>
      <c r="AA17" s="236"/>
      <c r="AB17" s="236"/>
      <c r="AC17" s="236"/>
      <c r="AD17" s="236"/>
      <c r="AE17" s="97"/>
      <c r="AF17" s="55"/>
      <c r="AG17" s="56"/>
      <c r="AH17" s="56"/>
      <c r="AI17" s="55"/>
      <c r="AJ17" s="96"/>
      <c r="AK17" s="56"/>
      <c r="AL17" s="56"/>
      <c r="AM17" s="56"/>
      <c r="AN17" s="3"/>
      <c r="AO17" s="3"/>
      <c r="AP17" s="3"/>
      <c r="AQ17" s="3"/>
    </row>
    <row r="18" spans="1:43">
      <c r="A18" s="7" t="s">
        <v>578</v>
      </c>
      <c r="B18" s="48">
        <f>78+16</f>
        <v>94</v>
      </c>
      <c r="C18" s="145">
        <f>B40</f>
        <v>121</v>
      </c>
      <c r="D18" s="145">
        <f>C40</f>
        <v>123</v>
      </c>
      <c r="E18" s="145">
        <f t="shared" ref="E18:M18" si="12">D40</f>
        <v>133</v>
      </c>
      <c r="F18" s="145">
        <f t="shared" si="12"/>
        <v>141</v>
      </c>
      <c r="G18" s="145">
        <f t="shared" si="12"/>
        <v>162</v>
      </c>
      <c r="H18" s="145">
        <f t="shared" si="12"/>
        <v>200</v>
      </c>
      <c r="I18" s="145">
        <f t="shared" si="12"/>
        <v>250</v>
      </c>
      <c r="J18" s="145">
        <f t="shared" si="12"/>
        <v>311</v>
      </c>
      <c r="K18" s="145">
        <f t="shared" si="12"/>
        <v>378</v>
      </c>
      <c r="L18" s="145">
        <f>K40</f>
        <v>548</v>
      </c>
      <c r="M18" s="110">
        <f t="shared" si="12"/>
        <v>657</v>
      </c>
      <c r="N18" s="110">
        <f t="shared" ref="N18:T18" si="13">M40</f>
        <v>763</v>
      </c>
      <c r="O18" s="110">
        <f t="shared" si="13"/>
        <v>920</v>
      </c>
      <c r="P18" s="110">
        <f t="shared" si="13"/>
        <v>1038</v>
      </c>
      <c r="Q18" s="110">
        <f>P40</f>
        <v>1076</v>
      </c>
      <c r="R18" s="1258">
        <f t="shared" si="13"/>
        <v>1080</v>
      </c>
      <c r="S18" s="1258">
        <f t="shared" si="13"/>
        <v>1151</v>
      </c>
      <c r="T18" s="1258">
        <f t="shared" si="13"/>
        <v>1256</v>
      </c>
      <c r="U18" s="1258">
        <f t="shared" ref="U18:AD18" si="14">T40</f>
        <v>1357</v>
      </c>
      <c r="V18" s="1281">
        <f t="shared" si="14"/>
        <v>1472</v>
      </c>
      <c r="W18" s="110">
        <f>V40</f>
        <v>1547</v>
      </c>
      <c r="X18" s="110">
        <f t="shared" si="14"/>
        <v>1518</v>
      </c>
      <c r="Y18" s="110">
        <f t="shared" si="14"/>
        <v>1501</v>
      </c>
      <c r="Z18" s="110">
        <f t="shared" si="14"/>
        <v>1460</v>
      </c>
      <c r="AA18" s="110">
        <f t="shared" si="14"/>
        <v>1420</v>
      </c>
      <c r="AB18" s="110">
        <f t="shared" si="14"/>
        <v>1415</v>
      </c>
      <c r="AC18" s="110">
        <f t="shared" si="14"/>
        <v>1410</v>
      </c>
      <c r="AD18" s="110">
        <f t="shared" si="14"/>
        <v>1405</v>
      </c>
      <c r="AE18" s="97"/>
      <c r="AF18" s="55"/>
      <c r="AG18" s="56"/>
      <c r="AH18" s="56"/>
      <c r="AI18" s="55"/>
      <c r="AJ18" s="96"/>
      <c r="AK18" s="56"/>
      <c r="AL18" s="56"/>
      <c r="AM18" s="56"/>
      <c r="AN18" s="3"/>
      <c r="AO18" s="3"/>
      <c r="AP18" s="3"/>
      <c r="AQ18" s="3"/>
    </row>
    <row r="19" spans="1:43">
      <c r="A19" s="11" t="s">
        <v>272</v>
      </c>
      <c r="B19" s="152">
        <f t="shared" ref="B19:I19" si="15">+B20+B21+B22</f>
        <v>27</v>
      </c>
      <c r="C19" s="152">
        <f t="shared" si="15"/>
        <v>13</v>
      </c>
      <c r="D19" s="152">
        <f t="shared" si="15"/>
        <v>14</v>
      </c>
      <c r="E19" s="152">
        <f t="shared" si="15"/>
        <v>15</v>
      </c>
      <c r="F19" s="152">
        <f t="shared" si="15"/>
        <v>25</v>
      </c>
      <c r="G19" s="152">
        <f t="shared" si="15"/>
        <v>41</v>
      </c>
      <c r="H19" s="152">
        <f t="shared" si="15"/>
        <v>53</v>
      </c>
      <c r="I19" s="152">
        <f t="shared" si="15"/>
        <v>64</v>
      </c>
      <c r="J19" s="152">
        <f>+J20+J21+J22</f>
        <v>67</v>
      </c>
      <c r="K19" s="152">
        <f>+K20+K21+K22+K23</f>
        <v>58</v>
      </c>
      <c r="L19" s="152">
        <f>+L20+L21+L22+L24+L26+L25</f>
        <v>118</v>
      </c>
      <c r="M19" s="152">
        <f>+M20+M21+M22+M24+M26+M25</f>
        <v>106</v>
      </c>
      <c r="N19" s="209">
        <f>+N20+N21+N22+N24+N26+N25+N27</f>
        <v>158</v>
      </c>
      <c r="O19" s="152">
        <f>+O20+O21+O22+O24+O26+O25+O27</f>
        <v>146</v>
      </c>
      <c r="P19" s="152">
        <f>+P20+P21+P22+P24+P26+P25+P27</f>
        <v>49</v>
      </c>
      <c r="Q19" s="152">
        <f>+Q20+Q21+Q22+Q24+Q26+Q25+Q27</f>
        <v>30</v>
      </c>
      <c r="R19" s="1259">
        <f>+R20+R21+R22+R23+R24+R26+R27+R30+R25</f>
        <v>80</v>
      </c>
      <c r="S19" s="1259">
        <f>+S20+S21+S24+S26+S27+S25</f>
        <v>137</v>
      </c>
      <c r="T19" s="1259">
        <f>+T20+T21+T24+T26+T27+T25</f>
        <v>125</v>
      </c>
      <c r="U19" s="1259">
        <f>+U20+U21+U24+U26+U27+U25+U28+U29</f>
        <v>135</v>
      </c>
      <c r="V19" s="209">
        <f>+V20+V21+V24+V26+V27+V25+V28+V29</f>
        <v>109</v>
      </c>
      <c r="W19" s="152">
        <f>+W20+W21+W24+W26++W27+W25+W29+W28</f>
        <v>40</v>
      </c>
      <c r="X19" s="152">
        <f t="shared" ref="X19:AC19" si="16">+X20+X21+X24+X26+X27+X25+X28+X29</f>
        <v>17</v>
      </c>
      <c r="Y19" s="152">
        <f t="shared" si="16"/>
        <v>7</v>
      </c>
      <c r="Z19" s="152">
        <f t="shared" si="16"/>
        <v>10</v>
      </c>
      <c r="AA19" s="152">
        <f t="shared" si="16"/>
        <v>10</v>
      </c>
      <c r="AB19" s="152">
        <f t="shared" si="16"/>
        <v>10</v>
      </c>
      <c r="AC19" s="152">
        <f t="shared" si="16"/>
        <v>10</v>
      </c>
      <c r="AD19" s="152">
        <f t="shared" ref="AD19" si="17">+AD20+AD21+AD24+AD26+AD27+AD25+AD28+AD29</f>
        <v>10</v>
      </c>
      <c r="AE19" s="97"/>
      <c r="AF19" s="55"/>
      <c r="AG19" s="56"/>
      <c r="AH19" s="56"/>
      <c r="AI19" s="55"/>
      <c r="AJ19" s="96"/>
      <c r="AK19" s="56"/>
      <c r="AL19" s="56"/>
      <c r="AM19" s="56"/>
      <c r="AN19" s="3"/>
      <c r="AO19" s="3"/>
      <c r="AP19" s="3"/>
      <c r="AQ19" s="3"/>
    </row>
    <row r="20" spans="1:43">
      <c r="A20" s="188" t="s">
        <v>377</v>
      </c>
      <c r="B20" s="150">
        <f>26</f>
        <v>26</v>
      </c>
      <c r="C20" s="150">
        <v>10</v>
      </c>
      <c r="D20" s="150">
        <f>13+1</f>
        <v>14</v>
      </c>
      <c r="E20" s="150">
        <f>14+1</f>
        <v>15</v>
      </c>
      <c r="F20" s="150">
        <f>22+2</f>
        <v>24</v>
      </c>
      <c r="G20" s="150">
        <f>40</f>
        <v>40</v>
      </c>
      <c r="H20" s="172">
        <v>50</v>
      </c>
      <c r="I20" s="172">
        <v>59</v>
      </c>
      <c r="J20" s="172">
        <v>60</v>
      </c>
      <c r="K20" s="172">
        <v>52</v>
      </c>
      <c r="L20" s="172">
        <v>60</v>
      </c>
      <c r="M20" s="172">
        <v>49</v>
      </c>
      <c r="N20" s="172">
        <v>47</v>
      </c>
      <c r="O20" s="172">
        <v>68</v>
      </c>
      <c r="P20" s="172">
        <v>26</v>
      </c>
      <c r="Q20" s="172">
        <v>0</v>
      </c>
      <c r="R20" s="1260">
        <v>0</v>
      </c>
      <c r="S20" s="1260">
        <v>16</v>
      </c>
      <c r="T20" s="1260">
        <v>14</v>
      </c>
      <c r="U20" s="1260">
        <v>15</v>
      </c>
      <c r="V20" s="172">
        <v>15</v>
      </c>
      <c r="W20" s="172">
        <v>8</v>
      </c>
      <c r="X20" s="172">
        <v>4</v>
      </c>
      <c r="Y20" s="172">
        <v>0</v>
      </c>
      <c r="Z20" s="172">
        <v>2</v>
      </c>
      <c r="AA20" s="172">
        <v>2</v>
      </c>
      <c r="AB20" s="172">
        <v>2</v>
      </c>
      <c r="AC20" s="172">
        <v>2</v>
      </c>
      <c r="AD20" s="172">
        <v>2</v>
      </c>
      <c r="AE20" s="97"/>
      <c r="AF20" s="55"/>
      <c r="AG20" s="56"/>
      <c r="AH20" s="56"/>
      <c r="AI20" s="55"/>
      <c r="AJ20" s="96"/>
      <c r="AK20" s="168"/>
      <c r="AL20" s="168"/>
      <c r="AM20" s="168"/>
      <c r="AN20" s="17"/>
      <c r="AO20" s="177"/>
      <c r="AP20" s="177"/>
      <c r="AQ20" s="177"/>
    </row>
    <row r="21" spans="1:43">
      <c r="A21" s="188" t="s">
        <v>374</v>
      </c>
      <c r="B21" s="150">
        <v>0</v>
      </c>
      <c r="C21" s="150">
        <v>3</v>
      </c>
      <c r="D21" s="150">
        <v>0</v>
      </c>
      <c r="E21" s="150">
        <v>0</v>
      </c>
      <c r="F21" s="150">
        <v>0</v>
      </c>
      <c r="G21" s="150">
        <v>0</v>
      </c>
      <c r="H21" s="172">
        <v>1</v>
      </c>
      <c r="I21" s="172">
        <v>5</v>
      </c>
      <c r="J21" s="172">
        <v>6</v>
      </c>
      <c r="K21" s="172">
        <v>6</v>
      </c>
      <c r="L21" s="172">
        <v>2</v>
      </c>
      <c r="M21" s="172">
        <v>6</v>
      </c>
      <c r="N21" s="172">
        <v>3</v>
      </c>
      <c r="O21" s="172">
        <v>3</v>
      </c>
      <c r="P21" s="172">
        <v>4</v>
      </c>
      <c r="Q21" s="172">
        <v>3</v>
      </c>
      <c r="R21" s="1260">
        <v>19</v>
      </c>
      <c r="S21" s="1260">
        <v>20</v>
      </c>
      <c r="T21" s="1260">
        <v>16</v>
      </c>
      <c r="U21" s="1260">
        <v>12</v>
      </c>
      <c r="V21" s="172">
        <v>11</v>
      </c>
      <c r="W21" s="172">
        <v>6</v>
      </c>
      <c r="X21" s="172">
        <v>0</v>
      </c>
      <c r="Y21" s="172">
        <v>5</v>
      </c>
      <c r="Z21" s="172">
        <v>0</v>
      </c>
      <c r="AA21" s="172">
        <v>0</v>
      </c>
      <c r="AB21" s="172">
        <v>0</v>
      </c>
      <c r="AC21" s="172">
        <v>0</v>
      </c>
      <c r="AD21" s="172">
        <v>0</v>
      </c>
      <c r="AE21" s="97"/>
      <c r="AF21" s="55"/>
      <c r="AG21" s="56"/>
      <c r="AH21" s="56"/>
      <c r="AI21" s="55"/>
      <c r="AJ21" s="96"/>
      <c r="AK21" s="168"/>
      <c r="AL21" s="168"/>
      <c r="AM21" s="168"/>
      <c r="AN21" s="17"/>
      <c r="AO21" s="178"/>
      <c r="AP21" s="178"/>
      <c r="AQ21" s="3"/>
    </row>
    <row r="22" spans="1:43" hidden="1" outlineLevel="1">
      <c r="A22" s="188" t="s">
        <v>375</v>
      </c>
      <c r="B22" s="150">
        <v>1</v>
      </c>
      <c r="C22" s="150">
        <v>0</v>
      </c>
      <c r="D22" s="150">
        <v>0</v>
      </c>
      <c r="E22" s="150">
        <v>0</v>
      </c>
      <c r="F22" s="150">
        <v>1</v>
      </c>
      <c r="G22" s="150">
        <v>1</v>
      </c>
      <c r="H22" s="150">
        <v>2</v>
      </c>
      <c r="I22" s="150">
        <v>0</v>
      </c>
      <c r="J22" s="150">
        <v>1</v>
      </c>
      <c r="K22" s="150">
        <v>0</v>
      </c>
      <c r="L22" s="150">
        <v>0</v>
      </c>
      <c r="M22" s="150">
        <v>2</v>
      </c>
      <c r="N22" s="150">
        <v>0</v>
      </c>
      <c r="O22" s="150">
        <v>0</v>
      </c>
      <c r="P22" s="150">
        <v>0</v>
      </c>
      <c r="Q22" s="150">
        <v>0</v>
      </c>
      <c r="R22" s="1260">
        <v>0</v>
      </c>
      <c r="S22" s="1260">
        <v>0</v>
      </c>
      <c r="T22" s="1260">
        <v>0</v>
      </c>
      <c r="U22" s="1260">
        <v>0</v>
      </c>
      <c r="V22" s="172">
        <v>0</v>
      </c>
      <c r="W22" s="150">
        <v>0</v>
      </c>
      <c r="X22" s="172">
        <v>2</v>
      </c>
      <c r="Y22" s="172">
        <v>2</v>
      </c>
      <c r="Z22" s="172">
        <v>2</v>
      </c>
      <c r="AA22" s="172">
        <v>2</v>
      </c>
      <c r="AB22" s="172">
        <v>2</v>
      </c>
      <c r="AC22" s="172">
        <v>2</v>
      </c>
      <c r="AD22" s="172">
        <v>2</v>
      </c>
      <c r="AE22" s="97"/>
      <c r="AF22" s="55"/>
      <c r="AG22" s="56"/>
      <c r="AH22" s="56"/>
      <c r="AI22" s="55"/>
      <c r="AJ22" s="96"/>
      <c r="AK22" s="56"/>
      <c r="AL22" s="56"/>
      <c r="AM22" s="56"/>
      <c r="AN22" s="3"/>
      <c r="AO22" s="3"/>
      <c r="AP22" s="3"/>
      <c r="AQ22" s="3"/>
    </row>
    <row r="23" spans="1:43" hidden="1" outlineLevel="1">
      <c r="A23" s="188" t="s">
        <v>542</v>
      </c>
      <c r="B23" s="150"/>
      <c r="C23" s="150"/>
      <c r="D23" s="150"/>
      <c r="E23" s="150"/>
      <c r="F23" s="150"/>
      <c r="G23" s="150"/>
      <c r="H23" s="150"/>
      <c r="I23" s="150"/>
      <c r="J23" s="150"/>
      <c r="K23" s="150"/>
      <c r="L23" s="150"/>
      <c r="M23" s="150"/>
      <c r="N23" s="150"/>
      <c r="O23" s="150"/>
      <c r="P23" s="150"/>
      <c r="Q23" s="150"/>
      <c r="R23" s="1260"/>
      <c r="S23" s="1260"/>
      <c r="T23" s="1260"/>
      <c r="U23" s="1260"/>
      <c r="V23" s="172"/>
      <c r="W23" s="150"/>
      <c r="X23" s="150"/>
      <c r="Y23" s="150"/>
      <c r="Z23" s="150"/>
      <c r="AA23" s="150"/>
      <c r="AB23" s="150"/>
      <c r="AC23" s="150"/>
      <c r="AD23" s="150"/>
      <c r="AE23" s="97"/>
      <c r="AF23" s="55"/>
      <c r="AG23" s="56"/>
      <c r="AH23" s="56"/>
      <c r="AI23" s="55"/>
      <c r="AJ23" s="96"/>
      <c r="AK23" s="56"/>
      <c r="AL23" s="56"/>
      <c r="AM23" s="56"/>
      <c r="AN23" s="3"/>
      <c r="AO23" s="3"/>
      <c r="AP23" s="3"/>
      <c r="AQ23" s="3"/>
    </row>
    <row r="24" spans="1:43" collapsed="1">
      <c r="A24" s="188" t="s">
        <v>563</v>
      </c>
      <c r="B24" s="150"/>
      <c r="C24" s="150"/>
      <c r="D24" s="150"/>
      <c r="E24" s="150"/>
      <c r="F24" s="150"/>
      <c r="G24" s="150"/>
      <c r="H24" s="150"/>
      <c r="I24" s="150"/>
      <c r="J24" s="150"/>
      <c r="K24" s="150">
        <v>114</v>
      </c>
      <c r="L24" s="150">
        <v>44</v>
      </c>
      <c r="M24" s="150">
        <v>40</v>
      </c>
      <c r="N24" s="150">
        <v>63</v>
      </c>
      <c r="O24" s="150">
        <v>55</v>
      </c>
      <c r="P24" s="150">
        <v>19</v>
      </c>
      <c r="Q24" s="150">
        <v>8</v>
      </c>
      <c r="R24" s="1260">
        <v>14</v>
      </c>
      <c r="S24" s="1260">
        <v>31</v>
      </c>
      <c r="T24" s="1260">
        <v>40</v>
      </c>
      <c r="U24" s="1260">
        <v>41</v>
      </c>
      <c r="V24" s="172">
        <v>18</v>
      </c>
      <c r="W24" s="150">
        <v>5</v>
      </c>
      <c r="X24" s="150">
        <v>4</v>
      </c>
      <c r="Y24" s="150">
        <v>0</v>
      </c>
      <c r="Z24" s="150">
        <v>2</v>
      </c>
      <c r="AA24" s="150">
        <v>2</v>
      </c>
      <c r="AB24" s="150">
        <v>2</v>
      </c>
      <c r="AC24" s="150">
        <v>2</v>
      </c>
      <c r="AD24" s="150">
        <v>2</v>
      </c>
      <c r="AE24" s="97"/>
      <c r="AF24" s="55"/>
      <c r="AG24" s="56"/>
      <c r="AH24" s="56"/>
      <c r="AI24" s="55"/>
      <c r="AJ24" s="96"/>
      <c r="AK24" s="56"/>
      <c r="AL24" s="56"/>
      <c r="AM24" s="56"/>
      <c r="AN24" s="3"/>
      <c r="AO24" s="3"/>
      <c r="AP24" s="3"/>
      <c r="AQ24" s="3"/>
    </row>
    <row r="25" spans="1:43">
      <c r="A25" s="188" t="s">
        <v>179</v>
      </c>
      <c r="B25" s="150"/>
      <c r="C25" s="150"/>
      <c r="D25" s="150"/>
      <c r="E25" s="150"/>
      <c r="F25" s="150"/>
      <c r="G25" s="150"/>
      <c r="H25" s="150"/>
      <c r="I25" s="150"/>
      <c r="J25" s="150"/>
      <c r="K25" s="150"/>
      <c r="L25" s="150">
        <v>2</v>
      </c>
      <c r="M25" s="150">
        <v>4</v>
      </c>
      <c r="N25" s="150">
        <v>8</v>
      </c>
      <c r="O25" s="150">
        <v>3</v>
      </c>
      <c r="P25" s="150">
        <v>-2</v>
      </c>
      <c r="Q25" s="150">
        <v>0</v>
      </c>
      <c r="R25" s="1260">
        <v>4</v>
      </c>
      <c r="S25" s="1260">
        <v>6</v>
      </c>
      <c r="T25" s="1260">
        <v>18</v>
      </c>
      <c r="U25" s="1260">
        <v>14</v>
      </c>
      <c r="V25" s="172">
        <v>9</v>
      </c>
      <c r="W25" s="150">
        <v>5</v>
      </c>
      <c r="X25" s="150">
        <v>0</v>
      </c>
      <c r="Y25" s="150">
        <v>0</v>
      </c>
      <c r="Z25" s="150">
        <v>1</v>
      </c>
      <c r="AA25" s="150">
        <v>1</v>
      </c>
      <c r="AB25" s="150">
        <v>1</v>
      </c>
      <c r="AC25" s="150">
        <v>1</v>
      </c>
      <c r="AD25" s="150">
        <v>1</v>
      </c>
      <c r="AE25" s="97"/>
      <c r="AF25" s="55"/>
      <c r="AG25" s="56"/>
      <c r="AH25" s="56"/>
      <c r="AI25" s="55"/>
      <c r="AJ25" s="96"/>
      <c r="AK25" s="56"/>
      <c r="AL25" s="56"/>
      <c r="AM25" s="56"/>
      <c r="AN25" s="3"/>
      <c r="AO25" s="3"/>
      <c r="AP25" s="3"/>
      <c r="AQ25" s="3"/>
    </row>
    <row r="26" spans="1:43">
      <c r="A26" s="188" t="s">
        <v>461</v>
      </c>
      <c r="B26" s="150"/>
      <c r="C26" s="150"/>
      <c r="D26" s="150"/>
      <c r="E26" s="150"/>
      <c r="F26" s="150"/>
      <c r="G26" s="150"/>
      <c r="H26" s="150"/>
      <c r="I26" s="150"/>
      <c r="J26" s="150"/>
      <c r="K26" s="150"/>
      <c r="L26" s="150">
        <v>10</v>
      </c>
      <c r="M26" s="150">
        <v>5</v>
      </c>
      <c r="N26" s="150">
        <v>37</v>
      </c>
      <c r="O26" s="150">
        <v>16</v>
      </c>
      <c r="P26" s="150">
        <f>6-4</f>
        <v>2</v>
      </c>
      <c r="Q26" s="150">
        <v>16</v>
      </c>
      <c r="R26" s="1260">
        <v>39</v>
      </c>
      <c r="S26" s="1260">
        <v>52</v>
      </c>
      <c r="T26" s="1260">
        <v>36</v>
      </c>
      <c r="U26" s="1260">
        <v>45</v>
      </c>
      <c r="V26" s="172">
        <v>35</v>
      </c>
      <c r="W26" s="150">
        <v>12</v>
      </c>
      <c r="X26" s="150">
        <v>8</v>
      </c>
      <c r="Y26" s="150">
        <v>2</v>
      </c>
      <c r="Z26" s="150">
        <v>5</v>
      </c>
      <c r="AA26" s="150">
        <v>5</v>
      </c>
      <c r="AB26" s="150">
        <v>5</v>
      </c>
      <c r="AC26" s="150">
        <v>5</v>
      </c>
      <c r="AD26" s="150">
        <v>5</v>
      </c>
      <c r="AE26" s="97"/>
      <c r="AF26" s="55"/>
      <c r="AG26" s="56"/>
      <c r="AH26" s="56"/>
      <c r="AI26" s="55"/>
      <c r="AJ26" s="96"/>
      <c r="AK26" s="56"/>
      <c r="AL26" s="56"/>
      <c r="AM26" s="56"/>
      <c r="AN26" s="3"/>
      <c r="AO26" s="3"/>
      <c r="AP26" s="3"/>
      <c r="AQ26" s="3"/>
    </row>
    <row r="27" spans="1:43">
      <c r="A27" s="188" t="s">
        <v>320</v>
      </c>
      <c r="B27" s="150"/>
      <c r="C27" s="150"/>
      <c r="D27" s="150"/>
      <c r="E27" s="150"/>
      <c r="F27" s="150"/>
      <c r="G27" s="150"/>
      <c r="H27" s="150"/>
      <c r="I27" s="150"/>
      <c r="J27" s="150"/>
      <c r="K27" s="150"/>
      <c r="L27" s="150"/>
      <c r="M27" s="150"/>
      <c r="N27" s="172">
        <v>0</v>
      </c>
      <c r="O27" s="150">
        <v>1</v>
      </c>
      <c r="P27" s="150">
        <v>0</v>
      </c>
      <c r="Q27" s="150">
        <v>3</v>
      </c>
      <c r="R27" s="1260">
        <v>4</v>
      </c>
      <c r="S27" s="1260">
        <v>12</v>
      </c>
      <c r="T27" s="1260">
        <v>1</v>
      </c>
      <c r="U27" s="1260">
        <v>1</v>
      </c>
      <c r="V27" s="172">
        <v>1</v>
      </c>
      <c r="W27" s="150">
        <v>1</v>
      </c>
      <c r="X27" s="150">
        <v>1</v>
      </c>
      <c r="Y27" s="150">
        <v>0</v>
      </c>
      <c r="Z27" s="150">
        <v>0</v>
      </c>
      <c r="AA27" s="150">
        <v>0</v>
      </c>
      <c r="AB27" s="150">
        <v>0</v>
      </c>
      <c r="AC27" s="150">
        <v>0</v>
      </c>
      <c r="AD27" s="150">
        <v>0</v>
      </c>
      <c r="AE27" s="97"/>
      <c r="AF27" s="55"/>
      <c r="AG27" s="56"/>
      <c r="AH27" s="56"/>
      <c r="AI27" s="55"/>
      <c r="AJ27" s="96"/>
      <c r="AK27" s="56"/>
      <c r="AL27" s="56"/>
      <c r="AM27" s="56"/>
      <c r="AN27" s="3"/>
      <c r="AO27" s="3"/>
      <c r="AP27" s="3"/>
      <c r="AQ27" s="3"/>
    </row>
    <row r="28" spans="1:43">
      <c r="A28" s="188" t="s">
        <v>467</v>
      </c>
      <c r="U28" s="1260">
        <v>4</v>
      </c>
      <c r="V28" s="172">
        <v>15</v>
      </c>
      <c r="W28" s="150">
        <v>1</v>
      </c>
      <c r="X28" s="150"/>
      <c r="Y28" s="150"/>
      <c r="Z28" s="150"/>
      <c r="AA28" s="150"/>
      <c r="AB28" s="150"/>
      <c r="AC28" s="150"/>
      <c r="AD28" s="150"/>
      <c r="AE28" s="97"/>
      <c r="AF28" s="55"/>
      <c r="AG28" s="56"/>
      <c r="AH28" s="56"/>
      <c r="AI28" s="55"/>
      <c r="AJ28" s="96"/>
      <c r="AK28" s="56"/>
      <c r="AL28" s="56"/>
      <c r="AM28" s="56"/>
      <c r="AN28" s="3"/>
      <c r="AO28" s="3"/>
      <c r="AP28" s="3"/>
      <c r="AQ28" s="3"/>
    </row>
    <row r="29" spans="1:43">
      <c r="A29" s="188" t="s">
        <v>222</v>
      </c>
      <c r="U29" s="1260">
        <v>3</v>
      </c>
      <c r="V29" s="172">
        <v>5</v>
      </c>
      <c r="W29" s="150">
        <v>2</v>
      </c>
      <c r="X29" s="150">
        <v>0</v>
      </c>
      <c r="Y29" s="150">
        <v>0</v>
      </c>
      <c r="Z29" s="150">
        <v>0</v>
      </c>
      <c r="AA29" s="150">
        <v>0</v>
      </c>
      <c r="AB29" s="150">
        <v>0</v>
      </c>
      <c r="AC29" s="150">
        <v>0</v>
      </c>
      <c r="AD29" s="150">
        <v>0</v>
      </c>
      <c r="AE29" s="97"/>
      <c r="AF29" s="55"/>
      <c r="AG29" s="56"/>
      <c r="AH29" s="56"/>
      <c r="AI29" s="55"/>
      <c r="AJ29" s="96"/>
      <c r="AK29" s="56"/>
      <c r="AL29" s="56"/>
      <c r="AM29" s="56"/>
      <c r="AN29" s="3"/>
      <c r="AO29" s="3"/>
      <c r="AP29" s="3"/>
      <c r="AQ29" s="3"/>
    </row>
    <row r="30" spans="1:43" hidden="1" outlineLevel="1">
      <c r="A30" s="188" t="s">
        <v>342</v>
      </c>
      <c r="B30" s="150"/>
      <c r="C30" s="150"/>
      <c r="D30" s="150"/>
      <c r="E30" s="150"/>
      <c r="F30" s="150"/>
      <c r="G30" s="150"/>
      <c r="H30" s="150"/>
      <c r="I30" s="150"/>
      <c r="J30" s="150"/>
      <c r="K30" s="150"/>
      <c r="L30" s="150"/>
      <c r="M30" s="150"/>
      <c r="N30" s="150">
        <v>10</v>
      </c>
      <c r="O30" s="150">
        <v>-10</v>
      </c>
      <c r="P30" s="150">
        <v>0</v>
      </c>
      <c r="Q30" s="150">
        <v>0</v>
      </c>
      <c r="R30" s="1260">
        <v>0</v>
      </c>
      <c r="S30" s="1260">
        <v>0</v>
      </c>
      <c r="T30" s="1260">
        <v>0</v>
      </c>
      <c r="U30" s="1260">
        <v>0</v>
      </c>
      <c r="V30" s="172">
        <v>0</v>
      </c>
      <c r="W30" s="150">
        <v>0</v>
      </c>
      <c r="X30" s="150"/>
      <c r="Y30" s="150"/>
      <c r="Z30" s="150"/>
      <c r="AA30" s="150"/>
      <c r="AB30" s="150"/>
      <c r="AC30" s="150"/>
      <c r="AD30" s="150"/>
      <c r="AE30" s="97"/>
      <c r="AF30" s="55"/>
      <c r="AG30" s="56"/>
      <c r="AH30" s="56"/>
      <c r="AI30" s="55"/>
      <c r="AJ30" s="96"/>
      <c r="AK30" s="56"/>
      <c r="AL30" s="56"/>
      <c r="AM30" s="56"/>
      <c r="AN30" s="3"/>
      <c r="AO30" s="3"/>
      <c r="AP30" s="3"/>
      <c r="AQ30" s="3"/>
    </row>
    <row r="31" spans="1:43" collapsed="1">
      <c r="A31" s="7" t="s">
        <v>579</v>
      </c>
      <c r="B31" s="150">
        <v>0</v>
      </c>
      <c r="C31" s="150">
        <f>-6-5</f>
        <v>-11</v>
      </c>
      <c r="D31" s="150">
        <f>-2-2</f>
        <v>-4</v>
      </c>
      <c r="E31" s="150">
        <f>-6-1</f>
        <v>-7</v>
      </c>
      <c r="F31" s="150">
        <f>-2-2</f>
        <v>-4</v>
      </c>
      <c r="G31" s="150">
        <v>-3</v>
      </c>
      <c r="H31" s="150">
        <v>-3</v>
      </c>
      <c r="I31" s="150">
        <v>-3</v>
      </c>
      <c r="J31" s="150">
        <v>0</v>
      </c>
      <c r="K31" s="150">
        <v>-2</v>
      </c>
      <c r="L31" s="150">
        <v>-9</v>
      </c>
      <c r="M31" s="150">
        <v>0</v>
      </c>
      <c r="N31" s="150">
        <v>-6</v>
      </c>
      <c r="O31" s="150">
        <v>-18</v>
      </c>
      <c r="P31" s="150">
        <v>-11</v>
      </c>
      <c r="Q31" s="152">
        <f>Q32+Q34+Q36</f>
        <v>-26</v>
      </c>
      <c r="R31" s="1259">
        <f>R32+R34+R36</f>
        <v>-9</v>
      </c>
      <c r="S31" s="1259">
        <f t="shared" ref="S31:AA31" si="18">SUM(S32:S37)</f>
        <v>-32</v>
      </c>
      <c r="T31" s="1259">
        <f t="shared" si="18"/>
        <v>-24</v>
      </c>
      <c r="U31" s="1259">
        <f t="shared" si="18"/>
        <v>-20</v>
      </c>
      <c r="V31" s="209">
        <f>SUM(V32:V37)</f>
        <v>-34</v>
      </c>
      <c r="W31" s="152">
        <f>SUM(W32:W38)</f>
        <v>-69</v>
      </c>
      <c r="X31" s="152">
        <f t="shared" si="18"/>
        <v>-34</v>
      </c>
      <c r="Y31" s="209">
        <f t="shared" si="18"/>
        <v>-48</v>
      </c>
      <c r="Z31" s="152">
        <f t="shared" si="18"/>
        <v>-50</v>
      </c>
      <c r="AA31" s="152">
        <f t="shared" si="18"/>
        <v>-15</v>
      </c>
      <c r="AB31" s="152">
        <f>SUM(AB32:AB37)</f>
        <v>-15</v>
      </c>
      <c r="AC31" s="152">
        <f>SUM(AC32:AC37)</f>
        <v>-15</v>
      </c>
      <c r="AD31" s="152">
        <f>SUM(AD32:AD37)</f>
        <v>-15</v>
      </c>
      <c r="AE31" s="97"/>
      <c r="AF31" s="55"/>
      <c r="AG31" s="56"/>
      <c r="AH31" s="56"/>
      <c r="AI31" s="55"/>
      <c r="AJ31" s="96"/>
      <c r="AK31" s="3"/>
      <c r="AL31" s="3"/>
      <c r="AM31" s="3"/>
      <c r="AN31" s="3"/>
      <c r="AO31" s="3"/>
      <c r="AP31" s="3"/>
      <c r="AQ31" s="3"/>
    </row>
    <row r="32" spans="1:43">
      <c r="A32" s="326" t="s">
        <v>685</v>
      </c>
      <c r="B32" s="150"/>
      <c r="C32" s="150"/>
      <c r="D32" s="150"/>
      <c r="E32" s="150"/>
      <c r="F32" s="150"/>
      <c r="G32" s="150"/>
      <c r="H32" s="150"/>
      <c r="I32" s="150"/>
      <c r="J32" s="150"/>
      <c r="K32" s="150"/>
      <c r="L32" s="150"/>
      <c r="M32" s="150"/>
      <c r="N32" s="150">
        <v>-5</v>
      </c>
      <c r="O32" s="150"/>
      <c r="P32" s="150"/>
      <c r="Q32" s="150">
        <v>-20</v>
      </c>
      <c r="R32" s="1260">
        <v>-2</v>
      </c>
      <c r="S32" s="1260">
        <v>-12</v>
      </c>
      <c r="T32" s="1260">
        <v>-9</v>
      </c>
      <c r="U32" s="1260">
        <v>-10</v>
      </c>
      <c r="V32" s="172">
        <v>-13</v>
      </c>
      <c r="W32" s="150">
        <v>-17</v>
      </c>
      <c r="X32" s="150">
        <v>-21</v>
      </c>
      <c r="Y32" s="150">
        <v>-19</v>
      </c>
      <c r="Z32" s="150">
        <v>-18</v>
      </c>
      <c r="AA32" s="150">
        <v>-10</v>
      </c>
      <c r="AB32" s="150">
        <v>-10</v>
      </c>
      <c r="AC32" s="150">
        <v>-10</v>
      </c>
      <c r="AD32" s="150">
        <v>-10</v>
      </c>
      <c r="AE32" s="97"/>
      <c r="AF32" s="55"/>
      <c r="AG32" s="56"/>
      <c r="AH32" s="56"/>
      <c r="AI32" s="55"/>
      <c r="AJ32" s="96"/>
      <c r="AK32" s="3"/>
      <c r="AL32" s="3"/>
      <c r="AM32" s="3"/>
      <c r="AN32" s="3"/>
      <c r="AO32" s="3"/>
      <c r="AP32" s="3"/>
      <c r="AQ32" s="3"/>
    </row>
    <row r="33" spans="1:43">
      <c r="A33" s="326" t="s">
        <v>720</v>
      </c>
      <c r="B33" s="150"/>
      <c r="C33" s="150"/>
      <c r="D33" s="150"/>
      <c r="E33" s="150"/>
      <c r="F33" s="150"/>
      <c r="G33" s="150"/>
      <c r="H33" s="150"/>
      <c r="I33" s="150"/>
      <c r="J33" s="150"/>
      <c r="K33" s="150"/>
      <c r="L33" s="150"/>
      <c r="M33" s="150"/>
      <c r="N33" s="150"/>
      <c r="O33" s="150"/>
      <c r="P33" s="150"/>
      <c r="Q33" s="150"/>
      <c r="R33" s="1260"/>
      <c r="S33" s="1260"/>
      <c r="T33" s="1260"/>
      <c r="U33" s="1260">
        <v>-1</v>
      </c>
      <c r="V33" s="172">
        <v>-3</v>
      </c>
      <c r="W33" s="150">
        <v>-7</v>
      </c>
      <c r="X33" s="150">
        <v>-1</v>
      </c>
      <c r="Y33" s="150">
        <v>-1</v>
      </c>
      <c r="Z33" s="150">
        <v>0</v>
      </c>
      <c r="AA33" s="150">
        <v>0</v>
      </c>
      <c r="AB33" s="150">
        <v>0</v>
      </c>
      <c r="AC33" s="150">
        <v>0</v>
      </c>
      <c r="AD33" s="150">
        <v>0</v>
      </c>
      <c r="AE33" s="97"/>
      <c r="AF33" s="55"/>
      <c r="AG33" s="56"/>
      <c r="AH33" s="56"/>
      <c r="AI33" s="55"/>
      <c r="AJ33" s="96"/>
      <c r="AK33" s="3"/>
      <c r="AL33" s="3"/>
      <c r="AM33" s="3"/>
      <c r="AN33" s="3"/>
      <c r="AO33" s="3"/>
      <c r="AP33" s="3"/>
      <c r="AQ33" s="3"/>
    </row>
    <row r="34" spans="1:43">
      <c r="A34" s="326" t="s">
        <v>563</v>
      </c>
      <c r="B34" s="150"/>
      <c r="C34" s="150"/>
      <c r="D34" s="150"/>
      <c r="E34" s="150"/>
      <c r="F34" s="150"/>
      <c r="G34" s="150"/>
      <c r="H34" s="150"/>
      <c r="I34" s="150"/>
      <c r="J34" s="150"/>
      <c r="K34" s="150"/>
      <c r="L34" s="150"/>
      <c r="M34" s="150"/>
      <c r="N34" s="150"/>
      <c r="O34" s="150"/>
      <c r="P34" s="150"/>
      <c r="Q34" s="150">
        <v>-3</v>
      </c>
      <c r="R34" s="1260">
        <v>-5</v>
      </c>
      <c r="S34" s="1260">
        <v>-9</v>
      </c>
      <c r="T34" s="1260">
        <v>-6</v>
      </c>
      <c r="U34" s="1260">
        <v>-3</v>
      </c>
      <c r="V34" s="172">
        <v>-13</v>
      </c>
      <c r="W34" s="150">
        <v>-17</v>
      </c>
      <c r="X34" s="150">
        <v>-10</v>
      </c>
      <c r="Y34" s="150">
        <v>-19</v>
      </c>
      <c r="Z34" s="150">
        <v>-18</v>
      </c>
      <c r="AA34" s="150">
        <v>-4</v>
      </c>
      <c r="AB34" s="150">
        <v>-4</v>
      </c>
      <c r="AC34" s="150">
        <v>-4</v>
      </c>
      <c r="AD34" s="150">
        <v>-4</v>
      </c>
      <c r="AE34" s="97"/>
      <c r="AF34" s="55"/>
      <c r="AG34" s="56"/>
      <c r="AH34" s="56"/>
      <c r="AI34" s="55"/>
      <c r="AJ34" s="96"/>
      <c r="AK34" s="3"/>
      <c r="AL34" s="3"/>
      <c r="AM34" s="3"/>
      <c r="AN34" s="3"/>
      <c r="AO34" s="3"/>
      <c r="AP34" s="3"/>
      <c r="AQ34" s="3"/>
    </row>
    <row r="35" spans="1:43">
      <c r="A35" s="326" t="s">
        <v>760</v>
      </c>
      <c r="B35" s="150"/>
      <c r="C35" s="150"/>
      <c r="D35" s="150"/>
      <c r="E35" s="150"/>
      <c r="F35" s="150"/>
      <c r="G35" s="150"/>
      <c r="H35" s="150"/>
      <c r="I35" s="150"/>
      <c r="J35" s="150"/>
      <c r="K35" s="150"/>
      <c r="L35" s="150"/>
      <c r="M35" s="150"/>
      <c r="N35" s="150"/>
      <c r="O35" s="150"/>
      <c r="P35" s="150"/>
      <c r="Q35" s="150"/>
      <c r="R35" s="1260"/>
      <c r="S35" s="1260"/>
      <c r="T35" s="1260"/>
      <c r="U35" s="1260"/>
      <c r="V35" s="172"/>
      <c r="W35" s="150">
        <v>-2</v>
      </c>
      <c r="X35" s="150"/>
      <c r="Y35" s="150">
        <v>-2</v>
      </c>
      <c r="Z35" s="150"/>
      <c r="AA35" s="150"/>
      <c r="AB35" s="150"/>
      <c r="AC35" s="150"/>
      <c r="AD35" s="150"/>
      <c r="AE35" s="97"/>
      <c r="AF35" s="55"/>
      <c r="AG35" s="56"/>
      <c r="AH35" s="56"/>
      <c r="AI35" s="55"/>
      <c r="AJ35" s="96"/>
      <c r="AK35" s="3"/>
      <c r="AL35" s="3"/>
      <c r="AM35" s="3"/>
      <c r="AN35" s="3"/>
      <c r="AO35" s="3"/>
      <c r="AP35" s="3"/>
      <c r="AQ35" s="3"/>
    </row>
    <row r="36" spans="1:43">
      <c r="A36" s="326" t="s">
        <v>461</v>
      </c>
      <c r="B36" s="150"/>
      <c r="C36" s="150"/>
      <c r="D36" s="150"/>
      <c r="E36" s="150"/>
      <c r="F36" s="150"/>
      <c r="G36" s="150"/>
      <c r="H36" s="150"/>
      <c r="I36" s="150"/>
      <c r="J36" s="150"/>
      <c r="K36" s="150"/>
      <c r="L36" s="150"/>
      <c r="M36" s="150"/>
      <c r="N36" s="150"/>
      <c r="O36" s="150"/>
      <c r="P36" s="150"/>
      <c r="Q36" s="150">
        <v>-3</v>
      </c>
      <c r="R36" s="1260">
        <v>-2</v>
      </c>
      <c r="S36" s="1260">
        <v>-8</v>
      </c>
      <c r="T36" s="1260">
        <v>-7</v>
      </c>
      <c r="U36" s="1260">
        <v>-6</v>
      </c>
      <c r="V36" s="172">
        <v>-4</v>
      </c>
      <c r="W36" s="150">
        <v>-6</v>
      </c>
      <c r="X36" s="150">
        <v>-2</v>
      </c>
      <c r="Y36" s="150">
        <v>-7</v>
      </c>
      <c r="Z36" s="150">
        <v>-14</v>
      </c>
      <c r="AA36" s="150">
        <v>-1</v>
      </c>
      <c r="AB36" s="150">
        <v>-1</v>
      </c>
      <c r="AC36" s="150">
        <v>-1</v>
      </c>
      <c r="AD36" s="150">
        <v>-1</v>
      </c>
      <c r="AE36" s="97"/>
      <c r="AF36" s="55"/>
      <c r="AG36" s="56"/>
      <c r="AH36" s="56"/>
      <c r="AI36" s="55"/>
      <c r="AJ36" s="96"/>
      <c r="AK36" s="3"/>
      <c r="AL36" s="3"/>
      <c r="AM36" s="3"/>
      <c r="AN36" s="3"/>
      <c r="AO36" s="3"/>
      <c r="AP36" s="3"/>
      <c r="AQ36" s="3"/>
    </row>
    <row r="37" spans="1:43">
      <c r="A37" s="326" t="s">
        <v>320</v>
      </c>
      <c r="B37" s="150"/>
      <c r="C37" s="150"/>
      <c r="D37" s="150"/>
      <c r="E37" s="150"/>
      <c r="F37" s="150"/>
      <c r="G37" s="150"/>
      <c r="H37" s="150"/>
      <c r="I37" s="150"/>
      <c r="J37" s="150"/>
      <c r="K37" s="150"/>
      <c r="L37" s="150"/>
      <c r="M37" s="150"/>
      <c r="N37" s="150"/>
      <c r="O37" s="150">
        <v>0</v>
      </c>
      <c r="P37" s="150">
        <v>0</v>
      </c>
      <c r="Q37" s="150">
        <v>0</v>
      </c>
      <c r="R37" s="1260">
        <v>0</v>
      </c>
      <c r="S37" s="1260">
        <v>-3</v>
      </c>
      <c r="T37" s="1260">
        <v>-2</v>
      </c>
      <c r="U37" s="1260">
        <v>0</v>
      </c>
      <c r="V37" s="172">
        <v>-1</v>
      </c>
      <c r="W37" s="150">
        <v>0</v>
      </c>
      <c r="X37" s="150">
        <v>0</v>
      </c>
      <c r="Y37" s="150">
        <v>0</v>
      </c>
      <c r="Z37" s="150">
        <v>0</v>
      </c>
      <c r="AA37" s="150">
        <v>0</v>
      </c>
      <c r="AB37" s="150">
        <v>0</v>
      </c>
      <c r="AC37" s="150">
        <v>0</v>
      </c>
      <c r="AD37" s="150">
        <v>0</v>
      </c>
      <c r="AE37" s="97"/>
      <c r="AF37" s="55"/>
      <c r="AG37" s="56"/>
      <c r="AH37" s="56"/>
      <c r="AI37" s="55"/>
      <c r="AJ37" s="96"/>
      <c r="AK37" s="3"/>
      <c r="AL37" s="3"/>
      <c r="AM37" s="3"/>
      <c r="AN37" s="3"/>
      <c r="AO37" s="3"/>
      <c r="AP37" s="3"/>
      <c r="AQ37" s="3"/>
    </row>
    <row r="38" spans="1:43">
      <c r="A38" s="326" t="s">
        <v>287</v>
      </c>
      <c r="B38" s="150"/>
      <c r="C38" s="150"/>
      <c r="D38" s="150"/>
      <c r="E38" s="150"/>
      <c r="F38" s="150"/>
      <c r="G38" s="150"/>
      <c r="H38" s="150"/>
      <c r="I38" s="150"/>
      <c r="J38" s="150"/>
      <c r="K38" s="150"/>
      <c r="L38" s="150"/>
      <c r="M38" s="150"/>
      <c r="N38" s="150"/>
      <c r="O38" s="150"/>
      <c r="P38" s="150"/>
      <c r="Q38" s="150"/>
      <c r="R38" s="1260">
        <v>0</v>
      </c>
      <c r="S38" s="1260">
        <v>0</v>
      </c>
      <c r="T38" s="1260">
        <v>0</v>
      </c>
      <c r="U38" s="1260">
        <v>0</v>
      </c>
      <c r="V38" s="172">
        <v>0</v>
      </c>
      <c r="W38" s="150">
        <v>-20</v>
      </c>
      <c r="X38" s="150"/>
      <c r="Y38" s="150"/>
      <c r="Z38" s="150"/>
      <c r="AA38" s="150"/>
      <c r="AB38" s="150"/>
      <c r="AC38" s="150"/>
      <c r="AD38" s="150"/>
      <c r="AE38" s="97"/>
      <c r="AF38" s="55"/>
      <c r="AG38" s="56"/>
      <c r="AH38" s="56"/>
      <c r="AI38" s="55"/>
      <c r="AJ38" s="96"/>
      <c r="AK38" s="3"/>
      <c r="AL38" s="3"/>
      <c r="AM38" s="3"/>
      <c r="AN38" s="3"/>
      <c r="AO38" s="3"/>
      <c r="AP38" s="3"/>
      <c r="AQ38" s="3"/>
    </row>
    <row r="39" spans="1:43">
      <c r="A39" s="7"/>
      <c r="B39" s="150"/>
      <c r="C39" s="150"/>
      <c r="D39" s="150"/>
      <c r="E39" s="150"/>
      <c r="F39" s="150"/>
      <c r="G39" s="150"/>
      <c r="H39" s="150"/>
      <c r="I39" s="150"/>
      <c r="J39" s="150"/>
      <c r="K39" s="150"/>
      <c r="L39" s="150"/>
      <c r="M39" s="150"/>
      <c r="N39" s="150"/>
      <c r="O39" s="150"/>
      <c r="P39" s="150"/>
      <c r="Q39" s="150"/>
      <c r="R39" s="1261"/>
      <c r="S39" s="1262"/>
      <c r="T39" s="1260"/>
      <c r="U39" s="1260"/>
      <c r="V39" s="172"/>
      <c r="W39" s="150"/>
      <c r="X39" s="152"/>
      <c r="Y39" s="152"/>
      <c r="Z39" s="150"/>
      <c r="AA39" s="150"/>
      <c r="AB39" s="150"/>
      <c r="AC39" s="150"/>
      <c r="AD39" s="150"/>
      <c r="AE39" s="97"/>
      <c r="AF39" s="55"/>
      <c r="AG39" s="56"/>
      <c r="AH39" s="56"/>
      <c r="AI39" s="55"/>
      <c r="AJ39" s="96"/>
      <c r="AK39" s="3"/>
      <c r="AL39" s="3"/>
      <c r="AM39" s="3"/>
      <c r="AN39" s="3"/>
      <c r="AO39" s="3"/>
      <c r="AP39" s="3"/>
      <c r="AQ39" s="3"/>
    </row>
    <row r="40" spans="1:43">
      <c r="A40" s="7" t="s">
        <v>580</v>
      </c>
      <c r="B40" s="6">
        <f t="shared" ref="B40:I40" si="19">+B18+B19+B31</f>
        <v>121</v>
      </c>
      <c r="C40" s="6">
        <f t="shared" si="19"/>
        <v>123</v>
      </c>
      <c r="D40" s="6">
        <f t="shared" si="19"/>
        <v>133</v>
      </c>
      <c r="E40" s="6">
        <f t="shared" si="19"/>
        <v>141</v>
      </c>
      <c r="F40" s="6">
        <f t="shared" si="19"/>
        <v>162</v>
      </c>
      <c r="G40" s="6">
        <f t="shared" si="19"/>
        <v>200</v>
      </c>
      <c r="H40" s="6">
        <f t="shared" si="19"/>
        <v>250</v>
      </c>
      <c r="I40" s="6">
        <f t="shared" si="19"/>
        <v>311</v>
      </c>
      <c r="J40" s="6">
        <f>+J18+J19+J31</f>
        <v>378</v>
      </c>
      <c r="K40" s="6">
        <f>+K18+K19+K31+K24</f>
        <v>548</v>
      </c>
      <c r="L40" s="6">
        <f>+L18+L19+L31</f>
        <v>657</v>
      </c>
      <c r="M40" s="6">
        <f>+M18+M19+M31</f>
        <v>763</v>
      </c>
      <c r="N40" s="6">
        <f>+N18+N19+N31+N30+N32</f>
        <v>920</v>
      </c>
      <c r="O40" s="6">
        <f>+O18+O19+O31+O30</f>
        <v>1038</v>
      </c>
      <c r="P40" s="6">
        <f>+P18+P19+P31+P30</f>
        <v>1076</v>
      </c>
      <c r="Q40" s="6">
        <f>+Q18+Q19+Q31+Q30</f>
        <v>1080</v>
      </c>
      <c r="R40" s="1263">
        <f>+R18+R19+R31+R30</f>
        <v>1151</v>
      </c>
      <c r="S40" s="1263">
        <f t="shared" ref="S40:AC40" si="20">+S18+S19+S31</f>
        <v>1256</v>
      </c>
      <c r="T40" s="1263">
        <f t="shared" si="20"/>
        <v>1357</v>
      </c>
      <c r="U40" s="1263">
        <f t="shared" si="20"/>
        <v>1472</v>
      </c>
      <c r="V40" s="210">
        <f t="shared" si="20"/>
        <v>1547</v>
      </c>
      <c r="W40" s="6">
        <f t="shared" si="20"/>
        <v>1518</v>
      </c>
      <c r="X40" s="6">
        <f t="shared" si="20"/>
        <v>1501</v>
      </c>
      <c r="Y40" s="6">
        <f t="shared" si="20"/>
        <v>1460</v>
      </c>
      <c r="Z40" s="6">
        <f t="shared" si="20"/>
        <v>1420</v>
      </c>
      <c r="AA40" s="6">
        <f t="shared" si="20"/>
        <v>1415</v>
      </c>
      <c r="AB40" s="6">
        <f t="shared" si="20"/>
        <v>1410</v>
      </c>
      <c r="AC40" s="6">
        <f t="shared" si="20"/>
        <v>1405</v>
      </c>
      <c r="AD40" s="6">
        <f t="shared" ref="AD40" si="21">+AD18+AD19+AD31</f>
        <v>1400</v>
      </c>
      <c r="AE40" s="97"/>
      <c r="AF40" s="55">
        <f>((X40/S40)^(1/5)-1)*100</f>
        <v>3.6282610734510667</v>
      </c>
      <c r="AG40" s="93" t="s">
        <v>576</v>
      </c>
      <c r="AH40" s="93"/>
      <c r="AI40" s="55">
        <f>((AD40/Y40)^(1/5)-1)*100</f>
        <v>-0.83577182648966186</v>
      </c>
      <c r="AJ40" s="98" t="s">
        <v>576</v>
      </c>
      <c r="AK40" s="3"/>
      <c r="AL40" s="3"/>
      <c r="AM40" s="3"/>
      <c r="AN40" s="3"/>
      <c r="AO40" s="3"/>
      <c r="AP40" s="3"/>
      <c r="AQ40" s="3"/>
    </row>
    <row r="41" spans="1:43">
      <c r="A41" s="188" t="s">
        <v>280</v>
      </c>
      <c r="B41" s="6">
        <f>+B18+SUM(B20:B22)+B31</f>
        <v>121</v>
      </c>
      <c r="C41" s="6">
        <f t="shared" ref="C41:J41" si="22">B41+SUM(C20:C22)+C31</f>
        <v>123</v>
      </c>
      <c r="D41" s="6">
        <f t="shared" si="22"/>
        <v>133</v>
      </c>
      <c r="E41" s="6">
        <f t="shared" si="22"/>
        <v>141</v>
      </c>
      <c r="F41" s="6">
        <f t="shared" si="22"/>
        <v>162</v>
      </c>
      <c r="G41" s="6">
        <f t="shared" si="22"/>
        <v>200</v>
      </c>
      <c r="H41" s="6">
        <f t="shared" si="22"/>
        <v>250</v>
      </c>
      <c r="I41" s="6">
        <f t="shared" si="22"/>
        <v>311</v>
      </c>
      <c r="J41" s="6">
        <f t="shared" si="22"/>
        <v>378</v>
      </c>
      <c r="K41" s="6">
        <f>J41+SUM(K20:K22)+K31-23</f>
        <v>411</v>
      </c>
      <c r="L41" s="6">
        <f>K41+K43+L20+L22+L31</f>
        <v>462</v>
      </c>
      <c r="M41" s="6">
        <f>L41+L43+M20+M22+M31</f>
        <v>513</v>
      </c>
      <c r="N41" s="6">
        <f>M41+M43+N20+N22+N31</f>
        <v>554</v>
      </c>
      <c r="O41" s="6">
        <f>N41+N43+O20+O22+O31</f>
        <v>604</v>
      </c>
      <c r="P41" s="6">
        <f>O41+O43+P20+P22+P31</f>
        <v>619</v>
      </c>
      <c r="Q41" s="6">
        <f>P41+P43+Q20+Q22+Q32</f>
        <v>599</v>
      </c>
      <c r="R41" s="1263">
        <f>Q41+R20+R32</f>
        <v>597</v>
      </c>
      <c r="S41" s="1263">
        <f t="shared" ref="S41:X41" si="23">R41+SUM(S20)+S32</f>
        <v>601</v>
      </c>
      <c r="T41" s="1263">
        <f t="shared" si="23"/>
        <v>606</v>
      </c>
      <c r="U41" s="1263">
        <f t="shared" si="23"/>
        <v>611</v>
      </c>
      <c r="V41" s="210">
        <f t="shared" si="23"/>
        <v>613</v>
      </c>
      <c r="W41" s="210">
        <f t="shared" si="23"/>
        <v>604</v>
      </c>
      <c r="X41" s="210">
        <f t="shared" si="23"/>
        <v>587</v>
      </c>
      <c r="Y41" s="6">
        <f t="shared" ref="Y41:AD41" si="24">X41+SUM(Y20)+Y32</f>
        <v>568</v>
      </c>
      <c r="Z41" s="6">
        <f t="shared" si="24"/>
        <v>552</v>
      </c>
      <c r="AA41" s="6">
        <f t="shared" si="24"/>
        <v>544</v>
      </c>
      <c r="AB41" s="6">
        <f t="shared" si="24"/>
        <v>536</v>
      </c>
      <c r="AC41" s="6">
        <f t="shared" si="24"/>
        <v>528</v>
      </c>
      <c r="AD41" s="6">
        <f t="shared" si="24"/>
        <v>520</v>
      </c>
      <c r="AE41" s="97"/>
      <c r="AF41" s="55"/>
      <c r="AG41" s="93"/>
      <c r="AH41" s="93"/>
      <c r="AI41" s="55"/>
      <c r="AJ41" s="98"/>
      <c r="AK41" s="3"/>
      <c r="AL41" s="3"/>
      <c r="AM41" s="3"/>
      <c r="AN41" s="3"/>
      <c r="AO41" s="3"/>
      <c r="AP41" s="3"/>
      <c r="AQ41" s="3"/>
    </row>
    <row r="42" spans="1:43">
      <c r="A42" s="188" t="s">
        <v>157</v>
      </c>
      <c r="B42" s="6"/>
      <c r="C42" s="6"/>
      <c r="D42" s="6"/>
      <c r="E42" s="6"/>
      <c r="F42" s="6"/>
      <c r="G42" s="6"/>
      <c r="H42" s="6"/>
      <c r="I42" s="6"/>
      <c r="J42" s="6"/>
      <c r="K42" s="6">
        <v>23</v>
      </c>
      <c r="L42" s="6">
        <f t="shared" ref="L42:S42" si="25">K42+L21</f>
        <v>25</v>
      </c>
      <c r="M42" s="6">
        <f t="shared" si="25"/>
        <v>31</v>
      </c>
      <c r="N42" s="6">
        <f t="shared" si="25"/>
        <v>34</v>
      </c>
      <c r="O42" s="6">
        <f t="shared" si="25"/>
        <v>37</v>
      </c>
      <c r="P42" s="6">
        <f t="shared" si="25"/>
        <v>41</v>
      </c>
      <c r="Q42" s="6">
        <f t="shared" si="25"/>
        <v>44</v>
      </c>
      <c r="R42" s="1263">
        <f t="shared" si="25"/>
        <v>63</v>
      </c>
      <c r="S42" s="1263">
        <f t="shared" si="25"/>
        <v>83</v>
      </c>
      <c r="T42" s="1263">
        <f t="shared" ref="T42:AD42" si="26">S42+T21+T33</f>
        <v>99</v>
      </c>
      <c r="U42" s="1263">
        <f t="shared" si="26"/>
        <v>110</v>
      </c>
      <c r="V42" s="210">
        <f t="shared" si="26"/>
        <v>118</v>
      </c>
      <c r="W42" s="6">
        <f t="shared" si="26"/>
        <v>117</v>
      </c>
      <c r="X42" s="210">
        <f t="shared" si="26"/>
        <v>116</v>
      </c>
      <c r="Y42" s="6">
        <f t="shared" si="26"/>
        <v>120</v>
      </c>
      <c r="Z42" s="6">
        <f t="shared" si="26"/>
        <v>120</v>
      </c>
      <c r="AA42" s="6">
        <f t="shared" si="26"/>
        <v>120</v>
      </c>
      <c r="AB42" s="6">
        <f t="shared" si="26"/>
        <v>120</v>
      </c>
      <c r="AC42" s="6">
        <f t="shared" si="26"/>
        <v>120</v>
      </c>
      <c r="AD42" s="6">
        <f t="shared" si="26"/>
        <v>120</v>
      </c>
      <c r="AE42" s="97"/>
      <c r="AF42" s="55"/>
      <c r="AG42" s="93"/>
      <c r="AH42" s="93"/>
      <c r="AI42" s="55"/>
      <c r="AJ42" s="98"/>
      <c r="AK42" s="3"/>
      <c r="AL42" s="3"/>
      <c r="AM42" s="3"/>
      <c r="AN42" s="3"/>
      <c r="AO42" s="3"/>
      <c r="AP42" s="3"/>
      <c r="AQ42" s="3"/>
    </row>
    <row r="43" spans="1:43" hidden="1" outlineLevel="1">
      <c r="A43" s="188" t="s">
        <v>543</v>
      </c>
      <c r="B43" s="6"/>
      <c r="C43" s="6"/>
      <c r="D43" s="6"/>
      <c r="E43" s="6"/>
      <c r="F43" s="6"/>
      <c r="G43" s="6"/>
      <c r="H43" s="6"/>
      <c r="I43" s="6"/>
      <c r="J43" s="6"/>
      <c r="K43" s="6">
        <f>+K23</f>
        <v>0</v>
      </c>
      <c r="L43" s="6">
        <f>+L23</f>
        <v>0</v>
      </c>
      <c r="M43" s="6">
        <f>+M23</f>
        <v>0</v>
      </c>
      <c r="N43" s="6"/>
      <c r="O43" s="6"/>
      <c r="P43" s="6"/>
      <c r="Q43" s="6"/>
      <c r="R43" s="1263"/>
      <c r="S43" s="1263"/>
      <c r="T43" s="1263"/>
      <c r="U43" s="1263"/>
      <c r="V43" s="210"/>
      <c r="W43" s="6"/>
      <c r="X43" s="210"/>
      <c r="Y43" s="6"/>
      <c r="Z43" s="6"/>
      <c r="AA43" s="6"/>
      <c r="AB43" s="6"/>
      <c r="AC43" s="6"/>
      <c r="AD43" s="6"/>
      <c r="AE43" s="97"/>
      <c r="AF43" s="55"/>
      <c r="AG43" s="93"/>
      <c r="AH43" s="93"/>
      <c r="AI43" s="55"/>
      <c r="AJ43" s="98"/>
      <c r="AK43" s="3"/>
      <c r="AL43" s="3"/>
      <c r="AM43" s="3"/>
      <c r="AN43" s="3"/>
      <c r="AO43" s="3"/>
      <c r="AP43" s="3"/>
      <c r="AQ43" s="3"/>
    </row>
    <row r="44" spans="1:43" collapsed="1">
      <c r="A44" s="188" t="str">
        <f>+A24</f>
        <v>White House | Black Market</v>
      </c>
      <c r="B44" s="6"/>
      <c r="C44" s="6"/>
      <c r="D44" s="6"/>
      <c r="E44" s="6"/>
      <c r="F44" s="6"/>
      <c r="G44" s="6"/>
      <c r="H44" s="6"/>
      <c r="I44" s="6"/>
      <c r="J44" s="6"/>
      <c r="K44" s="6">
        <f>+K24-2</f>
        <v>112</v>
      </c>
      <c r="L44" s="6">
        <f>+K44+L24</f>
        <v>156</v>
      </c>
      <c r="M44" s="6">
        <f>+L44+M24</f>
        <v>196</v>
      </c>
      <c r="N44" s="6">
        <f>+M44+N24+N32</f>
        <v>254</v>
      </c>
      <c r="O44" s="6">
        <f>+N44+O24</f>
        <v>309</v>
      </c>
      <c r="P44" s="6">
        <f>+O44+P24</f>
        <v>328</v>
      </c>
      <c r="Q44" s="6">
        <f t="shared" ref="Q44:AD44" si="27">+P44+Q24+Q34</f>
        <v>333</v>
      </c>
      <c r="R44" s="1263">
        <f t="shared" si="27"/>
        <v>342</v>
      </c>
      <c r="S44" s="1263">
        <f t="shared" si="27"/>
        <v>364</v>
      </c>
      <c r="T44" s="1263">
        <f t="shared" si="27"/>
        <v>398</v>
      </c>
      <c r="U44" s="1263">
        <f t="shared" si="27"/>
        <v>436</v>
      </c>
      <c r="V44" s="210">
        <f t="shared" si="27"/>
        <v>441</v>
      </c>
      <c r="W44" s="210">
        <f t="shared" si="27"/>
        <v>429</v>
      </c>
      <c r="X44" s="210">
        <f t="shared" si="27"/>
        <v>423</v>
      </c>
      <c r="Y44" s="6">
        <f t="shared" si="27"/>
        <v>404</v>
      </c>
      <c r="Z44" s="6">
        <f t="shared" si="27"/>
        <v>388</v>
      </c>
      <c r="AA44" s="6">
        <f t="shared" si="27"/>
        <v>386</v>
      </c>
      <c r="AB44" s="6">
        <f t="shared" si="27"/>
        <v>384</v>
      </c>
      <c r="AC44" s="6">
        <f t="shared" si="27"/>
        <v>382</v>
      </c>
      <c r="AD44" s="6">
        <f t="shared" si="27"/>
        <v>380</v>
      </c>
      <c r="AE44" s="97"/>
      <c r="AF44" s="55"/>
      <c r="AG44" s="93"/>
      <c r="AH44" s="93"/>
      <c r="AI44" s="55"/>
      <c r="AJ44" s="98"/>
      <c r="AK44" s="3"/>
      <c r="AL44" s="3"/>
      <c r="AM44" s="3"/>
      <c r="AN44" s="3"/>
      <c r="AO44" s="3"/>
      <c r="AP44" s="3"/>
      <c r="AQ44" s="3"/>
    </row>
    <row r="45" spans="1:43">
      <c r="A45" s="188" t="s">
        <v>158</v>
      </c>
      <c r="B45" s="6"/>
      <c r="C45" s="6"/>
      <c r="D45" s="6"/>
      <c r="E45" s="6"/>
      <c r="F45" s="6"/>
      <c r="G45" s="6"/>
      <c r="H45" s="6"/>
      <c r="I45" s="6"/>
      <c r="J45" s="6"/>
      <c r="K45" s="6">
        <v>2</v>
      </c>
      <c r="L45" s="6">
        <f t="shared" ref="L45:Q45" si="28">K45+L25</f>
        <v>4</v>
      </c>
      <c r="M45" s="6">
        <f t="shared" si="28"/>
        <v>8</v>
      </c>
      <c r="N45" s="6">
        <f t="shared" si="28"/>
        <v>16</v>
      </c>
      <c r="O45" s="6">
        <f t="shared" si="28"/>
        <v>19</v>
      </c>
      <c r="P45" s="6">
        <f t="shared" si="28"/>
        <v>17</v>
      </c>
      <c r="Q45" s="6">
        <f t="shared" si="28"/>
        <v>17</v>
      </c>
      <c r="R45" s="1263">
        <f t="shared" ref="R45:Y45" si="29">+Q45+R25</f>
        <v>21</v>
      </c>
      <c r="S45" s="1263">
        <f t="shared" si="29"/>
        <v>27</v>
      </c>
      <c r="T45" s="1263">
        <f t="shared" si="29"/>
        <v>45</v>
      </c>
      <c r="U45" s="1263">
        <f t="shared" si="29"/>
        <v>59</v>
      </c>
      <c r="V45" s="210">
        <f t="shared" si="29"/>
        <v>68</v>
      </c>
      <c r="W45" s="6">
        <f>+V45+W25+W35</f>
        <v>71</v>
      </c>
      <c r="X45" s="6">
        <f>+W45+X25+X35</f>
        <v>71</v>
      </c>
      <c r="Y45" s="6">
        <f t="shared" si="29"/>
        <v>71</v>
      </c>
      <c r="Z45" s="6">
        <f>+Y45+Z25</f>
        <v>72</v>
      </c>
      <c r="AA45" s="6">
        <f>+Z45+AA25</f>
        <v>73</v>
      </c>
      <c r="AB45" s="6">
        <f>+AA45+AB25</f>
        <v>74</v>
      </c>
      <c r="AC45" s="6">
        <f>+AB45+AC25</f>
        <v>75</v>
      </c>
      <c r="AD45" s="6">
        <f>+AC45+AD25</f>
        <v>76</v>
      </c>
      <c r="AE45" s="97"/>
      <c r="AF45" s="55"/>
      <c r="AG45" s="93"/>
      <c r="AH45" s="93"/>
      <c r="AI45" s="55"/>
      <c r="AJ45" s="98"/>
      <c r="AK45" s="3"/>
      <c r="AL45" s="3"/>
      <c r="AM45" s="3"/>
      <c r="AN45" s="3"/>
      <c r="AO45" s="3"/>
      <c r="AP45" s="3"/>
      <c r="AQ45" s="3"/>
    </row>
    <row r="46" spans="1:43">
      <c r="A46" s="188" t="str">
        <f>+A26</f>
        <v>Soma</v>
      </c>
      <c r="B46" s="6"/>
      <c r="C46" s="6"/>
      <c r="D46" s="6"/>
      <c r="E46" s="6"/>
      <c r="F46" s="6"/>
      <c r="G46" s="6"/>
      <c r="H46" s="6"/>
      <c r="I46" s="6"/>
      <c r="J46" s="6"/>
      <c r="K46" s="6"/>
      <c r="L46" s="6">
        <f>+L26</f>
        <v>10</v>
      </c>
      <c r="M46" s="6">
        <f>L46+M26</f>
        <v>15</v>
      </c>
      <c r="N46" s="210">
        <f>M46+N26+N27</f>
        <v>52</v>
      </c>
      <c r="O46" s="210">
        <f>N46+O26</f>
        <v>68</v>
      </c>
      <c r="P46" s="210">
        <f>O46+P26</f>
        <v>70</v>
      </c>
      <c r="Q46" s="210">
        <f t="shared" ref="Q46:X46" si="30">P46+Q26+Q36</f>
        <v>83</v>
      </c>
      <c r="R46" s="1263">
        <f t="shared" si="30"/>
        <v>120</v>
      </c>
      <c r="S46" s="1263">
        <f t="shared" si="30"/>
        <v>164</v>
      </c>
      <c r="T46" s="1263">
        <f t="shared" si="30"/>
        <v>193</v>
      </c>
      <c r="U46" s="1263">
        <f t="shared" si="30"/>
        <v>232</v>
      </c>
      <c r="V46" s="210">
        <f t="shared" si="30"/>
        <v>263</v>
      </c>
      <c r="W46" s="210">
        <f t="shared" si="30"/>
        <v>269</v>
      </c>
      <c r="X46" s="210">
        <f t="shared" si="30"/>
        <v>275</v>
      </c>
      <c r="Y46" s="210">
        <f t="shared" ref="Y46:AD46" si="31">X46+Y26+Y27+Y36</f>
        <v>270</v>
      </c>
      <c r="Z46" s="210">
        <f t="shared" si="31"/>
        <v>261</v>
      </c>
      <c r="AA46" s="210">
        <f t="shared" si="31"/>
        <v>265</v>
      </c>
      <c r="AB46" s="210">
        <f t="shared" si="31"/>
        <v>269</v>
      </c>
      <c r="AC46" s="210">
        <f t="shared" si="31"/>
        <v>273</v>
      </c>
      <c r="AD46" s="210">
        <f t="shared" si="31"/>
        <v>277</v>
      </c>
      <c r="AE46" s="97"/>
      <c r="AF46" s="55"/>
      <c r="AG46" s="93"/>
      <c r="AH46" s="93"/>
      <c r="AI46" s="55"/>
      <c r="AJ46" s="98"/>
      <c r="AK46" s="3"/>
      <c r="AL46" s="3"/>
      <c r="AM46" s="3"/>
      <c r="AN46" s="3"/>
      <c r="AO46" s="3"/>
      <c r="AP46" s="3"/>
      <c r="AQ46" s="3"/>
    </row>
    <row r="47" spans="1:43" outlineLevel="1">
      <c r="A47" s="188" t="s">
        <v>342</v>
      </c>
      <c r="B47" s="6"/>
      <c r="C47" s="6"/>
      <c r="D47" s="6"/>
      <c r="E47" s="6"/>
      <c r="F47" s="6"/>
      <c r="G47" s="6"/>
      <c r="H47" s="6"/>
      <c r="I47" s="6"/>
      <c r="J47" s="6"/>
      <c r="K47" s="6"/>
      <c r="L47" s="6"/>
      <c r="M47" s="6"/>
      <c r="N47" s="210">
        <f>+N30</f>
        <v>10</v>
      </c>
      <c r="O47" s="210">
        <f t="shared" ref="O47:V47" si="32">+N47+O30</f>
        <v>0</v>
      </c>
      <c r="P47" s="210">
        <f t="shared" si="32"/>
        <v>0</v>
      </c>
      <c r="Q47" s="210">
        <f t="shared" si="32"/>
        <v>0</v>
      </c>
      <c r="R47" s="1264">
        <f t="shared" si="32"/>
        <v>0</v>
      </c>
      <c r="S47" s="1264">
        <f t="shared" si="32"/>
        <v>0</v>
      </c>
      <c r="T47" s="1264">
        <f t="shared" si="32"/>
        <v>0</v>
      </c>
      <c r="U47" s="1264">
        <f t="shared" si="32"/>
        <v>0</v>
      </c>
      <c r="V47" s="235">
        <f t="shared" si="32"/>
        <v>0</v>
      </c>
      <c r="W47" s="235">
        <f>+V47+W30</f>
        <v>0</v>
      </c>
      <c r="X47" s="235">
        <f>+W47+X30</f>
        <v>0</v>
      </c>
      <c r="Y47" s="235">
        <v>0</v>
      </c>
      <c r="Z47" s="235">
        <v>0</v>
      </c>
      <c r="AA47" s="235"/>
      <c r="AB47" s="235"/>
      <c r="AC47" s="235"/>
      <c r="AD47" s="235"/>
      <c r="AE47" s="97"/>
      <c r="AF47" s="55"/>
      <c r="AG47" s="93"/>
      <c r="AH47" s="93"/>
      <c r="AI47" s="55"/>
      <c r="AJ47" s="98"/>
      <c r="AK47" s="3"/>
      <c r="AL47" s="3"/>
      <c r="AM47" s="3"/>
      <c r="AN47" s="3"/>
      <c r="AO47" s="3"/>
      <c r="AP47" s="3"/>
      <c r="AQ47" s="3"/>
    </row>
    <row r="48" spans="1:43">
      <c r="A48" s="188" t="s">
        <v>319</v>
      </c>
      <c r="B48" s="6"/>
      <c r="C48" s="6"/>
      <c r="D48" s="6"/>
      <c r="E48" s="6"/>
      <c r="F48" s="6"/>
      <c r="G48" s="6"/>
      <c r="H48" s="6"/>
      <c r="I48" s="6"/>
      <c r="J48" s="6"/>
      <c r="K48" s="6"/>
      <c r="L48" s="6"/>
      <c r="M48" s="6"/>
      <c r="N48" s="327">
        <v>0</v>
      </c>
      <c r="O48" s="210">
        <f t="shared" ref="O48:Y48" si="33">N48+O27+O37</f>
        <v>1</v>
      </c>
      <c r="P48" s="210">
        <f t="shared" si="33"/>
        <v>1</v>
      </c>
      <c r="Q48" s="210">
        <f t="shared" si="33"/>
        <v>4</v>
      </c>
      <c r="R48" s="1263">
        <f t="shared" si="33"/>
        <v>8</v>
      </c>
      <c r="S48" s="1263">
        <f t="shared" si="33"/>
        <v>17</v>
      </c>
      <c r="T48" s="1264">
        <f t="shared" si="33"/>
        <v>16</v>
      </c>
      <c r="U48" s="1264">
        <f t="shared" si="33"/>
        <v>17</v>
      </c>
      <c r="V48" s="235">
        <f t="shared" si="33"/>
        <v>17</v>
      </c>
      <c r="W48" s="235">
        <f>V48+W27+W37</f>
        <v>18</v>
      </c>
      <c r="X48" s="235">
        <f>W48+X27+X37</f>
        <v>19</v>
      </c>
      <c r="Y48" s="235">
        <f t="shared" si="33"/>
        <v>19</v>
      </c>
      <c r="Z48" s="235">
        <f>Y48+Z27+Z37</f>
        <v>19</v>
      </c>
      <c r="AA48" s="235">
        <f>Z48+AA27+AA37</f>
        <v>19</v>
      </c>
      <c r="AB48" s="235">
        <f>AA48+AB27+AB37</f>
        <v>19</v>
      </c>
      <c r="AC48" s="235">
        <f>AB48+AC27+AC37</f>
        <v>19</v>
      </c>
      <c r="AD48" s="235">
        <f>AC48+AD27+AD37</f>
        <v>19</v>
      </c>
      <c r="AE48" s="97"/>
      <c r="AF48" s="55"/>
      <c r="AG48" s="93"/>
      <c r="AH48" s="93"/>
      <c r="AI48" s="55"/>
      <c r="AJ48" s="98"/>
      <c r="AK48" s="3"/>
      <c r="AL48" s="3"/>
      <c r="AM48" s="3"/>
      <c r="AN48" s="3"/>
      <c r="AO48" s="3"/>
      <c r="AP48" s="3"/>
      <c r="AQ48" s="3"/>
    </row>
    <row r="49" spans="1:43">
      <c r="A49" s="188" t="s">
        <v>287</v>
      </c>
      <c r="B49" s="6"/>
      <c r="C49" s="6"/>
      <c r="D49" s="6"/>
      <c r="E49" s="6"/>
      <c r="F49" s="6"/>
      <c r="G49" s="6"/>
      <c r="H49" s="6"/>
      <c r="I49" s="6"/>
      <c r="J49" s="6"/>
      <c r="K49" s="6"/>
      <c r="L49" s="6"/>
      <c r="M49" s="6"/>
      <c r="N49" s="327"/>
      <c r="O49" s="210"/>
      <c r="P49" s="210"/>
      <c r="Q49" s="210"/>
      <c r="R49" s="1263"/>
      <c r="S49" s="1263"/>
      <c r="T49" s="1264"/>
      <c r="U49" s="1264">
        <f>U28</f>
        <v>4</v>
      </c>
      <c r="V49" s="235">
        <f t="shared" ref="V49:AD49" si="34">U49+V28</f>
        <v>19</v>
      </c>
      <c r="W49" s="235">
        <f>V49+W28+W38</f>
        <v>0</v>
      </c>
      <c r="X49" s="235">
        <f>W49+X28+X38</f>
        <v>0</v>
      </c>
      <c r="Y49" s="235">
        <f t="shared" si="34"/>
        <v>0</v>
      </c>
      <c r="Z49" s="235">
        <f t="shared" si="34"/>
        <v>0</v>
      </c>
      <c r="AA49" s="235">
        <f t="shared" si="34"/>
        <v>0</v>
      </c>
      <c r="AB49" s="235">
        <f t="shared" si="34"/>
        <v>0</v>
      </c>
      <c r="AC49" s="235">
        <f t="shared" si="34"/>
        <v>0</v>
      </c>
      <c r="AD49" s="235">
        <f t="shared" si="34"/>
        <v>0</v>
      </c>
      <c r="AE49" s="97"/>
      <c r="AF49" s="55"/>
      <c r="AG49" s="93"/>
      <c r="AH49" s="93"/>
      <c r="AI49" s="55"/>
      <c r="AJ49" s="98"/>
      <c r="AK49" s="3"/>
      <c r="AL49" s="3"/>
      <c r="AM49" s="3"/>
      <c r="AN49" s="3"/>
      <c r="AO49" s="3"/>
      <c r="AP49" s="3"/>
      <c r="AQ49" s="3"/>
    </row>
    <row r="50" spans="1:43">
      <c r="A50" s="188" t="s">
        <v>222</v>
      </c>
      <c r="B50" s="6"/>
      <c r="C50" s="6"/>
      <c r="D50" s="6"/>
      <c r="E50" s="6"/>
      <c r="F50" s="6"/>
      <c r="G50" s="6"/>
      <c r="H50" s="6"/>
      <c r="I50" s="6"/>
      <c r="J50" s="6"/>
      <c r="K50" s="6"/>
      <c r="L50" s="6"/>
      <c r="M50" s="6"/>
      <c r="N50" s="327"/>
      <c r="O50" s="210"/>
      <c r="P50" s="210"/>
      <c r="Q50" s="210"/>
      <c r="R50" s="1263"/>
      <c r="S50" s="1263"/>
      <c r="T50" s="1264"/>
      <c r="U50" s="1264">
        <v>3</v>
      </c>
      <c r="V50" s="235">
        <f t="shared" ref="V50:AD50" si="35">U50+V29</f>
        <v>8</v>
      </c>
      <c r="W50" s="235">
        <f t="shared" si="35"/>
        <v>10</v>
      </c>
      <c r="X50" s="235">
        <f t="shared" si="35"/>
        <v>10</v>
      </c>
      <c r="Y50" s="235">
        <f t="shared" si="35"/>
        <v>10</v>
      </c>
      <c r="Z50" s="235">
        <f t="shared" si="35"/>
        <v>10</v>
      </c>
      <c r="AA50" s="235">
        <f t="shared" si="35"/>
        <v>10</v>
      </c>
      <c r="AB50" s="235">
        <f t="shared" si="35"/>
        <v>10</v>
      </c>
      <c r="AC50" s="235">
        <f t="shared" si="35"/>
        <v>10</v>
      </c>
      <c r="AD50" s="235">
        <f t="shared" si="35"/>
        <v>10</v>
      </c>
      <c r="AE50" s="97"/>
      <c r="AF50" s="55"/>
      <c r="AG50" s="93"/>
      <c r="AH50" s="93"/>
      <c r="AI50" s="55"/>
      <c r="AJ50" s="98"/>
      <c r="AK50" s="3"/>
      <c r="AL50" s="3"/>
      <c r="AM50" s="3"/>
      <c r="AN50" s="3"/>
      <c r="AO50" s="3"/>
      <c r="AP50" s="3"/>
      <c r="AQ50" s="3"/>
    </row>
    <row r="51" spans="1:43">
      <c r="A51" s="7" t="s">
        <v>581</v>
      </c>
      <c r="B51" s="145">
        <f t="shared" ref="B51:O51" si="36">(+B40+B18)/2</f>
        <v>107.5</v>
      </c>
      <c r="C51" s="145">
        <f t="shared" si="36"/>
        <v>122</v>
      </c>
      <c r="D51" s="145">
        <f t="shared" si="36"/>
        <v>128</v>
      </c>
      <c r="E51" s="145">
        <f t="shared" si="36"/>
        <v>137</v>
      </c>
      <c r="F51" s="145">
        <f t="shared" si="36"/>
        <v>151.5</v>
      </c>
      <c r="G51" s="145">
        <f t="shared" si="36"/>
        <v>181</v>
      </c>
      <c r="H51" s="145">
        <f t="shared" si="36"/>
        <v>225</v>
      </c>
      <c r="I51" s="145">
        <f t="shared" si="36"/>
        <v>280.5</v>
      </c>
      <c r="J51" s="145">
        <f t="shared" si="36"/>
        <v>344.5</v>
      </c>
      <c r="K51" s="145">
        <f t="shared" si="36"/>
        <v>463</v>
      </c>
      <c r="L51" s="145">
        <f t="shared" si="36"/>
        <v>602.5</v>
      </c>
      <c r="M51" s="12">
        <f t="shared" si="36"/>
        <v>710</v>
      </c>
      <c r="N51" s="12">
        <f>(+N40+N18)/2</f>
        <v>841.5</v>
      </c>
      <c r="O51" s="12">
        <f t="shared" si="36"/>
        <v>979</v>
      </c>
      <c r="P51" s="12">
        <f t="shared" ref="P51:U51" si="37">(+P40+P18)/2</f>
        <v>1057</v>
      </c>
      <c r="Q51" s="12">
        <f t="shared" si="37"/>
        <v>1078</v>
      </c>
      <c r="R51" s="1265">
        <f t="shared" si="37"/>
        <v>1115.5</v>
      </c>
      <c r="S51" s="1265">
        <f t="shared" si="37"/>
        <v>1203.5</v>
      </c>
      <c r="T51" s="1265">
        <f t="shared" si="37"/>
        <v>1306.5</v>
      </c>
      <c r="U51" s="1265">
        <f t="shared" si="37"/>
        <v>1414.5</v>
      </c>
      <c r="V51" s="1282">
        <f t="shared" ref="V51:AA51" si="38">(+V40+V18)/2</f>
        <v>1509.5</v>
      </c>
      <c r="W51" s="12">
        <f t="shared" si="38"/>
        <v>1532.5</v>
      </c>
      <c r="X51" s="12">
        <f t="shared" si="38"/>
        <v>1509.5</v>
      </c>
      <c r="Y51" s="12">
        <f t="shared" si="38"/>
        <v>1480.5</v>
      </c>
      <c r="Z51" s="12">
        <f t="shared" si="38"/>
        <v>1440</v>
      </c>
      <c r="AA51" s="12">
        <f t="shared" si="38"/>
        <v>1417.5</v>
      </c>
      <c r="AB51" s="12">
        <f>(+AB40+AB18)/2</f>
        <v>1412.5</v>
      </c>
      <c r="AC51" s="12">
        <f>(+AC40+AC18)/2</f>
        <v>1407.5</v>
      </c>
      <c r="AD51" s="12">
        <f>(+AD40+AD18)/2</f>
        <v>1402.5</v>
      </c>
      <c r="AE51" s="99"/>
      <c r="AF51" s="55"/>
      <c r="AG51" s="94"/>
      <c r="AH51" s="94"/>
      <c r="AI51" s="55"/>
      <c r="AJ51" s="100"/>
      <c r="AK51" s="3"/>
      <c r="AL51" s="3"/>
      <c r="AM51" s="3"/>
      <c r="AN51" s="3"/>
      <c r="AO51" s="3"/>
      <c r="AP51" s="3"/>
      <c r="AQ51" s="3"/>
    </row>
    <row r="52" spans="1:43">
      <c r="A52" s="7" t="s">
        <v>582</v>
      </c>
      <c r="B52" s="10"/>
      <c r="C52" s="10">
        <f t="shared" ref="C52:M52" si="39">(C51/B51-1)</f>
        <v>0.13488372093023249</v>
      </c>
      <c r="D52" s="10">
        <f t="shared" si="39"/>
        <v>4.9180327868852514E-2</v>
      </c>
      <c r="E52" s="10">
        <f t="shared" si="39"/>
        <v>7.03125E-2</v>
      </c>
      <c r="F52" s="10">
        <f t="shared" si="39"/>
        <v>0.1058394160583942</v>
      </c>
      <c r="G52" s="10">
        <f t="shared" si="39"/>
        <v>0.19471947194719474</v>
      </c>
      <c r="H52" s="10">
        <f t="shared" si="39"/>
        <v>0.24309392265193375</v>
      </c>
      <c r="I52" s="10">
        <f t="shared" si="39"/>
        <v>0.24666666666666659</v>
      </c>
      <c r="J52" s="10">
        <f t="shared" si="39"/>
        <v>0.22816399286987532</v>
      </c>
      <c r="K52" s="10">
        <f t="shared" si="39"/>
        <v>0.34397677793904213</v>
      </c>
      <c r="L52" s="10">
        <f t="shared" si="39"/>
        <v>0.30129589632829368</v>
      </c>
      <c r="M52" s="10">
        <f t="shared" si="39"/>
        <v>0.17842323651452285</v>
      </c>
      <c r="N52" s="10">
        <f t="shared" ref="N52:W52" si="40">(N51/M51-1)</f>
        <v>0.18521126760563389</v>
      </c>
      <c r="O52" s="10">
        <f t="shared" si="40"/>
        <v>0.1633986928104576</v>
      </c>
      <c r="P52" s="10">
        <f t="shared" si="40"/>
        <v>7.9673135852911026E-2</v>
      </c>
      <c r="Q52" s="10">
        <f>(Q51/P51-1)</f>
        <v>1.9867549668874274E-2</v>
      </c>
      <c r="R52" s="1257">
        <f t="shared" si="40"/>
        <v>3.4786641929499096E-2</v>
      </c>
      <c r="S52" s="1257">
        <f t="shared" si="40"/>
        <v>7.8888390856118429E-2</v>
      </c>
      <c r="T52" s="1257">
        <f t="shared" si="40"/>
        <v>8.5583714167012825E-2</v>
      </c>
      <c r="U52" s="1257">
        <f t="shared" si="40"/>
        <v>8.2663605051664701E-2</v>
      </c>
      <c r="V52" s="208">
        <f t="shared" si="40"/>
        <v>6.7161541180629225E-2</v>
      </c>
      <c r="W52" s="10">
        <f t="shared" si="40"/>
        <v>1.5236833388539317E-2</v>
      </c>
      <c r="X52" s="10">
        <f t="shared" ref="X52:AD52" si="41">(X51/W51-1)</f>
        <v>-1.5008156606851508E-2</v>
      </c>
      <c r="Y52" s="10">
        <f t="shared" si="41"/>
        <v>-1.9211659489897337E-2</v>
      </c>
      <c r="Z52" s="10">
        <f t="shared" si="41"/>
        <v>-2.7355623100303927E-2</v>
      </c>
      <c r="AA52" s="10">
        <f t="shared" si="41"/>
        <v>-1.5625E-2</v>
      </c>
      <c r="AB52" s="10">
        <f t="shared" si="41"/>
        <v>-3.5273368606701938E-3</v>
      </c>
      <c r="AC52" s="10">
        <f t="shared" si="41"/>
        <v>-3.5398230088495852E-3</v>
      </c>
      <c r="AD52" s="10">
        <f t="shared" si="41"/>
        <v>-3.5523978685613189E-3</v>
      </c>
      <c r="AE52" s="97"/>
      <c r="AF52" s="55"/>
      <c r="AG52" s="56"/>
      <c r="AH52" s="56"/>
      <c r="AI52" s="55"/>
      <c r="AJ52" s="96"/>
      <c r="AK52" s="3"/>
      <c r="AL52" s="3"/>
      <c r="AM52" s="3"/>
      <c r="AN52" s="3"/>
      <c r="AO52" s="3"/>
      <c r="AP52" s="3"/>
      <c r="AQ52" s="3"/>
    </row>
    <row r="53" spans="1:43">
      <c r="A53" s="7"/>
      <c r="B53" s="10"/>
      <c r="C53" s="10"/>
      <c r="D53" s="10"/>
      <c r="E53" s="10"/>
      <c r="F53" s="10"/>
      <c r="G53" s="10"/>
      <c r="H53" s="10"/>
      <c r="I53" s="10"/>
      <c r="J53" s="10"/>
      <c r="K53" s="10"/>
      <c r="L53" s="3"/>
      <c r="M53" s="208"/>
      <c r="N53" s="208"/>
      <c r="O53" s="208"/>
      <c r="P53" s="208"/>
      <c r="Q53" s="10"/>
      <c r="R53" s="1257"/>
      <c r="S53" s="1257"/>
      <c r="T53" s="1257"/>
      <c r="U53" s="1257"/>
      <c r="V53" s="208"/>
      <c r="W53" s="10"/>
      <c r="X53" s="10"/>
      <c r="Y53" s="10"/>
      <c r="Z53" s="10"/>
      <c r="AA53" s="10"/>
      <c r="AB53" s="10"/>
      <c r="AC53" s="10"/>
      <c r="AD53" s="10"/>
      <c r="AE53" s="97"/>
      <c r="AF53" s="55"/>
      <c r="AG53" s="56"/>
      <c r="AH53" s="56"/>
      <c r="AI53" s="55"/>
      <c r="AJ53" s="96"/>
      <c r="AK53" s="3"/>
      <c r="AL53" s="3"/>
      <c r="AM53" s="3"/>
      <c r="AN53" s="3"/>
      <c r="AO53" s="3"/>
      <c r="AP53" s="3"/>
      <c r="AQ53" s="3"/>
    </row>
    <row r="54" spans="1:43" hidden="1" outlineLevel="1">
      <c r="A54" s="7" t="s">
        <v>372</v>
      </c>
      <c r="B54" s="150">
        <v>16</v>
      </c>
      <c r="C54" s="150">
        <v>17</v>
      </c>
      <c r="D54" s="150">
        <v>12</v>
      </c>
      <c r="E54" s="150">
        <v>10</v>
      </c>
      <c r="F54" s="150">
        <v>9</v>
      </c>
      <c r="G54" s="150">
        <v>8</v>
      </c>
      <c r="H54" s="150">
        <v>9</v>
      </c>
      <c r="I54" s="150">
        <v>11</v>
      </c>
      <c r="J54" s="150"/>
      <c r="K54" s="150"/>
      <c r="L54" s="150"/>
      <c r="M54" s="48"/>
      <c r="N54" s="48"/>
      <c r="O54" s="48"/>
      <c r="P54" s="48"/>
      <c r="Q54" s="48"/>
      <c r="R54" s="1266"/>
      <c r="S54" s="1266"/>
      <c r="T54" s="1266"/>
      <c r="U54" s="1266"/>
      <c r="V54" s="327"/>
      <c r="W54" s="48"/>
      <c r="X54" s="48"/>
      <c r="Y54" s="48"/>
      <c r="Z54" s="48"/>
      <c r="AA54" s="48"/>
      <c r="AB54" s="48"/>
      <c r="AC54" s="48"/>
      <c r="AD54" s="48"/>
      <c r="AE54" s="97"/>
      <c r="AF54" s="55"/>
      <c r="AG54" s="56"/>
      <c r="AH54" s="56"/>
      <c r="AI54" s="55"/>
      <c r="AJ54" s="96"/>
      <c r="AK54" s="3"/>
      <c r="AL54" s="3"/>
      <c r="AM54" s="3"/>
      <c r="AN54" s="3"/>
      <c r="AO54" s="3"/>
      <c r="AP54" s="3"/>
      <c r="AQ54" s="3"/>
    </row>
    <row r="55" spans="1:43" hidden="1" outlineLevel="1">
      <c r="A55" s="11" t="s">
        <v>364</v>
      </c>
      <c r="B55" s="150">
        <v>1</v>
      </c>
      <c r="C55" s="150">
        <v>0</v>
      </c>
      <c r="D55" s="150">
        <v>0</v>
      </c>
      <c r="E55" s="150">
        <v>0</v>
      </c>
      <c r="F55" s="150">
        <v>1</v>
      </c>
      <c r="G55" s="150">
        <v>1</v>
      </c>
      <c r="H55" s="150">
        <v>2</v>
      </c>
      <c r="I55" s="150">
        <v>0</v>
      </c>
      <c r="J55" s="150"/>
      <c r="K55" s="150"/>
      <c r="L55" s="150"/>
      <c r="M55" s="6"/>
      <c r="N55" s="6"/>
      <c r="O55" s="6"/>
      <c r="P55" s="6"/>
      <c r="Q55" s="6"/>
      <c r="R55" s="1263"/>
      <c r="S55" s="1263"/>
      <c r="T55" s="1263"/>
      <c r="U55" s="1263"/>
      <c r="V55" s="210"/>
      <c r="W55" s="6"/>
      <c r="X55" s="6"/>
      <c r="Y55" s="6"/>
      <c r="Z55" s="6"/>
      <c r="AA55" s="6"/>
      <c r="AB55" s="6"/>
      <c r="AC55" s="6"/>
      <c r="AD55" s="6"/>
      <c r="AE55" s="97"/>
      <c r="AF55" s="55"/>
      <c r="AG55" s="56"/>
      <c r="AH55" s="56"/>
      <c r="AI55" s="55"/>
      <c r="AJ55" s="96"/>
      <c r="AK55" s="56"/>
      <c r="AL55" s="56"/>
      <c r="AM55" s="56"/>
      <c r="AN55" s="3"/>
      <c r="AO55" s="3"/>
      <c r="AP55" s="3"/>
      <c r="AQ55" s="3"/>
    </row>
    <row r="56" spans="1:43" hidden="1" outlineLevel="1">
      <c r="A56" s="11" t="s">
        <v>373</v>
      </c>
      <c r="B56" s="150">
        <v>0</v>
      </c>
      <c r="C56" s="150">
        <v>-5</v>
      </c>
      <c r="D56" s="150">
        <v>-2</v>
      </c>
      <c r="E56" s="150">
        <v>-1</v>
      </c>
      <c r="F56" s="150">
        <v>-2</v>
      </c>
      <c r="G56" s="150">
        <v>0</v>
      </c>
      <c r="H56" s="150">
        <v>0</v>
      </c>
      <c r="I56" s="150">
        <v>0</v>
      </c>
      <c r="J56" s="150"/>
      <c r="K56" s="150"/>
      <c r="L56" s="150"/>
      <c r="M56" s="48"/>
      <c r="N56" s="48"/>
      <c r="O56" s="48"/>
      <c r="P56" s="48"/>
      <c r="Q56" s="48"/>
      <c r="R56" s="1266"/>
      <c r="S56" s="1266"/>
      <c r="T56" s="1266"/>
      <c r="U56" s="1266"/>
      <c r="V56" s="327"/>
      <c r="W56" s="48"/>
      <c r="X56" s="48"/>
      <c r="Y56" s="48"/>
      <c r="Z56" s="48"/>
      <c r="AA56" s="48"/>
      <c r="AB56" s="48"/>
      <c r="AC56" s="48"/>
      <c r="AD56" s="48"/>
      <c r="AE56" s="97"/>
      <c r="AF56" s="55"/>
      <c r="AG56" s="56"/>
      <c r="AH56" s="56"/>
      <c r="AI56" s="55"/>
      <c r="AJ56" s="96"/>
      <c r="AK56" s="3"/>
      <c r="AL56" s="3"/>
      <c r="AM56" s="3"/>
      <c r="AN56" s="3"/>
      <c r="AO56" s="3"/>
      <c r="AP56" s="3"/>
      <c r="AQ56" s="3"/>
    </row>
    <row r="57" spans="1:43" hidden="1" outlineLevel="1">
      <c r="A57" s="7" t="s">
        <v>580</v>
      </c>
      <c r="B57" s="6">
        <f t="shared" ref="B57:L57" si="42">B54+B55+B56</f>
        <v>17</v>
      </c>
      <c r="C57" s="145">
        <f t="shared" si="42"/>
        <v>12</v>
      </c>
      <c r="D57" s="145">
        <f t="shared" si="42"/>
        <v>10</v>
      </c>
      <c r="E57" s="145">
        <f t="shared" si="42"/>
        <v>9</v>
      </c>
      <c r="F57" s="145">
        <f t="shared" si="42"/>
        <v>8</v>
      </c>
      <c r="G57" s="145">
        <f t="shared" si="42"/>
        <v>9</v>
      </c>
      <c r="H57" s="145">
        <f t="shared" si="42"/>
        <v>11</v>
      </c>
      <c r="I57" s="145">
        <f t="shared" si="42"/>
        <v>11</v>
      </c>
      <c r="J57" s="145">
        <f t="shared" si="42"/>
        <v>0</v>
      </c>
      <c r="K57" s="145">
        <f t="shared" si="42"/>
        <v>0</v>
      </c>
      <c r="L57" s="145">
        <f t="shared" si="42"/>
        <v>0</v>
      </c>
      <c r="M57" s="110">
        <f t="shared" ref="M57:W57" si="43">M54+M55-M56</f>
        <v>0</v>
      </c>
      <c r="N57" s="110">
        <f t="shared" si="43"/>
        <v>0</v>
      </c>
      <c r="O57" s="110">
        <f t="shared" si="43"/>
        <v>0</v>
      </c>
      <c r="P57" s="110">
        <f t="shared" si="43"/>
        <v>0</v>
      </c>
      <c r="Q57" s="110">
        <f t="shared" si="43"/>
        <v>0</v>
      </c>
      <c r="R57" s="1258">
        <f t="shared" si="43"/>
        <v>0</v>
      </c>
      <c r="S57" s="1258">
        <f t="shared" si="43"/>
        <v>0</v>
      </c>
      <c r="T57" s="1258">
        <f t="shared" si="43"/>
        <v>0</v>
      </c>
      <c r="U57" s="1258">
        <f t="shared" si="43"/>
        <v>0</v>
      </c>
      <c r="V57" s="1281">
        <f t="shared" si="43"/>
        <v>0</v>
      </c>
      <c r="W57" s="110">
        <f t="shared" si="43"/>
        <v>0</v>
      </c>
      <c r="X57" s="110"/>
      <c r="Y57" s="110"/>
      <c r="Z57" s="110"/>
      <c r="AA57" s="110"/>
      <c r="AB57" s="110"/>
      <c r="AC57" s="110"/>
      <c r="AD57" s="110"/>
      <c r="AE57" s="97"/>
      <c r="AF57" s="55"/>
      <c r="AG57" s="93"/>
      <c r="AH57" s="93"/>
      <c r="AI57" s="55"/>
      <c r="AJ57" s="98" t="s">
        <v>576</v>
      </c>
      <c r="AK57" s="3"/>
      <c r="AL57" s="3"/>
      <c r="AM57" s="3"/>
      <c r="AN57" s="3"/>
      <c r="AO57" s="3"/>
      <c r="AP57" s="3"/>
      <c r="AQ57" s="3"/>
    </row>
    <row r="58" spans="1:43" hidden="1" outlineLevel="1">
      <c r="A58" s="7"/>
      <c r="B58" s="6"/>
      <c r="C58" s="145"/>
      <c r="D58" s="145"/>
      <c r="E58" s="145"/>
      <c r="F58" s="145"/>
      <c r="G58" s="145"/>
      <c r="H58" s="145"/>
      <c r="I58" s="145"/>
      <c r="J58" s="145"/>
      <c r="K58" s="145"/>
      <c r="L58" s="145"/>
      <c r="M58" s="110"/>
      <c r="N58" s="110"/>
      <c r="O58" s="110"/>
      <c r="P58" s="110"/>
      <c r="Q58" s="110"/>
      <c r="R58" s="1258"/>
      <c r="S58" s="1258"/>
      <c r="T58" s="1258"/>
      <c r="U58" s="1258"/>
      <c r="V58" s="1281"/>
      <c r="W58" s="110"/>
      <c r="X58" s="110"/>
      <c r="Y58" s="110"/>
      <c r="Z58" s="110"/>
      <c r="AA58" s="110"/>
      <c r="AB58" s="110"/>
      <c r="AC58" s="110"/>
      <c r="AD58" s="110"/>
      <c r="AE58" s="97"/>
      <c r="AF58" s="55"/>
      <c r="AG58" s="93"/>
      <c r="AH58" s="93"/>
      <c r="AI58" s="55"/>
      <c r="AJ58" s="98"/>
      <c r="AK58" s="3"/>
      <c r="AL58" s="3"/>
      <c r="AM58" s="3"/>
      <c r="AN58" s="3"/>
      <c r="AO58" s="3"/>
      <c r="AP58" s="3"/>
      <c r="AQ58" s="3"/>
    </row>
    <row r="59" spans="1:43" collapsed="1">
      <c r="A59" s="13" t="s">
        <v>583</v>
      </c>
      <c r="B59" s="15">
        <f t="shared" ref="B59:Y59" si="44">B15/B51</f>
        <v>0.55136230697674415</v>
      </c>
      <c r="C59" s="15">
        <f t="shared" si="44"/>
        <v>0.49461629508196725</v>
      </c>
      <c r="D59" s="15">
        <f t="shared" si="44"/>
        <v>0.50056722656249997</v>
      </c>
      <c r="E59" s="15">
        <f t="shared" si="44"/>
        <v>0.54992081751824817</v>
      </c>
      <c r="F59" s="15">
        <f t="shared" si="44"/>
        <v>0.7045649702970298</v>
      </c>
      <c r="G59" s="15">
        <f t="shared" si="44"/>
        <v>0.85636619337016584</v>
      </c>
      <c r="H59" s="15">
        <f t="shared" si="44"/>
        <v>1.1530928711111108</v>
      </c>
      <c r="I59" s="15">
        <f t="shared" si="44"/>
        <v>1.3478978253119429</v>
      </c>
      <c r="J59" s="15">
        <f t="shared" si="44"/>
        <v>1.541678214804064</v>
      </c>
      <c r="K59" s="15">
        <f t="shared" si="44"/>
        <v>1.659825211663067</v>
      </c>
      <c r="L59" s="15">
        <f t="shared" si="44"/>
        <v>1.7715037344398339</v>
      </c>
      <c r="M59" s="15">
        <f t="shared" si="44"/>
        <v>1.9782746478873243</v>
      </c>
      <c r="N59" s="15">
        <f t="shared" si="44"/>
        <v>1.9500023767082593</v>
      </c>
      <c r="O59" s="15">
        <f t="shared" si="44"/>
        <v>1.7511001021450459</v>
      </c>
      <c r="P59" s="15">
        <f t="shared" si="44"/>
        <v>1.4970709555345316</v>
      </c>
      <c r="Q59" s="15">
        <f t="shared" si="44"/>
        <v>1.5891938775510204</v>
      </c>
      <c r="R59" s="1267">
        <f t="shared" si="44"/>
        <v>1.7077400268937695</v>
      </c>
      <c r="S59" s="1267">
        <f t="shared" si="44"/>
        <v>1.8249771499792273</v>
      </c>
      <c r="T59" s="1267">
        <f t="shared" si="44"/>
        <v>1.9755507079984691</v>
      </c>
      <c r="U59" s="1267">
        <f t="shared" si="44"/>
        <v>1.8282340049487451</v>
      </c>
      <c r="V59" s="1283">
        <f t="shared" si="44"/>
        <v>1.7160211990725407</v>
      </c>
      <c r="W59" s="15">
        <f t="shared" si="44"/>
        <v>1.6793383360522025</v>
      </c>
      <c r="X59" s="15">
        <f t="shared" si="44"/>
        <v>1.6405498509440211</v>
      </c>
      <c r="Y59" s="15">
        <f t="shared" si="44"/>
        <v>1.541627152988855</v>
      </c>
      <c r="Z59" s="15">
        <f>Z15/Z51</f>
        <v>1.5175019276428363</v>
      </c>
      <c r="AA59" s="15">
        <f>AA15/AA51</f>
        <v>1.5140257646334172</v>
      </c>
      <c r="AB59" s="15">
        <f>AB15/AB51</f>
        <v>1.516472787306407</v>
      </c>
      <c r="AC59" s="15">
        <f>AC15/AC51</f>
        <v>1.5202315460553866</v>
      </c>
      <c r="AD59" s="15">
        <f>AD15/AD51</f>
        <v>1.5253578978741991</v>
      </c>
      <c r="AE59" s="97"/>
      <c r="AF59" s="55"/>
      <c r="AG59" s="56"/>
      <c r="AH59" s="56"/>
      <c r="AI59" s="55"/>
      <c r="AJ59" s="96"/>
      <c r="AK59" s="3"/>
      <c r="AL59" s="3"/>
      <c r="AM59" s="3"/>
      <c r="AN59" s="3"/>
      <c r="AO59" s="3"/>
      <c r="AP59" s="3"/>
      <c r="AQ59" s="3"/>
    </row>
    <row r="60" spans="1:43">
      <c r="A60" s="13" t="s">
        <v>577</v>
      </c>
      <c r="B60" s="16"/>
      <c r="C60" s="16">
        <f t="shared" ref="C60:M60" si="45">C59/B59-1</f>
        <v>-0.10291964317606206</v>
      </c>
      <c r="D60" s="16">
        <f t="shared" si="45"/>
        <v>1.2031410084349492E-2</v>
      </c>
      <c r="E60" s="16">
        <f t="shared" si="45"/>
        <v>9.8595330131118653E-2</v>
      </c>
      <c r="F60" s="16">
        <f t="shared" si="45"/>
        <v>0.28121167239436251</v>
      </c>
      <c r="G60" s="16">
        <f t="shared" si="45"/>
        <v>0.2154538324679125</v>
      </c>
      <c r="H60" s="16">
        <f t="shared" si="45"/>
        <v>0.34649508590851652</v>
      </c>
      <c r="I60" s="16">
        <f t="shared" si="45"/>
        <v>0.16894125276580674</v>
      </c>
      <c r="J60" s="16">
        <f t="shared" si="45"/>
        <v>0.14376489512272528</v>
      </c>
      <c r="K60" s="16">
        <f t="shared" si="45"/>
        <v>7.6635315803576187E-2</v>
      </c>
      <c r="L60" s="16">
        <f t="shared" si="45"/>
        <v>6.7283303080371004E-2</v>
      </c>
      <c r="M60" s="16">
        <f t="shared" si="45"/>
        <v>0.11672056311688972</v>
      </c>
      <c r="N60" s="16">
        <f t="shared" ref="N60:W60" si="46">N59/M59-1</f>
        <v>-1.4291378201332194E-2</v>
      </c>
      <c r="O60" s="16">
        <f t="shared" si="46"/>
        <v>-0.10200104212127903</v>
      </c>
      <c r="P60" s="16">
        <f t="shared" si="46"/>
        <v>-0.14506831808149401</v>
      </c>
      <c r="Q60" s="16">
        <f>Q59/P59-1</f>
        <v>6.1535441373649524E-2</v>
      </c>
      <c r="R60" s="1268">
        <f t="shared" si="46"/>
        <v>7.4595146015432157E-2</v>
      </c>
      <c r="S60" s="1268">
        <f t="shared" si="46"/>
        <v>6.8650451028369863E-2</v>
      </c>
      <c r="T60" s="1268">
        <f t="shared" si="46"/>
        <v>8.2507092223568668E-2</v>
      </c>
      <c r="U60" s="1268">
        <f t="shared" si="46"/>
        <v>-7.4569942676378065E-2</v>
      </c>
      <c r="V60" s="18">
        <f t="shared" si="46"/>
        <v>-6.1377704151909351E-2</v>
      </c>
      <c r="W60" s="16">
        <f t="shared" si="46"/>
        <v>-2.1376695719239502E-2</v>
      </c>
      <c r="X60" s="16">
        <f t="shared" ref="X60:AD60" si="47">X59/W59-1</f>
        <v>-2.3097480880098109E-2</v>
      </c>
      <c r="Y60" s="16">
        <f t="shared" si="47"/>
        <v>-6.029850168725015E-2</v>
      </c>
      <c r="Z60" s="16">
        <f t="shared" si="47"/>
        <v>-1.5649195915656722E-2</v>
      </c>
      <c r="AA60" s="16">
        <f t="shared" si="47"/>
        <v>-2.290714065067867E-3</v>
      </c>
      <c r="AB60" s="16">
        <f t="shared" si="47"/>
        <v>1.6162358198588134E-3</v>
      </c>
      <c r="AC60" s="16">
        <f t="shared" si="47"/>
        <v>2.478619320070985E-3</v>
      </c>
      <c r="AD60" s="16">
        <f t="shared" si="47"/>
        <v>3.3720862010224728E-3</v>
      </c>
      <c r="AE60" s="97"/>
      <c r="AF60" s="55"/>
      <c r="AG60" s="56"/>
      <c r="AH60" s="56"/>
      <c r="AI60" s="55"/>
      <c r="AJ60" s="96"/>
      <c r="AK60" s="3"/>
      <c r="AL60" s="3"/>
      <c r="AM60" s="3"/>
      <c r="AN60" s="3"/>
      <c r="AO60" s="3"/>
      <c r="AP60" s="3"/>
      <c r="AQ60" s="3"/>
    </row>
    <row r="61" spans="1:43">
      <c r="A61" s="17"/>
      <c r="B61" s="3"/>
      <c r="C61" s="3"/>
      <c r="D61" s="3"/>
      <c r="E61" s="3"/>
      <c r="F61" s="3"/>
      <c r="G61" s="3"/>
      <c r="H61" s="3"/>
      <c r="I61" s="22"/>
      <c r="J61" s="22"/>
      <c r="K61" s="22"/>
      <c r="L61" s="22"/>
      <c r="M61" s="22"/>
      <c r="N61" s="22"/>
      <c r="O61" s="22"/>
      <c r="P61" s="3"/>
      <c r="Q61" s="3"/>
      <c r="R61" s="1248"/>
      <c r="S61" s="1248"/>
      <c r="T61" s="1248"/>
      <c r="U61" s="1248"/>
      <c r="V61" s="17"/>
      <c r="W61" s="3"/>
      <c r="X61" s="3"/>
      <c r="Y61" s="3"/>
      <c r="Z61" s="3"/>
      <c r="AA61" s="3"/>
      <c r="AB61" s="3"/>
      <c r="AC61" s="3"/>
      <c r="AD61" s="3"/>
      <c r="AE61" s="97"/>
      <c r="AF61" s="55"/>
      <c r="AG61" s="56"/>
      <c r="AH61" s="56"/>
      <c r="AI61" s="55"/>
      <c r="AJ61" s="96"/>
      <c r="AK61" s="3"/>
      <c r="AL61" s="3"/>
      <c r="AM61" s="3"/>
      <c r="AN61" s="3"/>
      <c r="AO61" s="3"/>
      <c r="AP61" s="3"/>
      <c r="AQ61" s="3"/>
    </row>
    <row r="62" spans="1:43">
      <c r="A62" s="13" t="s">
        <v>584</v>
      </c>
      <c r="B62" s="14">
        <f t="shared" ref="B62:G62" si="48">+B15/B71</f>
        <v>0.15499855648535563</v>
      </c>
      <c r="C62" s="14">
        <f t="shared" si="48"/>
        <v>0.18263676755447941</v>
      </c>
      <c r="D62" s="14">
        <f t="shared" si="48"/>
        <v>0.20224938446969695</v>
      </c>
      <c r="E62" s="14">
        <f t="shared" si="48"/>
        <v>0.20974151447661468</v>
      </c>
      <c r="F62" s="14">
        <f t="shared" si="48"/>
        <v>0.23245120426829269</v>
      </c>
      <c r="G62" s="14">
        <f t="shared" si="48"/>
        <v>0.28704126111111111</v>
      </c>
      <c r="H62" s="14">
        <f t="shared" ref="H62:M62" si="49">+(H65+G65)/2</f>
        <v>0.41425000000000001</v>
      </c>
      <c r="I62" s="14">
        <f t="shared" si="49"/>
        <v>0.57462499999999994</v>
      </c>
      <c r="J62" s="14">
        <f t="shared" si="49"/>
        <v>0.76687499999999997</v>
      </c>
      <c r="K62" s="14">
        <f t="shared" si="49"/>
        <v>1.0574999999999999</v>
      </c>
      <c r="L62" s="14">
        <f t="shared" si="49"/>
        <v>1.391875</v>
      </c>
      <c r="M62" s="14">
        <f t="shared" si="49"/>
        <v>1.6981249999999999</v>
      </c>
      <c r="N62" s="14">
        <f t="shared" ref="N62:W62" si="50">+(N65+M65)/2</f>
        <v>2.1524999999999999</v>
      </c>
      <c r="O62" s="14">
        <f t="shared" si="50"/>
        <v>2.7225000000000001</v>
      </c>
      <c r="P62" s="14">
        <f t="shared" si="50"/>
        <v>3.1235581249999997</v>
      </c>
      <c r="Q62" s="14">
        <f>+(Q65+P65)/2</f>
        <v>3.2591831249999998</v>
      </c>
      <c r="R62" s="1269">
        <f t="shared" si="50"/>
        <v>3.3774518750000002</v>
      </c>
      <c r="S62" s="1269">
        <f t="shared" si="50"/>
        <v>3.6320693749999995</v>
      </c>
      <c r="T62" s="1269">
        <f t="shared" si="50"/>
        <v>3.9361443749999996</v>
      </c>
      <c r="U62" s="1269">
        <f t="shared" si="50"/>
        <v>4.2613893750000003</v>
      </c>
      <c r="V62" s="111">
        <f t="shared" si="50"/>
        <v>4.5326775000000001</v>
      </c>
      <c r="W62" s="14">
        <f t="shared" si="50"/>
        <v>4.5987156249999996</v>
      </c>
      <c r="X62" s="14">
        <f t="shared" ref="X62:AD62" si="51">+(X65+W65)/2</f>
        <v>4.5400031250000001</v>
      </c>
      <c r="Y62" s="14">
        <f t="shared" si="51"/>
        <v>4.4524925</v>
      </c>
      <c r="Z62" s="14">
        <f t="shared" si="51"/>
        <v>4.3284675000000004</v>
      </c>
      <c r="AA62" s="14">
        <f t="shared" si="51"/>
        <v>4.2550425000000009</v>
      </c>
      <c r="AB62" s="14">
        <f t="shared" si="51"/>
        <v>4.2323175000000015</v>
      </c>
      <c r="AC62" s="14">
        <f t="shared" si="51"/>
        <v>4.2095925000000021</v>
      </c>
      <c r="AD62" s="14">
        <f t="shared" si="51"/>
        <v>4.1868675000000026</v>
      </c>
      <c r="AE62" s="97"/>
      <c r="AF62" s="55">
        <f>((X62/S62)^(1/5)-1)*100</f>
        <v>4.563570202274736</v>
      </c>
      <c r="AG62" s="93" t="s">
        <v>576</v>
      </c>
      <c r="AH62" s="93"/>
      <c r="AI62" s="55">
        <f>((AD62/Y62)^(1/5)-1)*100</f>
        <v>-1.2226878934425645</v>
      </c>
      <c r="AJ62" s="98" t="s">
        <v>576</v>
      </c>
      <c r="AK62" s="3"/>
      <c r="AL62" s="3"/>
      <c r="AM62" s="3"/>
      <c r="AN62" s="3"/>
      <c r="AO62" s="3"/>
      <c r="AP62" s="3"/>
      <c r="AQ62" s="3"/>
    </row>
    <row r="63" spans="1:43">
      <c r="A63" s="248" t="s">
        <v>684</v>
      </c>
      <c r="B63" s="10"/>
      <c r="C63" s="10">
        <f t="shared" ref="C63:L63" si="52">C62/B62-1</f>
        <v>0.1783126997814013</v>
      </c>
      <c r="D63" s="10">
        <f t="shared" si="52"/>
        <v>0.10738591784026852</v>
      </c>
      <c r="E63" s="10">
        <f t="shared" si="52"/>
        <v>3.7044018831317027E-2</v>
      </c>
      <c r="F63" s="10">
        <f t="shared" si="52"/>
        <v>0.10827465343876908</v>
      </c>
      <c r="G63" s="10">
        <f t="shared" si="52"/>
        <v>0.23484523134503177</v>
      </c>
      <c r="H63" s="10">
        <f t="shared" si="52"/>
        <v>0.4431723104771601</v>
      </c>
      <c r="I63" s="10">
        <f t="shared" si="52"/>
        <v>0.38714544357272151</v>
      </c>
      <c r="J63" s="10">
        <f t="shared" si="52"/>
        <v>0.33456602131825108</v>
      </c>
      <c r="K63" s="10">
        <f t="shared" si="52"/>
        <v>0.37897310513447424</v>
      </c>
      <c r="L63" s="10">
        <f t="shared" si="52"/>
        <v>0.31619385342789608</v>
      </c>
      <c r="M63" s="10">
        <f t="shared" ref="M63:W63" si="53">M62/L62-1</f>
        <v>0.22002694207453977</v>
      </c>
      <c r="N63" s="10">
        <f t="shared" si="53"/>
        <v>0.26757453073242554</v>
      </c>
      <c r="O63" s="10">
        <f t="shared" si="53"/>
        <v>0.26480836236933802</v>
      </c>
      <c r="P63" s="10">
        <f t="shared" si="53"/>
        <v>0.14731244260789689</v>
      </c>
      <c r="Q63" s="10">
        <f>Q62/P62-1</f>
        <v>4.3420034003689434E-2</v>
      </c>
      <c r="R63" s="1257">
        <f t="shared" si="53"/>
        <v>3.6287850502417118E-2</v>
      </c>
      <c r="S63" s="1257">
        <f t="shared" si="53"/>
        <v>7.5387454632495521E-2</v>
      </c>
      <c r="T63" s="1257">
        <f t="shared" si="53"/>
        <v>8.3719491178496641E-2</v>
      </c>
      <c r="U63" s="1257">
        <f t="shared" si="53"/>
        <v>8.263035321208223E-2</v>
      </c>
      <c r="V63" s="208">
        <f t="shared" si="53"/>
        <v>6.3661895482151287E-2</v>
      </c>
      <c r="W63" s="10">
        <f t="shared" si="53"/>
        <v>1.4569341189616836E-2</v>
      </c>
      <c r="X63" s="10">
        <f t="shared" ref="X63:AD63" si="54">X62/W62-1</f>
        <v>-1.2767151697926415E-2</v>
      </c>
      <c r="Y63" s="10">
        <f t="shared" si="54"/>
        <v>-1.9275454793877489E-2</v>
      </c>
      <c r="Z63" s="10">
        <f t="shared" si="54"/>
        <v>-2.7855184483746909E-2</v>
      </c>
      <c r="AA63" s="10">
        <f t="shared" si="54"/>
        <v>-1.696327857376756E-2</v>
      </c>
      <c r="AB63" s="10">
        <f t="shared" si="54"/>
        <v>-5.3407222137027421E-3</v>
      </c>
      <c r="AC63" s="10">
        <f t="shared" si="54"/>
        <v>-5.3693986805100069E-3</v>
      </c>
      <c r="AD63" s="10">
        <f t="shared" si="54"/>
        <v>-5.3983847605200141E-3</v>
      </c>
      <c r="AE63" s="97"/>
      <c r="AF63" s="55"/>
      <c r="AG63" s="56"/>
      <c r="AH63" s="56"/>
      <c r="AI63" s="55"/>
      <c r="AJ63" s="96"/>
      <c r="AK63" s="3"/>
      <c r="AL63" s="3"/>
      <c r="AM63" s="3"/>
      <c r="AN63" s="3"/>
      <c r="AO63" s="3"/>
      <c r="AP63" s="3"/>
      <c r="AQ63" s="3"/>
    </row>
    <row r="64" spans="1:43">
      <c r="A64" s="13"/>
      <c r="B64" s="10"/>
      <c r="C64" s="10"/>
      <c r="D64" s="10"/>
      <c r="E64" s="10"/>
      <c r="F64" s="10"/>
      <c r="G64" s="10"/>
      <c r="H64" s="10"/>
      <c r="I64" s="10"/>
      <c r="J64" s="10"/>
      <c r="K64" s="10"/>
      <c r="L64" s="10"/>
      <c r="M64" s="10"/>
      <c r="N64" s="10"/>
      <c r="O64" s="10"/>
      <c r="P64" s="10"/>
      <c r="Q64" s="10"/>
      <c r="R64" s="1257"/>
      <c r="S64" s="1257"/>
      <c r="T64" s="1257"/>
      <c r="U64" s="1257"/>
      <c r="V64" s="208"/>
      <c r="W64" s="10"/>
      <c r="X64" s="10"/>
      <c r="Y64" s="10"/>
      <c r="Z64" s="10"/>
      <c r="AA64" s="10"/>
      <c r="AB64" s="10"/>
      <c r="AC64" s="10"/>
      <c r="AD64" s="10"/>
      <c r="AE64" s="97"/>
      <c r="AF64" s="55"/>
      <c r="AG64" s="56"/>
      <c r="AH64" s="56"/>
      <c r="AI64" s="55"/>
      <c r="AJ64" s="96"/>
      <c r="AK64" s="3"/>
      <c r="AL64" s="3"/>
      <c r="AM64" s="3"/>
      <c r="AN64" s="3"/>
      <c r="AO64" s="3"/>
      <c r="AP64" s="3"/>
      <c r="AQ64" s="3"/>
    </row>
    <row r="65" spans="1:43">
      <c r="A65" s="13" t="s">
        <v>585</v>
      </c>
      <c r="B65" s="50">
        <f>115*0.001563+6*0.002169</f>
        <v>0.19275899999999999</v>
      </c>
      <c r="C65" s="50">
        <f>114*0.001563+9*0.002169</f>
        <v>0.19770299999999999</v>
      </c>
      <c r="D65" s="50">
        <f>126*0.001563+7*0.002169</f>
        <v>0.212121</v>
      </c>
      <c r="E65" s="50">
        <f>134*0.001563+7*0.002169</f>
        <v>0.22462499999999999</v>
      </c>
      <c r="F65" s="50">
        <f>0.2059/0.8</f>
        <v>0.25737499999999996</v>
      </c>
      <c r="G65" s="50">
        <f>0.2784/0.8</f>
        <v>0.34799999999999998</v>
      </c>
      <c r="H65" s="50">
        <f>0.3844/0.8</f>
        <v>0.48049999999999998</v>
      </c>
      <c r="I65" s="50">
        <f>0.535/0.8</f>
        <v>0.66874999999999996</v>
      </c>
      <c r="J65" s="50">
        <f>0.692/0.8</f>
        <v>0.86499999999999988</v>
      </c>
      <c r="K65" s="50">
        <f>1/0.8</f>
        <v>1.25</v>
      </c>
      <c r="L65" s="50">
        <f>1.227/0.8</f>
        <v>1.5337499999999999</v>
      </c>
      <c r="M65" s="50">
        <f>1.49/0.8</f>
        <v>1.8624999999999998</v>
      </c>
      <c r="N65" s="50">
        <f>1.954/0.8</f>
        <v>2.4424999999999999</v>
      </c>
      <c r="O65" s="50">
        <f>turn!AB105</f>
        <v>3.0024999999999999</v>
      </c>
      <c r="P65" s="50">
        <f>2.595693/0.8</f>
        <v>3.2446162499999995</v>
      </c>
      <c r="Q65" s="50">
        <f>(1.732+0.718+0.169)/0.8</f>
        <v>3.2737500000000002</v>
      </c>
      <c r="R65" s="1270">
        <f>2.784923/0.8</f>
        <v>3.4811537499999998</v>
      </c>
      <c r="S65" s="1270">
        <f>3.026388/0.8</f>
        <v>3.7829849999999996</v>
      </c>
      <c r="T65" s="1270">
        <f>3.271443/0.8</f>
        <v>4.08930375</v>
      </c>
      <c r="U65" s="1270">
        <f>3.54678/0.8</f>
        <v>4.4334749999999996</v>
      </c>
      <c r="V65" s="50">
        <f>3.705504/0.8</f>
        <v>4.6318799999999998</v>
      </c>
      <c r="W65" s="1198">
        <f>3.652441/0.8</f>
        <v>4.5655512499999995</v>
      </c>
      <c r="X65" s="1198">
        <f>3.611564/0.8</f>
        <v>4.5144549999999999</v>
      </c>
      <c r="Y65" s="111">
        <f t="shared" ref="Y65:AD65" si="55">+(X65+((Y20+Y32)*Y78)/1000000)+(Y21*Y83)/1000000+((Y24+Y34)*Y80/1000000)+(Y25*Y83)/1000000+((Y26+Y36)*Y81/1000000)+((Y27+Y37)*Y83)/1000000+(Y29*Y80)/1000000</f>
        <v>4.39053</v>
      </c>
      <c r="Z65" s="111">
        <f t="shared" si="55"/>
        <v>4.2664050000000007</v>
      </c>
      <c r="AA65" s="111">
        <f t="shared" si="55"/>
        <v>4.2436800000000012</v>
      </c>
      <c r="AB65" s="111">
        <f t="shared" si="55"/>
        <v>4.2209550000000018</v>
      </c>
      <c r="AC65" s="111">
        <f t="shared" si="55"/>
        <v>4.1982300000000023</v>
      </c>
      <c r="AD65" s="111">
        <f t="shared" si="55"/>
        <v>4.1755050000000029</v>
      </c>
      <c r="AE65" s="97"/>
      <c r="AF65" s="55">
        <f>((X65/S65)^(1/5)-1)*100</f>
        <v>3.5986608980954626</v>
      </c>
      <c r="AG65" s="93" t="s">
        <v>576</v>
      </c>
      <c r="AH65" s="93"/>
      <c r="AI65" s="55">
        <f>((AD65/Y65)^(1/5)-1)*100</f>
        <v>-0.99926661300545616</v>
      </c>
      <c r="AJ65" s="98" t="s">
        <v>576</v>
      </c>
      <c r="AK65" s="55"/>
      <c r="AL65" s="3"/>
      <c r="AM65" s="3"/>
      <c r="AN65" s="3"/>
      <c r="AO65" s="3"/>
      <c r="AP65" s="3"/>
      <c r="AQ65" s="3"/>
    </row>
    <row r="66" spans="1:43">
      <c r="A66" s="13" t="s">
        <v>577</v>
      </c>
      <c r="B66" s="10"/>
      <c r="C66" s="10">
        <f t="shared" ref="C66:M66" si="56">C65/B65-1</f>
        <v>2.5648607847104543E-2</v>
      </c>
      <c r="D66" s="10">
        <f>D65/C65-1</f>
        <v>7.2927573177948846E-2</v>
      </c>
      <c r="E66" s="10">
        <f>E65/D65-1</f>
        <v>5.8947487518915986E-2</v>
      </c>
      <c r="F66" s="10">
        <f t="shared" si="56"/>
        <v>0.14579855314412904</v>
      </c>
      <c r="G66" s="10">
        <f t="shared" si="56"/>
        <v>0.35211267605633823</v>
      </c>
      <c r="H66" s="10">
        <f t="shared" si="56"/>
        <v>0.38074712643678166</v>
      </c>
      <c r="I66" s="10">
        <f t="shared" si="56"/>
        <v>0.39177939646201865</v>
      </c>
      <c r="J66" s="10">
        <f t="shared" si="56"/>
        <v>0.29345794392523361</v>
      </c>
      <c r="K66" s="10">
        <f t="shared" si="56"/>
        <v>0.44508670520231242</v>
      </c>
      <c r="L66" s="10">
        <f t="shared" si="56"/>
        <v>0.22699999999999987</v>
      </c>
      <c r="M66" s="10">
        <f t="shared" si="56"/>
        <v>0.21434392828035853</v>
      </c>
      <c r="N66" s="10">
        <f t="shared" ref="N66:V66" si="57">N65/M65-1</f>
        <v>0.31140939597315453</v>
      </c>
      <c r="O66" s="208">
        <f t="shared" si="57"/>
        <v>0.22927328556806548</v>
      </c>
      <c r="P66" s="208">
        <f t="shared" si="57"/>
        <v>8.0638218151540153E-2</v>
      </c>
      <c r="Q66" s="208">
        <f>Q65/P65-1</f>
        <v>8.9791050020169294E-3</v>
      </c>
      <c r="R66" s="1257">
        <f t="shared" si="57"/>
        <v>6.3353570064910159E-2</v>
      </c>
      <c r="S66" s="1257">
        <f t="shared" si="57"/>
        <v>8.6704372077791581E-2</v>
      </c>
      <c r="T66" s="1257">
        <f t="shared" si="57"/>
        <v>8.0972763571624196E-2</v>
      </c>
      <c r="U66" s="1257">
        <f t="shared" si="57"/>
        <v>8.4163777268929874E-2</v>
      </c>
      <c r="V66" s="208">
        <f t="shared" si="57"/>
        <v>4.4751577487185612E-2</v>
      </c>
      <c r="W66" s="208">
        <f t="shared" ref="W66:AD66" si="58">W65/V65-1</f>
        <v>-1.4320049310431293E-2</v>
      </c>
      <c r="X66" s="208">
        <f t="shared" si="58"/>
        <v>-1.1191693445561368E-2</v>
      </c>
      <c r="Y66" s="208">
        <f t="shared" si="58"/>
        <v>-2.7450711104662684E-2</v>
      </c>
      <c r="Z66" s="208">
        <f t="shared" si="58"/>
        <v>-2.8271074334988988E-2</v>
      </c>
      <c r="AA66" s="208">
        <f t="shared" si="58"/>
        <v>-5.3264985391681119E-3</v>
      </c>
      <c r="AB66" s="208">
        <f t="shared" si="58"/>
        <v>-5.355022056328318E-3</v>
      </c>
      <c r="AC66" s="208">
        <f t="shared" si="58"/>
        <v>-5.3838527063186925E-3</v>
      </c>
      <c r="AD66" s="208">
        <f t="shared" si="58"/>
        <v>-5.4129954766650723E-3</v>
      </c>
      <c r="AE66" s="97"/>
      <c r="AF66" s="55"/>
      <c r="AG66" s="93"/>
      <c r="AH66" s="93"/>
      <c r="AI66" s="55"/>
      <c r="AJ66" s="96"/>
      <c r="AK66" s="3"/>
      <c r="AL66" s="3"/>
      <c r="AM66" s="3"/>
      <c r="AN66" s="3"/>
      <c r="AO66" s="3"/>
      <c r="AP66" s="3"/>
      <c r="AQ66" s="3"/>
    </row>
    <row r="67" spans="1:43">
      <c r="A67" s="17"/>
      <c r="B67" s="3"/>
      <c r="C67" s="3"/>
      <c r="D67" s="3"/>
      <c r="E67" s="3"/>
      <c r="F67" s="3"/>
      <c r="G67" s="3"/>
      <c r="H67" s="10"/>
      <c r="I67" s="3"/>
      <c r="J67" s="3"/>
      <c r="K67" s="3"/>
      <c r="L67" s="3"/>
      <c r="M67" s="3"/>
      <c r="N67" s="3"/>
      <c r="O67" s="3"/>
      <c r="P67" s="3"/>
      <c r="Q67" s="3"/>
      <c r="R67" s="1248"/>
      <c r="S67" s="1248"/>
      <c r="T67" s="1248"/>
      <c r="U67" s="1248"/>
      <c r="V67" s="17"/>
      <c r="W67" s="3"/>
      <c r="X67" s="3"/>
      <c r="Y67" s="3"/>
      <c r="Z67" s="3"/>
      <c r="AA67" s="3"/>
      <c r="AB67" s="3"/>
      <c r="AC67" s="3"/>
      <c r="AD67" s="3"/>
      <c r="AE67" s="97"/>
      <c r="AF67" s="55"/>
      <c r="AG67" s="56"/>
      <c r="AH67" s="56"/>
      <c r="AI67" s="55"/>
      <c r="AJ67" s="96"/>
      <c r="AK67" s="3"/>
      <c r="AL67" s="3"/>
      <c r="AM67" s="3"/>
      <c r="AN67" s="3"/>
      <c r="AO67" s="3"/>
      <c r="AP67" s="3"/>
      <c r="AQ67" s="3"/>
    </row>
    <row r="68" spans="1:43">
      <c r="A68" s="13" t="s">
        <v>587</v>
      </c>
      <c r="B68" s="12">
        <f>+B65/B40*1000000</f>
        <v>1593.0495867768593</v>
      </c>
      <c r="C68" s="12">
        <f>+C65/C40*1000000</f>
        <v>1607.3414634146341</v>
      </c>
      <c r="D68" s="12">
        <f>+D65/D40*1000000</f>
        <v>1594.8947368421052</v>
      </c>
      <c r="E68" s="12">
        <f>+E65/E40*1000000</f>
        <v>1593.0851063829787</v>
      </c>
      <c r="F68" s="12">
        <f t="shared" ref="F68:V68" si="59">F65/F40*1000000</f>
        <v>1588.7345679012344</v>
      </c>
      <c r="G68" s="12">
        <f t="shared" si="59"/>
        <v>1739.9999999999998</v>
      </c>
      <c r="H68" s="12">
        <f t="shared" si="59"/>
        <v>1921.9999999999998</v>
      </c>
      <c r="I68" s="12">
        <f t="shared" si="59"/>
        <v>2150.32154340836</v>
      </c>
      <c r="J68" s="12">
        <f t="shared" si="59"/>
        <v>2288.3597883597877</v>
      </c>
      <c r="K68" s="12">
        <f t="shared" si="59"/>
        <v>2281.0218978102189</v>
      </c>
      <c r="L68" s="12">
        <f t="shared" si="59"/>
        <v>2334.4748858447488</v>
      </c>
      <c r="M68" s="12">
        <f t="shared" si="59"/>
        <v>2441.0222804718219</v>
      </c>
      <c r="N68" s="12">
        <f t="shared" si="59"/>
        <v>2654.891304347826</v>
      </c>
      <c r="O68" s="12">
        <f t="shared" si="59"/>
        <v>2892.5818882466283</v>
      </c>
      <c r="P68" s="12">
        <f t="shared" si="59"/>
        <v>3015.4426115241631</v>
      </c>
      <c r="Q68" s="12">
        <f t="shared" si="59"/>
        <v>3031.25</v>
      </c>
      <c r="R68" s="1265">
        <f t="shared" si="59"/>
        <v>3024.4602519548216</v>
      </c>
      <c r="S68" s="1265">
        <f t="shared" si="59"/>
        <v>3011.9307324840761</v>
      </c>
      <c r="T68" s="1265">
        <f t="shared" si="59"/>
        <v>3013.4883935151065</v>
      </c>
      <c r="U68" s="1265">
        <f>U65/U40*1000000</f>
        <v>3011.8716032608695</v>
      </c>
      <c r="V68" s="1282">
        <f t="shared" si="59"/>
        <v>2994.1047188106008</v>
      </c>
      <c r="W68" s="12">
        <f t="shared" ref="W68:AB68" si="60">W65/W40*1000000</f>
        <v>3007.609519104084</v>
      </c>
      <c r="X68" s="12">
        <f t="shared" si="60"/>
        <v>3007.6315789473683</v>
      </c>
      <c r="Y68" s="12">
        <f t="shared" si="60"/>
        <v>3007.2123287671234</v>
      </c>
      <c r="Z68" s="12">
        <f t="shared" si="60"/>
        <v>3004.5105633802823</v>
      </c>
      <c r="AA68" s="12">
        <f t="shared" si="60"/>
        <v>2999.0671378091884</v>
      </c>
      <c r="AB68" s="12">
        <f t="shared" si="60"/>
        <v>2993.58510638298</v>
      </c>
      <c r="AC68" s="12">
        <f>AC65/AC40*1000000</f>
        <v>2988.0640569395032</v>
      </c>
      <c r="AD68" s="12">
        <f>AD65/AD40*1000000</f>
        <v>2982.5035714285732</v>
      </c>
      <c r="AE68" s="99"/>
      <c r="AF68" s="55"/>
      <c r="AG68" s="94"/>
      <c r="AH68" s="94"/>
      <c r="AI68" s="55"/>
      <c r="AJ68" s="100"/>
      <c r="AK68" s="12"/>
      <c r="AL68" s="12"/>
      <c r="AM68" s="12"/>
      <c r="AN68" s="3"/>
      <c r="AO68" s="3"/>
      <c r="AP68" s="3"/>
      <c r="AQ68" s="3"/>
    </row>
    <row r="69" spans="1:43">
      <c r="A69" s="13" t="s">
        <v>577</v>
      </c>
      <c r="B69" s="16"/>
      <c r="C69" s="16">
        <f t="shared" ref="C69:M69" si="61">C68/B68-1</f>
        <v>8.9713947113791992E-3</v>
      </c>
      <c r="D69" s="16">
        <f t="shared" si="61"/>
        <v>-7.7436729256563641E-3</v>
      </c>
      <c r="E69" s="16">
        <f t="shared" si="61"/>
        <v>-1.134639432511797E-3</v>
      </c>
      <c r="F69" s="16">
        <f t="shared" si="61"/>
        <v>-2.7308889301098649E-3</v>
      </c>
      <c r="G69" s="16">
        <f t="shared" si="61"/>
        <v>9.5211267605633809E-2</v>
      </c>
      <c r="H69" s="16">
        <f t="shared" si="61"/>
        <v>0.10459770114942524</v>
      </c>
      <c r="I69" s="16">
        <f t="shared" si="61"/>
        <v>0.11879372705950053</v>
      </c>
      <c r="J69" s="16">
        <f t="shared" si="61"/>
        <v>6.4194234287691998E-2</v>
      </c>
      <c r="K69" s="16">
        <f t="shared" si="61"/>
        <v>-3.2066157546092322E-3</v>
      </c>
      <c r="L69" s="16">
        <f t="shared" si="61"/>
        <v>2.343378995433798E-2</v>
      </c>
      <c r="M69" s="16">
        <f t="shared" si="61"/>
        <v>4.5640839947831857E-2</v>
      </c>
      <c r="N69" s="16">
        <f t="shared" ref="N69:W69" si="62">N68/M68-1</f>
        <v>8.7614531660344275E-2</v>
      </c>
      <c r="O69" s="16">
        <f t="shared" si="62"/>
        <v>8.9529308981329825E-2</v>
      </c>
      <c r="P69" s="16">
        <f t="shared" si="62"/>
        <v>4.2474414908270086E-2</v>
      </c>
      <c r="Q69" s="16">
        <f>Q68/P68-1</f>
        <v>5.2421453538613605E-3</v>
      </c>
      <c r="R69" s="1268">
        <f t="shared" si="62"/>
        <v>-2.2399168808835412E-3</v>
      </c>
      <c r="S69" s="1268">
        <f t="shared" si="62"/>
        <v>-4.1427290911320025E-3</v>
      </c>
      <c r="T69" s="1268">
        <f t="shared" si="62"/>
        <v>5.1716363003673216E-4</v>
      </c>
      <c r="U69" s="1268">
        <f t="shared" si="62"/>
        <v>-5.3651783020514099E-4</v>
      </c>
      <c r="V69" s="18">
        <f t="shared" si="62"/>
        <v>-5.8989514795494413E-3</v>
      </c>
      <c r="W69" s="16">
        <f t="shared" si="62"/>
        <v>4.5104635815302885E-3</v>
      </c>
      <c r="X69" s="16">
        <f t="shared" ref="X69:AD69" si="63">X68/W68-1</f>
        <v>7.3346766407134112E-6</v>
      </c>
      <c r="Y69" s="16">
        <f t="shared" si="63"/>
        <v>-1.3939545760177641E-4</v>
      </c>
      <c r="Z69" s="16">
        <f t="shared" si="63"/>
        <v>-8.9842854160837593E-4</v>
      </c>
      <c r="AA69" s="16">
        <f t="shared" si="63"/>
        <v>-1.8117511841827527E-3</v>
      </c>
      <c r="AB69" s="16">
        <f t="shared" si="63"/>
        <v>-1.8279122054642993E-3</v>
      </c>
      <c r="AC69" s="16">
        <f t="shared" si="63"/>
        <v>-1.8442934632807439E-3</v>
      </c>
      <c r="AD69" s="16">
        <f t="shared" si="63"/>
        <v>-1.8608990319388674E-3</v>
      </c>
      <c r="AE69" s="97"/>
      <c r="AF69" s="55"/>
      <c r="AG69" s="56"/>
      <c r="AH69" s="56"/>
      <c r="AI69" s="55"/>
      <c r="AJ69" s="96"/>
      <c r="AK69" s="3"/>
      <c r="AL69" s="3"/>
      <c r="AM69" s="3"/>
      <c r="AN69" s="3"/>
      <c r="AO69" s="3"/>
      <c r="AP69" s="3"/>
      <c r="AQ69" s="3"/>
    </row>
    <row r="70" spans="1:43">
      <c r="A70" s="3"/>
      <c r="B70" s="3"/>
      <c r="C70" s="3"/>
      <c r="D70" s="3"/>
      <c r="E70" s="3"/>
      <c r="F70" s="3"/>
      <c r="G70" s="3"/>
      <c r="H70" s="3"/>
      <c r="I70" s="3"/>
      <c r="J70" s="3"/>
      <c r="K70" s="3"/>
      <c r="L70" s="3"/>
      <c r="M70" s="3"/>
      <c r="N70" s="3"/>
      <c r="O70" s="3"/>
      <c r="P70" s="3"/>
      <c r="Q70" s="3"/>
      <c r="R70" s="1248"/>
      <c r="S70" s="1248"/>
      <c r="T70" s="1248"/>
      <c r="U70" s="1248"/>
      <c r="V70" s="17"/>
      <c r="W70" s="3"/>
      <c r="X70" s="3"/>
      <c r="Y70" s="3"/>
      <c r="Z70" s="3"/>
      <c r="AA70" s="3"/>
      <c r="AB70" s="3"/>
      <c r="AC70" s="3"/>
      <c r="AD70" s="3"/>
      <c r="AE70" s="97"/>
      <c r="AF70" s="55"/>
      <c r="AG70" s="56"/>
      <c r="AH70" s="56"/>
      <c r="AI70" s="55"/>
      <c r="AJ70" s="96"/>
      <c r="AK70" s="3"/>
      <c r="AL70" s="3"/>
      <c r="AM70" s="3"/>
      <c r="AN70" s="3"/>
      <c r="AO70" s="3"/>
      <c r="AP70" s="3"/>
      <c r="AQ70" s="3"/>
    </row>
    <row r="71" spans="1:43">
      <c r="A71" s="13" t="s">
        <v>575</v>
      </c>
      <c r="B71" s="51">
        <f>478*0.8</f>
        <v>382.40000000000003</v>
      </c>
      <c r="C71" s="52">
        <f>413*0.8</f>
        <v>330.40000000000003</v>
      </c>
      <c r="D71" s="52">
        <f>396*0.8</f>
        <v>316.8</v>
      </c>
      <c r="E71" s="52">
        <f>0.8*449</f>
        <v>359.20000000000005</v>
      </c>
      <c r="F71" s="52">
        <f>574*0.8</f>
        <v>459.20000000000005</v>
      </c>
      <c r="G71" s="52">
        <f>675*0.8</f>
        <v>540</v>
      </c>
      <c r="H71" s="175">
        <f>809*0.8</f>
        <v>647.20000000000005</v>
      </c>
      <c r="I71" s="51">
        <f>815*0.8</f>
        <v>652</v>
      </c>
      <c r="J71" s="51">
        <f>849*0.8</f>
        <v>679.2</v>
      </c>
      <c r="K71" s="19">
        <f>K15/(K62)</f>
        <v>726.71307139479904</v>
      </c>
      <c r="L71" s="19">
        <f t="shared" ref="L71:Z71" si="64">L15/(L62)</f>
        <v>766.82963628199366</v>
      </c>
      <c r="M71" s="19">
        <f t="shared" si="64"/>
        <v>827.13286713286732</v>
      </c>
      <c r="N71" s="19">
        <f t="shared" si="64"/>
        <v>762.3354239256679</v>
      </c>
      <c r="O71" s="19">
        <f t="shared" si="64"/>
        <v>629.68852157943059</v>
      </c>
      <c r="P71" s="19">
        <f t="shared" si="64"/>
        <v>506.60302663649014</v>
      </c>
      <c r="Q71" s="19">
        <f t="shared" si="64"/>
        <v>525.63815357874375</v>
      </c>
      <c r="R71" s="1256">
        <f t="shared" si="64"/>
        <v>564.02994639264841</v>
      </c>
      <c r="S71" s="1256">
        <f t="shared" si="64"/>
        <v>604.71311895026793</v>
      </c>
      <c r="T71" s="1256">
        <f>T15/(T62)</f>
        <v>655.73229894546239</v>
      </c>
      <c r="U71" s="1256">
        <f t="shared" si="64"/>
        <v>606.85301727444221</v>
      </c>
      <c r="V71" s="19">
        <f t="shared" si="64"/>
        <v>571.47988137254424</v>
      </c>
      <c r="W71" s="19">
        <f>W15/(W62)</f>
        <v>559.63147318986489</v>
      </c>
      <c r="X71" s="19">
        <f t="shared" si="64"/>
        <v>545.46438225193947</v>
      </c>
      <c r="Y71" s="19">
        <f t="shared" si="64"/>
        <v>512.6070397648059</v>
      </c>
      <c r="Z71" s="19">
        <f t="shared" si="64"/>
        <v>504.84444570871426</v>
      </c>
      <c r="AA71" s="19">
        <f>AA15/(AA62)</f>
        <v>504.37369811649791</v>
      </c>
      <c r="AB71" s="19">
        <f>AB15/(AB62)</f>
        <v>506.10990599601735</v>
      </c>
      <c r="AC71" s="19">
        <f>AC15/(AC62)</f>
        <v>508.29763238911028</v>
      </c>
      <c r="AD71" s="19">
        <f>AD15/(AD62)</f>
        <v>510.95824068198067</v>
      </c>
      <c r="AE71" s="97"/>
      <c r="AF71" s="55">
        <f>((X71/S71)^(1/5)-1)*100</f>
        <v>-2.041212406556947</v>
      </c>
      <c r="AG71" s="93" t="s">
        <v>576</v>
      </c>
      <c r="AH71" s="93"/>
      <c r="AI71" s="55">
        <f>((AD71/Y71)^(1/5)-1)*100</f>
        <v>-6.4412869937180428E-2</v>
      </c>
      <c r="AJ71" s="98" t="s">
        <v>576</v>
      </c>
      <c r="AK71" s="3"/>
      <c r="AL71" s="3"/>
      <c r="AM71" s="3"/>
      <c r="AN71" s="3"/>
      <c r="AO71" s="3"/>
      <c r="AP71" s="3"/>
      <c r="AQ71" s="3"/>
    </row>
    <row r="72" spans="1:43">
      <c r="A72" s="13" t="s">
        <v>577</v>
      </c>
      <c r="B72" s="16"/>
      <c r="C72" s="16">
        <f t="shared" ref="C72:M72" si="65">C71/B71-1</f>
        <v>-0.13598326359832635</v>
      </c>
      <c r="D72" s="16">
        <f t="shared" si="65"/>
        <v>-4.1162227602905666E-2</v>
      </c>
      <c r="E72" s="16">
        <f t="shared" si="65"/>
        <v>0.13383838383838387</v>
      </c>
      <c r="F72" s="16">
        <f t="shared" si="65"/>
        <v>0.27839643652561241</v>
      </c>
      <c r="G72" s="16">
        <f t="shared" si="65"/>
        <v>0.17595818815330988</v>
      </c>
      <c r="H72" s="16">
        <f t="shared" si="65"/>
        <v>0.19851851851851854</v>
      </c>
      <c r="I72" s="16">
        <f t="shared" si="65"/>
        <v>7.4165636588379158E-3</v>
      </c>
      <c r="J72" s="16">
        <f t="shared" si="65"/>
        <v>4.1717791411042926E-2</v>
      </c>
      <c r="K72" s="16">
        <f t="shared" si="65"/>
        <v>6.995446318433296E-2</v>
      </c>
      <c r="L72" s="16">
        <f t="shared" si="65"/>
        <v>5.520275672239916E-2</v>
      </c>
      <c r="M72" s="16">
        <f t="shared" si="65"/>
        <v>7.8639671704991088E-2</v>
      </c>
      <c r="N72" s="16">
        <f t="shared" ref="N72:W72" si="66">N71/M71-1</f>
        <v>-7.8339823965416944E-2</v>
      </c>
      <c r="O72" s="16">
        <f t="shared" si="66"/>
        <v>-0.17400070649107224</v>
      </c>
      <c r="P72" s="16">
        <f t="shared" si="66"/>
        <v>-0.1954704440763958</v>
      </c>
      <c r="Q72" s="16">
        <f>Q71/P71-1</f>
        <v>3.757404899183947E-2</v>
      </c>
      <c r="R72" s="1268">
        <f t="shared" si="66"/>
        <v>7.3038443941937592E-2</v>
      </c>
      <c r="S72" s="1268">
        <f t="shared" si="66"/>
        <v>7.2129454859295672E-2</v>
      </c>
      <c r="T72" s="1268">
        <f t="shared" si="66"/>
        <v>8.4369229633647791E-2</v>
      </c>
      <c r="U72" s="1268">
        <f t="shared" si="66"/>
        <v>-7.4541519076652185E-2</v>
      </c>
      <c r="V72" s="18">
        <f t="shared" si="66"/>
        <v>-5.8289462019599503E-2</v>
      </c>
      <c r="W72" s="16">
        <f t="shared" si="66"/>
        <v>-2.0732852667048607E-2</v>
      </c>
      <c r="X72" s="16">
        <f t="shared" ref="X72:AD72" si="67">X71/W71-1</f>
        <v>-2.5315036084682441E-2</v>
      </c>
      <c r="Y72" s="16">
        <f t="shared" si="67"/>
        <v>-6.023737489784875E-2</v>
      </c>
      <c r="Z72" s="16">
        <f t="shared" si="67"/>
        <v>-1.5143362173982822E-2</v>
      </c>
      <c r="AA72" s="16">
        <f t="shared" si="67"/>
        <v>-9.3246067420926781E-4</v>
      </c>
      <c r="AB72" s="16">
        <f t="shared" si="67"/>
        <v>3.4423045571230215E-3</v>
      </c>
      <c r="AC72" s="16">
        <f t="shared" si="67"/>
        <v>4.3226310474748786E-3</v>
      </c>
      <c r="AD72" s="16">
        <f t="shared" si="67"/>
        <v>5.2343511425874123E-3</v>
      </c>
      <c r="AE72" s="97"/>
      <c r="AF72" s="55"/>
      <c r="AG72" s="56"/>
      <c r="AH72" s="56"/>
      <c r="AI72" s="55"/>
      <c r="AJ72" s="96"/>
      <c r="AK72" s="3"/>
      <c r="AL72" s="3"/>
      <c r="AM72" s="3"/>
      <c r="AN72" s="3"/>
      <c r="AO72" s="3"/>
      <c r="AP72" s="3"/>
      <c r="AQ72" s="3"/>
    </row>
    <row r="73" spans="1:43" ht="11.25" customHeight="1">
      <c r="A73" s="17"/>
      <c r="B73" s="3"/>
      <c r="C73" s="3"/>
      <c r="D73" s="3"/>
      <c r="E73" s="3"/>
      <c r="F73" s="3"/>
      <c r="G73" s="3"/>
      <c r="H73" s="3"/>
      <c r="I73" s="255">
        <f>I71/0.8</f>
        <v>815</v>
      </c>
      <c r="J73" s="255">
        <f>J71/0.8</f>
        <v>849</v>
      </c>
      <c r="K73" s="255">
        <f>K71/0.8</f>
        <v>908.39133924349881</v>
      </c>
      <c r="L73" s="255"/>
      <c r="M73" s="255"/>
      <c r="N73" s="255"/>
      <c r="O73" s="255"/>
      <c r="P73" s="255"/>
      <c r="Q73" s="255"/>
      <c r="R73" s="1271"/>
      <c r="S73" s="1271"/>
      <c r="T73" s="1271"/>
      <c r="U73" s="1271"/>
      <c r="V73" s="1284"/>
      <c r="W73" s="255"/>
      <c r="X73" s="255"/>
      <c r="Y73" s="255"/>
      <c r="Z73" s="255"/>
      <c r="AA73" s="255"/>
      <c r="AB73" s="255"/>
      <c r="AC73" s="255"/>
      <c r="AD73" s="255"/>
      <c r="AE73" s="97"/>
      <c r="AF73" s="55"/>
      <c r="AG73" s="56"/>
      <c r="AH73" s="56"/>
      <c r="AI73" s="55"/>
      <c r="AJ73" s="96"/>
      <c r="AK73" s="3"/>
      <c r="AL73" s="3"/>
      <c r="AM73" s="3"/>
      <c r="AN73" s="3"/>
      <c r="AO73" s="3"/>
      <c r="AP73" s="3"/>
      <c r="AQ73" s="3"/>
    </row>
    <row r="74" spans="1:43">
      <c r="A74" s="13" t="s">
        <v>3</v>
      </c>
      <c r="B74" s="53"/>
      <c r="C74" s="18">
        <f>'qtrP&amp;L'!J14/100</f>
        <v>-0.10099999999999999</v>
      </c>
      <c r="D74" s="16">
        <f>'qtrP&amp;L'!N14/100</f>
        <v>-1.3000000000000001E-2</v>
      </c>
      <c r="E74" s="16">
        <f>'qtrP&amp;L'!R14/100</f>
        <v>0.107</v>
      </c>
      <c r="F74" s="16">
        <f>'qtrP&amp;L'!V14/100</f>
        <v>0.30299999999999999</v>
      </c>
      <c r="G74" s="16">
        <f>'qtrP&amp;L'!Z14/100</f>
        <v>0.23300000000000001</v>
      </c>
      <c r="H74" s="16">
        <f>qtrSales!F58/100</f>
        <v>0.34299999999999997</v>
      </c>
      <c r="I74" s="16">
        <f>+'qtrP&amp;L'!AH14/100</f>
        <v>0.17100000000000001</v>
      </c>
      <c r="J74" s="16">
        <f>+qtrSales!F72/100</f>
        <v>0.13548378119937243</v>
      </c>
      <c r="K74" s="16">
        <f>+qtrSales!F79/100</f>
        <v>0.161</v>
      </c>
      <c r="L74" s="18">
        <f>+'qtrP&amp;L'!AT14/100</f>
        <v>0.129</v>
      </c>
      <c r="M74" s="18">
        <f>+qtrSales!F93/100</f>
        <v>0.14300000000000002</v>
      </c>
      <c r="N74" s="18">
        <f>+qtrSales!F100/100</f>
        <v>2.1000000000000001E-2</v>
      </c>
      <c r="O74" s="18">
        <f>+qtrSales!F107*0.01</f>
        <v>-8.1000000000000003E-2</v>
      </c>
      <c r="P74" s="18">
        <f>+qtrSales!F114*0.01</f>
        <v>-0.151</v>
      </c>
      <c r="Q74" s="18">
        <f>'qtrP&amp;L'!BN14/100</f>
        <v>7.5999999999999998E-2</v>
      </c>
      <c r="R74" s="1268">
        <f>'qtrP&amp;L'!BR14/100</f>
        <v>8.3000000000000004E-2</v>
      </c>
      <c r="S74" s="1268">
        <f>'qtrP&amp;L'!BV14/100</f>
        <v>8.199999999999999E-2</v>
      </c>
      <c r="T74" s="1268">
        <f>qtrSales!$F$142*0.01</f>
        <v>7.1889904612919081E-2</v>
      </c>
      <c r="U74" s="1268">
        <f>qtrSales!$F$149*0.01</f>
        <v>-1.8102416156077713E-2</v>
      </c>
      <c r="V74" s="18">
        <f>'qtrP&amp;L'!CH14/100</f>
        <v>0</v>
      </c>
      <c r="W74" s="16">
        <f>'qtrP&amp;L'!CL14/100</f>
        <v>-1.4999999999999999E-2</v>
      </c>
      <c r="X74" s="16">
        <f>'qtrP&amp;L'!CP14/100</f>
        <v>-3.7000000000000005E-2</v>
      </c>
      <c r="Y74" s="16">
        <f>'qtrP&amp;L'!CT14/100</f>
        <v>-7.6999999999999999E-2</v>
      </c>
      <c r="Z74" s="1608">
        <f>'qtrP&amp;L'!CX14/100</f>
        <v>-2.0894054329082014E-2</v>
      </c>
      <c r="AA74" s="53">
        <v>-0.01</v>
      </c>
      <c r="AB74" s="53">
        <v>-0.01</v>
      </c>
      <c r="AC74" s="53">
        <v>-0.01</v>
      </c>
      <c r="AD74" s="53">
        <v>-0.01</v>
      </c>
      <c r="AE74" s="101"/>
      <c r="AF74" s="55"/>
      <c r="AG74" s="56"/>
      <c r="AH74" s="56"/>
      <c r="AI74" s="55"/>
      <c r="AJ74" s="96"/>
      <c r="AK74" s="3"/>
      <c r="AL74" s="3"/>
      <c r="AM74" s="3"/>
      <c r="AN74" s="3"/>
      <c r="AO74" s="3"/>
      <c r="AP74" s="3"/>
      <c r="AQ74" s="3"/>
    </row>
    <row r="75" spans="1:43">
      <c r="A75" s="184" t="s">
        <v>562</v>
      </c>
      <c r="B75" s="53"/>
      <c r="C75" s="187" t="s">
        <v>653</v>
      </c>
      <c r="D75" s="187" t="s">
        <v>653</v>
      </c>
      <c r="E75" s="53">
        <f>+E74-0.005</f>
        <v>0.10199999999999999</v>
      </c>
      <c r="F75" s="53">
        <f>+F74-0.005</f>
        <v>0.29799999999999999</v>
      </c>
      <c r="G75" s="53">
        <f>+G74-0.006</f>
        <v>0.22700000000000001</v>
      </c>
      <c r="H75" s="53">
        <f>+H74-0.019</f>
        <v>0.32399999999999995</v>
      </c>
      <c r="I75" s="53">
        <v>0.153</v>
      </c>
      <c r="J75" s="53">
        <v>0.11799999999999999</v>
      </c>
      <c r="K75" s="16"/>
      <c r="L75" s="53"/>
      <c r="M75" s="53"/>
      <c r="N75" s="53"/>
      <c r="O75" s="233"/>
      <c r="P75" s="234"/>
      <c r="Q75" s="233"/>
      <c r="R75" s="1272"/>
      <c r="S75" s="1272"/>
      <c r="T75" s="1272"/>
      <c r="U75" s="1272"/>
      <c r="V75" s="1289"/>
      <c r="W75" s="53"/>
      <c r="X75" s="53"/>
      <c r="Y75" s="53"/>
      <c r="Z75" s="53"/>
      <c r="AA75" s="53"/>
      <c r="AB75" s="53"/>
      <c r="AC75" s="53"/>
      <c r="AD75" s="53"/>
      <c r="AE75" s="101"/>
      <c r="AF75" s="55"/>
      <c r="AG75" s="56"/>
      <c r="AH75" s="56"/>
      <c r="AI75" s="55"/>
      <c r="AJ75" s="96"/>
      <c r="AK75" s="3"/>
      <c r="AL75" s="3"/>
      <c r="AM75" s="3"/>
      <c r="AN75" s="3"/>
      <c r="AO75" s="3"/>
      <c r="AP75" s="3"/>
      <c r="AQ75" s="3"/>
    </row>
    <row r="76" spans="1:43" ht="7.5" customHeight="1">
      <c r="A76" s="17"/>
      <c r="B76" s="3"/>
      <c r="C76" s="3"/>
      <c r="D76" s="3"/>
      <c r="E76" s="3"/>
      <c r="F76" s="3"/>
      <c r="G76" s="3"/>
      <c r="H76" s="3"/>
      <c r="I76" s="3"/>
      <c r="J76" s="3"/>
      <c r="K76" s="3"/>
      <c r="L76" s="3"/>
      <c r="M76" s="3"/>
      <c r="N76" s="3"/>
      <c r="O76" s="3"/>
      <c r="P76" s="3"/>
      <c r="Q76" s="3"/>
      <c r="R76" s="1248"/>
      <c r="S76" s="1248"/>
      <c r="T76" s="1248"/>
      <c r="U76" s="1248"/>
      <c r="V76" s="17"/>
      <c r="W76" s="3"/>
      <c r="X76" s="3"/>
      <c r="Y76" s="3"/>
      <c r="Z76" s="3"/>
      <c r="AA76" s="3"/>
      <c r="AB76" s="3"/>
      <c r="AC76" s="3"/>
      <c r="AD76" s="3"/>
      <c r="AE76" s="97"/>
      <c r="AF76" s="55"/>
      <c r="AG76" s="56"/>
      <c r="AH76" s="56"/>
      <c r="AI76" s="55"/>
      <c r="AJ76" s="96"/>
      <c r="AK76" s="3"/>
      <c r="AL76" s="3"/>
      <c r="AM76" s="3"/>
      <c r="AN76" s="3"/>
      <c r="AO76" s="3"/>
      <c r="AP76" s="3"/>
      <c r="AQ76" s="3"/>
    </row>
    <row r="77" spans="1:43" ht="14.25" customHeight="1">
      <c r="A77" s="13" t="s">
        <v>413</v>
      </c>
      <c r="B77" s="3"/>
      <c r="C77" s="3"/>
      <c r="D77" s="3"/>
      <c r="E77" s="3"/>
      <c r="F77" s="3"/>
      <c r="G77" s="3"/>
      <c r="H77" s="3"/>
      <c r="I77" s="3"/>
      <c r="J77" s="3"/>
      <c r="K77" s="3"/>
      <c r="L77" s="12">
        <f t="shared" ref="L77:Q77" si="68">+(L20/L19*L78)+(L24/L19*L80)+(L26/L19*L81)</f>
        <v>2233.8983050847455</v>
      </c>
      <c r="M77" s="12">
        <f t="shared" si="68"/>
        <v>2196.933962264151</v>
      </c>
      <c r="N77" s="12">
        <f t="shared" si="68"/>
        <v>3052.6107594936711</v>
      </c>
      <c r="O77" s="12">
        <f t="shared" si="68"/>
        <v>3647.488584474886</v>
      </c>
      <c r="P77" s="12">
        <f t="shared" si="68"/>
        <v>4126.9841269841272</v>
      </c>
      <c r="Q77" s="12">
        <f t="shared" si="68"/>
        <v>2317.037037037037</v>
      </c>
      <c r="R77" s="1265">
        <f>+(R20/R19*R78)+(R24/R19*R80)+(R26/R19*R81)+(R27/R19*R82)</f>
        <v>1720.2083333333335</v>
      </c>
      <c r="S77" s="1265">
        <f>+(S20/S19*S78)+(S24/S19*S80)+(S26/S19*S81)+(S27/S19*S82)+(S21/S19*S83)</f>
        <v>2473.722627737226</v>
      </c>
      <c r="T77" s="1265">
        <f t="shared" ref="T77:Y77" si="69">+(((T20+T21)/T19)*T78)+(((T24+T25)/T19)*T80)+(T26/T19*T81)+(T27/T19*T83)</f>
        <v>2888.6</v>
      </c>
      <c r="U77" s="1265">
        <f t="shared" si="69"/>
        <v>2676.8518518518517</v>
      </c>
      <c r="V77" s="1282">
        <f t="shared" si="69"/>
        <v>2360.3211009174311</v>
      </c>
      <c r="W77" s="12">
        <f t="shared" si="69"/>
        <v>2756.875</v>
      </c>
      <c r="X77" s="12">
        <f t="shared" si="69"/>
        <v>2780.8823529411766</v>
      </c>
      <c r="Y77" s="12">
        <f t="shared" si="69"/>
        <v>3128.5714285714284</v>
      </c>
      <c r="Z77" s="12">
        <f>+(((Z20+Z21)/Z19)*Z78)+(((Z24+Z25)/Z19)*Z80)+(Z26/Z19*Z81)+(Z27/Z19*Z83)</f>
        <v>2760</v>
      </c>
      <c r="AA77" s="12">
        <f>+(((AA20+AA21)/AA19)*AA78)+(((AA24+AA25)/AA19)*AA80)+(AA26/AA19*AA81)+(AA27/AA19*AA83)</f>
        <v>2760</v>
      </c>
      <c r="AB77" s="12">
        <f>+(((AB20+AB21)/AB19)*AB78)+(((AB24+AB25)/AB19)*AB80)+(AB26/AB19*AB81)+(AB27/AB19*AB83)</f>
        <v>2760</v>
      </c>
      <c r="AC77" s="12">
        <f>+(((AC20+AC21)/AC19)*AC78)+(((AC24+AC25)/AC19)*AC80)+(AC26/AC19*AC81)+(AC27/AC19*AC83)</f>
        <v>2760</v>
      </c>
      <c r="AD77" s="12">
        <f>+(((AD20+AD21)/AD19)*AD78)+(((AD24+AD25)/AD19)*AD80)+(AD26/AD19*AD81)+(AD27/AD19*AD83)</f>
        <v>2760</v>
      </c>
      <c r="AE77" s="97"/>
      <c r="AF77" s="55"/>
      <c r="AG77" s="56"/>
      <c r="AH77" s="56"/>
      <c r="AI77" s="55"/>
      <c r="AJ77" s="96"/>
      <c r="AK77" s="3"/>
      <c r="AL77" s="3"/>
      <c r="AM77" s="3"/>
      <c r="AN77" s="3"/>
      <c r="AO77" s="3"/>
      <c r="AP77" s="3"/>
      <c r="AQ77" s="3"/>
    </row>
    <row r="78" spans="1:43" ht="12.75" customHeight="1">
      <c r="A78" s="184" t="s">
        <v>280</v>
      </c>
      <c r="B78" s="49">
        <f>1300/0.8</f>
        <v>1625</v>
      </c>
      <c r="C78" s="49">
        <f>1300/0.8</f>
        <v>1625</v>
      </c>
      <c r="D78" s="49">
        <f>1300/0.8</f>
        <v>1625</v>
      </c>
      <c r="E78" s="49">
        <f>1300/0.8</f>
        <v>1625</v>
      </c>
      <c r="F78" s="49">
        <f>1330/0.8</f>
        <v>1662.5</v>
      </c>
      <c r="G78" s="166">
        <f>1500/0.8</f>
        <v>1875</v>
      </c>
      <c r="H78" s="49">
        <f>1900/0.8</f>
        <v>2375</v>
      </c>
      <c r="I78" s="49">
        <f>2000/0.8</f>
        <v>2500</v>
      </c>
      <c r="J78" s="49">
        <f>2050/0.8</f>
        <v>2562.5</v>
      </c>
      <c r="K78" s="49">
        <f>2200/0.8</f>
        <v>2750</v>
      </c>
      <c r="L78" s="49">
        <v>2600</v>
      </c>
      <c r="M78" s="49">
        <f>2300/0.8</f>
        <v>2875</v>
      </c>
      <c r="N78" s="49">
        <f>3300/0.8</f>
        <v>4125</v>
      </c>
      <c r="O78" s="49">
        <f>3300/0.75</f>
        <v>4400</v>
      </c>
      <c r="P78" s="49">
        <f>3400/0.72</f>
        <v>4722.2222222222226</v>
      </c>
      <c r="Q78" s="49">
        <f>P78</f>
        <v>4722.2222222222226</v>
      </c>
      <c r="R78" s="1273">
        <v>4000</v>
      </c>
      <c r="S78" s="1273">
        <v>3500</v>
      </c>
      <c r="T78" s="1273">
        <f>S78</f>
        <v>3500</v>
      </c>
      <c r="U78" s="1273">
        <f t="shared" ref="U78:AD78" si="70">T78</f>
        <v>3500</v>
      </c>
      <c r="V78" s="166">
        <f t="shared" si="70"/>
        <v>3500</v>
      </c>
      <c r="W78" s="49">
        <f t="shared" si="70"/>
        <v>3500</v>
      </c>
      <c r="X78" s="49">
        <f t="shared" si="70"/>
        <v>3500</v>
      </c>
      <c r="Y78" s="49">
        <f t="shared" si="70"/>
        <v>3500</v>
      </c>
      <c r="Z78" s="49">
        <f t="shared" si="70"/>
        <v>3500</v>
      </c>
      <c r="AA78" s="49">
        <f t="shared" si="70"/>
        <v>3500</v>
      </c>
      <c r="AB78" s="49">
        <f t="shared" si="70"/>
        <v>3500</v>
      </c>
      <c r="AC78" s="49">
        <f t="shared" si="70"/>
        <v>3500</v>
      </c>
      <c r="AD78" s="49">
        <f t="shared" si="70"/>
        <v>3500</v>
      </c>
      <c r="AE78" s="99"/>
      <c r="AF78" s="55"/>
      <c r="AG78" s="94"/>
      <c r="AH78" s="56"/>
      <c r="AI78" s="55"/>
      <c r="AJ78" s="96"/>
      <c r="AK78" s="3">
        <f>ROUND(42107/0.8/16,0)</f>
        <v>3290</v>
      </c>
      <c r="AL78" s="3">
        <f>ROUND(7703/0.8/3,0)</f>
        <v>3210</v>
      </c>
      <c r="AM78" s="3" t="s">
        <v>237</v>
      </c>
      <c r="AN78" s="3"/>
      <c r="AO78" s="3"/>
      <c r="AP78" s="3"/>
      <c r="AQ78" s="3"/>
    </row>
    <row r="79" spans="1:43" ht="12.75" hidden="1" customHeight="1" outlineLevel="1">
      <c r="A79" s="184" t="s">
        <v>543</v>
      </c>
      <c r="B79" s="49"/>
      <c r="C79" s="49"/>
      <c r="D79" s="49"/>
      <c r="E79" s="49"/>
      <c r="F79" s="49"/>
      <c r="G79" s="166"/>
      <c r="H79" s="49"/>
      <c r="I79" s="49"/>
      <c r="J79" s="49"/>
      <c r="K79" s="49">
        <v>3200</v>
      </c>
      <c r="L79" s="49"/>
      <c r="M79" s="49"/>
      <c r="N79" s="49"/>
      <c r="O79" s="49"/>
      <c r="P79" s="49"/>
      <c r="Q79" s="49"/>
      <c r="R79" s="1273"/>
      <c r="S79" s="1273"/>
      <c r="T79" s="1273"/>
      <c r="U79" s="1273"/>
      <c r="V79" s="166"/>
      <c r="W79" s="49"/>
      <c r="X79" s="49"/>
      <c r="Y79" s="49"/>
      <c r="Z79" s="49"/>
      <c r="AA79" s="49"/>
      <c r="AB79" s="49"/>
      <c r="AC79" s="49"/>
      <c r="AD79" s="49"/>
      <c r="AE79" s="99"/>
      <c r="AF79" s="55"/>
      <c r="AG79" s="94"/>
      <c r="AH79" s="56"/>
      <c r="AI79" s="55"/>
      <c r="AJ79" s="96"/>
      <c r="AM79" s="3"/>
      <c r="AN79" s="3"/>
      <c r="AO79" s="3"/>
      <c r="AP79" s="3"/>
      <c r="AQ79" s="3"/>
    </row>
    <row r="80" spans="1:43" ht="12.75" customHeight="1" collapsed="1">
      <c r="A80" s="184" t="s">
        <v>565</v>
      </c>
      <c r="B80" s="49"/>
      <c r="C80" s="49"/>
      <c r="D80" s="49"/>
      <c r="E80" s="49"/>
      <c r="F80" s="49"/>
      <c r="G80" s="166"/>
      <c r="H80" s="49"/>
      <c r="I80" s="49"/>
      <c r="J80" s="49"/>
      <c r="K80" s="49">
        <f>1460</f>
        <v>1460</v>
      </c>
      <c r="L80" s="166">
        <v>1900</v>
      </c>
      <c r="M80" s="166">
        <f>1600/0.8</f>
        <v>2000</v>
      </c>
      <c r="N80" s="166">
        <f>2400/0.8</f>
        <v>3000</v>
      </c>
      <c r="O80" s="166">
        <f>2600/0.75</f>
        <v>3466.6666666666665</v>
      </c>
      <c r="P80" s="166">
        <f>2800/0.72</f>
        <v>3888.8888888888891</v>
      </c>
      <c r="Q80" s="166">
        <f>2350/0.75</f>
        <v>3133.3333333333335</v>
      </c>
      <c r="R80" s="1273">
        <f>Q80</f>
        <v>3133.3333333333335</v>
      </c>
      <c r="S80" s="1273">
        <v>3000</v>
      </c>
      <c r="T80" s="1273">
        <f>S80</f>
        <v>3000</v>
      </c>
      <c r="U80" s="1273">
        <f t="shared" ref="U80:Y83" si="71">T80</f>
        <v>3000</v>
      </c>
      <c r="V80" s="166">
        <v>3200</v>
      </c>
      <c r="W80" s="166">
        <f t="shared" si="71"/>
        <v>3200</v>
      </c>
      <c r="X80" s="166">
        <f t="shared" si="71"/>
        <v>3200</v>
      </c>
      <c r="Y80" s="166">
        <f t="shared" si="71"/>
        <v>3200</v>
      </c>
      <c r="Z80" s="166">
        <f t="shared" ref="Z80:AD83" si="72">Y80</f>
        <v>3200</v>
      </c>
      <c r="AA80" s="166">
        <f t="shared" si="72"/>
        <v>3200</v>
      </c>
      <c r="AB80" s="166">
        <f t="shared" si="72"/>
        <v>3200</v>
      </c>
      <c r="AC80" s="166">
        <f t="shared" si="72"/>
        <v>3200</v>
      </c>
      <c r="AD80" s="166">
        <f t="shared" si="72"/>
        <v>3200</v>
      </c>
      <c r="AE80" s="99"/>
      <c r="AF80" s="55"/>
      <c r="AG80" s="94"/>
      <c r="AH80" s="56"/>
      <c r="AI80" s="55"/>
      <c r="AJ80" s="96"/>
      <c r="AK80" s="3">
        <f>ROUND(47630/0.8/20, 0)</f>
        <v>2977</v>
      </c>
      <c r="AL80" s="3">
        <f>ROUND(7189/0.8/3, 0)</f>
        <v>2995</v>
      </c>
      <c r="AM80" s="3" t="s">
        <v>686</v>
      </c>
      <c r="AN80" s="3"/>
      <c r="AO80" s="3"/>
      <c r="AP80" s="3"/>
      <c r="AQ80" s="3"/>
    </row>
    <row r="81" spans="1:43" ht="12.75" customHeight="1">
      <c r="A81" s="184" t="s">
        <v>461</v>
      </c>
      <c r="B81" s="49"/>
      <c r="C81" s="49"/>
      <c r="D81" s="49"/>
      <c r="E81" s="49"/>
      <c r="F81" s="49"/>
      <c r="G81" s="166"/>
      <c r="H81" s="49"/>
      <c r="I81" s="49"/>
      <c r="J81" s="49"/>
      <c r="K81" s="49"/>
      <c r="L81" s="166">
        <v>2400</v>
      </c>
      <c r="M81" s="166">
        <v>2400</v>
      </c>
      <c r="N81" s="166">
        <f>2150/0.8</f>
        <v>2687.5</v>
      </c>
      <c r="O81" s="166">
        <f>2000/0.75</f>
        <v>2666.6666666666665</v>
      </c>
      <c r="P81" s="166">
        <f>2000/0.72</f>
        <v>2777.7777777777778</v>
      </c>
      <c r="Q81" s="166">
        <f>+P81</f>
        <v>2777.7777777777778</v>
      </c>
      <c r="R81" s="1273">
        <v>2250</v>
      </c>
      <c r="S81" s="1273">
        <v>2200</v>
      </c>
      <c r="T81" s="1273">
        <f>S81</f>
        <v>2200</v>
      </c>
      <c r="U81" s="1273">
        <f t="shared" si="71"/>
        <v>2200</v>
      </c>
      <c r="V81" s="166">
        <f t="shared" si="71"/>
        <v>2200</v>
      </c>
      <c r="W81" s="166">
        <f t="shared" si="71"/>
        <v>2200</v>
      </c>
      <c r="X81" s="166">
        <f t="shared" si="71"/>
        <v>2200</v>
      </c>
      <c r="Y81" s="166">
        <f t="shared" si="71"/>
        <v>2200</v>
      </c>
      <c r="Z81" s="166">
        <f t="shared" si="72"/>
        <v>2200</v>
      </c>
      <c r="AA81" s="166">
        <f t="shared" si="72"/>
        <v>2200</v>
      </c>
      <c r="AB81" s="166">
        <f t="shared" si="72"/>
        <v>2200</v>
      </c>
      <c r="AC81" s="166">
        <f t="shared" si="72"/>
        <v>2200</v>
      </c>
      <c r="AD81" s="166">
        <f t="shared" si="72"/>
        <v>2200</v>
      </c>
      <c r="AE81" s="99"/>
      <c r="AF81" s="55"/>
      <c r="AG81" s="94"/>
      <c r="AH81" s="56"/>
      <c r="AI81" s="55"/>
      <c r="AJ81" s="96"/>
      <c r="AK81" s="3">
        <f>ROUND(71132/0.8/31, 0)</f>
        <v>2868</v>
      </c>
      <c r="AL81" s="3">
        <f>ROUND(23578/0.8/9, 0)</f>
        <v>3275</v>
      </c>
      <c r="AM81" s="3" t="s">
        <v>565</v>
      </c>
      <c r="AN81" s="3"/>
      <c r="AO81" s="3"/>
      <c r="AP81" s="3"/>
      <c r="AQ81" s="3"/>
    </row>
    <row r="82" spans="1:43" ht="12.75" customHeight="1">
      <c r="A82" s="184" t="s">
        <v>651</v>
      </c>
      <c r="B82" s="49"/>
      <c r="C82" s="49"/>
      <c r="D82" s="49"/>
      <c r="E82" s="49"/>
      <c r="F82" s="49"/>
      <c r="G82" s="166"/>
      <c r="H82" s="49"/>
      <c r="I82" s="49"/>
      <c r="J82" s="49"/>
      <c r="K82" s="49"/>
      <c r="L82" s="166"/>
      <c r="M82" s="166"/>
      <c r="N82" s="166">
        <f>1100/0.75</f>
        <v>1466.6666666666667</v>
      </c>
      <c r="O82" s="166">
        <f>+N82</f>
        <v>1466.6666666666667</v>
      </c>
      <c r="P82" s="166">
        <f>+O82</f>
        <v>1466.6666666666667</v>
      </c>
      <c r="Q82" s="166">
        <f>+P82</f>
        <v>1466.6666666666667</v>
      </c>
      <c r="R82" s="1273">
        <v>1500</v>
      </c>
      <c r="S82" s="1273">
        <f>+R82</f>
        <v>1500</v>
      </c>
      <c r="T82" s="1273" t="s">
        <v>653</v>
      </c>
      <c r="U82" s="1273" t="str">
        <f t="shared" si="71"/>
        <v>NA</v>
      </c>
      <c r="V82" s="166" t="str">
        <f t="shared" si="71"/>
        <v>NA</v>
      </c>
      <c r="W82" s="166" t="str">
        <f t="shared" si="71"/>
        <v>NA</v>
      </c>
      <c r="X82" s="166" t="str">
        <f t="shared" si="71"/>
        <v>NA</v>
      </c>
      <c r="Y82" s="166" t="str">
        <f t="shared" si="71"/>
        <v>NA</v>
      </c>
      <c r="Z82" s="166" t="str">
        <f t="shared" si="72"/>
        <v>NA</v>
      </c>
      <c r="AA82" s="166" t="str">
        <f t="shared" si="72"/>
        <v>NA</v>
      </c>
      <c r="AB82" s="166" t="str">
        <f t="shared" si="72"/>
        <v>NA</v>
      </c>
      <c r="AC82" s="166" t="str">
        <f t="shared" si="72"/>
        <v>NA</v>
      </c>
      <c r="AD82" s="166" t="str">
        <f t="shared" si="72"/>
        <v>NA</v>
      </c>
      <c r="AE82" s="99"/>
      <c r="AF82" s="55"/>
      <c r="AG82" s="94"/>
      <c r="AH82" s="56"/>
      <c r="AI82" s="55"/>
      <c r="AJ82" s="96"/>
      <c r="AK82" s="3">
        <f>ROUND(12492/0.8/6,0)</f>
        <v>2603</v>
      </c>
      <c r="AL82" s="3">
        <f>ROUND(6512/0.8/3,0)</f>
        <v>2713</v>
      </c>
      <c r="AM82" s="3" t="s">
        <v>687</v>
      </c>
      <c r="AN82" s="3"/>
      <c r="AO82" s="3"/>
      <c r="AP82" s="3"/>
      <c r="AQ82" s="3"/>
    </row>
    <row r="83" spans="1:43" ht="12.75" customHeight="1">
      <c r="A83" s="184" t="s">
        <v>173</v>
      </c>
      <c r="B83" s="49"/>
      <c r="C83" s="49"/>
      <c r="D83" s="49"/>
      <c r="E83" s="49"/>
      <c r="F83" s="49"/>
      <c r="G83" s="166"/>
      <c r="H83" s="49"/>
      <c r="I83" s="49"/>
      <c r="J83" s="49"/>
      <c r="K83" s="49"/>
      <c r="L83" s="166"/>
      <c r="M83" s="166"/>
      <c r="N83" s="257"/>
      <c r="O83" s="257"/>
      <c r="P83" s="166"/>
      <c r="Q83" s="166"/>
      <c r="R83" s="1273"/>
      <c r="S83" s="1273">
        <f>2300/0.8</f>
        <v>2875</v>
      </c>
      <c r="T83" s="1273">
        <f>S83</f>
        <v>2875</v>
      </c>
      <c r="U83" s="1273">
        <f t="shared" si="71"/>
        <v>2875</v>
      </c>
      <c r="V83" s="166">
        <f t="shared" si="71"/>
        <v>2875</v>
      </c>
      <c r="W83" s="166">
        <f t="shared" si="71"/>
        <v>2875</v>
      </c>
      <c r="X83" s="166">
        <f t="shared" si="71"/>
        <v>2875</v>
      </c>
      <c r="Y83" s="166">
        <f t="shared" si="71"/>
        <v>2875</v>
      </c>
      <c r="Z83" s="166">
        <f t="shared" si="72"/>
        <v>2875</v>
      </c>
      <c r="AA83" s="166">
        <f t="shared" si="72"/>
        <v>2875</v>
      </c>
      <c r="AB83" s="166">
        <f t="shared" si="72"/>
        <v>2875</v>
      </c>
      <c r="AC83" s="166">
        <f t="shared" si="72"/>
        <v>2875</v>
      </c>
      <c r="AD83" s="166">
        <f t="shared" si="72"/>
        <v>2875</v>
      </c>
      <c r="AE83" s="99"/>
      <c r="AF83" s="55"/>
      <c r="AG83" s="94"/>
      <c r="AH83" s="56"/>
      <c r="AI83" s="55"/>
      <c r="AJ83" s="96"/>
      <c r="AK83" s="3">
        <f>ROUND(104661/0.8/52,0)</f>
        <v>2516</v>
      </c>
      <c r="AL83" s="3">
        <f>ROUND(28773/0.8/15,0)</f>
        <v>2398</v>
      </c>
      <c r="AM83" s="3" t="s">
        <v>461</v>
      </c>
      <c r="AN83" s="3"/>
      <c r="AO83" s="3"/>
      <c r="AP83" s="3"/>
      <c r="AQ83" s="3"/>
    </row>
    <row r="84" spans="1:43" ht="12.75" customHeight="1">
      <c r="A84" s="184" t="s">
        <v>287</v>
      </c>
      <c r="B84" s="49"/>
      <c r="C84" s="49"/>
      <c r="D84" s="49"/>
      <c r="E84" s="49"/>
      <c r="F84" s="49"/>
      <c r="G84" s="166"/>
      <c r="H84" s="49"/>
      <c r="I84" s="49"/>
      <c r="J84" s="49"/>
      <c r="K84" s="49"/>
      <c r="L84" s="166"/>
      <c r="M84" s="166"/>
      <c r="N84" s="257"/>
      <c r="O84" s="257"/>
      <c r="P84" s="166"/>
      <c r="Q84" s="166"/>
      <c r="R84" s="1273"/>
      <c r="S84" s="1273"/>
      <c r="T84" s="1273"/>
      <c r="U84" s="1273"/>
      <c r="V84" s="166">
        <v>2500</v>
      </c>
      <c r="W84" s="166">
        <v>2500</v>
      </c>
      <c r="X84" s="166">
        <v>2500</v>
      </c>
      <c r="Y84" s="166">
        <v>2500</v>
      </c>
      <c r="Z84" s="166">
        <v>2500</v>
      </c>
      <c r="AA84" s="166">
        <v>2500</v>
      </c>
      <c r="AB84" s="166">
        <v>2500</v>
      </c>
      <c r="AC84" s="166">
        <v>2500</v>
      </c>
      <c r="AD84" s="166">
        <v>2500</v>
      </c>
      <c r="AE84" s="99"/>
      <c r="AF84" s="55"/>
      <c r="AG84" s="94"/>
      <c r="AH84" s="56"/>
      <c r="AI84" s="55"/>
      <c r="AJ84" s="96"/>
      <c r="AK84" s="3"/>
      <c r="AL84" s="3"/>
      <c r="AM84" s="3"/>
      <c r="AN84" s="3"/>
      <c r="AO84" s="3"/>
      <c r="AP84" s="3"/>
      <c r="AQ84" s="3"/>
    </row>
    <row r="85" spans="1:43" ht="12.75" hidden="1" customHeight="1" outlineLevel="1">
      <c r="A85" s="184" t="s">
        <v>342</v>
      </c>
      <c r="B85" s="49"/>
      <c r="C85" s="49"/>
      <c r="D85" s="49"/>
      <c r="E85" s="49"/>
      <c r="F85" s="49"/>
      <c r="G85" s="166"/>
      <c r="H85" s="49"/>
      <c r="I85" s="49"/>
      <c r="J85" s="49"/>
      <c r="K85" s="49"/>
      <c r="L85" s="166"/>
      <c r="M85" s="166"/>
      <c r="N85" s="166">
        <v>1500</v>
      </c>
      <c r="O85" s="166">
        <v>1500</v>
      </c>
      <c r="P85" s="166">
        <f>+O85</f>
        <v>1500</v>
      </c>
      <c r="Q85" s="166">
        <f>+P85</f>
        <v>1500</v>
      </c>
      <c r="R85" s="1273">
        <f>+Q85</f>
        <v>1500</v>
      </c>
      <c r="S85" s="1273">
        <f>+R85</f>
        <v>1500</v>
      </c>
      <c r="T85" s="1273">
        <f>+S85</f>
        <v>1500</v>
      </c>
      <c r="U85" s="1273">
        <f t="shared" ref="U85:AD85" si="73">+T85</f>
        <v>1500</v>
      </c>
      <c r="V85" s="166">
        <f t="shared" si="73"/>
        <v>1500</v>
      </c>
      <c r="W85" s="166">
        <f t="shared" si="73"/>
        <v>1500</v>
      </c>
      <c r="X85" s="166">
        <f t="shared" si="73"/>
        <v>1500</v>
      </c>
      <c r="Y85" s="166">
        <f t="shared" si="73"/>
        <v>1500</v>
      </c>
      <c r="Z85" s="166">
        <f t="shared" si="73"/>
        <v>1500</v>
      </c>
      <c r="AA85" s="166">
        <f t="shared" si="73"/>
        <v>1500</v>
      </c>
      <c r="AB85" s="166">
        <f t="shared" si="73"/>
        <v>1500</v>
      </c>
      <c r="AC85" s="166">
        <f t="shared" si="73"/>
        <v>1500</v>
      </c>
      <c r="AD85" s="166">
        <f t="shared" si="73"/>
        <v>1500</v>
      </c>
      <c r="AE85" s="99"/>
      <c r="AF85" s="55"/>
      <c r="AG85" s="94"/>
      <c r="AH85" s="56"/>
      <c r="AI85" s="55"/>
      <c r="AJ85" s="96"/>
      <c r="AK85" s="3"/>
      <c r="AL85" s="3"/>
      <c r="AM85" s="3"/>
      <c r="AN85" s="3"/>
      <c r="AO85" s="3"/>
      <c r="AP85" s="3"/>
      <c r="AQ85" s="3"/>
    </row>
    <row r="86" spans="1:43" ht="12.75" customHeight="1" collapsed="1">
      <c r="A86" s="17"/>
      <c r="B86" s="3"/>
      <c r="C86" s="3"/>
      <c r="D86" s="3"/>
      <c r="E86" s="3"/>
      <c r="F86" s="3"/>
      <c r="G86" s="3"/>
      <c r="H86" s="3"/>
      <c r="I86" s="3"/>
      <c r="J86" s="3"/>
      <c r="K86" s="3"/>
      <c r="L86" s="3"/>
      <c r="M86" s="3"/>
      <c r="N86" s="3"/>
      <c r="O86" s="3"/>
      <c r="P86" s="3"/>
      <c r="Q86" s="3"/>
      <c r="R86" s="1248"/>
      <c r="S86" s="1248"/>
      <c r="T86" s="1248"/>
      <c r="U86" s="1248"/>
      <c r="V86" s="17"/>
      <c r="W86" s="3"/>
      <c r="X86" s="3"/>
      <c r="Y86" s="3"/>
      <c r="Z86" s="3"/>
      <c r="AA86" s="3"/>
      <c r="AB86" s="3"/>
      <c r="AC86" s="3"/>
      <c r="AD86" s="3"/>
      <c r="AE86" s="97"/>
      <c r="AF86" s="55"/>
      <c r="AG86" s="56"/>
      <c r="AH86" s="56"/>
      <c r="AI86" s="55"/>
      <c r="AJ86" s="96"/>
      <c r="AK86" s="3">
        <f>ROUND(23969/0.8/12,0)</f>
        <v>2497</v>
      </c>
      <c r="AL86" s="3"/>
      <c r="AM86" s="3" t="s">
        <v>688</v>
      </c>
      <c r="AN86" s="3"/>
      <c r="AO86" s="3"/>
      <c r="AP86" s="3"/>
      <c r="AQ86" s="3"/>
    </row>
    <row r="87" spans="1:43">
      <c r="A87" s="13" t="s">
        <v>588</v>
      </c>
      <c r="B87" s="10"/>
      <c r="C87" s="146">
        <f t="shared" ref="C87:L87" si="74">((+C7/B7-1)-C74)/C63</f>
        <v>0.66782620347152677</v>
      </c>
      <c r="D87" s="146">
        <f t="shared" si="74"/>
        <v>0.69658525205456989</v>
      </c>
      <c r="E87" s="146">
        <f t="shared" si="74"/>
        <v>1.8583381731456579</v>
      </c>
      <c r="F87" s="146">
        <f t="shared" si="74"/>
        <v>1.051163536738025</v>
      </c>
      <c r="G87" s="146">
        <f t="shared" si="74"/>
        <v>0.93306710827064121</v>
      </c>
      <c r="H87" s="146">
        <f t="shared" si="74"/>
        <v>0.74648133548185691</v>
      </c>
      <c r="I87" s="146">
        <f t="shared" si="74"/>
        <v>0.63788516529176231</v>
      </c>
      <c r="J87" s="146">
        <f t="shared" si="74"/>
        <v>0.7906466314607804</v>
      </c>
      <c r="K87" s="146">
        <f t="shared" si="74"/>
        <v>0.75702475047217599</v>
      </c>
      <c r="L87" s="146">
        <f t="shared" si="74"/>
        <v>0.84358547108797843</v>
      </c>
      <c r="M87" s="10">
        <f>(+M16-M74)/M63</f>
        <v>0.78612854698461332</v>
      </c>
      <c r="N87" s="10">
        <f>(+N16-N74)/N63</f>
        <v>0.55039978853246796</v>
      </c>
      <c r="O87" s="10">
        <f>(+O16-O74)/O63</f>
        <v>0.4747992571544844</v>
      </c>
      <c r="P87" s="10">
        <f>(+P16-P74)/P63</f>
        <v>0.50265115862648457</v>
      </c>
      <c r="Q87" s="10">
        <f>(+Q16-Q74)/Q63</f>
        <v>0.15259199197881609</v>
      </c>
      <c r="R87" s="1257">
        <f>((R7/Q7-1)-R74)/R63</f>
        <v>0.31950649389143737</v>
      </c>
      <c r="S87" s="1257">
        <f>((S7/R7-1)-(S74))/S63</f>
        <v>0.39014143290681769</v>
      </c>
      <c r="T87" s="1257">
        <f t="shared" ref="T87:Z87" si="75">((T7/S7-1)-T74)/T63</f>
        <v>0.55826878693147164</v>
      </c>
      <c r="U87" s="1257">
        <f t="shared" si="75"/>
        <v>-0.10599209919525177</v>
      </c>
      <c r="V87" s="208">
        <f t="shared" si="75"/>
        <v>-0.23902419892851151</v>
      </c>
      <c r="W87" s="10">
        <f t="shared" si="75"/>
        <v>-0.62862044031956632</v>
      </c>
      <c r="X87" s="10">
        <f t="shared" si="75"/>
        <v>-1.0224762777117902</v>
      </c>
      <c r="Y87" s="10">
        <f t="shared" si="75"/>
        <v>1.2507343996216995</v>
      </c>
      <c r="Z87" s="10">
        <f t="shared" si="75"/>
        <v>1.6618692363156482</v>
      </c>
      <c r="AA87" s="431">
        <f>Z87</f>
        <v>1.6618692363156482</v>
      </c>
      <c r="AB87" s="431">
        <f t="shared" ref="AB87:AD87" si="76">AA87</f>
        <v>1.6618692363156482</v>
      </c>
      <c r="AC87" s="431">
        <f t="shared" si="76"/>
        <v>1.6618692363156482</v>
      </c>
      <c r="AD87" s="431">
        <f t="shared" si="76"/>
        <v>1.6618692363156482</v>
      </c>
      <c r="AE87" s="97"/>
      <c r="AF87" s="55"/>
      <c r="AG87" s="56"/>
      <c r="AH87" s="56"/>
      <c r="AI87" s="55"/>
      <c r="AJ87" s="96"/>
      <c r="AK87" s="3"/>
      <c r="AL87" s="3"/>
      <c r="AM87" s="3"/>
      <c r="AN87" s="3"/>
      <c r="AO87" s="3"/>
      <c r="AP87" s="3"/>
      <c r="AQ87" s="3"/>
    </row>
    <row r="88" spans="1:43" ht="11.25" customHeight="1">
      <c r="A88" s="17"/>
      <c r="B88" s="3"/>
      <c r="C88" s="3"/>
      <c r="D88" s="3"/>
      <c r="E88" s="3"/>
      <c r="F88" s="3"/>
      <c r="G88" s="3"/>
      <c r="H88" s="3"/>
      <c r="I88" s="3"/>
      <c r="J88" s="3"/>
      <c r="K88" s="3"/>
      <c r="L88" s="3"/>
      <c r="M88" s="3"/>
      <c r="N88" s="3"/>
      <c r="O88" s="3"/>
      <c r="P88" s="3"/>
      <c r="Q88" s="3"/>
      <c r="R88" s="1248"/>
      <c r="S88" s="1248"/>
      <c r="T88" s="1248"/>
      <c r="U88" s="1248"/>
      <c r="V88" s="17"/>
      <c r="W88" s="3"/>
      <c r="X88" s="3"/>
      <c r="Y88" s="3"/>
      <c r="Z88" s="3"/>
      <c r="AA88" s="3"/>
      <c r="AB88" s="3"/>
      <c r="AC88" s="3"/>
      <c r="AD88" s="3"/>
      <c r="AE88" s="97"/>
      <c r="AF88" s="55"/>
      <c r="AG88" s="56"/>
      <c r="AH88" s="56"/>
      <c r="AI88" s="55"/>
      <c r="AJ88" s="96"/>
      <c r="AK88" s="3"/>
      <c r="AL88" s="3"/>
      <c r="AM88" s="3"/>
      <c r="AN88" s="3"/>
      <c r="AO88" s="3"/>
      <c r="AP88" s="3"/>
      <c r="AQ88" s="3"/>
    </row>
    <row r="89" spans="1:43">
      <c r="A89" s="17" t="s">
        <v>589</v>
      </c>
      <c r="B89" s="20">
        <f>'qtrP&amp;L'!D88</f>
        <v>5.6846379999999987</v>
      </c>
      <c r="C89" s="20">
        <f>'qtrP&amp;L'!H88</f>
        <v>3.4849989999999984</v>
      </c>
      <c r="D89" s="20">
        <f>'qtrP&amp;L'!L88</f>
        <v>3.6216069999999965</v>
      </c>
      <c r="E89" s="20">
        <f>'qtrP&amp;L'!P88</f>
        <v>4.9143189999999972</v>
      </c>
      <c r="F89" s="20">
        <f>'qtrP&amp;L'!T88</f>
        <v>15.134110000000002</v>
      </c>
      <c r="G89" s="20">
        <f>'qtrP&amp;L'!X88</f>
        <v>24.806080000000001</v>
      </c>
      <c r="H89" s="20">
        <f>+'yrP&amp;L'!H37</f>
        <v>45.363474999999966</v>
      </c>
      <c r="I89" s="20">
        <f>+'yrP&amp;L'!I37</f>
        <v>67.535885999999977</v>
      </c>
      <c r="J89" s="20">
        <f>+'yrP&amp;L'!J37</f>
        <v>106.79325500000002</v>
      </c>
      <c r="K89" s="20">
        <f>+'yrP&amp;L'!K37</f>
        <v>160.77458300000001</v>
      </c>
      <c r="L89" s="20">
        <f>+'yrP&amp;L'!L37</f>
        <v>224.37500000000011</v>
      </c>
      <c r="M89" s="20">
        <f>+'yrP&amp;L'!M37</f>
        <v>298.31400000000002</v>
      </c>
      <c r="N89" s="20">
        <f>+'yrP&amp;L'!N37</f>
        <v>263.70000000000016</v>
      </c>
      <c r="O89" s="20">
        <f>+'yrP&amp;L'!O37</f>
        <v>121.45799999999986</v>
      </c>
      <c r="P89" s="20">
        <f>+'yrP&amp;L'!P37</f>
        <v>-15.929000000000087</v>
      </c>
      <c r="Q89" s="20">
        <f>+'yrP&amp;L'!Q37</f>
        <v>123.17900000000009</v>
      </c>
      <c r="R89" s="1274">
        <f>+'yrP&amp;L'!R37</f>
        <v>178.15799999999979</v>
      </c>
      <c r="S89" s="1274">
        <f>+'yrP&amp;L'!S37</f>
        <v>227.51000000000022</v>
      </c>
      <c r="T89" s="1274">
        <f>+'yrP&amp;L'!T37</f>
        <v>289.3739999999998</v>
      </c>
      <c r="U89" s="1274">
        <f>+'yrP&amp;L'!U37</f>
        <v>213.64999999999986</v>
      </c>
      <c r="V89" s="1285">
        <f>+'yrP&amp;L'!V37</f>
        <v>176.33100000000024</v>
      </c>
      <c r="W89" s="20">
        <f>+'yrP&amp;L'!W37</f>
        <v>168.95200000000034</v>
      </c>
      <c r="X89" s="20">
        <f>+'yrP&amp;L'!X37</f>
        <v>167.7149999999998</v>
      </c>
      <c r="Y89" s="20">
        <f>+'yrP&amp;L'!Y37</f>
        <v>145.16999999999985</v>
      </c>
      <c r="Z89" s="20">
        <f>+'yrP&amp;L'!Z37</f>
        <v>143.48855509623695</v>
      </c>
      <c r="AA89" s="20">
        <f>+'yrP&amp;L'!AA37</f>
        <v>165.03751399318924</v>
      </c>
      <c r="AB89" s="20">
        <f>+'yrP&amp;L'!AB37</f>
        <v>173.71764455890116</v>
      </c>
      <c r="AC89" s="20">
        <f>+'yrP&amp;L'!AC37</f>
        <v>181.87670159120137</v>
      </c>
      <c r="AD89" s="20">
        <f>+'yrP&amp;L'!AD37</f>
        <v>187.8318088652801</v>
      </c>
      <c r="AE89" s="102"/>
      <c r="AF89" s="55">
        <f>((X89/S89)^(1/5)-1)*100</f>
        <v>-5.9163227927595656</v>
      </c>
      <c r="AG89" s="93" t="s">
        <v>576</v>
      </c>
      <c r="AH89" s="93"/>
      <c r="AI89" s="55">
        <f>((AD89/Y89)^(1/5)-1)*100</f>
        <v>5.2878973762170212</v>
      </c>
      <c r="AJ89" s="98" t="s">
        <v>576</v>
      </c>
      <c r="AK89" s="3"/>
      <c r="AL89" s="3"/>
      <c r="AM89" s="3"/>
      <c r="AN89" s="3"/>
      <c r="AO89" s="3"/>
      <c r="AP89" s="3"/>
      <c r="AQ89" s="3"/>
    </row>
    <row r="90" spans="1:43">
      <c r="A90" s="21" t="s">
        <v>590</v>
      </c>
      <c r="B90" s="22">
        <f t="shared" ref="B90:Z90" si="77">B89/B15</f>
        <v>9.5908539302093629E-2</v>
      </c>
      <c r="C90" s="22">
        <f t="shared" si="77"/>
        <v>5.7752981164999072E-2</v>
      </c>
      <c r="D90" s="22">
        <f t="shared" si="77"/>
        <v>5.6523486129524417E-2</v>
      </c>
      <c r="E90" s="22">
        <f t="shared" si="77"/>
        <v>6.5229284768164073E-2</v>
      </c>
      <c r="F90" s="22">
        <f t="shared" si="77"/>
        <v>0.14178268821601717</v>
      </c>
      <c r="G90" s="22">
        <f t="shared" si="77"/>
        <v>0.16003687068321271</v>
      </c>
      <c r="H90" s="22">
        <f t="shared" si="77"/>
        <v>0.1748475335296881</v>
      </c>
      <c r="I90" s="22">
        <f t="shared" si="77"/>
        <v>0.17862603717985992</v>
      </c>
      <c r="J90" s="22">
        <f t="shared" si="77"/>
        <v>0.20107628927438123</v>
      </c>
      <c r="K90" s="22">
        <f t="shared" si="77"/>
        <v>0.20920595567198558</v>
      </c>
      <c r="L90" s="22">
        <f t="shared" si="77"/>
        <v>0.21022063446109981</v>
      </c>
      <c r="M90" s="22">
        <f t="shared" si="77"/>
        <v>0.2123873769645622</v>
      </c>
      <c r="N90" s="22">
        <f t="shared" si="77"/>
        <v>0.16070184718759586</v>
      </c>
      <c r="O90" s="22">
        <f t="shared" si="77"/>
        <v>7.0848793724884382E-2</v>
      </c>
      <c r="P90" s="22">
        <f t="shared" si="77"/>
        <v>-1.0066329458216793E-2</v>
      </c>
      <c r="Q90" s="22">
        <f t="shared" si="77"/>
        <v>7.1902009805323686E-2</v>
      </c>
      <c r="R90" s="1242">
        <f t="shared" si="77"/>
        <v>9.3522045329514469E-2</v>
      </c>
      <c r="S90" s="1242">
        <f t="shared" si="77"/>
        <v>0.10358502249175919</v>
      </c>
      <c r="T90" s="1242">
        <f t="shared" si="77"/>
        <v>0.11211453292197725</v>
      </c>
      <c r="U90" s="1242">
        <f t="shared" si="77"/>
        <v>8.2616760703733111E-2</v>
      </c>
      <c r="V90" s="673">
        <f t="shared" si="77"/>
        <v>6.8072688695743566E-2</v>
      </c>
      <c r="W90" s="22">
        <f t="shared" si="77"/>
        <v>6.5648476483785786E-2</v>
      </c>
      <c r="X90" s="22">
        <f t="shared" si="77"/>
        <v>6.7725053605824481E-2</v>
      </c>
      <c r="Y90" s="22">
        <f t="shared" si="77"/>
        <v>6.3604686162990393E-2</v>
      </c>
      <c r="Z90" s="22">
        <f t="shared" si="77"/>
        <v>6.5663725437714912E-2</v>
      </c>
      <c r="AA90" s="22">
        <f>AA89/AA15</f>
        <v>7.6900000000000052E-2</v>
      </c>
      <c r="AB90" s="22">
        <f>AB89/AB15</f>
        <v>8.1099999999999922E-2</v>
      </c>
      <c r="AC90" s="22">
        <f>AC89/AC15</f>
        <v>8.500000000000002E-2</v>
      </c>
      <c r="AD90" s="22">
        <f>AD89/AD15</f>
        <v>8.7800000000000072E-2</v>
      </c>
      <c r="AE90" s="103"/>
      <c r="AF90" s="4"/>
      <c r="AG90" s="4"/>
      <c r="AH90" s="4"/>
      <c r="AI90" s="128"/>
      <c r="AJ90" s="104"/>
      <c r="AK90" s="3"/>
      <c r="AL90" s="3"/>
      <c r="AM90" s="3"/>
      <c r="AN90" s="3"/>
      <c r="AO90" s="3"/>
      <c r="AP90" s="3"/>
      <c r="AQ90" s="3"/>
    </row>
    <row r="91" spans="1:43" ht="13.5" customHeight="1">
      <c r="A91" s="17"/>
      <c r="B91" s="3"/>
      <c r="C91" s="3"/>
      <c r="D91" s="3"/>
      <c r="E91" s="3"/>
      <c r="F91" s="3"/>
      <c r="G91" s="3"/>
      <c r="H91" s="3"/>
      <c r="I91" s="3"/>
      <c r="J91" s="3"/>
      <c r="K91" s="3"/>
      <c r="L91" s="3"/>
      <c r="M91" s="3"/>
      <c r="N91" s="3"/>
      <c r="O91" s="3"/>
      <c r="P91" s="3"/>
      <c r="Q91" s="3"/>
      <c r="R91" s="1248"/>
      <c r="S91" s="1248"/>
      <c r="T91" s="1248"/>
      <c r="U91" s="1248"/>
      <c r="V91" s="17"/>
      <c r="W91" s="3"/>
      <c r="X91" s="3"/>
      <c r="Y91" s="3"/>
      <c r="Z91" s="3"/>
      <c r="AA91" s="3"/>
      <c r="AB91" s="3"/>
      <c r="AC91" s="3"/>
      <c r="AD91" s="3"/>
      <c r="AE91" s="56"/>
      <c r="AF91" s="56"/>
      <c r="AG91" s="56"/>
      <c r="AH91" s="56"/>
      <c r="AI91" s="55"/>
      <c r="AJ91" s="56"/>
      <c r="AK91" s="3"/>
      <c r="AL91" s="3"/>
      <c r="AM91" s="3"/>
      <c r="AN91" s="3"/>
      <c r="AO91" s="3"/>
      <c r="AP91" s="3"/>
      <c r="AQ91" s="3"/>
    </row>
    <row r="92" spans="1:43">
      <c r="A92" s="156" t="s">
        <v>34</v>
      </c>
      <c r="B92" s="3"/>
      <c r="C92" s="3"/>
      <c r="D92" s="3"/>
      <c r="E92" s="24"/>
      <c r="F92" s="3"/>
      <c r="G92" s="3"/>
      <c r="H92" s="3"/>
      <c r="I92" s="3"/>
      <c r="J92" s="3"/>
      <c r="K92" s="3"/>
      <c r="AE92" s="3"/>
      <c r="AF92" s="3"/>
      <c r="AG92" s="3"/>
      <c r="AH92" s="3"/>
      <c r="AI92" s="9"/>
      <c r="AJ92" s="3"/>
      <c r="AK92" s="3"/>
      <c r="AL92" s="3"/>
      <c r="AM92" s="3"/>
      <c r="AN92" s="3"/>
      <c r="AO92" s="3"/>
      <c r="AP92" s="3"/>
      <c r="AQ92" s="3"/>
    </row>
    <row r="93" spans="1:43">
      <c r="A93" s="156" t="s">
        <v>49</v>
      </c>
      <c r="B93" s="156"/>
      <c r="C93" s="156"/>
      <c r="D93" s="156"/>
      <c r="E93" s="157"/>
      <c r="F93" s="156"/>
      <c r="G93" s="156"/>
      <c r="H93" s="156"/>
      <c r="I93" s="156"/>
      <c r="J93" s="156"/>
      <c r="K93" s="156"/>
      <c r="L93" s="135"/>
      <c r="M93" s="135"/>
      <c r="N93" s="135"/>
      <c r="O93" s="135"/>
      <c r="P93" s="135"/>
      <c r="Q93" s="135"/>
      <c r="R93" s="1275"/>
      <c r="S93" s="1275"/>
      <c r="T93" s="1275"/>
      <c r="U93" s="1275"/>
      <c r="V93" s="222"/>
      <c r="W93" s="135"/>
      <c r="X93" s="135"/>
      <c r="Y93" s="135"/>
      <c r="Z93" s="135"/>
      <c r="AA93" s="135"/>
      <c r="AB93" s="135"/>
      <c r="AC93" s="135"/>
      <c r="AD93" s="135"/>
      <c r="AE93" s="156"/>
      <c r="AF93" s="156"/>
      <c r="AG93" s="156"/>
      <c r="AH93" s="156"/>
      <c r="AI93" s="158"/>
      <c r="AJ93" s="156"/>
      <c r="AK93" s="156"/>
      <c r="AL93" s="156"/>
      <c r="AM93" s="156"/>
      <c r="AN93" s="156"/>
      <c r="AO93" s="156"/>
      <c r="AP93" s="156"/>
      <c r="AQ93" s="156"/>
    </row>
    <row r="94" spans="1:43" ht="12.75" customHeight="1">
      <c r="A94" s="3"/>
      <c r="B94" s="3"/>
      <c r="C94" s="3"/>
      <c r="D94" s="3"/>
      <c r="E94" s="24"/>
      <c r="F94" s="3"/>
      <c r="G94" s="3"/>
      <c r="H94" s="3"/>
      <c r="I94" s="3"/>
      <c r="J94" s="3"/>
      <c r="K94" s="3"/>
      <c r="AE94" s="3"/>
      <c r="AF94" s="3"/>
      <c r="AG94" s="3"/>
      <c r="AH94" s="3"/>
      <c r="AI94" s="9"/>
      <c r="AJ94" s="3"/>
      <c r="AK94" s="3"/>
      <c r="AL94" s="3"/>
      <c r="AM94" s="3"/>
      <c r="AN94" s="3"/>
      <c r="AO94" s="3"/>
      <c r="AP94" s="3"/>
      <c r="AQ94" s="3"/>
    </row>
    <row r="95" spans="1:43">
      <c r="A95" s="675" t="s">
        <v>700</v>
      </c>
      <c r="B95" s="3"/>
      <c r="C95" s="3"/>
      <c r="D95" s="3"/>
      <c r="E95" s="24"/>
      <c r="F95" s="3"/>
      <c r="G95" s="3"/>
      <c r="H95" s="3"/>
      <c r="I95" s="3"/>
      <c r="J95" s="3"/>
      <c r="K95" s="3"/>
      <c r="AE95" s="3"/>
      <c r="AF95" s="3"/>
      <c r="AG95" s="3"/>
      <c r="AH95" s="3"/>
      <c r="AI95" s="9"/>
      <c r="AJ95" s="3"/>
      <c r="AK95" s="3"/>
      <c r="AL95" s="3"/>
      <c r="AM95" s="3"/>
      <c r="AN95" s="3"/>
      <c r="AO95" s="3"/>
      <c r="AP95" s="3"/>
      <c r="AQ95" s="3"/>
    </row>
    <row r="96" spans="1:43">
      <c r="A96" s="3"/>
      <c r="B96" s="3"/>
      <c r="C96" s="3"/>
      <c r="D96" s="3"/>
      <c r="E96" s="24"/>
      <c r="F96" s="3"/>
      <c r="G96" s="3"/>
      <c r="H96" s="3"/>
      <c r="I96" s="3"/>
      <c r="J96" s="3"/>
      <c r="K96" s="3"/>
      <c r="AE96" s="3"/>
      <c r="AF96" s="3"/>
      <c r="AG96" s="3"/>
      <c r="AH96" s="3"/>
      <c r="AI96" s="9"/>
      <c r="AJ96" s="3"/>
      <c r="AK96" s="3"/>
      <c r="AL96" s="3"/>
      <c r="AM96" s="3"/>
      <c r="AN96" s="3"/>
      <c r="AO96" s="3"/>
      <c r="AP96" s="3"/>
      <c r="AQ96" s="3"/>
    </row>
    <row r="97" spans="1:30">
      <c r="A97" s="17" t="s">
        <v>219</v>
      </c>
      <c r="B97" s="3"/>
      <c r="C97" s="3"/>
      <c r="D97" s="3"/>
      <c r="E97" s="3"/>
      <c r="F97" s="3"/>
      <c r="G97" s="3"/>
      <c r="H97" s="3"/>
      <c r="I97" s="3"/>
      <c r="J97" s="3"/>
      <c r="K97" s="251">
        <f t="shared" ref="K97:Y97" si="78">K7/(K62*0.8)</f>
        <v>881.46516784869971</v>
      </c>
      <c r="L97" s="251">
        <f t="shared" si="78"/>
        <v>934.73551863493492</v>
      </c>
      <c r="M97" s="251">
        <f t="shared" si="78"/>
        <v>1007.3065881486935</v>
      </c>
      <c r="N97" s="251">
        <f t="shared" si="78"/>
        <v>922.16608594657373</v>
      </c>
      <c r="O97" s="251">
        <f t="shared" si="78"/>
        <v>754.00964187327804</v>
      </c>
      <c r="P97" s="251">
        <f t="shared" si="78"/>
        <v>605.00434900663174</v>
      </c>
      <c r="Q97" s="251">
        <f t="shared" si="78"/>
        <v>619.33578831965747</v>
      </c>
      <c r="R97" s="1276">
        <f t="shared" si="78"/>
        <v>654.18248783337572</v>
      </c>
      <c r="S97" s="1276">
        <f t="shared" si="78"/>
        <v>676.09689260822563</v>
      </c>
      <c r="T97" s="1276">
        <f t="shared" si="78"/>
        <v>697.8750886230514</v>
      </c>
      <c r="U97" s="1276">
        <f t="shared" si="78"/>
        <v>627.29606318219555</v>
      </c>
      <c r="V97" s="1286">
        <f t="shared" si="78"/>
        <v>580.77728340478677</v>
      </c>
      <c r="W97" s="251">
        <f t="shared" si="78"/>
        <v>558.60797546053959</v>
      </c>
      <c r="X97" s="251">
        <f t="shared" si="78"/>
        <v>552.2826870300886</v>
      </c>
      <c r="Y97" s="251">
        <f t="shared" si="78"/>
        <v>506.1994517677457</v>
      </c>
      <c r="Z97" s="251">
        <f>Z7/(Z62*0.8)</f>
        <v>485.71988998002291</v>
      </c>
      <c r="AA97" s="251">
        <f>AA7/(AA62*0.8)</f>
        <v>475.23136472575442</v>
      </c>
      <c r="AB97" s="251">
        <f>AB7/(AB62*0.8)</f>
        <v>468.7646378717302</v>
      </c>
      <c r="AC97" s="251">
        <f>AC7/(AC62*0.8)</f>
        <v>462.37677809833093</v>
      </c>
      <c r="AD97" s="251">
        <f>AD7/(AD62*0.8)</f>
        <v>456.06686327479719</v>
      </c>
    </row>
    <row r="98" spans="1:30">
      <c r="A98" s="17"/>
      <c r="B98" s="3"/>
      <c r="C98" s="3"/>
      <c r="D98" s="3"/>
      <c r="E98" s="3"/>
      <c r="F98" s="3"/>
      <c r="G98" s="3"/>
      <c r="H98" s="3"/>
      <c r="I98" s="3"/>
      <c r="J98" s="3"/>
      <c r="K98" s="251"/>
      <c r="L98" s="251"/>
      <c r="M98" s="251"/>
      <c r="N98" s="251"/>
      <c r="O98" s="251"/>
      <c r="P98" s="251"/>
      <c r="Q98" s="251"/>
      <c r="R98" s="1276"/>
      <c r="S98" s="1276"/>
      <c r="T98" s="1276"/>
      <c r="U98" s="1276"/>
      <c r="V98" s="1286"/>
      <c r="W98" s="251"/>
      <c r="X98" s="251"/>
      <c r="Y98" s="251"/>
      <c r="Z98" s="251"/>
      <c r="AA98" s="251"/>
      <c r="AB98" s="251"/>
      <c r="AC98" s="251"/>
      <c r="AD98" s="251"/>
    </row>
    <row r="99" spans="1:30">
      <c r="A99" s="26" t="s">
        <v>288</v>
      </c>
      <c r="L99" s="236">
        <f>+(L7/K7)-1</f>
        <v>0.39573654079909493</v>
      </c>
      <c r="M99" s="236">
        <f t="shared" ref="M99:R99" si="79">+(M7/L7)-1</f>
        <v>0.31474748949874543</v>
      </c>
      <c r="N99" s="236">
        <f t="shared" si="79"/>
        <v>0.16043541996425081</v>
      </c>
      <c r="O99" s="236">
        <f t="shared" si="79"/>
        <v>3.4171300465374088E-2</v>
      </c>
      <c r="P99" s="236">
        <f t="shared" si="79"/>
        <v>-7.9416258228887093E-2</v>
      </c>
      <c r="Q99" s="236">
        <f t="shared" si="79"/>
        <v>6.8136733842082187E-2</v>
      </c>
      <c r="R99" s="1239">
        <f t="shared" si="79"/>
        <v>9.4594203884883932E-2</v>
      </c>
      <c r="S99" s="1239">
        <f t="shared" ref="S99:AD99" si="80">+(S7/R7)-1</f>
        <v>0.1114117695735195</v>
      </c>
      <c r="T99" s="1239">
        <f t="shared" si="80"/>
        <v>0.11862788339565844</v>
      </c>
      <c r="U99" s="1239">
        <f t="shared" si="80"/>
        <v>-2.6860580750271423E-2</v>
      </c>
      <c r="V99" s="754">
        <f t="shared" si="80"/>
        <v>-1.5216733569891838E-2</v>
      </c>
      <c r="W99" s="236">
        <f t="shared" si="80"/>
        <v>-2.4158585673782929E-2</v>
      </c>
      <c r="X99" s="236">
        <f t="shared" si="80"/>
        <v>-2.3945890254922442E-2</v>
      </c>
      <c r="Y99" s="236">
        <f t="shared" si="80"/>
        <v>-0.10110847437905557</v>
      </c>
      <c r="Z99" s="236">
        <f t="shared" si="80"/>
        <v>-6.7185728494517982E-2</v>
      </c>
      <c r="AA99" s="236">
        <f t="shared" si="80"/>
        <v>-3.8190750808796747E-2</v>
      </c>
      <c r="AB99" s="236">
        <f t="shared" si="80"/>
        <v>-1.8875581946660169E-2</v>
      </c>
      <c r="AC99" s="236">
        <f t="shared" si="80"/>
        <v>-1.8923238484653382E-2</v>
      </c>
      <c r="AD99" s="236">
        <f t="shared" si="80"/>
        <v>-1.8971409559303432E-2</v>
      </c>
    </row>
    <row r="100" spans="1:30">
      <c r="A100" s="26" t="s">
        <v>289</v>
      </c>
      <c r="L100" s="236">
        <f>+(L11/K11)-1</f>
        <v>0.16345627859665823</v>
      </c>
      <c r="M100" s="236">
        <f t="shared" ref="M100:R100" si="81">+(M11/L11)-1</f>
        <v>0.3639587971173075</v>
      </c>
      <c r="N100" s="236">
        <f t="shared" si="81"/>
        <v>0.46496445268195541</v>
      </c>
      <c r="O100" s="236">
        <f t="shared" si="81"/>
        <v>0.36136865759012027</v>
      </c>
      <c r="P100" s="236">
        <f t="shared" si="81"/>
        <v>-2.0847782062307529E-2</v>
      </c>
      <c r="Q100" s="236">
        <f t="shared" si="81"/>
        <v>0.39292544375345284</v>
      </c>
      <c r="R100" s="1239">
        <f t="shared" si="81"/>
        <v>0.39744634183548944</v>
      </c>
      <c r="S100" s="1239">
        <f t="shared" ref="S100:AD100" si="82">+(S11/R11)-1</f>
        <v>0.39999999999999991</v>
      </c>
      <c r="T100" s="1239">
        <f t="shared" si="82"/>
        <v>0.35000000000000009</v>
      </c>
      <c r="U100" s="1239">
        <f t="shared" si="82"/>
        <v>0.35000000000000009</v>
      </c>
      <c r="V100" s="754">
        <f t="shared" si="82"/>
        <v>0.10825348485229402</v>
      </c>
      <c r="W100" s="236">
        <f t="shared" si="82"/>
        <v>0.12600568112065869</v>
      </c>
      <c r="X100" s="236">
        <f t="shared" si="82"/>
        <v>7.5445838196654735E-2</v>
      </c>
      <c r="Y100" s="236">
        <f t="shared" si="82"/>
        <v>1.8663880800284138E-2</v>
      </c>
      <c r="Z100" s="236">
        <f t="shared" si="82"/>
        <v>5.0000000000000044E-2</v>
      </c>
      <c r="AA100" s="236">
        <f t="shared" si="82"/>
        <v>5.0000000000000044E-2</v>
      </c>
      <c r="AB100" s="236">
        <f t="shared" si="82"/>
        <v>5.0000000000000044E-2</v>
      </c>
      <c r="AC100" s="236">
        <f t="shared" si="82"/>
        <v>5.0000000000000044E-2</v>
      </c>
      <c r="AD100" s="236">
        <f t="shared" si="82"/>
        <v>5.0000000000000044E-2</v>
      </c>
    </row>
    <row r="101" spans="1:30">
      <c r="A101" s="26" t="s">
        <v>290</v>
      </c>
      <c r="T101" s="1239">
        <f>+(T13/S13)-1</f>
        <v>2.1355992300678754</v>
      </c>
      <c r="U101" s="1239">
        <f>+(U13/T13)-1</f>
        <v>-0.21717848892622327</v>
      </c>
      <c r="V101" s="754">
        <f>+(V13/U13)-1</f>
        <v>-1.1504570874347642E-2</v>
      </c>
      <c r="W101" s="236">
        <f>+(W13/V13)-1</f>
        <v>-0.15479682264647243</v>
      </c>
      <c r="X101" s="236">
        <f>+(X13/W13)-1</f>
        <v>-1</v>
      </c>
      <c r="Y101" s="236"/>
      <c r="Z101" s="236"/>
      <c r="AA101" s="236"/>
      <c r="AB101" s="236"/>
      <c r="AC101" s="236"/>
      <c r="AD101" s="236"/>
    </row>
    <row r="103" spans="1:30">
      <c r="A103" s="26" t="s">
        <v>291</v>
      </c>
      <c r="S103" s="1239">
        <f t="shared" ref="S103:Y103" si="83">(S11+S13)/S15</f>
        <v>0.10556345292210749</v>
      </c>
      <c r="T103" s="1239">
        <f t="shared" si="83"/>
        <v>0.14858537272559266</v>
      </c>
      <c r="U103" s="1239">
        <f t="shared" si="83"/>
        <v>0.17305041540428465</v>
      </c>
      <c r="V103" s="754">
        <f t="shared" si="83"/>
        <v>0.18698480582040772</v>
      </c>
      <c r="W103" s="236">
        <f t="shared" si="83"/>
        <v>0.20146310245703858</v>
      </c>
      <c r="X103" s="236">
        <f t="shared" si="83"/>
        <v>0.19</v>
      </c>
      <c r="Y103" s="236">
        <f t="shared" si="83"/>
        <v>0.21</v>
      </c>
      <c r="Z103" s="236">
        <f>(Z11+Z13)/Z15</f>
        <v>0.23030566090803464</v>
      </c>
      <c r="AA103" s="236">
        <f>(AA11+AA13)/AA15</f>
        <v>0.24622339903856341</v>
      </c>
      <c r="AB103" s="236">
        <f>(AB11+AB13)/AB15</f>
        <v>0.25903108029595606</v>
      </c>
      <c r="AC103" s="236">
        <f>(AC11+AC13)/AC15</f>
        <v>0.2722739613402349</v>
      </c>
      <c r="AD103" s="236">
        <f>(AD11+AD13)/AD15</f>
        <v>0.28594264350670917</v>
      </c>
    </row>
  </sheetData>
  <phoneticPr fontId="0" type="noConversion"/>
  <dataValidations disablePrompts="1" count="1">
    <dataValidation type="custom" allowBlank="1" showInputMessage="1" showErrorMessage="1" sqref="A63 AI4:AI5">
      <formula1>-1</formula1>
    </dataValidation>
  </dataValidations>
  <printOptions horizontalCentered="1"/>
  <pageMargins left="0.18" right="0.19" top="0.25" bottom="0.25" header="0.5" footer="0.5"/>
  <pageSetup scale="72" orientation="landscape" r:id="rId1"/>
  <headerFooter alignWithMargins="0">
    <oddFooter>&amp;R&amp;8&amp;D/&amp;T
&amp;F/&amp;A</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I89"/>
  <sheetViews>
    <sheetView view="pageBreakPreview" topLeftCell="A2" zoomScaleNormal="100" zoomScaleSheetLayoutView="100" workbookViewId="0">
      <selection activeCell="A2" sqref="A2"/>
    </sheetView>
  </sheetViews>
  <sheetFormatPr defaultRowHeight="12.75" outlineLevelRow="1" outlineLevelCol="1"/>
  <cols>
    <col min="1" max="1" width="29.5703125" style="26" customWidth="1"/>
    <col min="2" max="3" width="8.85546875" style="26" hidden="1" customWidth="1" outlineLevel="1"/>
    <col min="4" max="4" width="9.140625" style="26" hidden="1" customWidth="1" outlineLevel="1"/>
    <col min="5" max="7" width="8.7109375" style="26" hidden="1" customWidth="1" outlineLevel="1" collapsed="1"/>
    <col min="8" max="8" width="8.7109375" style="26" hidden="1" customWidth="1" outlineLevel="1"/>
    <col min="9" max="9" width="8.7109375" style="26" hidden="1" customWidth="1" outlineLevel="1" collapsed="1"/>
    <col min="10" max="11" width="8.7109375" style="26" hidden="1" customWidth="1" outlineLevel="1"/>
    <col min="12" max="16" width="8.85546875" style="26" hidden="1" customWidth="1" outlineLevel="1"/>
    <col min="17" max="17" width="9.42578125" style="26" hidden="1" customWidth="1" outlineLevel="1"/>
    <col min="18" max="18" width="8.85546875" style="1076" hidden="1" customWidth="1" outlineLevel="1"/>
    <col min="19" max="19" width="9" style="1076" hidden="1" customWidth="1" outlineLevel="1" collapsed="1"/>
    <col min="20" max="20" width="9.28515625" style="1076" hidden="1" customWidth="1" outlineLevel="1"/>
    <col min="21" max="21" width="8.85546875" style="1076" customWidth="1" collapsed="1"/>
    <col min="22" max="24" width="9.42578125" style="26" customWidth="1"/>
    <col min="25" max="25" width="9" style="26" customWidth="1"/>
    <col min="26" max="26" width="9.140625" style="26" customWidth="1"/>
    <col min="27" max="30" width="9" style="26" customWidth="1"/>
    <col min="31" max="31" width="1.7109375" style="26" customWidth="1"/>
    <col min="32" max="32" width="9.140625" style="26"/>
    <col min="33" max="33" width="2.140625" style="26" customWidth="1"/>
    <col min="34" max="34" width="8.7109375" style="26" customWidth="1"/>
    <col min="35" max="35" width="2.5703125" style="26" customWidth="1"/>
    <col min="36" max="36" width="10.85546875" style="26" customWidth="1"/>
    <col min="37" max="38" width="7" style="26" customWidth="1"/>
    <col min="39" max="16384" width="9.140625" style="26"/>
  </cols>
  <sheetData>
    <row r="1" spans="1:35">
      <c r="A1" s="259" t="str">
        <f>+sumry!A1</f>
        <v>Chico's</v>
      </c>
      <c r="B1" s="239"/>
      <c r="C1" s="239"/>
      <c r="D1" s="239"/>
      <c r="E1" s="240"/>
      <c r="F1" s="240"/>
      <c r="G1" s="240"/>
      <c r="H1" s="240"/>
      <c r="I1" s="240"/>
      <c r="J1" s="240"/>
      <c r="K1" s="240"/>
      <c r="L1" s="240"/>
      <c r="M1" s="240"/>
      <c r="N1" s="240"/>
      <c r="O1" s="240"/>
      <c r="P1" s="240"/>
      <c r="Q1" s="240"/>
      <c r="R1" s="1217"/>
      <c r="S1" s="1217"/>
      <c r="T1" s="1217"/>
      <c r="U1" s="1217"/>
      <c r="V1" s="240"/>
      <c r="W1" s="240"/>
      <c r="X1" s="240"/>
      <c r="Y1" s="240"/>
      <c r="Z1" s="240"/>
      <c r="AA1" s="240"/>
      <c r="AB1" s="240"/>
      <c r="AC1" s="240"/>
      <c r="AD1" s="240"/>
      <c r="AE1" s="239"/>
      <c r="AF1" s="240"/>
      <c r="AG1" s="240"/>
      <c r="AH1" s="240"/>
      <c r="AI1" s="240"/>
    </row>
    <row r="2" spans="1:35">
      <c r="A2" s="264" t="s">
        <v>532</v>
      </c>
      <c r="B2" s="265"/>
      <c r="C2" s="265"/>
      <c r="D2" s="265"/>
      <c r="E2" s="266"/>
      <c r="F2" s="266"/>
      <c r="G2" s="266"/>
      <c r="H2" s="266"/>
      <c r="I2" s="266"/>
      <c r="J2" s="266"/>
      <c r="K2" s="266"/>
      <c r="L2" s="266"/>
      <c r="M2" s="266"/>
      <c r="N2" s="266"/>
      <c r="O2" s="266"/>
      <c r="P2" s="266"/>
      <c r="Q2" s="266"/>
      <c r="R2" s="1218"/>
      <c r="S2" s="1218"/>
      <c r="T2" s="1218"/>
      <c r="U2" s="1218"/>
      <c r="V2" s="266"/>
      <c r="W2" s="266"/>
      <c r="X2" s="266"/>
      <c r="Y2" s="266"/>
      <c r="Z2" s="266"/>
      <c r="AA2" s="266"/>
      <c r="AB2" s="266"/>
      <c r="AC2" s="266"/>
      <c r="AD2" s="266"/>
      <c r="AE2" s="265"/>
      <c r="AF2" s="266"/>
      <c r="AG2" s="266"/>
      <c r="AH2" s="266"/>
      <c r="AI2" s="266"/>
    </row>
    <row r="3" spans="1:35">
      <c r="A3" s="828" t="s">
        <v>596</v>
      </c>
      <c r="S3" s="1076">
        <v>2011</v>
      </c>
      <c r="V3" s="1076"/>
      <c r="W3" s="1076"/>
      <c r="X3" s="1076"/>
      <c r="Y3" s="1076"/>
      <c r="Z3" s="1076"/>
      <c r="AA3" s="1076"/>
      <c r="AB3" s="1076"/>
      <c r="AC3" s="1076"/>
      <c r="AD3" s="1076"/>
    </row>
    <row r="4" spans="1:35">
      <c r="A4" s="240"/>
      <c r="B4" s="267"/>
      <c r="C4" s="267"/>
      <c r="D4" s="267"/>
      <c r="E4" s="267"/>
      <c r="F4" s="267"/>
      <c r="G4" s="267"/>
      <c r="H4" s="267"/>
      <c r="I4" s="267"/>
      <c r="J4" s="267"/>
      <c r="K4" s="267"/>
      <c r="L4" s="267"/>
      <c r="M4" s="267"/>
      <c r="N4" s="267"/>
      <c r="O4" s="267"/>
      <c r="P4" s="267"/>
      <c r="Q4" s="267"/>
      <c r="R4" s="1219"/>
      <c r="S4" s="1219"/>
      <c r="T4" s="1219"/>
      <c r="U4" s="1219"/>
      <c r="V4" s="1204" t="s">
        <v>762</v>
      </c>
      <c r="W4" s="1215"/>
      <c r="X4" s="1216"/>
      <c r="Y4" s="1216"/>
      <c r="Z4" s="1216"/>
      <c r="AA4" s="1216"/>
      <c r="AB4" s="1216"/>
      <c r="AC4" s="1216"/>
      <c r="AD4" s="1216"/>
      <c r="AE4" s="268"/>
      <c r="AF4" s="269"/>
      <c r="AG4" s="270" t="s">
        <v>378</v>
      </c>
      <c r="AH4" s="193"/>
      <c r="AI4" s="271"/>
    </row>
    <row r="5" spans="1:35">
      <c r="A5" s="272"/>
      <c r="B5" s="273">
        <v>1994</v>
      </c>
      <c r="C5" s="273">
        <v>1995</v>
      </c>
      <c r="D5" s="54">
        <f t="shared" ref="D5:M5" si="0">C5+1</f>
        <v>1996</v>
      </c>
      <c r="E5" s="274" t="s">
        <v>36</v>
      </c>
      <c r="F5" s="54">
        <v>1998</v>
      </c>
      <c r="G5" s="54">
        <f t="shared" si="0"/>
        <v>1999</v>
      </c>
      <c r="H5" s="54">
        <f t="shared" si="0"/>
        <v>2000</v>
      </c>
      <c r="I5" s="54">
        <f t="shared" si="0"/>
        <v>2001</v>
      </c>
      <c r="J5" s="54">
        <f t="shared" si="0"/>
        <v>2002</v>
      </c>
      <c r="K5" s="54">
        <f t="shared" si="0"/>
        <v>2003</v>
      </c>
      <c r="L5" s="54">
        <f t="shared" si="0"/>
        <v>2004</v>
      </c>
      <c r="M5" s="54">
        <f t="shared" si="0"/>
        <v>2005</v>
      </c>
      <c r="N5" s="54">
        <f t="shared" ref="N5:S5" si="1">M5+1</f>
        <v>2006</v>
      </c>
      <c r="O5" s="54">
        <f t="shared" si="1"/>
        <v>2007</v>
      </c>
      <c r="P5" s="54">
        <f t="shared" si="1"/>
        <v>2008</v>
      </c>
      <c r="Q5" s="54">
        <f t="shared" si="1"/>
        <v>2009</v>
      </c>
      <c r="R5" s="1220">
        <f t="shared" si="1"/>
        <v>2010</v>
      </c>
      <c r="S5" s="1220">
        <f t="shared" si="1"/>
        <v>2011</v>
      </c>
      <c r="T5" s="1220">
        <f t="shared" ref="T5:Y5" si="2">S5+1</f>
        <v>2012</v>
      </c>
      <c r="U5" s="54">
        <f t="shared" si="2"/>
        <v>2013</v>
      </c>
      <c r="V5" s="54">
        <f t="shared" si="2"/>
        <v>2014</v>
      </c>
      <c r="W5" s="54">
        <f t="shared" si="2"/>
        <v>2015</v>
      </c>
      <c r="X5" s="54">
        <f t="shared" si="2"/>
        <v>2016</v>
      </c>
      <c r="Y5" s="194">
        <f t="shared" si="2"/>
        <v>2017</v>
      </c>
      <c r="Z5" s="194">
        <f>Y5+1</f>
        <v>2018</v>
      </c>
      <c r="AA5" s="194">
        <f>Z5+1</f>
        <v>2019</v>
      </c>
      <c r="AB5" s="194">
        <f>AA5+1</f>
        <v>2020</v>
      </c>
      <c r="AC5" s="194">
        <f>AB5+1</f>
        <v>2021</v>
      </c>
      <c r="AD5" s="194">
        <f>AC5+1</f>
        <v>2022</v>
      </c>
      <c r="AE5" s="275"/>
      <c r="AF5" s="252" t="s">
        <v>799</v>
      </c>
      <c r="AG5" s="231"/>
      <c r="AH5" s="252" t="s">
        <v>797</v>
      </c>
      <c r="AI5" s="276"/>
    </row>
    <row r="6" spans="1:35">
      <c r="A6" s="240"/>
      <c r="B6" s="267"/>
      <c r="C6" s="267"/>
      <c r="D6" s="267"/>
      <c r="E6" s="240"/>
      <c r="F6" s="240"/>
      <c r="G6" s="240"/>
      <c r="H6" s="240"/>
      <c r="I6" s="240"/>
      <c r="J6" s="240"/>
      <c r="K6" s="240"/>
      <c r="L6" s="240"/>
      <c r="M6" s="240"/>
      <c r="N6" s="240"/>
      <c r="O6" s="240"/>
      <c r="P6" s="240"/>
      <c r="Q6" s="240"/>
      <c r="R6" s="1217"/>
      <c r="S6" s="1217"/>
      <c r="T6" s="1217"/>
      <c r="U6" s="240"/>
      <c r="V6" s="240"/>
      <c r="W6" s="240"/>
      <c r="X6" s="240"/>
      <c r="Y6" s="240"/>
      <c r="Z6" s="240"/>
      <c r="AA6" s="240"/>
      <c r="AB6" s="240"/>
      <c r="AC6" s="240"/>
      <c r="AD6" s="240"/>
      <c r="AE6" s="277"/>
      <c r="AF6" s="240"/>
      <c r="AG6" s="240"/>
      <c r="AH6" s="240"/>
      <c r="AI6" s="278"/>
    </row>
    <row r="7" spans="1:35">
      <c r="A7" s="240" t="s">
        <v>597</v>
      </c>
      <c r="B7" s="279">
        <f>'qtrP&amp;L'!D14</f>
        <v>59.271447999999999</v>
      </c>
      <c r="C7" s="279">
        <f>'qtrP&amp;L'!H14</f>
        <v>60.343188000000005</v>
      </c>
      <c r="D7" s="279">
        <f>'qtrP&amp;L'!L14</f>
        <v>64.072604999999996</v>
      </c>
      <c r="E7" s="279">
        <f>'qtrP&amp;L'!P14</f>
        <v>75.339151999999999</v>
      </c>
      <c r="F7" s="279">
        <f>'qtrP&amp;L'!T14</f>
        <v>106.74159300000001</v>
      </c>
      <c r="G7" s="279">
        <f>'qtrP&amp;L'!X14</f>
        <v>155.00228100000001</v>
      </c>
      <c r="H7" s="279">
        <f>yrSales!H15</f>
        <v>259.44589599999995</v>
      </c>
      <c r="I7" s="279">
        <f>+'qtrP&amp;L'!AF14</f>
        <v>378.08533999999997</v>
      </c>
      <c r="J7" s="279">
        <f>+'qtrP&amp;L'!AJ14</f>
        <v>531.10814500000004</v>
      </c>
      <c r="K7" s="279">
        <f>+'qtrP&amp;L'!AN14</f>
        <v>768.49907299999995</v>
      </c>
      <c r="L7" s="279">
        <f>+'qtrP&amp;L'!AR14</f>
        <v>1066.8820000000001</v>
      </c>
      <c r="M7" s="279">
        <f>+'qtrP&amp;L'!AV14</f>
        <v>1404.575</v>
      </c>
      <c r="N7" s="279">
        <f>+'qtrP&amp;L'!AZ14</f>
        <v>1640.9270000000001</v>
      </c>
      <c r="O7" s="279">
        <f>'qtrP&amp;L'!BD14</f>
        <v>1714.327</v>
      </c>
      <c r="P7" s="279">
        <f>'qtrP&amp;L'!BH14</f>
        <v>1582.404</v>
      </c>
      <c r="Q7" s="279">
        <f>'qtrP&amp;L'!BL14</f>
        <v>1713.1510000000001</v>
      </c>
      <c r="R7" s="1221">
        <f>'qtrP&amp;L'!BP14</f>
        <v>1904.9839999999999</v>
      </c>
      <c r="S7" s="1221">
        <f>'qtrP&amp;L'!$BT$14</f>
        <v>2196.36</v>
      </c>
      <c r="T7" s="1221">
        <f>'qtrP&amp;L'!$BX$14</f>
        <v>2581.0569999999998</v>
      </c>
      <c r="U7" s="279">
        <f>'qtrP&amp;L'!CB14</f>
        <v>2586.0369999999998</v>
      </c>
      <c r="V7" s="279">
        <f>'qtrP&amp;L'!CF14</f>
        <v>2590.3340000000003</v>
      </c>
      <c r="W7" s="279">
        <f>'qtrP&amp;L'!CJ14</f>
        <v>2573.5860000000002</v>
      </c>
      <c r="X7" s="279">
        <f>'qtrP&amp;L'!CN14</f>
        <v>2476.41</v>
      </c>
      <c r="Y7" s="279">
        <f>'qtrP&amp;L'!CR14</f>
        <v>2282.3789999999999</v>
      </c>
      <c r="Z7" s="279">
        <f>'qtrP&amp;L'!CV14</f>
        <v>2185.2027758056843</v>
      </c>
      <c r="AA7" s="279">
        <f>+yrSales!AA15</f>
        <v>2146.131521367869</v>
      </c>
      <c r="AB7" s="279">
        <f>+yrSales!AB15</f>
        <v>2142.0178120702999</v>
      </c>
      <c r="AC7" s="279">
        <f>+yrSales!AC15</f>
        <v>2139.7259010729567</v>
      </c>
      <c r="AD7" s="279">
        <f>+yrSales!AD15</f>
        <v>2139.3144517685641</v>
      </c>
      <c r="AE7" s="280"/>
      <c r="AF7" s="55">
        <f>((X7/S7)^(1/5)-1)*100</f>
        <v>2.4292056345670332</v>
      </c>
      <c r="AG7" s="93" t="s">
        <v>576</v>
      </c>
      <c r="AH7" s="55">
        <f>((AD7/Y7)^(1/5)-1)*100</f>
        <v>-1.286313195017208</v>
      </c>
      <c r="AI7" s="98" t="s">
        <v>576</v>
      </c>
    </row>
    <row r="8" spans="1:35">
      <c r="A8" s="240" t="s">
        <v>598</v>
      </c>
      <c r="B8" s="239"/>
      <c r="C8" s="281">
        <f t="shared" ref="C8:W8" si="3">(C7-B7)/B7</f>
        <v>1.808189332577138E-2</v>
      </c>
      <c r="D8" s="281">
        <f t="shared" si="3"/>
        <v>6.1803446645874768E-2</v>
      </c>
      <c r="E8" s="281">
        <f t="shared" si="3"/>
        <v>0.17584031428096303</v>
      </c>
      <c r="F8" s="281">
        <f t="shared" si="3"/>
        <v>0.4168143676477804</v>
      </c>
      <c r="G8" s="281">
        <f t="shared" si="3"/>
        <v>0.45212636090225855</v>
      </c>
      <c r="H8" s="281">
        <f t="shared" si="3"/>
        <v>0.6738198581735706</v>
      </c>
      <c r="I8" s="281">
        <f t="shared" si="3"/>
        <v>0.45728009511470574</v>
      </c>
      <c r="J8" s="281">
        <f t="shared" si="3"/>
        <v>0.40473086049832047</v>
      </c>
      <c r="K8" s="281">
        <f t="shared" si="3"/>
        <v>0.44697286274907327</v>
      </c>
      <c r="L8" s="281">
        <f t="shared" si="3"/>
        <v>0.38826712677114722</v>
      </c>
      <c r="M8" s="281">
        <f t="shared" si="3"/>
        <v>0.31652328936096025</v>
      </c>
      <c r="N8" s="281">
        <f t="shared" si="3"/>
        <v>0.16827296513180148</v>
      </c>
      <c r="O8" s="281">
        <f t="shared" si="3"/>
        <v>4.473081374125714E-2</v>
      </c>
      <c r="P8" s="281">
        <f t="shared" si="3"/>
        <v>-7.6953230043043136E-2</v>
      </c>
      <c r="Q8" s="281">
        <f t="shared" si="3"/>
        <v>8.2625549480410856E-2</v>
      </c>
      <c r="R8" s="1222">
        <f t="shared" si="3"/>
        <v>0.1119767025790487</v>
      </c>
      <c r="S8" s="1222">
        <f t="shared" si="3"/>
        <v>0.15295456549766309</v>
      </c>
      <c r="T8" s="1222">
        <f>(U7-S7)/S7</f>
        <v>0.17741945764810854</v>
      </c>
      <c r="U8" s="281">
        <f>(U7-T7)/U7</f>
        <v>1.9257265073933663E-3</v>
      </c>
      <c r="V8" s="281">
        <f t="shared" si="3"/>
        <v>1.661615823749034E-3</v>
      </c>
      <c r="W8" s="281">
        <f t="shared" si="3"/>
        <v>-6.4655754817718666E-3</v>
      </c>
      <c r="X8" s="281">
        <f t="shared" ref="X8:AD8" si="4">(X7-W7)/W7</f>
        <v>-3.7758986876677281E-2</v>
      </c>
      <c r="Y8" s="281">
        <f t="shared" si="4"/>
        <v>-7.835172689498103E-2</v>
      </c>
      <c r="Z8" s="281">
        <f t="shared" si="4"/>
        <v>-4.257672551066919E-2</v>
      </c>
      <c r="AA8" s="281">
        <f t="shared" si="4"/>
        <v>-1.7879921657801147E-2</v>
      </c>
      <c r="AB8" s="281">
        <f t="shared" si="4"/>
        <v>-1.9168020489942741E-3</v>
      </c>
      <c r="AC8" s="281">
        <f t="shared" si="4"/>
        <v>-1.0699775624778728E-3</v>
      </c>
      <c r="AD8" s="281">
        <f t="shared" si="4"/>
        <v>-1.9229065937196481E-4</v>
      </c>
      <c r="AE8" s="282"/>
      <c r="AF8" s="55"/>
      <c r="AG8" s="56"/>
      <c r="AH8" s="55"/>
      <c r="AI8" s="96"/>
    </row>
    <row r="9" spans="1:35">
      <c r="A9" s="240" t="s">
        <v>368</v>
      </c>
      <c r="B9" s="281"/>
      <c r="C9" s="281">
        <f>yrSales!C74</f>
        <v>-0.10099999999999999</v>
      </c>
      <c r="D9" s="281">
        <f>yrSales!D74</f>
        <v>-1.3000000000000001E-2</v>
      </c>
      <c r="E9" s="281">
        <f>yrSales!E74</f>
        <v>0.107</v>
      </c>
      <c r="F9" s="281">
        <f>yrSales!F74</f>
        <v>0.30299999999999999</v>
      </c>
      <c r="G9" s="281">
        <f>yrSales!G74</f>
        <v>0.23300000000000001</v>
      </c>
      <c r="H9" s="281">
        <f>yrSales!H74</f>
        <v>0.34299999999999997</v>
      </c>
      <c r="I9" s="281">
        <f>yrSales!I74</f>
        <v>0.17100000000000001</v>
      </c>
      <c r="J9" s="281">
        <f>yrSales!J74</f>
        <v>0.13548378119937243</v>
      </c>
      <c r="K9" s="281">
        <f>yrSales!K74</f>
        <v>0.161</v>
      </c>
      <c r="L9" s="281">
        <f>yrSales!L74</f>
        <v>0.129</v>
      </c>
      <c r="M9" s="281">
        <f>yrSales!M74</f>
        <v>0.14300000000000002</v>
      </c>
      <c r="N9" s="281">
        <f>yrSales!N74</f>
        <v>2.1000000000000001E-2</v>
      </c>
      <c r="O9" s="281">
        <f>yrSales!O74</f>
        <v>-8.1000000000000003E-2</v>
      </c>
      <c r="P9" s="281">
        <f>yrSales!P74</f>
        <v>-0.151</v>
      </c>
      <c r="Q9" s="281">
        <f>yrSales!Q74</f>
        <v>7.5999999999999998E-2</v>
      </c>
      <c r="R9" s="1222">
        <f>yrSales!R74</f>
        <v>8.3000000000000004E-2</v>
      </c>
      <c r="S9" s="1222">
        <f>yrSales!S74</f>
        <v>8.199999999999999E-2</v>
      </c>
      <c r="T9" s="1222">
        <f>yrSales!T74</f>
        <v>7.1889904612919081E-2</v>
      </c>
      <c r="U9" s="281">
        <f>yrSales!U74</f>
        <v>-1.8102416156077713E-2</v>
      </c>
      <c r="V9" s="281">
        <f>yrSales!V74</f>
        <v>0</v>
      </c>
      <c r="W9" s="281">
        <f>yrSales!W74</f>
        <v>-1.4999999999999999E-2</v>
      </c>
      <c r="X9" s="281">
        <f>yrSales!X74</f>
        <v>-3.7000000000000005E-2</v>
      </c>
      <c r="Y9" s="281">
        <f>yrSales!Y74</f>
        <v>-7.6999999999999999E-2</v>
      </c>
      <c r="Z9" s="281">
        <f>yrSales!Z74</f>
        <v>-2.0894054329082014E-2</v>
      </c>
      <c r="AA9" s="281">
        <f>yrSales!AA74</f>
        <v>-0.01</v>
      </c>
      <c r="AB9" s="281">
        <f>yrSales!AB74</f>
        <v>-0.01</v>
      </c>
      <c r="AC9" s="281">
        <f>yrSales!AC74</f>
        <v>-0.01</v>
      </c>
      <c r="AD9" s="281">
        <f>yrSales!AD74</f>
        <v>-0.01</v>
      </c>
      <c r="AE9" s="282"/>
      <c r="AF9" s="55"/>
      <c r="AG9" s="56"/>
      <c r="AH9" s="55"/>
      <c r="AI9" s="96"/>
    </row>
    <row r="10" spans="1:35">
      <c r="A10" s="240"/>
      <c r="B10" s="239"/>
      <c r="C10" s="239"/>
      <c r="D10" s="239"/>
      <c r="E10" s="239"/>
      <c r="F10" s="239"/>
      <c r="G10" s="239"/>
      <c r="H10" s="239"/>
      <c r="I10" s="239"/>
      <c r="J10" s="239"/>
      <c r="K10" s="239"/>
      <c r="L10" s="239"/>
      <c r="M10" s="239"/>
      <c r="N10" s="239"/>
      <c r="O10" s="239"/>
      <c r="P10" s="239"/>
      <c r="Q10" s="239"/>
      <c r="R10" s="1223"/>
      <c r="S10" s="1223"/>
      <c r="T10" s="1223"/>
      <c r="U10" s="239"/>
      <c r="V10" s="239"/>
      <c r="W10" s="239"/>
      <c r="X10" s="239"/>
      <c r="Y10" s="239"/>
      <c r="Z10" s="239"/>
      <c r="AA10" s="239"/>
      <c r="AB10" s="239"/>
      <c r="AC10" s="239"/>
      <c r="AD10" s="239"/>
      <c r="AE10" s="282"/>
      <c r="AF10" s="55"/>
      <c r="AG10" s="93"/>
      <c r="AH10" s="55"/>
      <c r="AI10" s="98"/>
    </row>
    <row r="11" spans="1:35">
      <c r="A11" s="240" t="s">
        <v>599</v>
      </c>
      <c r="B11" s="239">
        <f>'qtrP&amp;L'!D24</f>
        <v>22.418443000000003</v>
      </c>
      <c r="C11" s="239">
        <f>'qtrP&amp;L'!H24</f>
        <v>26.115326</v>
      </c>
      <c r="D11" s="239">
        <f>'qtrP&amp;L'!L24</f>
        <v>26.712475000000001</v>
      </c>
      <c r="E11" s="239">
        <f>'qtrP&amp;L'!P24</f>
        <v>33.240162000000005</v>
      </c>
      <c r="F11" s="239">
        <f>'qtrP&amp;L'!T24</f>
        <v>44.196426000000002</v>
      </c>
      <c r="G11" s="239">
        <f>'qtrP&amp;L'!X24</f>
        <v>64.949929999999995</v>
      </c>
      <c r="H11" s="239">
        <f>'qtrP&amp;L'!AB24</f>
        <v>108.67057699999999</v>
      </c>
      <c r="I11" s="239">
        <f>+'qtrP&amp;L'!AF24</f>
        <v>153.937579</v>
      </c>
      <c r="J11" s="239">
        <f>+'qtrP&amp;L'!AJ24</f>
        <v>209.77010100000001</v>
      </c>
      <c r="K11" s="239">
        <f>+'qtrP&amp;L'!AN24</f>
        <v>297.47697899999997</v>
      </c>
      <c r="L11" s="239">
        <f>+'qtrP&amp;L'!AR24</f>
        <v>411.90899999999999</v>
      </c>
      <c r="M11" s="239">
        <f>+'qtrP&amp;L'!AV24</f>
        <v>547.53200000000004</v>
      </c>
      <c r="N11" s="239">
        <f>+'qtrP&amp;L'!AZ24</f>
        <v>673.74199999999996</v>
      </c>
      <c r="O11" s="239">
        <f>+'qtrP&amp;L'!BD24</f>
        <v>745.2650000000001</v>
      </c>
      <c r="P11" s="239">
        <f>'qtrP&amp;L'!BH24</f>
        <v>762.91200000000003</v>
      </c>
      <c r="Q11" s="239">
        <f>'qtrP&amp;L'!BL24</f>
        <v>753.41100000000006</v>
      </c>
      <c r="R11" s="1223">
        <f>'qtrP&amp;L'!BP24</f>
        <v>836.37800000000004</v>
      </c>
      <c r="S11" s="1223">
        <f>'qtrP&amp;L'!$BT$24</f>
        <v>969.98900000000003</v>
      </c>
      <c r="T11" s="1223">
        <f>'qtrP&amp;L'!$BX$24</f>
        <v>1129.2570000000001</v>
      </c>
      <c r="U11" s="239">
        <f>'qtrP&amp;L'!CB24</f>
        <v>1169.4059999999999</v>
      </c>
      <c r="V11" s="239">
        <f>'qtrP&amp;L'!CF24</f>
        <v>1592.7860000000001</v>
      </c>
      <c r="W11" s="239">
        <f>'qtrP&amp;L'!CJ24</f>
        <v>1573.8579999999999</v>
      </c>
      <c r="X11" s="239">
        <f>'qtrP&amp;L'!CN24</f>
        <v>1529.5740000000001</v>
      </c>
      <c r="Y11" s="239">
        <f>'qtrP&amp;L'!CR24</f>
        <v>1417.6020000000001</v>
      </c>
      <c r="Z11" s="239">
        <f>'qtrP&amp;L'!CV24</f>
        <v>1328.4791377312529</v>
      </c>
      <c r="AA11" s="239">
        <f>+AA7*(1-AA12)</f>
        <v>1322.2316303147441</v>
      </c>
      <c r="AB11" s="239">
        <f>+AB7*(1-AB12)</f>
        <v>1316.2699455171994</v>
      </c>
      <c r="AC11" s="239">
        <f>+AC7*(1-AC12)</f>
        <v>1313.7917032587955</v>
      </c>
      <c r="AD11" s="239">
        <f>+AD7*(1-AD12)</f>
        <v>1312.6833476051909</v>
      </c>
      <c r="AE11" s="282"/>
      <c r="AF11" s="55">
        <f>((X11/S11)^(1/5)-1)*100</f>
        <v>9.5369733679335766</v>
      </c>
      <c r="AG11" s="93" t="s">
        <v>576</v>
      </c>
      <c r="AH11" s="55">
        <f>((AD11/Y11)^(1/5)-1)*100</f>
        <v>-1.5261014742610435</v>
      </c>
      <c r="AI11" s="98" t="s">
        <v>576</v>
      </c>
    </row>
    <row r="12" spans="1:35">
      <c r="A12" s="240" t="s">
        <v>74</v>
      </c>
      <c r="B12" s="281">
        <f t="shared" ref="B12:Z12" si="5">(B7-B11)/B7</f>
        <v>0.62176657131777846</v>
      </c>
      <c r="C12" s="281">
        <f t="shared" si="5"/>
        <v>0.56721998181468303</v>
      </c>
      <c r="D12" s="281">
        <f t="shared" si="5"/>
        <v>0.58309054236205937</v>
      </c>
      <c r="E12" s="281">
        <f t="shared" si="5"/>
        <v>0.55879298986534909</v>
      </c>
      <c r="F12" s="281">
        <f t="shared" si="5"/>
        <v>0.58594934965979006</v>
      </c>
      <c r="G12" s="281">
        <f t="shared" si="5"/>
        <v>0.58097435998377345</v>
      </c>
      <c r="H12" s="281">
        <f t="shared" si="5"/>
        <v>0.58114358841120384</v>
      </c>
      <c r="I12" s="281">
        <f t="shared" si="5"/>
        <v>0.59284964870629464</v>
      </c>
      <c r="J12" s="281">
        <f t="shared" si="5"/>
        <v>0.60503316890385861</v>
      </c>
      <c r="K12" s="281">
        <f t="shared" si="5"/>
        <v>0.61291172696053464</v>
      </c>
      <c r="L12" s="281">
        <f t="shared" si="5"/>
        <v>0.61391325376189687</v>
      </c>
      <c r="M12" s="281">
        <f t="shared" si="5"/>
        <v>0.61017959169143687</v>
      </c>
      <c r="N12" s="281">
        <f t="shared" si="5"/>
        <v>0.58941378866945338</v>
      </c>
      <c r="O12" s="281">
        <f t="shared" si="5"/>
        <v>0.56527255301934809</v>
      </c>
      <c r="P12" s="281">
        <f t="shared" si="5"/>
        <v>0.5178778617849803</v>
      </c>
      <c r="Q12" s="281">
        <f t="shared" si="5"/>
        <v>0.56021915172684722</v>
      </c>
      <c r="R12" s="1222">
        <f t="shared" si="5"/>
        <v>0.5609527429101766</v>
      </c>
      <c r="S12" s="1222">
        <f t="shared" si="5"/>
        <v>0.55836520424702696</v>
      </c>
      <c r="T12" s="1222">
        <f>(U7-T11)/U7</f>
        <v>0.56332527338162597</v>
      </c>
      <c r="U12" s="281">
        <f t="shared" si="5"/>
        <v>0.54779997347292397</v>
      </c>
      <c r="V12" s="281">
        <f t="shared" si="5"/>
        <v>0.38510400589267646</v>
      </c>
      <c r="W12" s="281">
        <f t="shared" si="5"/>
        <v>0.38845719552406649</v>
      </c>
      <c r="X12" s="281">
        <f t="shared" si="5"/>
        <v>0.38234218081820048</v>
      </c>
      <c r="Y12" s="281">
        <f t="shared" si="5"/>
        <v>0.37889281315679818</v>
      </c>
      <c r="Z12" s="281">
        <f t="shared" si="5"/>
        <v>0.3920568139304863</v>
      </c>
      <c r="AA12" s="283">
        <v>0.38390000000000002</v>
      </c>
      <c r="AB12" s="283">
        <v>0.38550000000000001</v>
      </c>
      <c r="AC12" s="283">
        <v>0.38600000000000001</v>
      </c>
      <c r="AD12" s="283">
        <v>0.38640000000000002</v>
      </c>
      <c r="AE12" s="282"/>
      <c r="AF12" s="55"/>
      <c r="AG12" s="56"/>
      <c r="AH12" s="55"/>
      <c r="AI12" s="96"/>
    </row>
    <row r="13" spans="1:35">
      <c r="A13" s="240"/>
      <c r="B13" s="239"/>
      <c r="C13" s="239"/>
      <c r="D13" s="239"/>
      <c r="E13" s="239"/>
      <c r="F13" s="239"/>
      <c r="G13" s="284"/>
      <c r="H13" s="239"/>
      <c r="I13" s="239"/>
      <c r="J13" s="239"/>
      <c r="K13" s="239"/>
      <c r="L13" s="239"/>
      <c r="M13" s="239"/>
      <c r="N13" s="239"/>
      <c r="O13" s="284"/>
      <c r="P13" s="239"/>
      <c r="Q13" s="281"/>
      <c r="R13" s="1222"/>
      <c r="S13" s="1224"/>
      <c r="T13" s="1224"/>
      <c r="U13" s="281"/>
      <c r="V13" s="281"/>
      <c r="W13" s="281"/>
      <c r="X13" s="281"/>
      <c r="Y13" s="281"/>
      <c r="Z13" s="281"/>
      <c r="AA13" s="281"/>
      <c r="AB13" s="281"/>
      <c r="AC13" s="281"/>
      <c r="AD13" s="281"/>
      <c r="AE13" s="282"/>
      <c r="AF13" s="55"/>
      <c r="AG13" s="93"/>
      <c r="AH13" s="55"/>
      <c r="AI13" s="98"/>
    </row>
    <row r="14" spans="1:35">
      <c r="A14" s="240" t="s">
        <v>600</v>
      </c>
      <c r="B14" s="239">
        <f>'qtrP&amp;L'!D34</f>
        <v>30.093667</v>
      </c>
      <c r="C14" s="239">
        <f>'qtrP&amp;L'!H34</f>
        <v>29.001042999999996</v>
      </c>
      <c r="D14" s="239">
        <f>'qtrP&amp;L'!L34</f>
        <v>31.842326999999997</v>
      </c>
      <c r="E14" s="239">
        <f>'qtrP&amp;L'!P34</f>
        <v>35.070525000000004</v>
      </c>
      <c r="F14" s="239">
        <f>'qtrP&amp;L'!T34</f>
        <v>45.003258000000002</v>
      </c>
      <c r="G14" s="239">
        <f>'qtrP&amp;L'!X34</f>
        <v>61.938732000000002</v>
      </c>
      <c r="H14" s="239">
        <f>'qtrP&amp;L'!AB34</f>
        <v>99.434100000000001</v>
      </c>
      <c r="I14" s="239">
        <f>+'qtrP&amp;L'!AF34</f>
        <v>146.50171399999999</v>
      </c>
      <c r="J14" s="239">
        <f>+'qtrP&amp;L'!AJ34</f>
        <v>199.51502200000002</v>
      </c>
      <c r="K14" s="239">
        <f>+'qtrP&amp;L'!AN34</f>
        <v>289.10537899999997</v>
      </c>
      <c r="L14" s="239">
        <f>+'qtrP&amp;L'!AR34</f>
        <v>398.11699999999996</v>
      </c>
      <c r="M14" s="239">
        <f>+'qtrP&amp;L'!AV34</f>
        <v>514.529</v>
      </c>
      <c r="N14" s="239">
        <f>+'qtrP&amp;L'!AZ34</f>
        <v>703.48500000000001</v>
      </c>
      <c r="O14" s="239">
        <f>+'qtrP&amp;L'!BD34</f>
        <v>847.60400000000004</v>
      </c>
      <c r="P14" s="239">
        <f>+'qtrP&amp;L'!BH34</f>
        <v>835.42100000000005</v>
      </c>
      <c r="Q14" s="239">
        <f>'qtrP&amp;L'!BL34</f>
        <v>836.56099999999992</v>
      </c>
      <c r="R14" s="1223">
        <f>'qtrP&amp;L'!BP34</f>
        <v>890.44799999999998</v>
      </c>
      <c r="S14" s="1223">
        <f>'qtrP&amp;L'!$BT$34</f>
        <v>998.86099999999988</v>
      </c>
      <c r="T14" s="1223">
        <f>'qtrP&amp;L'!$BX$34</f>
        <v>1162.4259999999999</v>
      </c>
      <c r="U14" s="239">
        <f>'qtrP&amp;L'!CB34</f>
        <v>1202.981</v>
      </c>
      <c r="V14" s="239">
        <f>'qtrP&amp;L'!CF34</f>
        <v>821.21699999999998</v>
      </c>
      <c r="W14" s="239">
        <f>'qtrP&amp;L'!CJ34</f>
        <v>830.77599999999995</v>
      </c>
      <c r="X14" s="239">
        <f>'qtrP&amp;L'!CN34</f>
        <v>779.12099999999998</v>
      </c>
      <c r="Y14" s="239">
        <f>'qtrP&amp;L'!CR34</f>
        <v>719.60699999999997</v>
      </c>
      <c r="Z14" s="239">
        <f>'qtrP&amp;L'!CV34</f>
        <v>713.23508297819444</v>
      </c>
      <c r="AA14" s="239">
        <f>AA15*AA7</f>
        <v>658.86237705993574</v>
      </c>
      <c r="AB14" s="239">
        <f>AB15*AB7</f>
        <v>652.03022199419934</v>
      </c>
      <c r="AC14" s="239">
        <f>AC15*AC7</f>
        <v>644.05749622295991</v>
      </c>
      <c r="AD14" s="239">
        <f>AD15*AD7</f>
        <v>638.79929529809317</v>
      </c>
      <c r="AE14" s="282"/>
      <c r="AF14" s="55">
        <f>((X14/S14)^(1/5)-1)*100</f>
        <v>-4.8475509492095341</v>
      </c>
      <c r="AG14" s="93" t="s">
        <v>576</v>
      </c>
      <c r="AH14" s="55">
        <f>((AD14/Y14)^(1/5)-1)*100</f>
        <v>-2.3541456066856092</v>
      </c>
      <c r="AI14" s="98" t="s">
        <v>576</v>
      </c>
    </row>
    <row r="15" spans="1:35">
      <c r="A15" s="240" t="s">
        <v>601</v>
      </c>
      <c r="B15" s="281">
        <f t="shared" ref="B15:Q15" si="6">B14/B$7</f>
        <v>0.50772619896176652</v>
      </c>
      <c r="C15" s="281">
        <f t="shared" si="6"/>
        <v>0.48060177065885207</v>
      </c>
      <c r="D15" s="281">
        <f t="shared" si="6"/>
        <v>0.49697256729299516</v>
      </c>
      <c r="E15" s="281">
        <f t="shared" si="6"/>
        <v>0.46550198759869243</v>
      </c>
      <c r="F15" s="281">
        <f t="shared" si="6"/>
        <v>0.42160939082106447</v>
      </c>
      <c r="G15" s="281">
        <f t="shared" si="6"/>
        <v>0.39959884203252466</v>
      </c>
      <c r="H15" s="281">
        <f t="shared" si="6"/>
        <v>0.38325562875737307</v>
      </c>
      <c r="I15" s="281">
        <f t="shared" si="6"/>
        <v>0.38748319096424105</v>
      </c>
      <c r="J15" s="281">
        <f t="shared" si="6"/>
        <v>0.3756579971109274</v>
      </c>
      <c r="K15" s="281">
        <f t="shared" si="6"/>
        <v>0.37619483114197588</v>
      </c>
      <c r="L15" s="281">
        <f t="shared" si="6"/>
        <v>0.37315935595501654</v>
      </c>
      <c r="M15" s="281">
        <f t="shared" si="6"/>
        <v>0.36632362102415322</v>
      </c>
      <c r="N15" s="281">
        <f t="shared" si="6"/>
        <v>0.42871194148185748</v>
      </c>
      <c r="O15" s="281">
        <f t="shared" si="6"/>
        <v>0.49442375929446369</v>
      </c>
      <c r="P15" s="281">
        <f t="shared" si="6"/>
        <v>0.52794419124319714</v>
      </c>
      <c r="Q15" s="281">
        <f t="shared" si="6"/>
        <v>0.48831714192152348</v>
      </c>
      <c r="R15" s="1222">
        <f t="shared" ref="R15:W15" si="7">R14/R$7</f>
        <v>0.46743069758066208</v>
      </c>
      <c r="S15" s="1222">
        <f t="shared" si="7"/>
        <v>0.45478018175526774</v>
      </c>
      <c r="T15" s="1222">
        <f t="shared" si="7"/>
        <v>0.45036820186458493</v>
      </c>
      <c r="U15" s="281">
        <f t="shared" si="7"/>
        <v>0.46518321276919089</v>
      </c>
      <c r="V15" s="281">
        <f t="shared" si="7"/>
        <v>0.31703131719693284</v>
      </c>
      <c r="W15" s="281">
        <f t="shared" si="7"/>
        <v>0.32280871904028069</v>
      </c>
      <c r="X15" s="281">
        <f>X14/X$7</f>
        <v>0.314617127212376</v>
      </c>
      <c r="Y15" s="281">
        <f>Y14/Y$7</f>
        <v>0.31528812699380776</v>
      </c>
      <c r="Z15" s="281">
        <f>Z14/Z$7</f>
        <v>0.32639308849277143</v>
      </c>
      <c r="AA15" s="283">
        <v>0.307</v>
      </c>
      <c r="AB15" s="283">
        <v>0.3044</v>
      </c>
      <c r="AC15" s="283">
        <v>0.30099999999999999</v>
      </c>
      <c r="AD15" s="283">
        <v>0.29859999999999998</v>
      </c>
      <c r="AE15" s="282"/>
      <c r="AF15" s="55"/>
      <c r="AG15" s="56"/>
      <c r="AH15" s="55"/>
      <c r="AI15" s="96"/>
    </row>
    <row r="16" spans="1:35">
      <c r="A16" s="240" t="s">
        <v>427</v>
      </c>
      <c r="B16" s="281"/>
      <c r="C16" s="281"/>
      <c r="D16" s="281"/>
      <c r="E16" s="281"/>
      <c r="F16" s="281"/>
      <c r="G16" s="281"/>
      <c r="H16" s="281"/>
      <c r="I16" s="281"/>
      <c r="J16" s="281"/>
      <c r="K16" s="281"/>
      <c r="L16" s="281"/>
      <c r="M16" s="281">
        <f>M14/L14-1</f>
        <v>0.29240650361577125</v>
      </c>
      <c r="N16" s="281">
        <f t="shared" ref="N16:AD16" si="8">N14/M14-1</f>
        <v>0.36724071918200929</v>
      </c>
      <c r="O16" s="281">
        <f t="shared" si="8"/>
        <v>0.20486435389525015</v>
      </c>
      <c r="P16" s="281">
        <f t="shared" si="8"/>
        <v>-1.4373457416435031E-2</v>
      </c>
      <c r="Q16" s="281">
        <f t="shared" si="8"/>
        <v>1.364581450549851E-3</v>
      </c>
      <c r="R16" s="1222">
        <f t="shared" si="8"/>
        <v>6.4414908177646391E-2</v>
      </c>
      <c r="S16" s="1222">
        <f t="shared" si="8"/>
        <v>0.12175107361687587</v>
      </c>
      <c r="T16" s="1222">
        <f t="shared" si="8"/>
        <v>0.16375151297327672</v>
      </c>
      <c r="U16" s="281">
        <f t="shared" si="8"/>
        <v>3.4888242348330101E-2</v>
      </c>
      <c r="V16" s="281">
        <f t="shared" si="8"/>
        <v>-0.3173483205470411</v>
      </c>
      <c r="W16" s="281">
        <f t="shared" si="8"/>
        <v>1.1640041548092617E-2</v>
      </c>
      <c r="X16" s="281">
        <f t="shared" si="8"/>
        <v>-6.2176808188970312E-2</v>
      </c>
      <c r="Y16" s="281">
        <f t="shared" si="8"/>
        <v>-7.6386081237702519E-2</v>
      </c>
      <c r="Z16" s="281">
        <f t="shared" si="8"/>
        <v>-8.8547179527235231E-3</v>
      </c>
      <c r="AA16" s="281">
        <f t="shared" si="8"/>
        <v>-7.6233919525129479E-2</v>
      </c>
      <c r="AB16" s="281">
        <f t="shared" si="8"/>
        <v>-1.0369623920891913E-2</v>
      </c>
      <c r="AC16" s="281">
        <f t="shared" si="8"/>
        <v>-1.2227540230965506E-2</v>
      </c>
      <c r="AD16" s="281">
        <f t="shared" si="8"/>
        <v>-8.1641793717225353E-3</v>
      </c>
      <c r="AE16" s="282"/>
      <c r="AF16" s="55"/>
      <c r="AG16" s="56"/>
      <c r="AH16" s="55"/>
      <c r="AI16" s="96"/>
    </row>
    <row r="17" spans="1:35" hidden="1" outlineLevel="1">
      <c r="A17" s="285" t="s">
        <v>243</v>
      </c>
      <c r="B17" s="281"/>
      <c r="C17" s="281"/>
      <c r="D17" s="281"/>
      <c r="E17" s="287"/>
      <c r="F17" s="287"/>
      <c r="G17" s="287"/>
      <c r="H17" s="287"/>
      <c r="I17" s="287"/>
      <c r="J17" s="287">
        <v>18.8</v>
      </c>
      <c r="K17" s="287">
        <v>27.3</v>
      </c>
      <c r="L17" s="287">
        <v>40</v>
      </c>
      <c r="M17" s="287">
        <v>53</v>
      </c>
      <c r="N17" s="287">
        <v>66.5</v>
      </c>
      <c r="O17" s="287">
        <v>82.7</v>
      </c>
      <c r="P17" s="287">
        <v>67.5</v>
      </c>
      <c r="Q17" s="287">
        <v>65</v>
      </c>
      <c r="R17" s="1225">
        <v>86.8</v>
      </c>
      <c r="S17" s="1225">
        <v>110.6</v>
      </c>
      <c r="T17" s="1225">
        <v>145.6</v>
      </c>
      <c r="U17" s="287">
        <v>151.9</v>
      </c>
      <c r="V17" s="287">
        <v>153.1</v>
      </c>
      <c r="W17" s="287">
        <v>159.9</v>
      </c>
      <c r="X17" s="287">
        <v>115.4</v>
      </c>
      <c r="Y17" s="287">
        <v>94.5</v>
      </c>
      <c r="Z17" s="281"/>
      <c r="AA17" s="281"/>
      <c r="AB17" s="281"/>
      <c r="AC17" s="281"/>
      <c r="AD17" s="281"/>
      <c r="AE17" s="282"/>
      <c r="AF17" s="55"/>
      <c r="AG17" s="56"/>
      <c r="AH17" s="55"/>
      <c r="AI17" s="96"/>
    </row>
    <row r="18" spans="1:35" hidden="1" outlineLevel="1">
      <c r="A18" s="238" t="s">
        <v>22</v>
      </c>
      <c r="B18" s="281"/>
      <c r="C18" s="281"/>
      <c r="D18" s="281"/>
      <c r="E18" s="281">
        <f t="shared" ref="E18:S18" si="9">+E17/E7</f>
        <v>0</v>
      </c>
      <c r="F18" s="281">
        <f t="shared" si="9"/>
        <v>0</v>
      </c>
      <c r="G18" s="281">
        <f t="shared" si="9"/>
        <v>0</v>
      </c>
      <c r="H18" s="281">
        <f t="shared" si="9"/>
        <v>0</v>
      </c>
      <c r="I18" s="281">
        <f t="shared" si="9"/>
        <v>0</v>
      </c>
      <c r="J18" s="281">
        <f t="shared" si="9"/>
        <v>3.5397687226205128E-2</v>
      </c>
      <c r="K18" s="281">
        <f t="shared" si="9"/>
        <v>3.5523790410609907E-2</v>
      </c>
      <c r="L18" s="281">
        <f t="shared" si="9"/>
        <v>3.7492431215448381E-2</v>
      </c>
      <c r="M18" s="281">
        <f t="shared" si="9"/>
        <v>3.7733834077923925E-2</v>
      </c>
      <c r="N18" s="281">
        <f t="shared" si="9"/>
        <v>4.0525873484926506E-2</v>
      </c>
      <c r="O18" s="281">
        <f t="shared" si="9"/>
        <v>4.8240504874507609E-2</v>
      </c>
      <c r="P18" s="281">
        <f t="shared" si="9"/>
        <v>4.2656616135955165E-2</v>
      </c>
      <c r="Q18" s="281">
        <f t="shared" si="9"/>
        <v>3.7941780963849654E-2</v>
      </c>
      <c r="R18" s="1222">
        <f t="shared" si="9"/>
        <v>4.556468715747744E-2</v>
      </c>
      <c r="S18" s="1222">
        <f t="shared" si="9"/>
        <v>5.0356043635833826E-2</v>
      </c>
      <c r="T18" s="1222">
        <f t="shared" ref="T18:Y18" si="10">+T17/U7</f>
        <v>5.63023653567215E-2</v>
      </c>
      <c r="U18" s="281">
        <f t="shared" si="10"/>
        <v>5.8641086439046079E-2</v>
      </c>
      <c r="V18" s="281">
        <f t="shared" si="10"/>
        <v>5.948897763665173E-2</v>
      </c>
      <c r="W18" s="281">
        <f t="shared" si="10"/>
        <v>6.4569275685367133E-2</v>
      </c>
      <c r="X18" s="281">
        <f t="shared" si="10"/>
        <v>5.0561278385404008E-2</v>
      </c>
      <c r="Y18" s="281">
        <f t="shared" si="10"/>
        <v>4.3245414588656585E-2</v>
      </c>
      <c r="Z18" s="283"/>
      <c r="AA18" s="283"/>
      <c r="AB18" s="283"/>
      <c r="AC18" s="283"/>
      <c r="AD18" s="283"/>
      <c r="AE18" s="282"/>
      <c r="AF18" s="55"/>
      <c r="AG18" s="56"/>
      <c r="AH18" s="55"/>
      <c r="AI18" s="96"/>
    </row>
    <row r="19" spans="1:35" hidden="1" outlineLevel="1">
      <c r="A19" s="286" t="s">
        <v>539</v>
      </c>
      <c r="B19" s="281"/>
      <c r="C19" s="287">
        <v>1.1280539999999999</v>
      </c>
      <c r="D19" s="287">
        <v>1.2526349999999999</v>
      </c>
      <c r="E19" s="287">
        <v>1.3284659999999999</v>
      </c>
      <c r="F19" s="287">
        <v>1.4801759999999999</v>
      </c>
      <c r="G19" s="287">
        <v>1.827</v>
      </c>
      <c r="H19" s="287">
        <v>2.5110000000000001</v>
      </c>
      <c r="I19" s="287">
        <v>3.56</v>
      </c>
      <c r="J19" s="287">
        <v>5.2060000000000004</v>
      </c>
      <c r="K19" s="287">
        <v>6.6</v>
      </c>
      <c r="L19" s="287">
        <v>9.5</v>
      </c>
      <c r="M19" s="287">
        <v>11.4</v>
      </c>
      <c r="N19" s="287">
        <v>15</v>
      </c>
      <c r="O19" s="287">
        <v>19</v>
      </c>
      <c r="P19" s="287">
        <v>23.6</v>
      </c>
      <c r="Q19" s="287">
        <v>23.7</v>
      </c>
      <c r="R19" s="1225">
        <v>25</v>
      </c>
      <c r="S19" s="1225">
        <v>27.5</v>
      </c>
      <c r="T19" s="1225">
        <v>31.6</v>
      </c>
      <c r="U19" s="287">
        <v>37.200000000000003</v>
      </c>
      <c r="V19" s="287">
        <v>42.5</v>
      </c>
      <c r="W19" s="1206">
        <v>46.7</v>
      </c>
      <c r="X19" s="1206">
        <v>47.6</v>
      </c>
      <c r="Y19" s="1206">
        <v>47.9</v>
      </c>
      <c r="Z19" s="283"/>
      <c r="AA19" s="283"/>
      <c r="AB19" s="283"/>
      <c r="AC19" s="283"/>
      <c r="AD19" s="283"/>
      <c r="AE19" s="282"/>
      <c r="AF19" s="55"/>
      <c r="AG19" s="56"/>
      <c r="AH19" s="55"/>
      <c r="AI19" s="96"/>
    </row>
    <row r="20" spans="1:35" hidden="1" outlineLevel="1">
      <c r="A20" s="288" t="s">
        <v>540</v>
      </c>
      <c r="B20" s="281"/>
      <c r="C20" s="281">
        <f t="shared" ref="C20:I20" si="11">+C19/C21</f>
        <v>0.14216496799424913</v>
      </c>
      <c r="D20" s="281">
        <f t="shared" si="11"/>
        <v>0.14524663351110068</v>
      </c>
      <c r="E20" s="281">
        <f t="shared" si="11"/>
        <v>0.13655815506392904</v>
      </c>
      <c r="F20" s="281">
        <f t="shared" si="11"/>
        <v>0.13061359914158241</v>
      </c>
      <c r="G20" s="281">
        <f t="shared" si="11"/>
        <v>0.12308832446270969</v>
      </c>
      <c r="H20" s="281">
        <f t="shared" si="11"/>
        <v>0.11852725985367006</v>
      </c>
      <c r="I20" s="281">
        <f t="shared" si="11"/>
        <v>0.11551690570445843</v>
      </c>
      <c r="J20" s="281">
        <f t="shared" ref="J20:Q20" si="12">+J19/J21</f>
        <v>0.12335323666003223</v>
      </c>
      <c r="K20" s="281">
        <f t="shared" si="12"/>
        <v>0.11129848229342328</v>
      </c>
      <c r="L20" s="281">
        <f t="shared" si="12"/>
        <v>0.12226512226512226</v>
      </c>
      <c r="M20" s="281">
        <f t="shared" si="12"/>
        <v>0.12404787812840043</v>
      </c>
      <c r="N20" s="281">
        <f t="shared" si="12"/>
        <v>0.13239187996469551</v>
      </c>
      <c r="O20" s="281">
        <f t="shared" si="12"/>
        <v>0.13532763532763531</v>
      </c>
      <c r="P20" s="281">
        <f t="shared" si="12"/>
        <v>0.15245478036175711</v>
      </c>
      <c r="Q20" s="281">
        <f t="shared" si="12"/>
        <v>0.14665841584158415</v>
      </c>
      <c r="R20" s="1222">
        <f t="shared" ref="R20:Y20" si="13">+R19/R21</f>
        <v>0.14526438117373622</v>
      </c>
      <c r="S20" s="1222">
        <f t="shared" si="13"/>
        <v>0.14905149051490515</v>
      </c>
      <c r="T20" s="1222">
        <f t="shared" si="13"/>
        <v>0.15339805825242719</v>
      </c>
      <c r="U20" s="281">
        <f t="shared" si="13"/>
        <v>0.16173913043478261</v>
      </c>
      <c r="V20" s="281">
        <f t="shared" si="13"/>
        <v>0.16785150078988942</v>
      </c>
      <c r="W20" s="281">
        <f t="shared" si="13"/>
        <v>0.17543200601051842</v>
      </c>
      <c r="X20" s="281">
        <f t="shared" si="13"/>
        <v>0.17728119180633148</v>
      </c>
      <c r="Y20" s="281">
        <f t="shared" si="13"/>
        <v>0.18164580963215776</v>
      </c>
      <c r="Z20" s="283"/>
      <c r="AA20" s="283"/>
      <c r="AB20" s="283"/>
      <c r="AC20" s="283"/>
      <c r="AD20" s="283"/>
      <c r="AE20" s="282"/>
      <c r="AF20" s="55"/>
      <c r="AG20" s="56"/>
      <c r="AH20" s="55"/>
      <c r="AI20" s="96"/>
    </row>
    <row r="21" spans="1:35" hidden="1" outlineLevel="1">
      <c r="A21" s="286" t="s">
        <v>537</v>
      </c>
      <c r="B21" s="281"/>
      <c r="C21" s="287">
        <v>7.9348239999999999</v>
      </c>
      <c r="D21" s="287">
        <v>8.624193</v>
      </c>
      <c r="E21" s="287">
        <v>9.7282069999999994</v>
      </c>
      <c r="F21" s="287">
        <v>11.33248</v>
      </c>
      <c r="G21" s="287">
        <v>14.843</v>
      </c>
      <c r="H21" s="287">
        <v>21.184999999999999</v>
      </c>
      <c r="I21" s="287">
        <v>30.818000000000001</v>
      </c>
      <c r="J21" s="287">
        <v>42.204000000000001</v>
      </c>
      <c r="K21" s="287">
        <v>59.3</v>
      </c>
      <c r="L21" s="287">
        <v>77.7</v>
      </c>
      <c r="M21" s="287">
        <v>91.9</v>
      </c>
      <c r="N21" s="287">
        <v>113.3</v>
      </c>
      <c r="O21" s="287">
        <v>140.4</v>
      </c>
      <c r="P21" s="287">
        <v>154.80000000000001</v>
      </c>
      <c r="Q21" s="287">
        <v>161.6</v>
      </c>
      <c r="R21" s="1225">
        <v>172.1</v>
      </c>
      <c r="S21" s="1225">
        <v>184.5</v>
      </c>
      <c r="T21" s="1225">
        <v>206</v>
      </c>
      <c r="U21" s="287">
        <v>230</v>
      </c>
      <c r="V21" s="287">
        <v>253.2</v>
      </c>
      <c r="W21" s="1206">
        <v>266.2</v>
      </c>
      <c r="X21" s="1206">
        <v>268.5</v>
      </c>
      <c r="Y21" s="1206">
        <v>263.7</v>
      </c>
      <c r="Z21" s="283"/>
      <c r="AA21" s="283"/>
      <c r="AB21" s="283"/>
      <c r="AC21" s="283"/>
      <c r="AD21" s="283"/>
      <c r="AE21" s="282"/>
      <c r="AF21" s="55"/>
      <c r="AG21" s="56"/>
      <c r="AH21" s="55"/>
      <c r="AI21" s="96"/>
    </row>
    <row r="22" spans="1:35" hidden="1" outlineLevel="1">
      <c r="A22" s="288" t="s">
        <v>538</v>
      </c>
      <c r="B22" s="281"/>
      <c r="C22" s="281">
        <f>+C21/D11</f>
        <v>0.29704563130147993</v>
      </c>
      <c r="D22" s="281">
        <f t="shared" ref="D22:S22" si="14">+D21/D7</f>
        <v>0.13460031787376212</v>
      </c>
      <c r="E22" s="281">
        <f t="shared" si="14"/>
        <v>0.12912551763258498</v>
      </c>
      <c r="F22" s="281">
        <f t="shared" si="14"/>
        <v>0.10616742435163019</v>
      </c>
      <c r="G22" s="281">
        <f t="shared" si="14"/>
        <v>9.5759881107814138E-2</v>
      </c>
      <c r="H22" s="281">
        <f t="shared" si="14"/>
        <v>8.1654789405495171E-2</v>
      </c>
      <c r="I22" s="281">
        <f t="shared" si="14"/>
        <v>8.1510698087368327E-2</v>
      </c>
      <c r="J22" s="281">
        <f t="shared" si="14"/>
        <v>7.9464042111423466E-2</v>
      </c>
      <c r="K22" s="281">
        <f t="shared" si="14"/>
        <v>7.7163398217918219E-2</v>
      </c>
      <c r="L22" s="281">
        <f t="shared" si="14"/>
        <v>7.2829047636008476E-2</v>
      </c>
      <c r="M22" s="281">
        <f t="shared" si="14"/>
        <v>6.5429044372853004E-2</v>
      </c>
      <c r="N22" s="281">
        <f t="shared" si="14"/>
        <v>6.9046337832213131E-2</v>
      </c>
      <c r="O22" s="281">
        <f t="shared" si="14"/>
        <v>8.1898027622501424E-2</v>
      </c>
      <c r="P22" s="281">
        <f t="shared" si="14"/>
        <v>9.7825839671790524E-2</v>
      </c>
      <c r="Q22" s="281">
        <f t="shared" si="14"/>
        <v>9.4329104673201603E-2</v>
      </c>
      <c r="R22" s="1222">
        <f t="shared" si="14"/>
        <v>9.034196612674962E-2</v>
      </c>
      <c r="S22" s="1222">
        <f t="shared" si="14"/>
        <v>8.4002622520898212E-2</v>
      </c>
      <c r="T22" s="1222">
        <f t="shared" ref="T22:Y22" si="15">+T21/T7</f>
        <v>7.9812262960484798E-2</v>
      </c>
      <c r="U22" s="281">
        <f t="shared" si="15"/>
        <v>8.8939176044271609E-2</v>
      </c>
      <c r="V22" s="281">
        <f t="shared" si="15"/>
        <v>9.7748012418475749E-2</v>
      </c>
      <c r="W22" s="281">
        <f t="shared" si="15"/>
        <v>0.10343543988815604</v>
      </c>
      <c r="X22" s="281">
        <f t="shared" si="15"/>
        <v>0.1084230801846221</v>
      </c>
      <c r="Y22" s="281">
        <f t="shared" si="15"/>
        <v>0.11553734064324987</v>
      </c>
      <c r="Z22" s="283"/>
      <c r="AA22" s="283"/>
      <c r="AB22" s="283"/>
      <c r="AC22" s="283"/>
      <c r="AD22" s="283"/>
      <c r="AE22" s="282"/>
      <c r="AF22" s="55"/>
      <c r="AG22" s="56"/>
      <c r="AH22" s="55"/>
      <c r="AI22" s="96"/>
    </row>
    <row r="23" spans="1:35" hidden="1" outlineLevel="1">
      <c r="A23" s="288" t="s">
        <v>271</v>
      </c>
      <c r="B23" s="281"/>
      <c r="C23" s="281"/>
      <c r="D23" s="281">
        <f t="shared" ref="D23:K23" si="16">+D15-D22</f>
        <v>0.36237224941923307</v>
      </c>
      <c r="E23" s="281">
        <f t="shared" si="16"/>
        <v>0.33637646996610748</v>
      </c>
      <c r="F23" s="281">
        <f t="shared" si="16"/>
        <v>0.31544196646943429</v>
      </c>
      <c r="G23" s="281">
        <f t="shared" si="16"/>
        <v>0.30383896092471052</v>
      </c>
      <c r="H23" s="281">
        <f t="shared" si="16"/>
        <v>0.30160083935187787</v>
      </c>
      <c r="I23" s="281">
        <f t="shared" si="16"/>
        <v>0.30597249287687273</v>
      </c>
      <c r="J23" s="281">
        <f t="shared" si="16"/>
        <v>0.29619395499950396</v>
      </c>
      <c r="K23" s="281">
        <f t="shared" si="16"/>
        <v>0.29903143292405765</v>
      </c>
      <c r="L23" s="281">
        <f>+L15-L22</f>
        <v>0.30033030831900809</v>
      </c>
      <c r="M23" s="281">
        <f>+M15-M22</f>
        <v>0.30089457665130021</v>
      </c>
      <c r="N23" s="281">
        <f>+N15-N22</f>
        <v>0.35966560364964434</v>
      </c>
      <c r="O23" s="281">
        <f>+O15-O22</f>
        <v>0.41252573167196227</v>
      </c>
      <c r="P23" s="281">
        <f>+P15-P22</f>
        <v>0.4301183515714066</v>
      </c>
      <c r="Q23" s="289"/>
      <c r="R23" s="1226"/>
      <c r="S23" s="1226"/>
      <c r="T23" s="1226"/>
      <c r="U23" s="283"/>
      <c r="V23" s="283"/>
      <c r="W23" s="283"/>
      <c r="X23" s="283"/>
      <c r="Y23" s="283"/>
      <c r="Z23" s="283"/>
      <c r="AA23" s="283"/>
      <c r="AB23" s="283"/>
      <c r="AC23" s="283"/>
      <c r="AD23" s="283"/>
      <c r="AE23" s="282"/>
      <c r="AF23" s="55"/>
      <c r="AG23" s="56"/>
      <c r="AH23" s="55"/>
      <c r="AI23" s="96"/>
    </row>
    <row r="24" spans="1:35" hidden="1" outlineLevel="1">
      <c r="A24" s="240" t="s">
        <v>395</v>
      </c>
      <c r="B24" s="281"/>
      <c r="C24" s="281"/>
      <c r="D24" s="281"/>
      <c r="E24" s="281"/>
      <c r="F24" s="281"/>
      <c r="G24" s="289"/>
      <c r="H24" s="289"/>
      <c r="I24" s="289"/>
      <c r="J24" s="290"/>
      <c r="K24" s="290"/>
      <c r="L24" s="290"/>
      <c r="M24" s="290"/>
      <c r="N24" s="239">
        <f>'qtrP&amp;L'!AZ44</f>
        <v>525.53</v>
      </c>
      <c r="O24" s="239">
        <f>'qtrP&amp;L'!BD44</f>
        <v>633.28800000000001</v>
      </c>
      <c r="P24" s="239">
        <f>'qtrP&amp;L'!BH44</f>
        <v>645.35200000000009</v>
      </c>
      <c r="Q24" s="239">
        <f>'qtrP&amp;L'!BL44</f>
        <v>647.04</v>
      </c>
      <c r="R24" s="1227">
        <f>'qtrP&amp;L'!BP44</f>
        <v>673.96499999999992</v>
      </c>
      <c r="S24" s="1227">
        <f>'qtrP&amp;L'!$BT$44</f>
        <v>738.91017999999997</v>
      </c>
      <c r="T24" s="1227">
        <f>'qtrP&amp;L'!$BX$44</f>
        <v>827.61769400000003</v>
      </c>
      <c r="U24" s="291"/>
      <c r="V24" s="291"/>
      <c r="W24" s="291"/>
      <c r="X24" s="291"/>
      <c r="Y24" s="291"/>
      <c r="Z24" s="291"/>
      <c r="AA24" s="291"/>
      <c r="AB24" s="291"/>
      <c r="AC24" s="291"/>
      <c r="AD24" s="291"/>
      <c r="AE24" s="282"/>
      <c r="AF24" s="55"/>
      <c r="AG24" s="56"/>
      <c r="AH24" s="55"/>
      <c r="AI24" s="96"/>
    </row>
    <row r="25" spans="1:35" hidden="1" outlineLevel="1">
      <c r="A25" s="288" t="s">
        <v>396</v>
      </c>
      <c r="B25" s="281"/>
      <c r="C25" s="281"/>
      <c r="D25" s="281"/>
      <c r="E25" s="281"/>
      <c r="F25" s="281"/>
      <c r="G25" s="289"/>
      <c r="H25" s="289"/>
      <c r="I25" s="289"/>
      <c r="J25" s="290"/>
      <c r="K25" s="290"/>
      <c r="L25" s="290"/>
      <c r="M25" s="290"/>
      <c r="N25" s="281">
        <f>N24/$N$7</f>
        <v>0.32026409462456279</v>
      </c>
      <c r="O25" s="281">
        <f>O24/O$7</f>
        <v>0.3694091033974265</v>
      </c>
      <c r="P25" s="281">
        <f>P24/P$7</f>
        <v>0.40783011165290284</v>
      </c>
      <c r="Q25" s="281">
        <f>Q24/Q$7</f>
        <v>0.3776899993053735</v>
      </c>
      <c r="R25" s="1222">
        <f>R24/R$7</f>
        <v>0.35379037304250321</v>
      </c>
      <c r="S25" s="1222">
        <f>S24/S$7</f>
        <v>0.33642489391538727</v>
      </c>
      <c r="T25" s="1222">
        <f>T24/U$7</f>
        <v>0.32003319906095701</v>
      </c>
      <c r="U25" s="281"/>
      <c r="V25" s="281"/>
      <c r="W25" s="283"/>
      <c r="X25" s="283"/>
      <c r="Y25" s="283"/>
      <c r="Z25" s="283"/>
      <c r="AA25" s="283"/>
      <c r="AB25" s="283"/>
      <c r="AC25" s="283"/>
      <c r="AD25" s="283"/>
      <c r="AE25" s="282"/>
      <c r="AF25" s="55"/>
      <c r="AG25" s="56"/>
      <c r="AH25" s="55"/>
      <c r="AI25" s="96"/>
    </row>
    <row r="26" spans="1:35" hidden="1" outlineLevel="1">
      <c r="A26" s="240" t="s">
        <v>397</v>
      </c>
      <c r="B26" s="281"/>
      <c r="C26" s="281"/>
      <c r="D26" s="281"/>
      <c r="E26" s="281"/>
      <c r="F26" s="281"/>
      <c r="G26" s="289"/>
      <c r="H26" s="289"/>
      <c r="I26" s="289"/>
      <c r="J26" s="290"/>
      <c r="K26" s="290"/>
      <c r="L26" s="290"/>
      <c r="M26" s="290"/>
      <c r="N26" s="239">
        <f>'qtrP&amp;L'!AZ52</f>
        <v>66.463999999999999</v>
      </c>
      <c r="O26" s="239">
        <f>'qtrP&amp;L'!BD52</f>
        <v>95.718000000000004</v>
      </c>
      <c r="P26" s="239">
        <f>'qtrP&amp;L'!BH52</f>
        <v>80.325000000000003</v>
      </c>
      <c r="Q26" s="239">
        <f>'qtrP&amp;L'!BL52</f>
        <v>78.075000000000003</v>
      </c>
      <c r="R26" s="1227">
        <f>'qtrP&amp;L'!BP52</f>
        <v>102.48099999999999</v>
      </c>
      <c r="S26" s="1227">
        <f>'qtrP&amp;L'!$BT$52</f>
        <v>120.39292207933488</v>
      </c>
      <c r="T26" s="1227">
        <f>'qtrP&amp;L'!$BX$52</f>
        <v>184.04472399999997</v>
      </c>
      <c r="U26" s="291"/>
      <c r="V26" s="291"/>
      <c r="W26" s="291"/>
      <c r="X26" s="291"/>
      <c r="Y26" s="291"/>
      <c r="Z26" s="291"/>
      <c r="AA26" s="291"/>
      <c r="AB26" s="291"/>
      <c r="AC26" s="291"/>
      <c r="AD26" s="291"/>
      <c r="AE26" s="282"/>
      <c r="AF26" s="55"/>
      <c r="AG26" s="56"/>
      <c r="AH26" s="55"/>
      <c r="AI26" s="96"/>
    </row>
    <row r="27" spans="1:35" hidden="1" outlineLevel="1">
      <c r="A27" s="288" t="s">
        <v>396</v>
      </c>
      <c r="B27" s="281"/>
      <c r="C27" s="281"/>
      <c r="D27" s="281"/>
      <c r="E27" s="281"/>
      <c r="F27" s="281"/>
      <c r="G27" s="289"/>
      <c r="H27" s="289"/>
      <c r="I27" s="289"/>
      <c r="J27" s="290"/>
      <c r="K27" s="290"/>
      <c r="L27" s="290"/>
      <c r="M27" s="290"/>
      <c r="N27" s="281">
        <f>N26/$N$7</f>
        <v>4.0503934666197824E-2</v>
      </c>
      <c r="O27" s="281">
        <f>O26/$O$7</f>
        <v>5.5834155327425868E-2</v>
      </c>
      <c r="P27" s="281">
        <f>P26/P$7</f>
        <v>5.0761373201786648E-2</v>
      </c>
      <c r="Q27" s="281">
        <f>Q26/Q$7</f>
        <v>4.55739161346548E-2</v>
      </c>
      <c r="R27" s="1222">
        <f>R26/R$7</f>
        <v>5.3796252356975174E-2</v>
      </c>
      <c r="S27" s="1222">
        <f>S26/S$7</f>
        <v>5.481474898438092E-2</v>
      </c>
      <c r="T27" s="1222">
        <f>T26/U$7</f>
        <v>7.1168635251545126E-2</v>
      </c>
      <c r="U27" s="281"/>
      <c r="V27" s="281"/>
      <c r="W27" s="283"/>
      <c r="X27" s="283"/>
      <c r="Y27" s="283"/>
      <c r="Z27" s="283"/>
      <c r="AA27" s="283"/>
      <c r="AB27" s="283"/>
      <c r="AC27" s="283"/>
      <c r="AD27" s="283"/>
      <c r="AE27" s="282"/>
      <c r="AF27" s="55"/>
      <c r="AG27" s="56"/>
      <c r="AH27" s="55"/>
      <c r="AI27" s="96"/>
    </row>
    <row r="28" spans="1:35" hidden="1" outlineLevel="1">
      <c r="A28" s="240" t="s">
        <v>398</v>
      </c>
      <c r="B28" s="281"/>
      <c r="C28" s="281"/>
      <c r="D28" s="281"/>
      <c r="E28" s="281"/>
      <c r="F28" s="281"/>
      <c r="G28" s="289"/>
      <c r="H28" s="289"/>
      <c r="I28" s="289"/>
      <c r="J28" s="290"/>
      <c r="K28" s="290"/>
      <c r="L28" s="290"/>
      <c r="M28" s="290"/>
      <c r="N28" s="239">
        <f>'qtrP&amp;L'!AZ60</f>
        <v>111.49100000000001</v>
      </c>
      <c r="O28" s="239">
        <f>'qtrP&amp;L'!BD60</f>
        <v>118.598</v>
      </c>
      <c r="P28" s="239">
        <f>'qtrP&amp;L'!BH60</f>
        <v>109.744</v>
      </c>
      <c r="Q28" s="239">
        <f>'qtrP&amp;L'!BL60</f>
        <v>111.446</v>
      </c>
      <c r="R28" s="1227">
        <f>'qtrP&amp;L'!BP60</f>
        <v>114.002</v>
      </c>
      <c r="S28" s="1227">
        <f>'qtrP&amp;L'!$BT$60</f>
        <v>132.25396000000001</v>
      </c>
      <c r="T28" s="1227">
        <f>'qtrP&amp;L'!$BX$60</f>
        <v>152.599582</v>
      </c>
      <c r="U28" s="291"/>
      <c r="V28" s="291"/>
      <c r="W28" s="291"/>
      <c r="X28" s="291"/>
      <c r="Y28" s="291"/>
      <c r="Z28" s="291"/>
      <c r="AA28" s="291"/>
      <c r="AB28" s="291"/>
      <c r="AC28" s="291"/>
      <c r="AD28" s="291"/>
      <c r="AE28" s="282"/>
      <c r="AF28" s="55"/>
      <c r="AG28" s="56"/>
      <c r="AH28" s="55"/>
      <c r="AI28" s="96"/>
    </row>
    <row r="29" spans="1:35" hidden="1" outlineLevel="1">
      <c r="A29" s="288" t="s">
        <v>396</v>
      </c>
      <c r="B29" s="281"/>
      <c r="C29" s="281"/>
      <c r="D29" s="281"/>
      <c r="E29" s="281"/>
      <c r="F29" s="281"/>
      <c r="G29" s="289"/>
      <c r="H29" s="289"/>
      <c r="I29" s="289"/>
      <c r="J29" s="290"/>
      <c r="K29" s="290"/>
      <c r="L29" s="290"/>
      <c r="M29" s="290"/>
      <c r="N29" s="281">
        <f>N28/$N$7</f>
        <v>6.794391219109687E-2</v>
      </c>
      <c r="O29" s="281">
        <f>O28/$O$7</f>
        <v>6.9180500569611281E-2</v>
      </c>
      <c r="P29" s="281">
        <f>P28/P$7</f>
        <v>6.9352706388507615E-2</v>
      </c>
      <c r="Q29" s="281">
        <f>Q28/Q$7</f>
        <v>6.505322648149521E-2</v>
      </c>
      <c r="R29" s="1222">
        <f>R28/R$7</f>
        <v>5.9844072181183677E-2</v>
      </c>
      <c r="S29" s="1222">
        <f>S28/S$7</f>
        <v>6.0215064925604182E-2</v>
      </c>
      <c r="T29" s="1222">
        <f>T28/U$7</f>
        <v>5.9009048207740264E-2</v>
      </c>
      <c r="U29" s="281"/>
      <c r="V29" s="281"/>
      <c r="W29" s="283"/>
      <c r="X29" s="283"/>
      <c r="Y29" s="283"/>
      <c r="Z29" s="283"/>
      <c r="AA29" s="283"/>
      <c r="AB29" s="283"/>
      <c r="AC29" s="283"/>
      <c r="AD29" s="283"/>
      <c r="AE29" s="282"/>
      <c r="AF29" s="55"/>
      <c r="AG29" s="56"/>
      <c r="AH29" s="55"/>
      <c r="AI29" s="96"/>
    </row>
    <row r="30" spans="1:35" hidden="1" outlineLevel="1">
      <c r="A30" s="288"/>
      <c r="B30" s="281"/>
      <c r="C30" s="281"/>
      <c r="D30" s="281"/>
      <c r="E30" s="281"/>
      <c r="F30" s="281"/>
      <c r="G30" s="289"/>
      <c r="H30" s="289"/>
      <c r="I30" s="289"/>
      <c r="J30" s="290"/>
      <c r="K30" s="290"/>
      <c r="L30" s="290"/>
      <c r="M30" s="290"/>
      <c r="N30" s="283"/>
      <c r="O30" s="283"/>
      <c r="P30" s="283"/>
      <c r="Q30" s="283"/>
      <c r="R30" s="1226"/>
      <c r="S30" s="1226"/>
      <c r="T30" s="1226"/>
      <c r="U30" s="283"/>
      <c r="V30" s="283"/>
      <c r="W30" s="1071"/>
      <c r="X30" s="1071"/>
      <c r="Y30" s="283"/>
      <c r="Z30" s="283"/>
      <c r="AA30" s="283"/>
      <c r="AB30" s="283"/>
      <c r="AC30" s="283"/>
      <c r="AD30" s="283"/>
      <c r="AE30" s="282"/>
      <c r="AF30" s="55"/>
      <c r="AG30" s="56"/>
      <c r="AH30" s="55"/>
      <c r="AI30" s="96"/>
    </row>
    <row r="31" spans="1:35" hidden="1" outlineLevel="1">
      <c r="A31" s="240" t="s">
        <v>557</v>
      </c>
      <c r="B31" s="239">
        <f>'qtrP&amp;L'!D76</f>
        <v>0.23220000000000002</v>
      </c>
      <c r="C31" s="239">
        <f>'qtrP&amp;L'!H76</f>
        <v>0.42212399999999994</v>
      </c>
      <c r="D31" s="239">
        <f>'qtrP&amp;L'!L76</f>
        <v>0.4745299999999999</v>
      </c>
      <c r="E31" s="239">
        <f>'qtrP&amp;L'!P76</f>
        <v>0.53539700000000001</v>
      </c>
      <c r="F31" s="239">
        <f>'qtrP&amp;L'!T76</f>
        <v>0.61259299999999983</v>
      </c>
      <c r="G31" s="239"/>
      <c r="H31" s="239"/>
      <c r="I31" s="292">
        <f>4.814/(1-I47)</f>
        <v>7.7644513839810179</v>
      </c>
      <c r="J31" s="292">
        <f>8.696/(1-J47)</f>
        <v>14.025836293690814</v>
      </c>
      <c r="K31" s="292">
        <f>9.359/(1-K47)</f>
        <v>15.09522984584649</v>
      </c>
      <c r="L31" s="292">
        <f>9.34/(1-L47)</f>
        <v>14.995156154837606</v>
      </c>
      <c r="M31" s="292">
        <f>(13.031-1.017)/(1-M47)</f>
        <v>18.985775338821846</v>
      </c>
      <c r="N31" s="971">
        <f>+'qtrP&amp;L'!AZ68</f>
        <v>19.705002761326199</v>
      </c>
      <c r="O31" s="971">
        <v>23</v>
      </c>
      <c r="P31" s="971">
        <v>20</v>
      </c>
      <c r="Q31" s="971">
        <f t="shared" ref="Q31:V31" si="17">+P31</f>
        <v>20</v>
      </c>
      <c r="R31" s="1228">
        <f t="shared" si="17"/>
        <v>20</v>
      </c>
      <c r="S31" s="1228">
        <f t="shared" si="17"/>
        <v>20</v>
      </c>
      <c r="T31" s="1228">
        <f t="shared" si="17"/>
        <v>20</v>
      </c>
      <c r="U31" s="971">
        <f t="shared" si="17"/>
        <v>20</v>
      </c>
      <c r="V31" s="971">
        <f t="shared" si="17"/>
        <v>20</v>
      </c>
      <c r="W31" s="971">
        <f t="shared" ref="W31:AD31" si="18">+V31</f>
        <v>20</v>
      </c>
      <c r="X31" s="971">
        <f t="shared" si="18"/>
        <v>20</v>
      </c>
      <c r="Y31" s="971">
        <f t="shared" si="18"/>
        <v>20</v>
      </c>
      <c r="Z31" s="971">
        <f t="shared" si="18"/>
        <v>20</v>
      </c>
      <c r="AA31" s="971">
        <f t="shared" si="18"/>
        <v>20</v>
      </c>
      <c r="AB31" s="971">
        <f t="shared" si="18"/>
        <v>20</v>
      </c>
      <c r="AC31" s="971">
        <f t="shared" si="18"/>
        <v>20</v>
      </c>
      <c r="AD31" s="971">
        <f t="shared" si="18"/>
        <v>20</v>
      </c>
      <c r="AE31" s="282"/>
      <c r="AF31" s="55"/>
      <c r="AG31" s="93"/>
      <c r="AH31" s="55"/>
      <c r="AI31" s="100"/>
    </row>
    <row r="32" spans="1:35" hidden="1" outlineLevel="1">
      <c r="A32" s="240"/>
      <c r="B32" s="281">
        <f>B31/B$7</f>
        <v>3.917569214776059E-3</v>
      </c>
      <c r="C32" s="281">
        <f>C31/C$7</f>
        <v>6.9953877809704043E-3</v>
      </c>
      <c r="D32" s="281">
        <f>D31/D$7</f>
        <v>7.4061293434221995E-3</v>
      </c>
      <c r="E32" s="281">
        <f>E31/E$7</f>
        <v>7.1064909251965036E-3</v>
      </c>
      <c r="F32" s="281">
        <f>F31/F$7</f>
        <v>5.7390280843944291E-3</v>
      </c>
      <c r="G32" s="281"/>
      <c r="H32" s="281"/>
      <c r="I32" s="293">
        <f t="shared" ref="I32:V32" si="19">+I31/I7</f>
        <v>2.0536240267821596E-2</v>
      </c>
      <c r="J32" s="293">
        <f t="shared" si="19"/>
        <v>2.6408625862235295E-2</v>
      </c>
      <c r="K32" s="293">
        <f t="shared" si="19"/>
        <v>1.9642482829444467E-2</v>
      </c>
      <c r="L32" s="293">
        <f t="shared" si="19"/>
        <v>1.4055121517503908E-2</v>
      </c>
      <c r="M32" s="293">
        <f t="shared" si="19"/>
        <v>1.3517096159921574E-2</v>
      </c>
      <c r="N32" s="972">
        <f t="shared" si="19"/>
        <v>1.2008457878580946E-2</v>
      </c>
      <c r="O32" s="972">
        <f t="shared" si="19"/>
        <v>1.3416343556392684E-2</v>
      </c>
      <c r="P32" s="972">
        <f t="shared" si="19"/>
        <v>1.2638997373616345E-2</v>
      </c>
      <c r="Q32" s="972">
        <f t="shared" si="19"/>
        <v>1.167439414272297E-2</v>
      </c>
      <c r="R32" s="1229">
        <f t="shared" si="19"/>
        <v>1.0498775842736738E-2</v>
      </c>
      <c r="S32" s="1229">
        <f t="shared" si="19"/>
        <v>9.1059753410187762E-3</v>
      </c>
      <c r="T32" s="1229">
        <f>+T31/U7</f>
        <v>7.7338413951540527E-3</v>
      </c>
      <c r="U32" s="972">
        <f t="shared" si="19"/>
        <v>7.7338413951540527E-3</v>
      </c>
      <c r="V32" s="972">
        <f t="shared" si="19"/>
        <v>7.7210120393740719E-3</v>
      </c>
      <c r="W32" s="972">
        <f t="shared" ref="W32:AB32" si="20">+W31/W7</f>
        <v>7.7712576925737077E-3</v>
      </c>
      <c r="X32" s="972">
        <f t="shared" si="20"/>
        <v>8.0762070901022054E-3</v>
      </c>
      <c r="Y32" s="972">
        <f t="shared" si="20"/>
        <v>8.7627865485968813E-3</v>
      </c>
      <c r="Z32" s="972">
        <f t="shared" si="20"/>
        <v>9.1524686960119759E-3</v>
      </c>
      <c r="AA32" s="972">
        <f t="shared" si="20"/>
        <v>9.319093355123315E-3</v>
      </c>
      <c r="AB32" s="972">
        <f t="shared" si="20"/>
        <v>9.3369905176790436E-3</v>
      </c>
      <c r="AC32" s="972">
        <f>+AC31/AC7</f>
        <v>9.3469915889558951E-3</v>
      </c>
      <c r="AD32" s="972">
        <f>+AD31/AD7</f>
        <v>9.3487892738096847E-3</v>
      </c>
      <c r="AE32" s="282"/>
      <c r="AF32" s="55"/>
      <c r="AG32" s="56"/>
      <c r="AH32" s="55"/>
      <c r="AI32" s="96"/>
    </row>
    <row r="33" spans="1:35" collapsed="1">
      <c r="A33" s="240"/>
      <c r="B33" s="239"/>
      <c r="C33" s="239"/>
      <c r="D33" s="281"/>
      <c r="E33" s="239"/>
      <c r="F33" s="239"/>
      <c r="G33" s="239"/>
      <c r="H33" s="239"/>
      <c r="I33" s="239"/>
      <c r="J33" s="239"/>
      <c r="K33" s="239"/>
      <c r="L33" s="239"/>
      <c r="M33" s="239"/>
      <c r="N33" s="26" t="s">
        <v>231</v>
      </c>
      <c r="O33" s="239"/>
      <c r="P33" s="239"/>
      <c r="Q33" s="239"/>
      <c r="R33" s="1223"/>
      <c r="S33" s="1223"/>
      <c r="T33" s="1223"/>
      <c r="U33" s="239"/>
      <c r="V33" s="239"/>
      <c r="W33" s="239"/>
      <c r="X33" s="239"/>
      <c r="Y33" s="239"/>
      <c r="Z33" s="239"/>
      <c r="AA33" s="239"/>
      <c r="AB33" s="239"/>
      <c r="AC33" s="239"/>
      <c r="AD33" s="239"/>
      <c r="AE33" s="282"/>
      <c r="AF33" s="55"/>
      <c r="AG33" s="56"/>
      <c r="AH33" s="55"/>
      <c r="AI33" s="96"/>
    </row>
    <row r="34" spans="1:35">
      <c r="A34" s="240" t="s">
        <v>551</v>
      </c>
      <c r="B34" s="239">
        <f>'qtrP&amp;L'!D78</f>
        <v>1.0747</v>
      </c>
      <c r="C34" s="239">
        <f>'qtrP&amp;L'!H78</f>
        <v>1.7418199999999999</v>
      </c>
      <c r="D34" s="239">
        <f>'qtrP&amp;L'!L78</f>
        <v>1.896196</v>
      </c>
      <c r="E34" s="239">
        <f>'qtrP&amp;L'!P78</f>
        <v>2.1141459999999999</v>
      </c>
      <c r="F34" s="239">
        <f>'qtrP&amp;L'!T78</f>
        <v>2.4077989999999998</v>
      </c>
      <c r="G34" s="239">
        <f>'qtrP&amp;L'!X78</f>
        <v>3.3075389999999998</v>
      </c>
      <c r="H34" s="239">
        <f>'qtrP&amp;L'!AB78</f>
        <v>5.9777439999999995</v>
      </c>
      <c r="I34" s="239">
        <f>+'qtrP&amp;L'!AF78</f>
        <v>10.110161</v>
      </c>
      <c r="J34" s="239">
        <f>+'qtrP&amp;L'!AJ78</f>
        <v>15.029767</v>
      </c>
      <c r="K34" s="239">
        <f>+'qtrP&amp;L'!AN78</f>
        <v>21.142131999999997</v>
      </c>
      <c r="L34" s="239">
        <f>+'qtrP&amp;L'!AR78</f>
        <v>32.481000000000002</v>
      </c>
      <c r="M34" s="239">
        <f>+'qtrP&amp;L'!AV78</f>
        <v>44.199999999999996</v>
      </c>
      <c r="N34" s="971">
        <f>+'qtrP&amp;L'!AZ78</f>
        <v>61.841000000000008</v>
      </c>
      <c r="O34" s="971">
        <f>+'qtrP&amp;L'!BD78</f>
        <v>81.593000000000004</v>
      </c>
      <c r="P34" s="971">
        <f>+'qtrP&amp;L'!BH78</f>
        <v>97.572000000000003</v>
      </c>
      <c r="Q34" s="971">
        <f>'qtrP&amp;L'!BL78</f>
        <v>96.372</v>
      </c>
      <c r="R34" s="1230">
        <f>'qtrP&amp;L'!BP78</f>
        <v>94.113</v>
      </c>
      <c r="S34" s="1230">
        <f>'qtrP&amp;L'!$BT$78</f>
        <v>99.43</v>
      </c>
      <c r="T34" s="1230">
        <f>'qtrP&amp;L'!$BX$78</f>
        <v>108.471</v>
      </c>
      <c r="U34" s="294">
        <f>'qtrP&amp;L'!CB78</f>
        <v>118.303</v>
      </c>
      <c r="V34" s="294">
        <f>'qtrP&amp;L'!CF78</f>
        <v>122.26900000000001</v>
      </c>
      <c r="W34" s="294">
        <f>'qtrP&amp;L'!CJ78</f>
        <v>118.8</v>
      </c>
      <c r="X34" s="294">
        <f>'qtrP&amp;L'!CN78</f>
        <v>109.251</v>
      </c>
      <c r="Y34" s="294">
        <f>'qtrP&amp;L'!CR78</f>
        <v>96.31</v>
      </c>
      <c r="Z34" s="294">
        <f>'qtrP&amp;L'!CV78</f>
        <v>94</v>
      </c>
      <c r="AA34" s="294">
        <f>Z34+2</f>
        <v>96</v>
      </c>
      <c r="AB34" s="294">
        <f>AA34+2</f>
        <v>98</v>
      </c>
      <c r="AC34" s="294">
        <f>AB34+2</f>
        <v>100</v>
      </c>
      <c r="AD34" s="294">
        <f>AC34+2</f>
        <v>102</v>
      </c>
      <c r="AE34" s="282"/>
      <c r="AF34" s="55">
        <f>((X34/S34)^(1/5)-1)*100</f>
        <v>1.9017391840625786</v>
      </c>
      <c r="AG34" s="93" t="s">
        <v>576</v>
      </c>
      <c r="AH34" s="55">
        <f>((AD34/Y34)^(1/5)-1)*100</f>
        <v>1.154628114544165</v>
      </c>
      <c r="AI34" s="98" t="s">
        <v>576</v>
      </c>
    </row>
    <row r="35" spans="1:35">
      <c r="A35" s="240" t="s">
        <v>590</v>
      </c>
      <c r="B35" s="239">
        <f>B34/B7*100</f>
        <v>1.8131833053918305</v>
      </c>
      <c r="C35" s="239">
        <f>C34/C7*100</f>
        <v>2.8865229990831769</v>
      </c>
      <c r="D35" s="281">
        <f t="shared" ref="D35:AA35" si="21">D34/D$7</f>
        <v>2.9594488939539764E-2</v>
      </c>
      <c r="E35" s="281">
        <f t="shared" si="21"/>
        <v>2.8061717498492681E-2</v>
      </c>
      <c r="F35" s="281">
        <f t="shared" si="21"/>
        <v>2.2557270622708427E-2</v>
      </c>
      <c r="G35" s="281">
        <f t="shared" si="21"/>
        <v>2.1338647268036009E-2</v>
      </c>
      <c r="H35" s="281">
        <f t="shared" si="21"/>
        <v>2.3040426124142664E-2</v>
      </c>
      <c r="I35" s="281">
        <f t="shared" si="21"/>
        <v>2.6740420562193713E-2</v>
      </c>
      <c r="J35" s="281">
        <f t="shared" si="21"/>
        <v>2.8298882518549961E-2</v>
      </c>
      <c r="K35" s="281">
        <f t="shared" si="21"/>
        <v>2.7510940146573213E-2</v>
      </c>
      <c r="L35" s="281">
        <f t="shared" si="21"/>
        <v>3.0444791457724472E-2</v>
      </c>
      <c r="M35" s="281">
        <f t="shared" si="21"/>
        <v>3.146859370272146E-2</v>
      </c>
      <c r="N35" s="281">
        <f>N34/N$7</f>
        <v>3.7686624694456244E-2</v>
      </c>
      <c r="O35" s="281">
        <f t="shared" si="21"/>
        <v>4.7594770425945579E-2</v>
      </c>
      <c r="P35" s="281">
        <f t="shared" si="21"/>
        <v>6.1660612586924707E-2</v>
      </c>
      <c r="Q35" s="281">
        <f t="shared" si="21"/>
        <v>5.6254235616124908E-2</v>
      </c>
      <c r="R35" s="1222">
        <f t="shared" si="21"/>
        <v>4.9403564544374126E-2</v>
      </c>
      <c r="S35" s="1222">
        <f t="shared" si="21"/>
        <v>4.527035640787485E-2</v>
      </c>
      <c r="T35" s="1222">
        <f>T34/U$7</f>
        <v>4.1944875498687764E-2</v>
      </c>
      <c r="U35" s="281">
        <f t="shared" si="21"/>
        <v>4.5746831928545492E-2</v>
      </c>
      <c r="V35" s="281">
        <f t="shared" si="21"/>
        <v>4.7202021052111423E-2</v>
      </c>
      <c r="W35" s="281">
        <f t="shared" si="21"/>
        <v>4.616127069388782E-2</v>
      </c>
      <c r="X35" s="281">
        <f>X34/X$7</f>
        <v>4.4116685040037802E-2</v>
      </c>
      <c r="Y35" s="281">
        <f t="shared" si="21"/>
        <v>4.2197198624768284E-2</v>
      </c>
      <c r="Z35" s="281">
        <f t="shared" si="21"/>
        <v>4.3016602871256283E-2</v>
      </c>
      <c r="AA35" s="281">
        <f t="shared" si="21"/>
        <v>4.4731648104591917E-2</v>
      </c>
      <c r="AB35" s="281">
        <f>AB34/AB$7</f>
        <v>4.5751253536627311E-2</v>
      </c>
      <c r="AC35" s="281">
        <f>AC34/AC$7</f>
        <v>4.6734957944779477E-2</v>
      </c>
      <c r="AD35" s="281">
        <f>AD34/AD$7</f>
        <v>4.7678825296429396E-2</v>
      </c>
      <c r="AE35" s="282"/>
      <c r="AF35" s="55"/>
      <c r="AG35" s="56"/>
      <c r="AH35" s="55"/>
      <c r="AI35" s="96"/>
    </row>
    <row r="36" spans="1:35">
      <c r="A36" s="240"/>
      <c r="B36" s="239"/>
      <c r="C36" s="239"/>
      <c r="D36" s="239"/>
      <c r="E36" s="239"/>
      <c r="F36" s="239"/>
      <c r="G36" s="239"/>
      <c r="H36" s="239"/>
      <c r="I36" s="239"/>
      <c r="J36" s="239"/>
      <c r="K36" s="239"/>
      <c r="L36" s="239"/>
      <c r="M36" s="239"/>
      <c r="N36" s="239"/>
      <c r="O36" s="239"/>
      <c r="P36" s="239"/>
      <c r="Q36" s="239"/>
      <c r="R36" s="1223"/>
      <c r="S36" s="1223"/>
      <c r="T36" s="1223"/>
      <c r="U36" s="239"/>
      <c r="V36" s="239"/>
      <c r="W36" s="239"/>
      <c r="X36" s="239"/>
      <c r="Y36" s="239"/>
      <c r="Z36" s="239"/>
      <c r="AA36" s="239"/>
      <c r="AB36" s="239"/>
      <c r="AC36" s="239"/>
      <c r="AD36" s="239"/>
      <c r="AE36" s="282"/>
      <c r="AF36" s="55"/>
      <c r="AG36" s="56"/>
      <c r="AH36" s="55"/>
      <c r="AI36" s="96"/>
    </row>
    <row r="37" spans="1:35">
      <c r="A37" s="240" t="s">
        <v>552</v>
      </c>
      <c r="B37" s="239">
        <f t="shared" ref="B37:M37" si="22">B7-B11-B14-B34</f>
        <v>5.6846379999999961</v>
      </c>
      <c r="C37" s="239">
        <f t="shared" si="22"/>
        <v>3.4849990000000064</v>
      </c>
      <c r="D37" s="239">
        <f t="shared" si="22"/>
        <v>3.6216070000000009</v>
      </c>
      <c r="E37" s="239">
        <f t="shared" si="22"/>
        <v>4.9143189999999901</v>
      </c>
      <c r="F37" s="239">
        <f t="shared" si="22"/>
        <v>15.134110000000003</v>
      </c>
      <c r="G37" s="239">
        <f t="shared" si="22"/>
        <v>24.806080000000016</v>
      </c>
      <c r="H37" s="239">
        <f t="shared" si="22"/>
        <v>45.363474999999966</v>
      </c>
      <c r="I37" s="239">
        <f t="shared" si="22"/>
        <v>67.535885999999977</v>
      </c>
      <c r="J37" s="239">
        <f t="shared" si="22"/>
        <v>106.79325500000002</v>
      </c>
      <c r="K37" s="239">
        <f t="shared" si="22"/>
        <v>160.77458300000001</v>
      </c>
      <c r="L37" s="239">
        <f t="shared" si="22"/>
        <v>224.37500000000011</v>
      </c>
      <c r="M37" s="239">
        <f t="shared" si="22"/>
        <v>298.31400000000002</v>
      </c>
      <c r="N37" s="239">
        <f t="shared" ref="N37:T37" si="23">N7-N11-N14</f>
        <v>263.70000000000016</v>
      </c>
      <c r="O37" s="239">
        <f t="shared" si="23"/>
        <v>121.45799999999986</v>
      </c>
      <c r="P37" s="239">
        <f t="shared" si="23"/>
        <v>-15.929000000000087</v>
      </c>
      <c r="Q37" s="239">
        <f t="shared" si="23"/>
        <v>123.17900000000009</v>
      </c>
      <c r="R37" s="1223">
        <f t="shared" si="23"/>
        <v>178.15799999999979</v>
      </c>
      <c r="S37" s="1223">
        <f t="shared" si="23"/>
        <v>227.51000000000022</v>
      </c>
      <c r="T37" s="1223">
        <f t="shared" si="23"/>
        <v>289.3739999999998</v>
      </c>
      <c r="U37" s="239">
        <f t="shared" ref="U37:Z37" si="24">U7-U11-U14</f>
        <v>213.64999999999986</v>
      </c>
      <c r="V37" s="239">
        <f t="shared" si="24"/>
        <v>176.33100000000024</v>
      </c>
      <c r="W37" s="239">
        <f t="shared" si="24"/>
        <v>168.95200000000034</v>
      </c>
      <c r="X37" s="239">
        <f>X7-X11-X14</f>
        <v>167.7149999999998</v>
      </c>
      <c r="Y37" s="239">
        <f t="shared" si="24"/>
        <v>145.16999999999985</v>
      </c>
      <c r="Z37" s="239">
        <f t="shared" si="24"/>
        <v>143.48855509623695</v>
      </c>
      <c r="AA37" s="239">
        <f>AA7-AA11-AA14</f>
        <v>165.03751399318924</v>
      </c>
      <c r="AB37" s="239">
        <f>AB7-AB11-AB14</f>
        <v>173.71764455890116</v>
      </c>
      <c r="AC37" s="239">
        <f>AC7-AC11-AC14</f>
        <v>181.87670159120137</v>
      </c>
      <c r="AD37" s="239">
        <f>AD7-AD11-AD14</f>
        <v>187.8318088652801</v>
      </c>
      <c r="AE37" s="282"/>
      <c r="AF37" s="55">
        <f>((X37/S37)^(1/5)-1)*100</f>
        <v>-5.9163227927595656</v>
      </c>
      <c r="AG37" s="93" t="s">
        <v>576</v>
      </c>
      <c r="AH37" s="55">
        <f>((AD37/Y37)^(1/5)-1)*100</f>
        <v>5.2878973762170212</v>
      </c>
      <c r="AI37" s="98" t="s">
        <v>576</v>
      </c>
    </row>
    <row r="38" spans="1:35">
      <c r="A38" s="240" t="s">
        <v>574</v>
      </c>
      <c r="B38" s="281">
        <f t="shared" ref="B38:W38" si="25">B37/B$7</f>
        <v>9.5908539302093587E-2</v>
      </c>
      <c r="C38" s="281">
        <f t="shared" si="25"/>
        <v>5.7752981164999204E-2</v>
      </c>
      <c r="D38" s="281">
        <f t="shared" si="25"/>
        <v>5.6523486129524486E-2</v>
      </c>
      <c r="E38" s="281">
        <f t="shared" si="25"/>
        <v>6.5229284768163975E-2</v>
      </c>
      <c r="F38" s="281">
        <f t="shared" si="25"/>
        <v>0.14178268821601719</v>
      </c>
      <c r="G38" s="281">
        <f t="shared" si="25"/>
        <v>0.16003687068321282</v>
      </c>
      <c r="H38" s="281">
        <f t="shared" si="25"/>
        <v>0.1748475335296881</v>
      </c>
      <c r="I38" s="281">
        <f t="shared" si="25"/>
        <v>0.17862603717985992</v>
      </c>
      <c r="J38" s="281">
        <f t="shared" si="25"/>
        <v>0.20107628927438123</v>
      </c>
      <c r="K38" s="281">
        <f t="shared" si="25"/>
        <v>0.20920595567198558</v>
      </c>
      <c r="L38" s="281">
        <f t="shared" si="25"/>
        <v>0.21030910634915587</v>
      </c>
      <c r="M38" s="281">
        <f t="shared" si="25"/>
        <v>0.21238737696456225</v>
      </c>
      <c r="N38" s="281">
        <f t="shared" si="25"/>
        <v>0.16070184718759586</v>
      </c>
      <c r="O38" s="281">
        <f t="shared" si="25"/>
        <v>7.0848793724884382E-2</v>
      </c>
      <c r="P38" s="281">
        <f t="shared" si="25"/>
        <v>-1.0066329458216793E-2</v>
      </c>
      <c r="Q38" s="281">
        <f t="shared" si="25"/>
        <v>7.1902009805323686E-2</v>
      </c>
      <c r="R38" s="1222">
        <f t="shared" si="25"/>
        <v>9.3522045329514469E-2</v>
      </c>
      <c r="S38" s="1222">
        <f t="shared" si="25"/>
        <v>0.10358502249175919</v>
      </c>
      <c r="T38" s="1222">
        <f>T37/U$7</f>
        <v>0.11189863099406537</v>
      </c>
      <c r="U38" s="281">
        <f t="shared" si="25"/>
        <v>8.2616760703733111E-2</v>
      </c>
      <c r="V38" s="281">
        <f>V37/V$7</f>
        <v>6.8072688695743566E-2</v>
      </c>
      <c r="W38" s="281">
        <f t="shared" si="25"/>
        <v>6.5648476483785786E-2</v>
      </c>
      <c r="X38" s="281">
        <f t="shared" ref="X38:AC38" si="26">X37/X$7</f>
        <v>6.7725053605824481E-2</v>
      </c>
      <c r="Y38" s="281">
        <f t="shared" si="26"/>
        <v>6.3604686162990393E-2</v>
      </c>
      <c r="Z38" s="281">
        <f t="shared" si="26"/>
        <v>6.5663725437714912E-2</v>
      </c>
      <c r="AA38" s="281">
        <f t="shared" si="26"/>
        <v>7.6900000000000052E-2</v>
      </c>
      <c r="AB38" s="281">
        <f t="shared" si="26"/>
        <v>8.1099999999999922E-2</v>
      </c>
      <c r="AC38" s="281">
        <f t="shared" si="26"/>
        <v>8.500000000000002E-2</v>
      </c>
      <c r="AD38" s="281">
        <f t="shared" ref="AD38" si="27">AD37/AD$7</f>
        <v>8.7800000000000072E-2</v>
      </c>
      <c r="AE38" s="282"/>
      <c r="AF38" s="55"/>
      <c r="AG38" s="56"/>
      <c r="AH38" s="55"/>
      <c r="AI38" s="96"/>
    </row>
    <row r="39" spans="1:35">
      <c r="A39" s="240"/>
      <c r="B39" s="239"/>
      <c r="C39" s="239"/>
      <c r="D39" s="239"/>
      <c r="E39" s="239"/>
      <c r="F39" s="239"/>
      <c r="G39" s="239"/>
      <c r="H39" s="239"/>
      <c r="I39" s="239"/>
      <c r="J39" s="239"/>
      <c r="K39" s="239"/>
      <c r="L39" s="239"/>
      <c r="M39" s="281"/>
      <c r="N39" s="239"/>
      <c r="O39" s="284"/>
      <c r="P39" s="239"/>
      <c r="Q39" s="281"/>
      <c r="R39" s="1223"/>
      <c r="S39" s="1223"/>
      <c r="T39" s="1223"/>
      <c r="U39" s="239"/>
      <c r="V39" s="239"/>
      <c r="W39" s="239"/>
      <c r="X39" s="239"/>
      <c r="Y39" s="239"/>
      <c r="Z39" s="239"/>
      <c r="AA39" s="239"/>
      <c r="AB39" s="239"/>
      <c r="AC39" s="239"/>
      <c r="AD39" s="239"/>
      <c r="AE39" s="282"/>
      <c r="AF39" s="55"/>
      <c r="AG39" s="56"/>
      <c r="AH39" s="55"/>
      <c r="AI39" s="96"/>
    </row>
    <row r="40" spans="1:35">
      <c r="A40" s="240" t="s">
        <v>553</v>
      </c>
      <c r="B40" s="239">
        <f>'qtrP&amp;L'!D98</f>
        <v>-0.119007</v>
      </c>
      <c r="C40" s="239">
        <f>'qtrP&amp;L'!H98</f>
        <v>-0.62140300000000004</v>
      </c>
      <c r="D40" s="239">
        <f>'qtrP&amp;L'!L98</f>
        <v>-0.40405400000000002</v>
      </c>
      <c r="E40" s="239">
        <f>'qtrP&amp;L'!P98</f>
        <v>-0.372303</v>
      </c>
      <c r="F40" s="239">
        <f>'qtrP&amp;L'!T98</f>
        <v>-0.15100200000000003</v>
      </c>
      <c r="G40" s="239">
        <f>'qtrP&amp;L'!X98</f>
        <v>0.17760600000000001</v>
      </c>
      <c r="H40" s="239">
        <f>'qtrP&amp;L'!AB98</f>
        <v>0.40814600000000001</v>
      </c>
      <c r="I40" s="239">
        <f>+'qtrP&amp;L'!AF98</f>
        <v>0.50714499999999996</v>
      </c>
      <c r="J40" s="239">
        <f>+'qtrP&amp;L'!AJ98</f>
        <v>0.882687</v>
      </c>
      <c r="K40" s="239">
        <f>+'qtrP&amp;L'!AN98</f>
        <v>0.88737700000000008</v>
      </c>
      <c r="L40" s="239">
        <f>+'qtrP&amp;L'!AR98</f>
        <v>2.3279999999999998</v>
      </c>
      <c r="M40" s="239">
        <f>+'qtrP&amp;L'!AV98</f>
        <v>8.2349999999999994</v>
      </c>
      <c r="N40" s="239">
        <f>+'qtrP&amp;L'!AZ98</f>
        <v>10.626000000000001</v>
      </c>
      <c r="O40" s="239">
        <f>+'qtrP&amp;L'!BD98</f>
        <v>10.868</v>
      </c>
      <c r="P40" s="239">
        <f>+'qtrP&amp;L'!BH98</f>
        <v>7.7560000000000002</v>
      </c>
      <c r="Q40" s="239">
        <f>'qtrP&amp;L'!BL98</f>
        <v>1.6940000000000002</v>
      </c>
      <c r="R40" s="1223">
        <f>'qtrP&amp;L'!BP98</f>
        <v>1.712</v>
      </c>
      <c r="S40" s="1223">
        <f>'qtrP&amp;L'!$BT$98</f>
        <v>1.5970000000000004</v>
      </c>
      <c r="T40" s="1223">
        <f>'qtrP&amp;L'!$BX$98</f>
        <v>0.88100000000000001</v>
      </c>
      <c r="U40" s="239">
        <f>'qtrP&amp;L'!CB98</f>
        <v>0.499</v>
      </c>
      <c r="V40" s="239">
        <f>'qtrP&amp;L'!CF98</f>
        <v>9.8000000000000004E-2</v>
      </c>
      <c r="W40" s="239">
        <f>'qtrP&amp;L'!CJ98</f>
        <v>-1.87</v>
      </c>
      <c r="X40" s="239">
        <f>'qtrP&amp;L'!CN98</f>
        <v>-1.9729999999999999</v>
      </c>
      <c r="Y40" s="239">
        <f>'qtrP&amp;L'!CR98</f>
        <v>-1.57</v>
      </c>
      <c r="Z40" s="239">
        <f>'qtrP&amp;L'!CV98</f>
        <v>-1.1359999999999999</v>
      </c>
      <c r="AA40" s="239">
        <f>Z40</f>
        <v>-1.1359999999999999</v>
      </c>
      <c r="AB40" s="239">
        <f>AA40</f>
        <v>-1.1359999999999999</v>
      </c>
      <c r="AC40" s="239">
        <f>AB40</f>
        <v>-1.1359999999999999</v>
      </c>
      <c r="AD40" s="239">
        <f>AC40</f>
        <v>-1.1359999999999999</v>
      </c>
      <c r="AE40" s="282"/>
      <c r="AF40" s="55">
        <f>((X40/S40)^(1/5)-1)*100</f>
        <v>-204.31924466034536</v>
      </c>
      <c r="AG40" s="93" t="s">
        <v>576</v>
      </c>
      <c r="AH40" s="55">
        <f>((AD40/Y40)^(1/5)-1)*100</f>
        <v>-6.2663053326461942</v>
      </c>
      <c r="AI40" s="98" t="s">
        <v>576</v>
      </c>
    </row>
    <row r="41" spans="1:35">
      <c r="A41" s="240" t="s">
        <v>590</v>
      </c>
      <c r="B41" s="281">
        <f t="shared" ref="B41:AA41" si="28">B40/B$7</f>
        <v>-2.0078301444567373E-3</v>
      </c>
      <c r="C41" s="281">
        <f t="shared" si="28"/>
        <v>-1.0297815223153274E-2</v>
      </c>
      <c r="D41" s="281">
        <f t="shared" si="28"/>
        <v>-6.3061896734181487E-3</v>
      </c>
      <c r="E41" s="281">
        <f t="shared" si="28"/>
        <v>-4.9416935300784911E-3</v>
      </c>
      <c r="F41" s="281">
        <f t="shared" si="28"/>
        <v>-1.414650051175459E-3</v>
      </c>
      <c r="G41" s="281">
        <f t="shared" si="28"/>
        <v>1.1458282991332238E-3</v>
      </c>
      <c r="H41" s="281">
        <f t="shared" si="28"/>
        <v>1.5731449457963293E-3</v>
      </c>
      <c r="I41" s="281">
        <f t="shared" si="28"/>
        <v>1.3413506061885393E-3</v>
      </c>
      <c r="J41" s="281">
        <f t="shared" si="28"/>
        <v>1.6619722523743257E-3</v>
      </c>
      <c r="K41" s="281">
        <f t="shared" si="28"/>
        <v>1.1546884455383073E-3</v>
      </c>
      <c r="L41" s="281">
        <f t="shared" si="28"/>
        <v>2.1820594967390957E-3</v>
      </c>
      <c r="M41" s="281">
        <f t="shared" si="28"/>
        <v>5.8629834647491224E-3</v>
      </c>
      <c r="N41" s="281">
        <f t="shared" si="28"/>
        <v>6.4756079947493094E-3</v>
      </c>
      <c r="O41" s="281">
        <f t="shared" si="28"/>
        <v>6.3395139900380738E-3</v>
      </c>
      <c r="P41" s="281">
        <f t="shared" si="28"/>
        <v>4.9014031814884193E-3</v>
      </c>
      <c r="Q41" s="281">
        <f t="shared" si="28"/>
        <v>9.8882118388863563E-4</v>
      </c>
      <c r="R41" s="1222">
        <f t="shared" si="28"/>
        <v>8.9869521213826466E-4</v>
      </c>
      <c r="S41" s="1222">
        <f t="shared" si="28"/>
        <v>7.2711213098034942E-4</v>
      </c>
      <c r="T41" s="1222">
        <f>T40/U$7</f>
        <v>3.4067571345653601E-4</v>
      </c>
      <c r="U41" s="281">
        <f t="shared" si="28"/>
        <v>1.9295934280909362E-4</v>
      </c>
      <c r="V41" s="281">
        <f t="shared" si="28"/>
        <v>3.7832958992932956E-5</v>
      </c>
      <c r="W41" s="281">
        <f t="shared" si="28"/>
        <v>-7.2661259425564173E-4</v>
      </c>
      <c r="X41" s="281">
        <f>X40/X$7</f>
        <v>-7.9671782943858244E-4</v>
      </c>
      <c r="Y41" s="281">
        <f t="shared" si="28"/>
        <v>-6.8787874406485514E-4</v>
      </c>
      <c r="Z41" s="281">
        <f t="shared" si="28"/>
        <v>-5.1986022193348019E-4</v>
      </c>
      <c r="AA41" s="281">
        <f t="shared" si="28"/>
        <v>-5.2932450257100431E-4</v>
      </c>
      <c r="AB41" s="281">
        <f>AB40/AB$7</f>
        <v>-5.3034106140416955E-4</v>
      </c>
      <c r="AC41" s="281">
        <f>AC40/AC$7</f>
        <v>-5.3090912225269482E-4</v>
      </c>
      <c r="AD41" s="281">
        <f>AD40/AD$7</f>
        <v>-5.3101123075239003E-4</v>
      </c>
      <c r="AE41" s="282"/>
      <c r="AF41" s="55"/>
      <c r="AG41" s="56"/>
      <c r="AH41" s="55"/>
      <c r="AI41" s="96"/>
    </row>
    <row r="42" spans="1:35">
      <c r="A42" s="240"/>
      <c r="B42" s="239"/>
      <c r="C42" s="239"/>
      <c r="D42" s="239"/>
      <c r="E42" s="239"/>
      <c r="F42" s="239"/>
      <c r="G42" s="239"/>
      <c r="H42" s="239"/>
      <c r="I42" s="239"/>
      <c r="J42" s="239"/>
      <c r="K42" s="239"/>
      <c r="L42" s="239"/>
      <c r="M42" s="239"/>
      <c r="N42" s="295"/>
      <c r="O42" s="281"/>
      <c r="P42" s="239"/>
      <c r="Q42" s="239"/>
      <c r="R42" s="1223"/>
      <c r="S42" s="1223"/>
      <c r="T42" s="1223"/>
      <c r="U42" s="239"/>
      <c r="V42" s="239"/>
      <c r="W42" s="239"/>
      <c r="X42" s="239"/>
      <c r="Y42" s="239"/>
      <c r="Z42" s="239"/>
      <c r="AA42" s="239"/>
      <c r="AB42" s="239"/>
      <c r="AC42" s="239"/>
      <c r="AD42" s="239"/>
      <c r="AE42" s="282"/>
      <c r="AF42" s="55"/>
      <c r="AG42" s="56"/>
      <c r="AH42" s="55"/>
      <c r="AI42" s="96"/>
    </row>
    <row r="43" spans="1:35">
      <c r="A43" s="240" t="s">
        <v>554</v>
      </c>
      <c r="B43" s="239">
        <f t="shared" ref="B43:M43" si="29">B37+B40</f>
        <v>5.5656309999999962</v>
      </c>
      <c r="C43" s="239">
        <f t="shared" si="29"/>
        <v>2.8635960000000065</v>
      </c>
      <c r="D43" s="239">
        <f t="shared" si="29"/>
        <v>3.217553000000001</v>
      </c>
      <c r="E43" s="239">
        <f t="shared" si="29"/>
        <v>4.5420159999999905</v>
      </c>
      <c r="F43" s="239">
        <f t="shared" si="29"/>
        <v>14.983108000000003</v>
      </c>
      <c r="G43" s="239">
        <f t="shared" si="29"/>
        <v>24.983686000000016</v>
      </c>
      <c r="H43" s="239">
        <f t="shared" si="29"/>
        <v>45.771620999999968</v>
      </c>
      <c r="I43" s="239">
        <f t="shared" si="29"/>
        <v>68.043030999999971</v>
      </c>
      <c r="J43" s="239">
        <f t="shared" si="29"/>
        <v>107.67594200000002</v>
      </c>
      <c r="K43" s="239">
        <f t="shared" si="29"/>
        <v>161.66195999999999</v>
      </c>
      <c r="L43" s="239">
        <f t="shared" si="29"/>
        <v>226.70300000000012</v>
      </c>
      <c r="M43" s="239">
        <f t="shared" si="29"/>
        <v>306.54900000000004</v>
      </c>
      <c r="N43" s="239">
        <f t="shared" ref="N43:S43" si="30">N37+N40</f>
        <v>274.32600000000014</v>
      </c>
      <c r="O43" s="239">
        <f t="shared" si="30"/>
        <v>132.32599999999985</v>
      </c>
      <c r="P43" s="239">
        <f t="shared" si="30"/>
        <v>-8.1730000000000871</v>
      </c>
      <c r="Q43" s="239">
        <f t="shared" si="30"/>
        <v>124.87300000000009</v>
      </c>
      <c r="R43" s="1223">
        <f t="shared" si="30"/>
        <v>179.86999999999978</v>
      </c>
      <c r="S43" s="1223">
        <f t="shared" si="30"/>
        <v>229.10700000000023</v>
      </c>
      <c r="T43" s="1223">
        <f t="shared" ref="T43:Y43" si="31">T37+T40</f>
        <v>290.25499999999977</v>
      </c>
      <c r="U43" s="239">
        <f>U37+U40</f>
        <v>214.14899999999986</v>
      </c>
      <c r="V43" s="239">
        <f t="shared" si="31"/>
        <v>176.42900000000026</v>
      </c>
      <c r="W43" s="239">
        <f t="shared" si="31"/>
        <v>167.08200000000033</v>
      </c>
      <c r="X43" s="239">
        <f>X37+X40</f>
        <v>165.74199999999979</v>
      </c>
      <c r="Y43" s="239">
        <f t="shared" si="31"/>
        <v>143.59999999999985</v>
      </c>
      <c r="Z43" s="239">
        <f>Z37+Z40</f>
        <v>142.35255509623696</v>
      </c>
      <c r="AA43" s="239">
        <f>AA37+AA40</f>
        <v>163.90151399318924</v>
      </c>
      <c r="AB43" s="239">
        <f>AB37+AB40</f>
        <v>172.58164455890116</v>
      </c>
      <c r="AC43" s="239">
        <f>AC37+AC40</f>
        <v>180.74070159120137</v>
      </c>
      <c r="AD43" s="239">
        <f>AD37+AD40</f>
        <v>186.6958088652801</v>
      </c>
      <c r="AE43" s="282"/>
      <c r="AF43" s="55">
        <f>((X43/S43)^(1/5)-1)*100</f>
        <v>-6.2699511618985575</v>
      </c>
      <c r="AG43" s="93" t="s">
        <v>576</v>
      </c>
      <c r="AH43" s="55">
        <f>((AD43/Y43)^(1/5)-1)*100</f>
        <v>5.3891800772951637</v>
      </c>
      <c r="AI43" s="98" t="s">
        <v>576</v>
      </c>
    </row>
    <row r="44" spans="1:35">
      <c r="A44" s="240" t="s">
        <v>602</v>
      </c>
      <c r="B44" s="281">
        <f t="shared" ref="B44:W44" si="32">B43/B$7</f>
        <v>9.3900709157636847E-2</v>
      </c>
      <c r="C44" s="281">
        <f t="shared" si="32"/>
        <v>4.7455165941845935E-2</v>
      </c>
      <c r="D44" s="281">
        <f t="shared" si="32"/>
        <v>5.0217296456106335E-2</v>
      </c>
      <c r="E44" s="281">
        <f t="shared" si="32"/>
        <v>6.0287591238085483E-2</v>
      </c>
      <c r="F44" s="281">
        <f t="shared" si="32"/>
        <v>0.14036803816484172</v>
      </c>
      <c r="G44" s="281">
        <f t="shared" si="32"/>
        <v>0.16118269898234605</v>
      </c>
      <c r="H44" s="281">
        <f t="shared" si="32"/>
        <v>0.17642067847548445</v>
      </c>
      <c r="I44" s="281">
        <f t="shared" si="32"/>
        <v>0.17996738778604845</v>
      </c>
      <c r="J44" s="281">
        <f t="shared" si="32"/>
        <v>0.20273826152675556</v>
      </c>
      <c r="K44" s="281">
        <f t="shared" si="32"/>
        <v>0.21036064411752387</v>
      </c>
      <c r="L44" s="281">
        <f t="shared" si="32"/>
        <v>0.21249116584589495</v>
      </c>
      <c r="M44" s="281">
        <f t="shared" si="32"/>
        <v>0.21825036042931137</v>
      </c>
      <c r="N44" s="281">
        <f t="shared" si="32"/>
        <v>0.16717745518234517</v>
      </c>
      <c r="O44" s="281">
        <f t="shared" si="32"/>
        <v>7.7188307714922452E-2</v>
      </c>
      <c r="P44" s="281">
        <f t="shared" si="32"/>
        <v>-5.1649262767283748E-3</v>
      </c>
      <c r="Q44" s="281">
        <f t="shared" si="32"/>
        <v>7.2890830989212327E-2</v>
      </c>
      <c r="R44" s="1222">
        <f t="shared" si="32"/>
        <v>9.4420740541652726E-2</v>
      </c>
      <c r="S44" s="1222">
        <f t="shared" si="32"/>
        <v>0.10431213462273954</v>
      </c>
      <c r="T44" s="1222">
        <f>T43/U$7</f>
        <v>0.11223930670752189</v>
      </c>
      <c r="U44" s="281">
        <f t="shared" si="32"/>
        <v>8.2809720046542204E-2</v>
      </c>
      <c r="V44" s="281">
        <f t="shared" si="32"/>
        <v>6.8110521654736508E-2</v>
      </c>
      <c r="W44" s="281">
        <f t="shared" si="32"/>
        <v>6.492186388953014E-2</v>
      </c>
      <c r="X44" s="281">
        <f t="shared" ref="X44:AC44" si="33">X43/X$7</f>
        <v>6.6928335776385892E-2</v>
      </c>
      <c r="Y44" s="281">
        <f t="shared" si="33"/>
        <v>6.2916807418925538E-2</v>
      </c>
      <c r="Z44" s="281">
        <f t="shared" si="33"/>
        <v>6.514386521578143E-2</v>
      </c>
      <c r="AA44" s="281">
        <f t="shared" si="33"/>
        <v>7.6370675497429041E-2</v>
      </c>
      <c r="AB44" s="281">
        <f t="shared" si="33"/>
        <v>8.0569658938595759E-2</v>
      </c>
      <c r="AC44" s="281">
        <f t="shared" si="33"/>
        <v>8.446909087774733E-2</v>
      </c>
      <c r="AD44" s="281">
        <f t="shared" ref="AD44" si="34">AD43/AD$7</f>
        <v>8.7268988769247685E-2</v>
      </c>
      <c r="AE44" s="282"/>
      <c r="AF44" s="55"/>
      <c r="AG44" s="56"/>
      <c r="AH44" s="55"/>
      <c r="AI44" s="96"/>
    </row>
    <row r="45" spans="1:35">
      <c r="A45" s="240"/>
      <c r="B45" s="239"/>
      <c r="C45" s="239"/>
      <c r="D45" s="239"/>
      <c r="E45" s="239"/>
      <c r="F45" s="239"/>
      <c r="G45" s="239"/>
      <c r="H45" s="239"/>
      <c r="I45" s="239"/>
      <c r="J45" s="239"/>
      <c r="K45" s="239"/>
      <c r="L45" s="239"/>
      <c r="M45" s="239"/>
      <c r="N45" s="239"/>
      <c r="O45" s="239"/>
      <c r="P45" s="239"/>
      <c r="Q45" s="239"/>
      <c r="R45" s="1223"/>
      <c r="S45" s="1223"/>
      <c r="T45" s="1223"/>
      <c r="U45" s="239"/>
      <c r="V45" s="239"/>
      <c r="W45" s="239"/>
      <c r="X45" s="239"/>
      <c r="Y45" s="239"/>
      <c r="Z45" s="239"/>
      <c r="AA45" s="239"/>
      <c r="AB45" s="239"/>
      <c r="AC45" s="239"/>
      <c r="AD45" s="239"/>
      <c r="AE45" s="282"/>
      <c r="AF45" s="55"/>
      <c r="AG45" s="56"/>
      <c r="AH45" s="55"/>
      <c r="AI45" s="96"/>
    </row>
    <row r="46" spans="1:35">
      <c r="A46" s="240" t="s">
        <v>555</v>
      </c>
      <c r="B46" s="239">
        <f>'qtrP&amp;L'!D118</f>
        <v>2.2749999999999999</v>
      </c>
      <c r="C46" s="239">
        <f>'qtrP&amp;L'!H118</f>
        <v>1.1599999999999999</v>
      </c>
      <c r="D46" s="239">
        <f>'qtrP&amp;L'!L118</f>
        <v>1.2869999999999999</v>
      </c>
      <c r="E46" s="239">
        <f>'qtrP&amp;L'!P118</f>
        <v>1.772</v>
      </c>
      <c r="F46" s="239">
        <f>'qtrP&amp;L'!T118</f>
        <v>5.8440000000000012</v>
      </c>
      <c r="G46" s="239">
        <f>'qtrP&amp;L'!X118</f>
        <v>9.4939999999999998</v>
      </c>
      <c r="H46" s="239">
        <f>'qtrP&amp;L'!AB118</f>
        <v>17.393000000000001</v>
      </c>
      <c r="I46" s="239">
        <f>+'qtrP&amp;L'!AF118</f>
        <v>25.855999999999998</v>
      </c>
      <c r="J46" s="239">
        <f>+'qtrP&amp;L'!AJ118</f>
        <v>40.917000000000002</v>
      </c>
      <c r="K46" s="239">
        <f>+'qtrP&amp;L'!AN118</f>
        <v>61.432000000000002</v>
      </c>
      <c r="L46" s="239">
        <f>+'qtrP&amp;L'!AR118</f>
        <v>85.496999999999986</v>
      </c>
      <c r="M46" s="239">
        <f>+'qtrP&amp;L'!AV118</f>
        <v>112.56800000000001</v>
      </c>
      <c r="N46" s="239">
        <f>+'qtrP&amp;L'!AZ118</f>
        <v>99.635999999999996</v>
      </c>
      <c r="O46" s="239">
        <f>+'qtrP&amp;L'!BD118</f>
        <v>48.012</v>
      </c>
      <c r="P46" s="239">
        <f>+'qtrP&amp;L'!BH118</f>
        <v>-4.7360000000000015</v>
      </c>
      <c r="Q46" s="239">
        <f>'qtrP&amp;L'!BL118</f>
        <v>45.774000000000001</v>
      </c>
      <c r="R46" s="1223">
        <f>'qtrP&amp;L'!BP118</f>
        <v>63.400000000000006</v>
      </c>
      <c r="S46" s="1223">
        <f>'qtrP&amp;L'!$BT$118</f>
        <v>84.659000000000006</v>
      </c>
      <c r="T46" s="1223">
        <f>'qtrP&amp;L'!$BX$118</f>
        <v>108.82424</v>
      </c>
      <c r="U46" s="239">
        <f>'qtrP&amp;L'!CB118</f>
        <v>77.8</v>
      </c>
      <c r="V46" s="239">
        <f>'qtrP&amp;L'!CF118</f>
        <v>60.290000000000006</v>
      </c>
      <c r="W46" s="239">
        <f>'qtrP&amp;L'!CJ118</f>
        <v>61.527249999999981</v>
      </c>
      <c r="X46" s="239">
        <f>'qtrP&amp;L'!CN118</f>
        <v>58.503999999999998</v>
      </c>
      <c r="Y46" s="239">
        <f>'qtrP&amp;L'!CR118</f>
        <v>42.599999999999994</v>
      </c>
      <c r="Z46" s="239">
        <f>'qtrP&amp;L'!CV118</f>
        <v>38.435189875984037</v>
      </c>
      <c r="AA46" s="239">
        <f>+AA43*AA47</f>
        <v>44.253408778161159</v>
      </c>
      <c r="AB46" s="239">
        <f>+AB43*AB47</f>
        <v>46.597044030903383</v>
      </c>
      <c r="AC46" s="239">
        <f>+AC43*AC47</f>
        <v>48.799989429624446</v>
      </c>
      <c r="AD46" s="239">
        <f>+AD43*AD47</f>
        <v>50.407868393625705</v>
      </c>
      <c r="AE46" s="282"/>
      <c r="AF46" s="55">
        <f>((X46/S46)^(1/5)-1)*100</f>
        <v>-7.1242176242027222</v>
      </c>
      <c r="AG46" s="93" t="s">
        <v>576</v>
      </c>
      <c r="AH46" s="55">
        <f>((AD46/Y46)^(1/5)-1)*100</f>
        <v>3.4231465731935806</v>
      </c>
      <c r="AI46" s="98" t="s">
        <v>576</v>
      </c>
    </row>
    <row r="47" spans="1:35">
      <c r="A47" s="240" t="s">
        <v>603</v>
      </c>
      <c r="B47" s="296">
        <f t="shared" ref="B47:K47" si="35">B46/B43</f>
        <v>0.40875868342691091</v>
      </c>
      <c r="C47" s="296">
        <f t="shared" si="35"/>
        <v>0.40508507484994299</v>
      </c>
      <c r="D47" s="296">
        <f t="shared" si="35"/>
        <v>0.39999341114194531</v>
      </c>
      <c r="E47" s="296">
        <f t="shared" si="35"/>
        <v>0.39013512942270651</v>
      </c>
      <c r="F47" s="296">
        <f t="shared" si="35"/>
        <v>0.390039236185176</v>
      </c>
      <c r="G47" s="296">
        <f t="shared" si="35"/>
        <v>0.3800079780061274</v>
      </c>
      <c r="H47" s="296">
        <f t="shared" si="35"/>
        <v>0.37999528135566824</v>
      </c>
      <c r="I47" s="296">
        <f t="shared" si="35"/>
        <v>0.37999483003630469</v>
      </c>
      <c r="J47" s="296">
        <f t="shared" si="35"/>
        <v>0.38000131914332352</v>
      </c>
      <c r="K47" s="296">
        <f t="shared" si="35"/>
        <v>0.38000281575207923</v>
      </c>
      <c r="L47" s="296">
        <f>L46/L43</f>
        <v>0.37713219498639161</v>
      </c>
      <c r="M47" s="296">
        <f>M46/M43</f>
        <v>0.36721046227519905</v>
      </c>
      <c r="N47" s="296">
        <f>N46/N43</f>
        <v>0.36320290457339061</v>
      </c>
      <c r="O47" s="296">
        <f>N47</f>
        <v>0.36320290457339061</v>
      </c>
      <c r="P47" s="296">
        <f t="shared" ref="P47:W47" si="36">P46/P43</f>
        <v>0.5794689832374833</v>
      </c>
      <c r="Q47" s="296">
        <f t="shared" si="36"/>
        <v>0.36656442946033146</v>
      </c>
      <c r="R47" s="1231">
        <f t="shared" si="36"/>
        <v>0.35247678879190575</v>
      </c>
      <c r="S47" s="1231">
        <f t="shared" si="36"/>
        <v>0.3695172997769598</v>
      </c>
      <c r="T47" s="1231">
        <f>T46/U43</f>
        <v>0.50817066621838103</v>
      </c>
      <c r="U47" s="296">
        <f t="shared" si="36"/>
        <v>0.36329845107845493</v>
      </c>
      <c r="V47" s="296">
        <f t="shared" si="36"/>
        <v>0.34172386625781431</v>
      </c>
      <c r="W47" s="296">
        <f t="shared" si="36"/>
        <v>0.36824583138817979</v>
      </c>
      <c r="X47" s="296">
        <f>X46/X43</f>
        <v>0.35298234605591866</v>
      </c>
      <c r="Y47" s="296">
        <f>Y46/Y43</f>
        <v>0.29665738161559913</v>
      </c>
      <c r="Z47" s="296">
        <f>Z46/Z43</f>
        <v>0.27000000000000041</v>
      </c>
      <c r="AA47" s="973">
        <f>Z47</f>
        <v>0.27000000000000041</v>
      </c>
      <c r="AB47" s="973">
        <f>AA47</f>
        <v>0.27000000000000041</v>
      </c>
      <c r="AC47" s="973">
        <f>AB47</f>
        <v>0.27000000000000041</v>
      </c>
      <c r="AD47" s="973">
        <f>AC47</f>
        <v>0.27000000000000041</v>
      </c>
      <c r="AE47" s="282"/>
      <c r="AF47" s="55"/>
      <c r="AG47" s="56"/>
      <c r="AH47" s="55"/>
      <c r="AI47" s="96"/>
    </row>
    <row r="48" spans="1:35">
      <c r="A48" s="240"/>
      <c r="B48" s="239"/>
      <c r="C48" s="239"/>
      <c r="D48" s="239"/>
      <c r="E48" s="239"/>
      <c r="F48" s="239"/>
      <c r="G48" s="239"/>
      <c r="H48" s="239"/>
      <c r="I48" s="239"/>
      <c r="J48" s="239"/>
      <c r="K48" s="239"/>
      <c r="L48" s="239"/>
      <c r="M48" s="239"/>
      <c r="N48" s="239"/>
      <c r="O48" s="295"/>
      <c r="P48" s="239"/>
      <c r="Q48" s="239"/>
      <c r="R48" s="1223"/>
      <c r="S48" s="1223"/>
      <c r="T48" s="1223"/>
      <c r="U48" s="239"/>
      <c r="V48" s="239"/>
      <c r="W48" s="239"/>
      <c r="X48" s="239"/>
      <c r="Y48" s="239"/>
      <c r="Z48" s="239"/>
      <c r="AA48" s="239"/>
      <c r="AB48" s="239"/>
      <c r="AC48" s="239"/>
      <c r="AD48" s="239"/>
      <c r="AE48" s="282"/>
      <c r="AF48" s="55"/>
      <c r="AG48" s="93"/>
      <c r="AH48" s="55"/>
      <c r="AI48" s="100"/>
    </row>
    <row r="49" spans="1:35" hidden="1" outlineLevel="1">
      <c r="A49" s="240" t="s">
        <v>240</v>
      </c>
      <c r="B49" s="239"/>
      <c r="C49" s="239"/>
      <c r="D49" s="239"/>
      <c r="E49" s="239"/>
      <c r="F49" s="239"/>
      <c r="G49" s="239"/>
      <c r="H49" s="239"/>
      <c r="I49" s="239"/>
      <c r="J49" s="239"/>
      <c r="K49" s="239"/>
      <c r="L49" s="239"/>
      <c r="M49" s="239"/>
      <c r="N49" s="239"/>
      <c r="O49" s="295"/>
      <c r="P49" s="239"/>
      <c r="Q49" s="239"/>
      <c r="R49" s="1223">
        <f>+'qtrP&amp;L'!BP128</f>
        <v>-0.94299999999999995</v>
      </c>
      <c r="S49" s="1223">
        <f>+'qtrP&amp;L'!BT128</f>
        <v>-1.8340000000000001</v>
      </c>
      <c r="T49" s="1223">
        <f>+'qtrP&amp;L'!BX128</f>
        <v>0</v>
      </c>
      <c r="U49" s="239"/>
      <c r="V49" s="239"/>
      <c r="W49" s="239">
        <f>'qtrP&amp;L'!CJ128</f>
        <v>-1.3800000000000001</v>
      </c>
      <c r="X49" s="239">
        <f>'qtrP&amp;L'!CN128</f>
        <v>-1.9120000000000001</v>
      </c>
      <c r="Y49" s="239">
        <f>'qtrP&amp;L'!CR128</f>
        <v>-2.2890000000000001</v>
      </c>
      <c r="Z49" s="239"/>
      <c r="AA49" s="239"/>
      <c r="AB49" s="239"/>
      <c r="AC49" s="239"/>
      <c r="AD49" s="239"/>
      <c r="AE49" s="282"/>
      <c r="AF49" s="55"/>
      <c r="AG49" s="93"/>
      <c r="AH49" s="55"/>
      <c r="AI49" s="100"/>
    </row>
    <row r="50" spans="1:35" hidden="1" outlineLevel="1">
      <c r="A50" s="240"/>
      <c r="B50" s="239"/>
      <c r="C50" s="239"/>
      <c r="D50" s="239"/>
      <c r="E50" s="239"/>
      <c r="F50" s="239"/>
      <c r="G50" s="239"/>
      <c r="H50" s="239"/>
      <c r="I50" s="239"/>
      <c r="J50" s="239"/>
      <c r="K50" s="239"/>
      <c r="L50" s="239"/>
      <c r="M50" s="239"/>
      <c r="N50" s="239"/>
      <c r="O50" s="295"/>
      <c r="P50" s="239"/>
      <c r="Q50" s="239"/>
      <c r="R50" s="1223"/>
      <c r="S50" s="1223"/>
      <c r="T50" s="1223"/>
      <c r="U50" s="239"/>
      <c r="V50" s="239"/>
      <c r="W50" s="239"/>
      <c r="X50" s="239"/>
      <c r="Y50" s="239"/>
      <c r="Z50" s="239"/>
      <c r="AA50" s="239"/>
      <c r="AB50" s="239"/>
      <c r="AC50" s="239"/>
      <c r="AD50" s="239"/>
      <c r="AE50" s="282"/>
      <c r="AF50" s="55"/>
      <c r="AG50" s="93"/>
      <c r="AH50" s="55"/>
      <c r="AI50" s="100"/>
    </row>
    <row r="51" spans="1:35" collapsed="1">
      <c r="A51" s="240" t="s">
        <v>556</v>
      </c>
      <c r="B51" s="239">
        <f t="shared" ref="B51:M51" si="37">B43-B46</f>
        <v>3.2906309999999963</v>
      </c>
      <c r="C51" s="239">
        <f t="shared" si="37"/>
        <v>1.7035960000000065</v>
      </c>
      <c r="D51" s="239">
        <f t="shared" si="37"/>
        <v>1.9305530000000011</v>
      </c>
      <c r="E51" s="239">
        <f t="shared" si="37"/>
        <v>2.7700159999999903</v>
      </c>
      <c r="F51" s="239">
        <f t="shared" si="37"/>
        <v>9.139108000000002</v>
      </c>
      <c r="G51" s="239">
        <f t="shared" si="37"/>
        <v>15.489686000000017</v>
      </c>
      <c r="H51" s="239">
        <f t="shared" si="37"/>
        <v>28.378620999999967</v>
      </c>
      <c r="I51" s="239">
        <f t="shared" si="37"/>
        <v>42.187030999999976</v>
      </c>
      <c r="J51" s="239">
        <f t="shared" si="37"/>
        <v>66.758942000000019</v>
      </c>
      <c r="K51" s="239">
        <f t="shared" si="37"/>
        <v>100.22995999999999</v>
      </c>
      <c r="L51" s="239">
        <f t="shared" si="37"/>
        <v>141.20600000000013</v>
      </c>
      <c r="M51" s="239">
        <f t="shared" si="37"/>
        <v>193.98100000000002</v>
      </c>
      <c r="N51" s="239">
        <f>N43-N46</f>
        <v>174.69000000000014</v>
      </c>
      <c r="O51" s="239">
        <f>O43-O46</f>
        <v>84.313999999999851</v>
      </c>
      <c r="P51" s="239">
        <f>P43-P46</f>
        <v>-3.4370000000000855</v>
      </c>
      <c r="Q51" s="239">
        <f>Q43-Q46</f>
        <v>79.099000000000089</v>
      </c>
      <c r="R51" s="1223">
        <f>R43-R46+R49</f>
        <v>115.52699999999977</v>
      </c>
      <c r="S51" s="1223">
        <f>S43-S46+S49</f>
        <v>142.6140000000002</v>
      </c>
      <c r="T51" s="1223">
        <f>T43-T46+T49</f>
        <v>181.43075999999976</v>
      </c>
      <c r="U51" s="239">
        <f>U43-U46+U49</f>
        <v>136.34899999999988</v>
      </c>
      <c r="V51" s="239">
        <f>V43-V46+V49-0.745</f>
        <v>115.39400000000025</v>
      </c>
      <c r="W51" s="239">
        <f t="shared" ref="W51:AB51" si="38">W43-W46+W49</f>
        <v>104.17475000000036</v>
      </c>
      <c r="X51" s="239">
        <f t="shared" si="38"/>
        <v>105.32599999999979</v>
      </c>
      <c r="Y51" s="239">
        <f t="shared" si="38"/>
        <v>98.710999999999856</v>
      </c>
      <c r="Z51" s="239">
        <f t="shared" si="38"/>
        <v>103.91736522025292</v>
      </c>
      <c r="AA51" s="239">
        <f t="shared" si="38"/>
        <v>119.64810521502808</v>
      </c>
      <c r="AB51" s="239">
        <f t="shared" si="38"/>
        <v>125.98460052799777</v>
      </c>
      <c r="AC51" s="239">
        <f>AC43-AC46+AC49</f>
        <v>131.94071216157693</v>
      </c>
      <c r="AD51" s="239">
        <f>AD43-AD46+AD49</f>
        <v>136.28794047165439</v>
      </c>
      <c r="AE51" s="282"/>
      <c r="AF51" s="55">
        <f>((X51/S51)^(1/5)-1)*100</f>
        <v>-5.8815674048171562</v>
      </c>
      <c r="AG51" s="93" t="s">
        <v>576</v>
      </c>
      <c r="AH51" s="55">
        <f>((AD51/Y51)^(1/5)-1)*100</f>
        <v>6.6641250906543714</v>
      </c>
      <c r="AI51" s="98" t="s">
        <v>576</v>
      </c>
    </row>
    <row r="52" spans="1:35">
      <c r="A52" s="297" t="s">
        <v>604</v>
      </c>
      <c r="B52" s="281">
        <f t="shared" ref="B52:W52" si="39">B51/B$7</f>
        <v>5.5517978909507937E-2</v>
      </c>
      <c r="C52" s="281">
        <f t="shared" si="39"/>
        <v>2.8231786494276809E-2</v>
      </c>
      <c r="D52" s="281">
        <f t="shared" si="39"/>
        <v>3.0130708748302041E-2</v>
      </c>
      <c r="E52" s="281">
        <f t="shared" si="39"/>
        <v>3.6767284027831776E-2</v>
      </c>
      <c r="F52" s="281">
        <f t="shared" si="39"/>
        <v>8.5618995774215223E-2</v>
      </c>
      <c r="G52" s="281">
        <f t="shared" si="39"/>
        <v>9.9931987452494431E-2</v>
      </c>
      <c r="H52" s="281">
        <f t="shared" si="39"/>
        <v>0.10938165312123485</v>
      </c>
      <c r="I52" s="281">
        <f t="shared" si="39"/>
        <v>0.11158071085221125</v>
      </c>
      <c r="J52" s="281">
        <f t="shared" si="39"/>
        <v>0.12569745470576432</v>
      </c>
      <c r="K52" s="281">
        <f t="shared" si="39"/>
        <v>0.13042300702944373</v>
      </c>
      <c r="L52" s="281">
        <f t="shared" si="39"/>
        <v>0.13235390605521521</v>
      </c>
      <c r="M52" s="281">
        <f t="shared" si="39"/>
        <v>0.13810654468433514</v>
      </c>
      <c r="N52" s="281">
        <f t="shared" si="39"/>
        <v>0.10645811788092957</v>
      </c>
      <c r="O52" s="281">
        <f t="shared" si="39"/>
        <v>4.9181982200595248E-2</v>
      </c>
      <c r="P52" s="281">
        <f t="shared" si="39"/>
        <v>-2.172011698656023E-3</v>
      </c>
      <c r="Q52" s="281">
        <f t="shared" si="39"/>
        <v>4.6171645114762266E-2</v>
      </c>
      <c r="R52" s="1222">
        <f t="shared" si="39"/>
        <v>6.0644603839192235E-2</v>
      </c>
      <c r="S52" s="1222">
        <f t="shared" si="39"/>
        <v>6.4931978364202683E-2</v>
      </c>
      <c r="T52" s="1222">
        <f>T51/U$7</f>
        <v>7.0157836102112917E-2</v>
      </c>
      <c r="U52" s="281">
        <f t="shared" si="39"/>
        <v>5.2725077019392948E-2</v>
      </c>
      <c r="V52" s="281">
        <f t="shared" si="39"/>
        <v>4.4547923163576676E-2</v>
      </c>
      <c r="W52" s="281">
        <f t="shared" si="39"/>
        <v>4.0478441365472281E-2</v>
      </c>
      <c r="X52" s="281">
        <f t="shared" ref="X52:AC52" si="40">X51/X$7</f>
        <v>4.253172939860516E-2</v>
      </c>
      <c r="Y52" s="281">
        <f t="shared" si="40"/>
        <v>4.3249171149927275E-2</v>
      </c>
      <c r="Z52" s="281">
        <f t="shared" si="40"/>
        <v>4.7555021607520419E-2</v>
      </c>
      <c r="AA52" s="281">
        <f t="shared" si="40"/>
        <v>5.5750593113123179E-2</v>
      </c>
      <c r="AB52" s="281">
        <f t="shared" si="40"/>
        <v>5.8815851025174865E-2</v>
      </c>
      <c r="AC52" s="281">
        <f t="shared" si="40"/>
        <v>6.1662436340755515E-2</v>
      </c>
      <c r="AD52" s="281">
        <f t="shared" ref="AD52" si="41">AD51/AD$7</f>
        <v>6.3706361801550773E-2</v>
      </c>
      <c r="AE52" s="282"/>
      <c r="AF52" s="55"/>
      <c r="AG52" s="56"/>
      <c r="AH52" s="55"/>
      <c r="AI52" s="96"/>
    </row>
    <row r="53" spans="1:35">
      <c r="A53" s="297"/>
      <c r="B53" s="239"/>
      <c r="C53" s="239"/>
      <c r="D53" s="239"/>
      <c r="E53" s="239"/>
      <c r="F53" s="239"/>
      <c r="G53" s="239"/>
      <c r="H53" s="239"/>
      <c r="I53" s="239"/>
      <c r="J53" s="281"/>
      <c r="K53" s="239"/>
      <c r="L53" s="298"/>
      <c r="M53" s="239"/>
      <c r="N53" s="299"/>
      <c r="O53" s="299"/>
      <c r="P53" s="300"/>
      <c r="Q53" s="299"/>
      <c r="R53" s="1232"/>
      <c r="S53" s="1232"/>
      <c r="T53" s="1232"/>
      <c r="U53" s="299"/>
      <c r="V53" s="299"/>
      <c r="W53" s="299"/>
      <c r="X53" s="299"/>
      <c r="Y53" s="299"/>
      <c r="Z53" s="299"/>
      <c r="AA53" s="299"/>
      <c r="AB53" s="299"/>
      <c r="AC53" s="299"/>
      <c r="AD53" s="299"/>
      <c r="AE53" s="282"/>
      <c r="AF53" s="55"/>
      <c r="AG53" s="56"/>
      <c r="AH53" s="55"/>
      <c r="AI53" s="96"/>
    </row>
    <row r="54" spans="1:35">
      <c r="A54" s="240" t="s">
        <v>559</v>
      </c>
      <c r="B54" s="301">
        <f t="shared" ref="B54:K54" si="42">B51/B57</f>
        <v>3.419276206750186E-2</v>
      </c>
      <c r="C54" s="301">
        <f t="shared" si="42"/>
        <v>1.8021063410258435E-2</v>
      </c>
      <c r="D54" s="301">
        <f t="shared" si="42"/>
        <v>1.9989830679340698E-2</v>
      </c>
      <c r="E54" s="301">
        <f t="shared" si="42"/>
        <v>1.9004329023931021E-2</v>
      </c>
      <c r="F54" s="301">
        <f t="shared" si="42"/>
        <v>5.9523377802287655E-2</v>
      </c>
      <c r="G54" s="301">
        <f t="shared" si="42"/>
        <v>9.7340225286672868E-2</v>
      </c>
      <c r="H54" s="301">
        <f t="shared" si="42"/>
        <v>0.17374937002843627</v>
      </c>
      <c r="I54" s="301">
        <f t="shared" si="42"/>
        <v>0.25177768510465509</v>
      </c>
      <c r="J54" s="301">
        <f t="shared" si="42"/>
        <v>0.38798878120447494</v>
      </c>
      <c r="K54" s="301">
        <f t="shared" si="42"/>
        <v>0.56904734889716013</v>
      </c>
      <c r="L54" s="301">
        <f t="shared" ref="L54:Q54" si="43">L51/L57</f>
        <v>0.78382894159834426</v>
      </c>
      <c r="M54" s="301">
        <f>M51/M57</f>
        <v>1.0634456822069209</v>
      </c>
      <c r="N54" s="301">
        <f>N51/N57</f>
        <v>0.97891870082711396</v>
      </c>
      <c r="O54" s="301">
        <f>(O51+6.833*15%/100)/O57</f>
        <v>0.4781506024779556</v>
      </c>
      <c r="P54" s="301">
        <f t="shared" si="43"/>
        <v>-1.9461399952436981E-2</v>
      </c>
      <c r="Q54" s="301">
        <f t="shared" si="43"/>
        <v>0.44224468572834363</v>
      </c>
      <c r="R54" s="1233">
        <f>R51/R57</f>
        <v>0.64890414190547752</v>
      </c>
      <c r="S54" s="1233">
        <f>S51/S57</f>
        <v>0.83767400881057386</v>
      </c>
      <c r="T54" s="1233">
        <f>T51/U57</f>
        <v>1.1343520843183623</v>
      </c>
      <c r="U54" s="301">
        <f t="shared" ref="U54:AB54" si="44">U51/U57</f>
        <v>0.8524892490376188</v>
      </c>
      <c r="V54" s="301">
        <f t="shared" si="44"/>
        <v>0.76864766929113038</v>
      </c>
      <c r="W54" s="301">
        <f t="shared" si="44"/>
        <v>0.75085771329311701</v>
      </c>
      <c r="X54" s="301">
        <f>X51/X57</f>
        <v>0.81498332520872352</v>
      </c>
      <c r="Y54" s="301">
        <f t="shared" si="44"/>
        <v>0.78715022766600362</v>
      </c>
      <c r="Z54" s="301">
        <f t="shared" si="44"/>
        <v>0.86137447547208468</v>
      </c>
      <c r="AA54" s="301">
        <f t="shared" si="44"/>
        <v>1.0539273757781109</v>
      </c>
      <c r="AB54" s="301">
        <f t="shared" si="44"/>
        <v>1.1532802101971913</v>
      </c>
      <c r="AC54" s="301">
        <f>AC51/AC57</f>
        <v>1.2537097895438014</v>
      </c>
      <c r="AD54" s="301">
        <f>AD51/AD57</f>
        <v>1.2970874064564752</v>
      </c>
      <c r="AE54" s="302"/>
      <c r="AF54" s="55">
        <f>((X54/S54)^(1/5)-1)*100</f>
        <v>-0.54772171813465276</v>
      </c>
      <c r="AG54" s="93" t="s">
        <v>576</v>
      </c>
      <c r="AH54" s="55">
        <f>((AD54/Y54)^(1/5)-1)*100</f>
        <v>10.505100394655376</v>
      </c>
      <c r="AI54" s="98" t="s">
        <v>576</v>
      </c>
    </row>
    <row r="55" spans="1:35">
      <c r="A55" s="240" t="s">
        <v>605</v>
      </c>
      <c r="B55" s="239"/>
      <c r="C55" s="303">
        <f t="shared" ref="C55:W55" si="45">C54/B54-1</f>
        <v>-0.47295678030683697</v>
      </c>
      <c r="D55" s="303">
        <f t="shared" si="45"/>
        <v>0.10924811839691695</v>
      </c>
      <c r="E55" s="303">
        <f t="shared" si="45"/>
        <v>-4.930015022229195E-2</v>
      </c>
      <c r="F55" s="303">
        <f t="shared" si="45"/>
        <v>2.1320957307849917</v>
      </c>
      <c r="G55" s="303">
        <f t="shared" si="45"/>
        <v>0.6353276457192556</v>
      </c>
      <c r="H55" s="303">
        <f t="shared" si="45"/>
        <v>0.78496987773280602</v>
      </c>
      <c r="I55" s="303">
        <f t="shared" si="45"/>
        <v>0.44908545604193284</v>
      </c>
      <c r="J55" s="303">
        <f t="shared" si="45"/>
        <v>0.5409974916688971</v>
      </c>
      <c r="K55" s="303">
        <f t="shared" si="45"/>
        <v>0.46665928620566244</v>
      </c>
      <c r="L55" s="303">
        <f t="shared" si="45"/>
        <v>0.37744063497956848</v>
      </c>
      <c r="M55" s="303">
        <f t="shared" si="45"/>
        <v>0.35673184003437841</v>
      </c>
      <c r="N55" s="303">
        <f t="shared" si="45"/>
        <v>-7.9484060910748111E-2</v>
      </c>
      <c r="O55" s="303">
        <f t="shared" si="45"/>
        <v>-0.5115522851142249</v>
      </c>
      <c r="P55" s="304" t="s">
        <v>371</v>
      </c>
      <c r="Q55" s="304" t="s">
        <v>371</v>
      </c>
      <c r="R55" s="1234">
        <f t="shared" si="45"/>
        <v>0.46729664108180602</v>
      </c>
      <c r="S55" s="1234">
        <f t="shared" si="45"/>
        <v>0.2909056279881066</v>
      </c>
      <c r="T55" s="1234">
        <f t="shared" si="45"/>
        <v>0.35416889194048906</v>
      </c>
      <c r="U55" s="303">
        <f>U54/T54-1</f>
        <v>-0.24847914433032159</v>
      </c>
      <c r="V55" s="303">
        <f t="shared" si="45"/>
        <v>-9.8349134421504725E-2</v>
      </c>
      <c r="W55" s="303">
        <f t="shared" si="45"/>
        <v>-2.3144487011090287E-2</v>
      </c>
      <c r="X55" s="303">
        <f t="shared" ref="X55:AD55" si="46">X54/W54-1</f>
        <v>8.5403147334484952E-2</v>
      </c>
      <c r="Y55" s="303">
        <f t="shared" si="46"/>
        <v>-3.4151738669734866E-2</v>
      </c>
      <c r="Z55" s="303">
        <f t="shared" si="46"/>
        <v>9.4294894668537355E-2</v>
      </c>
      <c r="AA55" s="303">
        <f t="shared" si="46"/>
        <v>0.22354145123756508</v>
      </c>
      <c r="AB55" s="303">
        <f t="shared" si="46"/>
        <v>9.4269146719648145E-2</v>
      </c>
      <c r="AC55" s="303">
        <f t="shared" si="46"/>
        <v>8.7081680981448972E-2</v>
      </c>
      <c r="AD55" s="303">
        <f t="shared" si="46"/>
        <v>3.4599408311598134E-2</v>
      </c>
      <c r="AE55" s="302"/>
      <c r="AF55" s="55"/>
      <c r="AG55" s="56"/>
      <c r="AH55" s="55"/>
      <c r="AI55" s="96"/>
    </row>
    <row r="56" spans="1:35">
      <c r="A56" s="297"/>
      <c r="B56" s="239"/>
      <c r="C56" s="239"/>
      <c r="D56" s="239"/>
      <c r="E56" s="239"/>
      <c r="F56" s="239"/>
      <c r="G56" s="239"/>
      <c r="H56" s="239"/>
      <c r="I56" s="239"/>
      <c r="J56" s="239"/>
      <c r="K56" s="239"/>
      <c r="L56" s="239"/>
      <c r="M56" s="239"/>
      <c r="N56" s="239"/>
      <c r="O56" s="239"/>
      <c r="P56" s="298"/>
      <c r="Q56" s="298"/>
      <c r="R56" s="1222"/>
      <c r="S56" s="1235"/>
      <c r="T56" s="1222"/>
      <c r="U56" s="281"/>
      <c r="V56" s="461"/>
      <c r="W56" s="301"/>
      <c r="X56" s="301"/>
      <c r="Y56" s="301"/>
      <c r="Z56" s="301"/>
      <c r="AA56" s="301"/>
      <c r="AB56" s="301"/>
      <c r="AC56" s="301"/>
      <c r="AD56" s="301"/>
      <c r="AE56" s="282"/>
      <c r="AF56" s="55"/>
      <c r="AG56" s="56"/>
      <c r="AH56" s="55"/>
      <c r="AI56" s="96"/>
    </row>
    <row r="57" spans="1:35">
      <c r="A57" s="240" t="s">
        <v>560</v>
      </c>
      <c r="B57" s="239">
        <f>'qtrP&amp;L'!D175</f>
        <v>96.237648000000007</v>
      </c>
      <c r="C57" s="239">
        <f>'qtrP&amp;L'!H175</f>
        <v>94.533599999999993</v>
      </c>
      <c r="D57" s="239">
        <f>'qtrP&amp;L'!L175</f>
        <v>96.576756000000017</v>
      </c>
      <c r="E57" s="239">
        <f>'qtrP&amp;L'!P175</f>
        <v>145.75710599999999</v>
      </c>
      <c r="F57" s="239">
        <f>'qtrP&amp;L'!T175</f>
        <v>153.53812800000003</v>
      </c>
      <c r="G57" s="239">
        <f>'qtrP&amp;L'!X175</f>
        <v>159.12934200000001</v>
      </c>
      <c r="H57" s="239">
        <f>'qtrP&amp;L'!AB175</f>
        <v>163.33078499999999</v>
      </c>
      <c r="I57" s="239">
        <f>+'qtrP&amp;L'!AF175</f>
        <v>167.55667199999999</v>
      </c>
      <c r="J57" s="239">
        <f>+'qtrP&amp;L'!AJ175</f>
        <v>172.06410399999999</v>
      </c>
      <c r="K57" s="239">
        <f>+'qtrP&amp;L'!AN175</f>
        <v>176.136415</v>
      </c>
      <c r="L57" s="239">
        <f>+'qtrP&amp;L'!AR175</f>
        <v>180.149</v>
      </c>
      <c r="M57" s="239">
        <f>+'qtrP&amp;L'!AV175</f>
        <v>182.40799999999999</v>
      </c>
      <c r="N57" s="239">
        <f>+'qtrP&amp;L'!AZ175</f>
        <v>178.452</v>
      </c>
      <c r="O57" s="239">
        <f>+'qtrP&amp;L'!BD175</f>
        <v>176.35499999999999</v>
      </c>
      <c r="P57" s="239">
        <f>+'qtrP&amp;L'!BH175</f>
        <v>176.60599999999999</v>
      </c>
      <c r="Q57" s="239">
        <f>'qtrP&amp;L'!BL175</f>
        <v>178.858</v>
      </c>
      <c r="R57" s="1223">
        <f>'qtrP&amp;L'!BP175</f>
        <v>178.03399999999999</v>
      </c>
      <c r="S57" s="1223">
        <f>'qtrP&amp;L'!$BT$175</f>
        <v>170.25</v>
      </c>
      <c r="T57" s="1223">
        <f>'qtrP&amp;L'!$BX$175</f>
        <v>166.249393</v>
      </c>
      <c r="U57" s="239">
        <f>'qtrP&amp;L'!CB175</f>
        <v>159.94219299999997</v>
      </c>
      <c r="V57" s="239">
        <f>'qtrP&amp;L'!CF175</f>
        <v>150.126</v>
      </c>
      <c r="W57" s="239">
        <f>'qtrP&amp;L'!CJ175</f>
        <v>138.74100000000001</v>
      </c>
      <c r="X57" s="239">
        <f>'qtrP&amp;L'!CN175</f>
        <v>129.23699999999999</v>
      </c>
      <c r="Y57" s="239">
        <f>'qtrP&amp;L'!CR175</f>
        <v>125.40300000000001</v>
      </c>
      <c r="Z57" s="1609">
        <f>'qtrP&amp;L'!CV175</f>
        <v>120.64133333333332</v>
      </c>
      <c r="AA57" s="1609">
        <f>'qtrP&amp;L'!CV174-(-flow!AZ38/13)</f>
        <v>113.52594871794871</v>
      </c>
      <c r="AB57" s="287">
        <f>+AA57-(-flow!BB38/14)</f>
        <v>109.24023443223442</v>
      </c>
      <c r="AC57" s="287">
        <f>+AB57-(-flow!BD38/15)</f>
        <v>105.24023443223442</v>
      </c>
      <c r="AD57" s="287">
        <f>+AC57-(-flow!BH38/16)</f>
        <v>105.07228718223442</v>
      </c>
      <c r="AE57" s="305"/>
      <c r="AF57" s="55">
        <f>((X57/S57)^(1/5)-1)*100</f>
        <v>-5.3632212140635405</v>
      </c>
      <c r="AG57" s="93" t="s">
        <v>576</v>
      </c>
      <c r="AH57" s="55">
        <f>((AD57/Y57)^(1/5)-1)*100</f>
        <v>-3.4758353146446819</v>
      </c>
      <c r="AI57" s="98" t="s">
        <v>576</v>
      </c>
    </row>
    <row r="58" spans="1:35" hidden="1" outlineLevel="1">
      <c r="A58" s="240"/>
      <c r="B58" s="239"/>
      <c r="C58" s="239"/>
      <c r="D58" s="239"/>
      <c r="E58" s="239"/>
      <c r="F58" s="239"/>
      <c r="G58" s="239"/>
      <c r="H58" s="239"/>
      <c r="I58" s="239"/>
      <c r="J58" s="239"/>
      <c r="K58" s="239"/>
      <c r="L58" s="239"/>
      <c r="M58" s="239"/>
      <c r="N58" s="239"/>
      <c r="O58" s="287"/>
      <c r="P58" s="287"/>
      <c r="Q58" s="287"/>
      <c r="R58" s="1225"/>
      <c r="S58" s="1225"/>
      <c r="T58" s="1225"/>
      <c r="U58" s="287"/>
      <c r="V58" s="287"/>
      <c r="W58" s="287"/>
      <c r="X58" s="287"/>
      <c r="Y58" s="287"/>
      <c r="Z58" s="287"/>
      <c r="AA58" s="287"/>
      <c r="AB58" s="287"/>
      <c r="AC58" s="287"/>
      <c r="AD58" s="287"/>
      <c r="AE58" s="305"/>
      <c r="AF58" s="55"/>
      <c r="AG58" s="93"/>
      <c r="AH58" s="55"/>
      <c r="AI58" s="278"/>
    </row>
    <row r="59" spans="1:35" hidden="1" outlineLevel="1">
      <c r="A59" s="306" t="s">
        <v>223</v>
      </c>
      <c r="B59" s="307"/>
      <c r="C59" s="307"/>
      <c r="D59" s="307"/>
      <c r="E59" s="307"/>
      <c r="F59" s="307"/>
      <c r="G59" s="307">
        <f t="shared" ref="G59:M59" si="47">+G54</f>
        <v>9.7340225286672868E-2</v>
      </c>
      <c r="H59" s="307">
        <f t="shared" si="47"/>
        <v>0.17374937002843627</v>
      </c>
      <c r="I59" s="307">
        <f t="shared" si="47"/>
        <v>0.25177768510465509</v>
      </c>
      <c r="J59" s="307">
        <f t="shared" si="47"/>
        <v>0.38798878120447494</v>
      </c>
      <c r="K59" s="307">
        <f t="shared" si="47"/>
        <v>0.56904734889716013</v>
      </c>
      <c r="L59" s="307">
        <f t="shared" si="47"/>
        <v>0.78382894159834426</v>
      </c>
      <c r="M59" s="307">
        <f t="shared" si="47"/>
        <v>1.0634456822069209</v>
      </c>
      <c r="N59" s="307">
        <f t="shared" ref="N59:S59" si="48">+(N43+N31)*(1-N47)/N57</f>
        <v>1.0492350241173312</v>
      </c>
      <c r="O59" s="307">
        <f t="shared" si="48"/>
        <v>0.56086385781085557</v>
      </c>
      <c r="P59" s="307">
        <f t="shared" si="48"/>
        <v>2.8162238741890132E-2</v>
      </c>
      <c r="Q59" s="307">
        <f t="shared" si="48"/>
        <v>0.51307579985683316</v>
      </c>
      <c r="R59" s="1236">
        <f t="shared" si="48"/>
        <v>0.72694240551895506</v>
      </c>
      <c r="S59" s="1236">
        <f t="shared" si="48"/>
        <v>0.92251191779419106</v>
      </c>
      <c r="T59" s="1236">
        <f>+(U43+T31)*(1-T47)/U57</f>
        <v>0.72001855492648048</v>
      </c>
      <c r="U59" s="307">
        <f>+(U43+U31)*(1-U47)/U57</f>
        <v>0.9321057075816811</v>
      </c>
      <c r="V59" s="307">
        <f>+(V43+V31)*(1-V47)/V57</f>
        <v>0.86130665357662195</v>
      </c>
      <c r="W59" s="307">
        <f>+(W43+W31)*(1-W47)/W57</f>
        <v>0.85187387558282524</v>
      </c>
      <c r="X59" s="307"/>
      <c r="Y59" s="307"/>
      <c r="Z59" s="307"/>
      <c r="AA59" s="307"/>
      <c r="AB59" s="307"/>
      <c r="AC59" s="307"/>
      <c r="AD59" s="307"/>
      <c r="AE59" s="302"/>
      <c r="AF59" s="55">
        <f>((N59/I59)^(1/5)-1)*100</f>
        <v>33.036591253197024</v>
      </c>
      <c r="AG59" s="93"/>
      <c r="AH59" s="55">
        <f>((S59/N59)^(1/5)-1)*100</f>
        <v>-2.5414734175713272</v>
      </c>
      <c r="AI59" s="98"/>
    </row>
    <row r="60" spans="1:35" hidden="1" outlineLevel="1">
      <c r="A60" s="240" t="s">
        <v>605</v>
      </c>
      <c r="B60" s="239"/>
      <c r="C60" s="303"/>
      <c r="D60" s="303"/>
      <c r="E60" s="303"/>
      <c r="F60" s="303"/>
      <c r="G60" s="303">
        <f>+G55</f>
        <v>0.6353276457192556</v>
      </c>
      <c r="H60" s="303">
        <f t="shared" ref="H60:W60" si="49">H59/G59-1</f>
        <v>0.78496987773280602</v>
      </c>
      <c r="I60" s="303">
        <f t="shared" si="49"/>
        <v>0.44908545604193284</v>
      </c>
      <c r="J60" s="303">
        <f t="shared" si="49"/>
        <v>0.5409974916688971</v>
      </c>
      <c r="K60" s="303">
        <f t="shared" si="49"/>
        <v>0.46665928620566244</v>
      </c>
      <c r="L60" s="303">
        <f t="shared" si="49"/>
        <v>0.37744063497956848</v>
      </c>
      <c r="M60" s="303">
        <f t="shared" si="49"/>
        <v>0.35673184003437841</v>
      </c>
      <c r="N60" s="303">
        <f t="shared" si="49"/>
        <v>-1.3362843375412492E-2</v>
      </c>
      <c r="O60" s="303">
        <f t="shared" si="49"/>
        <v>-0.46545450264331178</v>
      </c>
      <c r="P60" s="303">
        <f t="shared" si="49"/>
        <v>-0.94978774554699963</v>
      </c>
      <c r="Q60" s="303">
        <f t="shared" si="49"/>
        <v>17.218572911025525</v>
      </c>
      <c r="R60" s="1234">
        <f t="shared" si="49"/>
        <v>0.41683237783149862</v>
      </c>
      <c r="S60" s="1234">
        <f t="shared" si="49"/>
        <v>0.26903027088593268</v>
      </c>
      <c r="T60" s="1234">
        <f t="shared" si="49"/>
        <v>-0.21950216464616568</v>
      </c>
      <c r="U60" s="303">
        <f>U59/U59-1</f>
        <v>0</v>
      </c>
      <c r="V60" s="303">
        <f t="shared" si="49"/>
        <v>-7.5956035274952982E-2</v>
      </c>
      <c r="W60" s="303">
        <f t="shared" si="49"/>
        <v>-1.0951706868426725E-2</v>
      </c>
      <c r="X60" s="303"/>
      <c r="Y60" s="303"/>
      <c r="Z60" s="303"/>
      <c r="AA60" s="303"/>
      <c r="AB60" s="303"/>
      <c r="AC60" s="303"/>
      <c r="AD60" s="303"/>
      <c r="AE60" s="308"/>
      <c r="AF60" s="4"/>
      <c r="AG60" s="4"/>
      <c r="AH60" s="309"/>
      <c r="AI60" s="104"/>
    </row>
    <row r="61" spans="1:35" collapsed="1">
      <c r="A61" s="297"/>
      <c r="B61" s="239"/>
      <c r="C61" s="239"/>
      <c r="D61" s="239"/>
      <c r="E61" s="239"/>
      <c r="F61" s="239"/>
      <c r="G61" s="310">
        <f>20/G57</f>
        <v>0.12568392320757538</v>
      </c>
      <c r="H61" s="239"/>
      <c r="I61" s="239"/>
      <c r="J61" s="239"/>
      <c r="K61" s="239"/>
      <c r="L61" s="239"/>
      <c r="M61" s="239"/>
      <c r="N61" s="239"/>
      <c r="O61" s="239"/>
      <c r="P61" s="239"/>
      <c r="Q61" s="239"/>
      <c r="R61" s="1223"/>
      <c r="S61" s="1223"/>
      <c r="T61" s="1223"/>
      <c r="U61" s="310"/>
      <c r="V61" s="310"/>
      <c r="W61" s="310"/>
      <c r="X61" s="310"/>
      <c r="Y61" s="310"/>
      <c r="Z61" s="310"/>
      <c r="AA61" s="310"/>
      <c r="AB61" s="310"/>
      <c r="AC61" s="310"/>
      <c r="AD61" s="310"/>
      <c r="AE61" s="311"/>
      <c r="AF61" s="120"/>
      <c r="AG61" s="120"/>
      <c r="AH61" s="120"/>
      <c r="AI61" s="312"/>
    </row>
    <row r="62" spans="1:35" hidden="1" outlineLevel="1">
      <c r="A62" s="238" t="s">
        <v>503</v>
      </c>
      <c r="B62" s="239"/>
      <c r="C62" s="239"/>
      <c r="D62" s="240"/>
      <c r="E62" s="240"/>
      <c r="G62" s="241" t="s">
        <v>653</v>
      </c>
      <c r="H62" s="242">
        <v>0.17374937002843646</v>
      </c>
      <c r="I62" s="242">
        <v>0.2517776851046552</v>
      </c>
      <c r="J62" s="242">
        <v>0.38798878120447516</v>
      </c>
      <c r="K62" s="242">
        <v>0.56904734889716024</v>
      </c>
      <c r="L62" s="242">
        <v>0.78382894159834426</v>
      </c>
      <c r="M62" s="242">
        <v>1.0634456822069207</v>
      </c>
      <c r="N62" s="242">
        <v>0.94439961446215226</v>
      </c>
      <c r="O62" s="242">
        <v>0.49</v>
      </c>
      <c r="P62" s="242">
        <v>0.46600000000000003</v>
      </c>
      <c r="Q62" s="242">
        <v>0.61099999999999999</v>
      </c>
      <c r="R62" s="1238" t="s">
        <v>653</v>
      </c>
      <c r="S62" s="1238"/>
      <c r="T62" s="1238" t="s">
        <v>653</v>
      </c>
      <c r="U62" s="1238" t="s">
        <v>653</v>
      </c>
      <c r="V62" s="243" t="s">
        <v>653</v>
      </c>
      <c r="W62" s="243" t="s">
        <v>653</v>
      </c>
      <c r="X62" s="243"/>
      <c r="Y62" s="243"/>
      <c r="Z62" s="243"/>
      <c r="AA62" s="243"/>
      <c r="AB62" s="243"/>
      <c r="AC62" s="243"/>
      <c r="AD62" s="243"/>
      <c r="AE62" s="239"/>
      <c r="AF62" s="122"/>
      <c r="AG62" s="122"/>
      <c r="AH62" s="122"/>
      <c r="AI62" s="122"/>
    </row>
    <row r="63" spans="1:35" hidden="1" outlineLevel="1">
      <c r="A63" s="297"/>
      <c r="B63" s="239"/>
      <c r="C63" s="239"/>
      <c r="D63" s="239"/>
      <c r="E63" s="239"/>
      <c r="F63" s="239"/>
      <c r="G63" s="239"/>
      <c r="H63" s="239"/>
      <c r="I63" s="239"/>
      <c r="J63" s="239"/>
      <c r="K63" s="239"/>
      <c r="L63" s="239"/>
      <c r="M63" s="239"/>
      <c r="N63" s="239"/>
      <c r="O63" s="239"/>
      <c r="P63" s="239"/>
      <c r="Q63" s="239"/>
      <c r="R63" s="1223"/>
      <c r="S63" s="1223"/>
      <c r="T63" s="1223"/>
      <c r="U63" s="1223"/>
      <c r="V63" s="239"/>
      <c r="W63" s="239"/>
      <c r="X63" s="239"/>
      <c r="Y63" s="239"/>
      <c r="Z63" s="239"/>
      <c r="AA63" s="239"/>
      <c r="AB63" s="239"/>
      <c r="AC63" s="239"/>
      <c r="AD63" s="239"/>
      <c r="AE63" s="239"/>
      <c r="AF63" s="122"/>
      <c r="AG63" s="122"/>
      <c r="AH63" s="122"/>
      <c r="AI63" s="122"/>
    </row>
    <row r="64" spans="1:35" collapsed="1">
      <c r="A64" s="313" t="s">
        <v>460</v>
      </c>
      <c r="B64" s="239"/>
      <c r="C64" s="239"/>
      <c r="D64" s="239"/>
      <c r="E64" s="239"/>
      <c r="F64" s="239"/>
      <c r="G64" s="239"/>
      <c r="H64" s="239"/>
      <c r="I64" s="239"/>
      <c r="J64" s="239"/>
      <c r="K64" s="239"/>
      <c r="L64" s="239"/>
      <c r="M64" s="239"/>
      <c r="N64" s="239"/>
      <c r="O64" s="239"/>
      <c r="P64" s="239"/>
      <c r="Q64" s="239"/>
      <c r="R64" s="1235"/>
      <c r="S64" s="1235"/>
      <c r="T64" s="1235"/>
      <c r="U64" s="1223"/>
      <c r="V64" s="239"/>
      <c r="W64" s="239"/>
      <c r="X64" s="239"/>
      <c r="Y64" s="239"/>
      <c r="Z64" s="239"/>
      <c r="AA64" s="239"/>
      <c r="AB64" s="239"/>
      <c r="AC64" s="239"/>
      <c r="AD64" s="239"/>
      <c r="AE64" s="239"/>
      <c r="AF64" s="3"/>
      <c r="AG64" s="3"/>
      <c r="AH64" s="9"/>
      <c r="AI64" s="3"/>
    </row>
    <row r="65" spans="1:35">
      <c r="A65" s="313" t="s">
        <v>370</v>
      </c>
      <c r="B65" s="239"/>
      <c r="C65" s="239"/>
      <c r="D65" s="239"/>
      <c r="E65" s="239"/>
      <c r="F65" s="239"/>
      <c r="G65" s="239"/>
      <c r="H65" s="239"/>
      <c r="I65" s="239"/>
      <c r="J65" s="239"/>
      <c r="K65" s="239"/>
      <c r="L65" s="239"/>
      <c r="M65" s="239"/>
      <c r="N65" s="239"/>
      <c r="O65" s="239"/>
      <c r="P65" s="239"/>
      <c r="Q65" s="295"/>
      <c r="R65" s="1223"/>
      <c r="S65" s="1223"/>
      <c r="T65" s="1223"/>
      <c r="U65" s="1223"/>
      <c r="V65" s="239"/>
      <c r="W65" s="239"/>
      <c r="X65" s="239"/>
      <c r="Y65" s="239"/>
      <c r="Z65" s="239"/>
      <c r="AA65" s="239"/>
      <c r="AB65" s="239"/>
      <c r="AC65" s="239"/>
      <c r="AD65" s="239"/>
      <c r="AE65" s="239"/>
      <c r="AF65" s="3"/>
      <c r="AG65" s="3"/>
      <c r="AH65" s="9"/>
      <c r="AI65" s="3"/>
    </row>
    <row r="66" spans="1:35">
      <c r="A66" s="297" t="s">
        <v>573</v>
      </c>
      <c r="B66" s="239"/>
      <c r="C66" s="239"/>
      <c r="D66" s="239"/>
      <c r="E66" s="239"/>
      <c r="F66" s="239"/>
      <c r="G66" s="239"/>
      <c r="H66" s="239"/>
      <c r="I66" s="239"/>
      <c r="J66" s="239"/>
      <c r="K66" s="239"/>
      <c r="L66" s="239"/>
      <c r="M66" s="239"/>
      <c r="N66" s="239"/>
      <c r="O66" s="239"/>
      <c r="P66" s="239"/>
      <c r="Q66" s="239"/>
      <c r="R66" s="1223"/>
      <c r="S66" s="1223"/>
      <c r="T66" s="1223"/>
      <c r="U66" s="1223"/>
      <c r="V66" s="239"/>
      <c r="W66" s="239"/>
      <c r="X66" s="239"/>
      <c r="Y66" s="239"/>
      <c r="Z66" s="239"/>
      <c r="AA66" s="239"/>
      <c r="AB66" s="239"/>
      <c r="AC66" s="239"/>
      <c r="AD66" s="239"/>
      <c r="AE66" s="239"/>
      <c r="AF66" s="3"/>
      <c r="AG66" s="3"/>
      <c r="AH66" s="9"/>
      <c r="AI66" s="3"/>
    </row>
    <row r="67" spans="1:35">
      <c r="A67" s="297"/>
      <c r="B67" s="239"/>
      <c r="C67" s="239"/>
      <c r="D67" s="239"/>
      <c r="E67" s="239"/>
      <c r="F67" s="239"/>
      <c r="G67" s="239"/>
      <c r="H67" s="239"/>
      <c r="I67" s="239"/>
      <c r="J67" s="239"/>
      <c r="K67" s="239"/>
      <c r="L67" s="239"/>
      <c r="M67" s="239"/>
      <c r="N67" s="239"/>
      <c r="O67" s="239"/>
      <c r="P67" s="239"/>
      <c r="Q67" s="239"/>
      <c r="R67" s="1223"/>
      <c r="S67" s="1223"/>
      <c r="T67" s="1223"/>
      <c r="U67" s="1223"/>
      <c r="V67" s="239"/>
      <c r="W67" s="239"/>
      <c r="X67" s="239"/>
      <c r="Y67" s="239"/>
      <c r="Z67" s="239"/>
      <c r="AA67" s="239"/>
      <c r="AB67" s="239"/>
      <c r="AC67" s="239"/>
      <c r="AD67" s="239"/>
      <c r="AE67" s="239"/>
      <c r="AF67" s="3"/>
      <c r="AG67" s="3"/>
      <c r="AH67" s="9"/>
      <c r="AI67" s="3"/>
    </row>
    <row r="68" spans="1:35">
      <c r="A68" s="675" t="s">
        <v>700</v>
      </c>
      <c r="B68" s="314"/>
      <c r="C68" s="239"/>
      <c r="D68" s="239"/>
      <c r="E68" s="240"/>
      <c r="F68" s="240"/>
      <c r="G68" s="240"/>
      <c r="H68" s="240"/>
      <c r="I68" s="240"/>
      <c r="J68" s="240"/>
      <c r="K68" s="310"/>
      <c r="L68" s="310"/>
      <c r="M68" s="310"/>
      <c r="N68" s="310"/>
      <c r="O68" s="310"/>
      <c r="P68" s="310"/>
      <c r="Q68" s="310"/>
      <c r="R68" s="1237"/>
      <c r="S68" s="1237"/>
      <c r="T68" s="1237"/>
      <c r="U68" s="1237"/>
      <c r="V68" s="310"/>
      <c r="W68" s="310"/>
      <c r="X68" s="310"/>
      <c r="Y68" s="310"/>
      <c r="Z68" s="310"/>
      <c r="AA68" s="310"/>
      <c r="AB68" s="310"/>
      <c r="AC68" s="310"/>
      <c r="AD68" s="310"/>
      <c r="AE68" s="240"/>
      <c r="AF68" s="240"/>
      <c r="AG68" s="240"/>
      <c r="AH68" s="240"/>
      <c r="AI68" s="240"/>
    </row>
    <row r="69" spans="1:35">
      <c r="K69" s="236"/>
      <c r="L69" s="236"/>
      <c r="M69" s="236"/>
      <c r="N69" s="236"/>
      <c r="O69" s="236"/>
      <c r="P69" s="236"/>
      <c r="Q69" s="236"/>
      <c r="R69" s="1239"/>
      <c r="S69" s="1239"/>
      <c r="T69" s="1239"/>
      <c r="U69" s="1239"/>
      <c r="V69" s="236"/>
      <c r="W69" s="236"/>
      <c r="X69" s="236"/>
      <c r="Y69" s="236"/>
      <c r="Z69" s="236"/>
      <c r="AA69" s="236"/>
      <c r="AB69" s="236"/>
      <c r="AC69" s="236"/>
      <c r="AD69" s="236"/>
    </row>
    <row r="71" spans="1:35">
      <c r="A71" s="26" t="s">
        <v>689</v>
      </c>
      <c r="G71" s="315">
        <f>+'qtrP&amp;L'!X192</f>
        <v>154.161</v>
      </c>
      <c r="H71" s="315">
        <f>+'qtrP&amp;L'!AB192</f>
        <v>157.49100000000001</v>
      </c>
      <c r="I71" s="315">
        <f>'qtrP&amp;L'!AF192</f>
        <v>163.1626</v>
      </c>
      <c r="J71" s="315">
        <f>'qtrP&amp;L'!AJ192</f>
        <v>170.56399999999999</v>
      </c>
      <c r="K71" s="315">
        <f>'qtrP&amp;L'!AN192</f>
        <v>175.07400000000001</v>
      </c>
      <c r="L71" s="315">
        <f>'qtrP&amp;L'!AR192</f>
        <v>179.25019999999998</v>
      </c>
      <c r="M71" s="315">
        <f>'qtrP&amp;L'!AV192</f>
        <v>181.91619999999998</v>
      </c>
      <c r="N71" s="315">
        <f>+'qtrP&amp;L'!AZ192</f>
        <v>175.12519999999998</v>
      </c>
      <c r="O71" s="315">
        <f>+'qtrP&amp;L'!BD192</f>
        <v>174.33619999999999</v>
      </c>
      <c r="P71" s="315">
        <f>+'qtrP&amp;L'!BH192</f>
        <v>174.67019999999997</v>
      </c>
      <c r="Q71" s="315">
        <f>+'qtrP&amp;L'!BL192</f>
        <v>178.24119999999996</v>
      </c>
      <c r="R71" s="1240">
        <f>+'qtrP&amp;L'!BP192</f>
        <v>175.92919999999998</v>
      </c>
      <c r="S71" s="1240">
        <f>+'qtrP&amp;L'!BT192</f>
        <v>163.53319999999997</v>
      </c>
      <c r="T71" s="1240">
        <f>S71+(U57-S57)</f>
        <v>153.22539299999994</v>
      </c>
      <c r="U71" s="1240">
        <f t="shared" ref="U71:AD71" si="50">T71+(U57-T57)</f>
        <v>146.91819299999992</v>
      </c>
      <c r="V71" s="315">
        <f t="shared" si="50"/>
        <v>137.10199999999995</v>
      </c>
      <c r="W71" s="315">
        <f t="shared" si="50"/>
        <v>125.71699999999996</v>
      </c>
      <c r="X71" s="315">
        <f t="shared" si="50"/>
        <v>116.21299999999994</v>
      </c>
      <c r="Y71" s="315">
        <f t="shared" si="50"/>
        <v>112.37899999999995</v>
      </c>
      <c r="Z71" s="315">
        <f t="shared" si="50"/>
        <v>107.61733333333326</v>
      </c>
      <c r="AA71" s="315">
        <f t="shared" si="50"/>
        <v>100.50194871794865</v>
      </c>
      <c r="AB71" s="315">
        <f t="shared" si="50"/>
        <v>96.216234432234359</v>
      </c>
      <c r="AC71" s="315">
        <f t="shared" si="50"/>
        <v>92.216234432234359</v>
      </c>
      <c r="AD71" s="315">
        <f t="shared" si="50"/>
        <v>92.048287182234361</v>
      </c>
    </row>
    <row r="72" spans="1:35">
      <c r="A72" s="26" t="s">
        <v>690</v>
      </c>
      <c r="G72" s="315">
        <f>+'qtrP&amp;L'!X203</f>
        <v>152.16580575</v>
      </c>
      <c r="H72" s="315">
        <f>+'qtrP&amp;L'!AB203</f>
        <v>156.114</v>
      </c>
      <c r="I72" s="315">
        <f>'qtrP&amp;L'!AF203</f>
        <v>160.73374999999999</v>
      </c>
      <c r="J72" s="315">
        <f>'qtrP&amp;L'!AJ203</f>
        <v>166.61750000000001</v>
      </c>
      <c r="K72" s="315">
        <f>'qtrP&amp;L'!AN203</f>
        <v>172.80500000000001</v>
      </c>
      <c r="L72" s="315">
        <f>'qtrP&amp;L'!AR203</f>
        <v>178.256</v>
      </c>
      <c r="M72" s="315">
        <f>'qtrP&amp;L'!$AV$203</f>
        <v>180.465</v>
      </c>
      <c r="N72" s="315">
        <f>'qtrP&amp;L'!$AZ$203</f>
        <v>177.273</v>
      </c>
      <c r="O72" s="315">
        <f t="shared" ref="O72:W72" si="51">AVERAGE(O71,N71)</f>
        <v>174.73069999999998</v>
      </c>
      <c r="P72" s="315">
        <f t="shared" si="51"/>
        <v>174.50319999999999</v>
      </c>
      <c r="Q72" s="315">
        <f t="shared" si="51"/>
        <v>176.45569999999998</v>
      </c>
      <c r="R72" s="1240">
        <f t="shared" si="51"/>
        <v>177.08519999999999</v>
      </c>
      <c r="S72" s="1240">
        <f t="shared" si="51"/>
        <v>169.73119999999997</v>
      </c>
      <c r="T72" s="1240">
        <f>AVERAGE(U71,S71, T71)</f>
        <v>154.55892866666662</v>
      </c>
      <c r="U72" s="1240">
        <f t="shared" si="51"/>
        <v>150.07179299999993</v>
      </c>
      <c r="V72" s="315">
        <f t="shared" si="51"/>
        <v>142.01009649999992</v>
      </c>
      <c r="W72" s="315">
        <f t="shared" si="51"/>
        <v>131.40949999999995</v>
      </c>
      <c r="X72" s="315">
        <f t="shared" ref="X72:AD72" si="52">AVERAGE(X71,W71)</f>
        <v>120.96499999999995</v>
      </c>
      <c r="Y72" s="315">
        <f t="shared" si="52"/>
        <v>114.29599999999994</v>
      </c>
      <c r="Z72" s="315">
        <f t="shared" si="52"/>
        <v>109.99816666666661</v>
      </c>
      <c r="AA72" s="315">
        <f t="shared" si="52"/>
        <v>104.05964102564096</v>
      </c>
      <c r="AB72" s="315">
        <f t="shared" si="52"/>
        <v>98.359091575091497</v>
      </c>
      <c r="AC72" s="315">
        <f t="shared" si="52"/>
        <v>94.216234432234359</v>
      </c>
      <c r="AD72" s="315">
        <f t="shared" si="52"/>
        <v>92.13226080723436</v>
      </c>
    </row>
    <row r="73" spans="1:35">
      <c r="A73" s="26" t="s">
        <v>521</v>
      </c>
      <c r="G73" s="316">
        <v>0</v>
      </c>
      <c r="H73" s="316">
        <v>0</v>
      </c>
      <c r="I73" s="316">
        <v>0</v>
      </c>
      <c r="J73" s="316">
        <v>0</v>
      </c>
      <c r="K73" s="316">
        <v>0</v>
      </c>
      <c r="L73" s="316">
        <v>0</v>
      </c>
      <c r="M73" s="316">
        <v>0</v>
      </c>
      <c r="N73" s="317">
        <f>M73</f>
        <v>0</v>
      </c>
      <c r="O73" s="317">
        <f>N73</f>
        <v>0</v>
      </c>
      <c r="P73" s="317">
        <f>O73</f>
        <v>0</v>
      </c>
      <c r="Q73" s="317">
        <f>P73</f>
        <v>0</v>
      </c>
      <c r="R73" s="1241">
        <f>'qtrP&amp;L'!BP210</f>
        <v>0.16</v>
      </c>
      <c r="S73" s="1241">
        <f>+'qtrP&amp;L'!BT210</f>
        <v>0.2</v>
      </c>
      <c r="T73" s="1241">
        <f>+'qtrP&amp;L'!BX210</f>
        <v>0.21249999999999999</v>
      </c>
      <c r="U73" s="1241">
        <f>'qtrP&amp;L'!CB210</f>
        <v>0.26</v>
      </c>
      <c r="V73" s="317">
        <f>'qtrP&amp;L'!CF210</f>
        <v>0.31</v>
      </c>
      <c r="W73" s="317">
        <f>'qtrP&amp;L'!CJ210</f>
        <v>0.32</v>
      </c>
      <c r="X73" s="317">
        <f>'qtrP&amp;L'!CN210</f>
        <v>0.32</v>
      </c>
      <c r="Y73" s="317">
        <f>+'qtrP&amp;L'!CR210</f>
        <v>0.33</v>
      </c>
      <c r="Z73" s="317">
        <f>+'qtrP&amp;L'!CV210</f>
        <v>0.34</v>
      </c>
      <c r="AA73" s="317">
        <f t="shared" ref="AA73:AD73" si="53">Z73*1.1</f>
        <v>0.37400000000000005</v>
      </c>
      <c r="AB73" s="317">
        <f t="shared" si="53"/>
        <v>0.4114000000000001</v>
      </c>
      <c r="AC73" s="317">
        <f t="shared" si="53"/>
        <v>0.45254000000000016</v>
      </c>
      <c r="AD73" s="317">
        <f t="shared" si="53"/>
        <v>0.49779400000000024</v>
      </c>
    </row>
    <row r="74" spans="1:35">
      <c r="A74" s="26" t="s">
        <v>522</v>
      </c>
      <c r="G74" s="22">
        <f t="shared" ref="G74:W74" si="54">G73/G57</f>
        <v>0</v>
      </c>
      <c r="H74" s="22">
        <f t="shared" si="54"/>
        <v>0</v>
      </c>
      <c r="I74" s="22">
        <f t="shared" si="54"/>
        <v>0</v>
      </c>
      <c r="J74" s="22">
        <f t="shared" si="54"/>
        <v>0</v>
      </c>
      <c r="K74" s="22">
        <f t="shared" si="54"/>
        <v>0</v>
      </c>
      <c r="L74" s="22">
        <f t="shared" si="54"/>
        <v>0</v>
      </c>
      <c r="M74" s="22">
        <f t="shared" si="54"/>
        <v>0</v>
      </c>
      <c r="N74" s="22">
        <f t="shared" si="54"/>
        <v>0</v>
      </c>
      <c r="O74" s="22">
        <f t="shared" si="54"/>
        <v>0</v>
      </c>
      <c r="P74" s="22">
        <f t="shared" si="54"/>
        <v>0</v>
      </c>
      <c r="Q74" s="22">
        <f t="shared" si="54"/>
        <v>0</v>
      </c>
      <c r="R74" s="1242">
        <f t="shared" si="54"/>
        <v>8.9870474179089396E-4</v>
      </c>
      <c r="S74" s="1242">
        <f t="shared" si="54"/>
        <v>1.1747430249632893E-3</v>
      </c>
      <c r="T74" s="1242">
        <f>T73/U57</f>
        <v>1.3286050166887485E-3</v>
      </c>
      <c r="U74" s="1242">
        <f t="shared" si="54"/>
        <v>1.6255873145368217E-3</v>
      </c>
      <c r="V74" s="22">
        <f t="shared" si="54"/>
        <v>2.064932123682773E-3</v>
      </c>
      <c r="W74" s="22">
        <f t="shared" si="54"/>
        <v>2.3064559142575011E-3</v>
      </c>
      <c r="X74" s="22">
        <f t="shared" ref="X74:AC74" si="55">X73/X57</f>
        <v>2.4760710941912922E-3</v>
      </c>
      <c r="Y74" s="22">
        <f t="shared" si="55"/>
        <v>2.6315159924403721E-3</v>
      </c>
      <c r="Z74" s="22">
        <f t="shared" si="55"/>
        <v>2.8182712392657025E-3</v>
      </c>
      <c r="AA74" s="22">
        <f t="shared" si="55"/>
        <v>3.2944010089639517E-3</v>
      </c>
      <c r="AB74" s="22">
        <f t="shared" si="55"/>
        <v>3.7660116910057172E-3</v>
      </c>
      <c r="AC74" s="22">
        <f t="shared" si="55"/>
        <v>4.3000664379116019E-3</v>
      </c>
      <c r="AD74" s="22">
        <f t="shared" ref="AD74" si="56">AD73/AD57</f>
        <v>4.7376336172890226E-3</v>
      </c>
    </row>
    <row r="76" spans="1:35">
      <c r="A76" s="135" t="s">
        <v>293</v>
      </c>
      <c r="N76" s="236"/>
      <c r="O76" s="236">
        <f>+(O24/N24)-1</f>
        <v>0.20504633417692619</v>
      </c>
      <c r="P76" s="236">
        <f>+(P24/O24)-1</f>
        <v>1.9049784616162135E-2</v>
      </c>
      <c r="Q76" s="236">
        <f>+(Q24/P24)-1</f>
        <v>2.6156268207115918E-3</v>
      </c>
      <c r="R76" s="1239">
        <f>+(R24/Q24)-1</f>
        <v>4.1612574183976125E-2</v>
      </c>
      <c r="S76" s="1239">
        <f>+(S24/R24)-1</f>
        <v>9.6362837832825177E-2</v>
      </c>
      <c r="T76" s="1239">
        <f>+(U24/S24)-1</f>
        <v>-1</v>
      </c>
    </row>
    <row r="77" spans="1:35">
      <c r="A77" s="238" t="s">
        <v>292</v>
      </c>
      <c r="B77" s="239"/>
      <c r="C77" s="239"/>
      <c r="D77" s="240"/>
      <c r="E77" s="240"/>
      <c r="G77" s="241"/>
      <c r="H77" s="242"/>
      <c r="I77" s="242"/>
      <c r="J77" s="242"/>
      <c r="K77" s="242"/>
      <c r="L77" s="242"/>
      <c r="M77" s="242"/>
      <c r="N77" s="242"/>
      <c r="O77" s="236">
        <f>+yrSales!O66</f>
        <v>0.22927328556806548</v>
      </c>
      <c r="P77" s="236">
        <f>+yrSales!P66</f>
        <v>8.0638218151540153E-2</v>
      </c>
      <c r="Q77" s="236">
        <f>+yrSales!Q66</f>
        <v>8.9791050020169294E-3</v>
      </c>
      <c r="R77" s="1239">
        <f>+yrSales!R66</f>
        <v>6.3353570064910159E-2</v>
      </c>
      <c r="S77" s="1239">
        <f>+yrSales!S66</f>
        <v>8.6704372077791581E-2</v>
      </c>
      <c r="T77" s="1239">
        <f>+yrSales!T66</f>
        <v>8.0972763571624196E-2</v>
      </c>
      <c r="U77" s="1238"/>
      <c r="V77" s="243"/>
      <c r="W77" s="243"/>
      <c r="X77" s="243"/>
      <c r="Y77" s="243"/>
      <c r="Z77" s="243"/>
      <c r="AA77" s="243"/>
      <c r="AB77" s="243"/>
      <c r="AC77" s="243"/>
      <c r="AD77" s="243"/>
    </row>
    <row r="78" spans="1:35">
      <c r="A78" s="135" t="s">
        <v>294</v>
      </c>
      <c r="G78" s="26" t="s">
        <v>465</v>
      </c>
      <c r="O78" s="236">
        <f>+(yrSales!O40/yrSales!N40)-1</f>
        <v>0.12826086956521743</v>
      </c>
      <c r="P78" s="236">
        <f>+(yrSales!P40/yrSales!O40)-1</f>
        <v>3.6608863198458463E-2</v>
      </c>
      <c r="Q78" s="236">
        <f>+(yrSales!Q40/yrSales!P40)-1</f>
        <v>3.7174721189590088E-3</v>
      </c>
      <c r="R78" s="1239">
        <f>+(yrSales!R40/yrSales!Q40)-1</f>
        <v>6.5740740740740655E-2</v>
      </c>
      <c r="S78" s="1239">
        <f>+(yrSales!S40/yrSales!R40)-1</f>
        <v>9.1225021720243271E-2</v>
      </c>
      <c r="T78" s="1239">
        <f>+(yrSales!T40/yrSales!S40)-1</f>
        <v>8.0414012738853513E-2</v>
      </c>
    </row>
    <row r="79" spans="1:35">
      <c r="A79" s="135" t="s">
        <v>296</v>
      </c>
      <c r="O79" s="236">
        <f>+(yrSales!O19/yrSales!N19)-1</f>
        <v>-7.5949367088607556E-2</v>
      </c>
      <c r="P79" s="236">
        <f>+(yrSales!P19/yrSales!O19)-1</f>
        <v>-0.66438356164383561</v>
      </c>
      <c r="Q79" s="236">
        <f>+(yrSales!Q19/yrSales!P19)-1</f>
        <v>-0.38775510204081631</v>
      </c>
      <c r="R79" s="1239">
        <f>+(yrSales!R19/yrSales!Q19)-1</f>
        <v>1.6666666666666665</v>
      </c>
      <c r="S79" s="1239">
        <f>+(yrSales!S19/yrSales!R19)-1</f>
        <v>0.71249999999999991</v>
      </c>
      <c r="T79" s="1239">
        <f>+(yrSales!T19/yrSales!S19)-1</f>
        <v>-8.7591240875912413E-2</v>
      </c>
    </row>
    <row r="80" spans="1:35">
      <c r="A80" s="135" t="s">
        <v>295</v>
      </c>
      <c r="O80" s="236">
        <f>+((yrSales!O19-yrSales!O31)/(yrSales!N19-yrSales!N31))-1</f>
        <v>0</v>
      </c>
      <c r="P80" s="236">
        <f>+((yrSales!P19-yrSales!P31)/(yrSales!O19-yrSales!O31))-1</f>
        <v>-0.63414634146341464</v>
      </c>
      <c r="Q80" s="236">
        <f>+((yrSales!Q19-yrSales!Q31)/(yrSales!P19-yrSales!P31))-1</f>
        <v>-6.6666666666666652E-2</v>
      </c>
      <c r="R80" s="1239">
        <f>+((yrSales!R19-yrSales!R31)/(yrSales!Q19-yrSales!Q31))-1</f>
        <v>0.58928571428571419</v>
      </c>
      <c r="S80" s="1239">
        <f>+((yrSales!S19-yrSales!S31)/(yrSales!R19-yrSales!R31))-1</f>
        <v>0.898876404494382</v>
      </c>
      <c r="T80" s="1239">
        <f>+((yrSales!T19-yrSales!T31)/(yrSales!S19-yrSales!S31))-1</f>
        <v>-0.11834319526627224</v>
      </c>
    </row>
    <row r="84" spans="16:19">
      <c r="P84" s="26" t="s">
        <v>418</v>
      </c>
      <c r="Q84" s="318">
        <f>Q37+Q34</f>
        <v>219.5510000000001</v>
      </c>
      <c r="R84" s="1243">
        <f>R37+R34</f>
        <v>272.27099999999979</v>
      </c>
      <c r="S84" s="1244">
        <f>R84/Q84-1</f>
        <v>0.24012643987046145</v>
      </c>
    </row>
    <row r="85" spans="16:19">
      <c r="P85" s="26" t="s">
        <v>239</v>
      </c>
      <c r="Q85" s="318">
        <v>11</v>
      </c>
      <c r="R85" s="1243">
        <v>11</v>
      </c>
    </row>
    <row r="86" spans="16:19">
      <c r="P86" s="26" t="s">
        <v>462</v>
      </c>
      <c r="Q86" s="318">
        <f>Q85*Q84</f>
        <v>2415.0610000000011</v>
      </c>
      <c r="R86" s="1243">
        <f>R85*R84</f>
        <v>2994.9809999999975</v>
      </c>
    </row>
    <row r="87" spans="16:19">
      <c r="P87" s="26" t="s">
        <v>463</v>
      </c>
      <c r="Q87" s="318">
        <f>dtc!$AF$34</f>
        <v>-423.30700000000002</v>
      </c>
      <c r="R87" s="1243">
        <f>dtc!$AF$34</f>
        <v>-423.30700000000002</v>
      </c>
    </row>
    <row r="88" spans="16:19">
      <c r="P88" s="26" t="s">
        <v>630</v>
      </c>
      <c r="Q88" s="318">
        <f>Q86-Q87</f>
        <v>2838.3680000000013</v>
      </c>
      <c r="R88" s="1243">
        <f>R86-R87</f>
        <v>3418.2879999999977</v>
      </c>
    </row>
    <row r="89" spans="16:19">
      <c r="P89" s="26" t="s">
        <v>464</v>
      </c>
      <c r="Q89" s="320">
        <f>Q88/Q72</f>
        <v>16.085442408491204</v>
      </c>
      <c r="R89" s="1245">
        <f>R88/R72</f>
        <v>19.30306993469809</v>
      </c>
    </row>
  </sheetData>
  <phoneticPr fontId="0" type="noConversion"/>
  <dataValidations disablePrompts="1" count="1">
    <dataValidation type="custom" allowBlank="1" showInputMessage="1" showErrorMessage="1" sqref="A77:E77 G62:AD62 AH4:AH5 A62:E62 G77:AD77">
      <formula1>-1</formula1>
    </dataValidation>
  </dataValidations>
  <pageMargins left="0.18" right="0.19" top="0.5" bottom="0.25" header="0.5" footer="0.5"/>
  <pageSetup scale="95" orientation="landscape" r:id="rId1"/>
  <headerFooter alignWithMargins="0">
    <oddFooter>&amp;R&amp;8&amp;D/
&amp;T
&amp;F/&amp;A</oddFooter>
  </headerFooter>
  <ignoredErrors>
    <ignoredError sqref="V51" formula="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BQ134"/>
  <sheetViews>
    <sheetView view="pageBreakPreview" zoomScale="85" zoomScaleNormal="85" zoomScaleSheetLayoutView="85" workbookViewId="0">
      <pane xSplit="16" ySplit="6" topLeftCell="AO7" activePane="bottomRight" state="frozen"/>
      <selection activeCell="E43" sqref="E43"/>
      <selection pane="topRight" activeCell="E43" sqref="E43"/>
      <selection pane="bottomLeft" activeCell="E43" sqref="E43"/>
      <selection pane="bottomRight" activeCell="AO7" sqref="AO7"/>
    </sheetView>
  </sheetViews>
  <sheetFormatPr defaultRowHeight="12.75" outlineLevelRow="1" outlineLevelCol="1"/>
  <cols>
    <col min="1" max="1" width="1.85546875" style="26" customWidth="1"/>
    <col min="2" max="2" width="4" style="26" customWidth="1"/>
    <col min="3" max="3" width="26.42578125" style="26" customWidth="1"/>
    <col min="4" max="4" width="2.5703125" style="26" customWidth="1"/>
    <col min="5" max="5" width="9.140625" style="26" hidden="1" customWidth="1" outlineLevel="1"/>
    <col min="6" max="6" width="1.5703125" style="26" hidden="1" customWidth="1" outlineLevel="1"/>
    <col min="7" max="7" width="9.140625" style="26" hidden="1" customWidth="1" outlineLevel="1"/>
    <col min="8" max="8" width="1.5703125" style="26" hidden="1" customWidth="1" outlineLevel="1"/>
    <col min="9" max="9" width="9.140625" style="26" hidden="1" customWidth="1" outlineLevel="1"/>
    <col min="10" max="10" width="1.5703125" style="26" hidden="1" customWidth="1" outlineLevel="1"/>
    <col min="11" max="11" width="9.140625" style="26" hidden="1" customWidth="1" outlineLevel="1"/>
    <col min="12" max="12" width="1.5703125" style="26" hidden="1" customWidth="1" outlineLevel="1"/>
    <col min="13" max="13" width="9.140625" style="26" hidden="1" customWidth="1" outlineLevel="1"/>
    <col min="14" max="14" width="1.5703125" style="26" hidden="1" customWidth="1" outlineLevel="1"/>
    <col min="15" max="15" width="9.28515625" style="26" hidden="1" customWidth="1" outlineLevel="1" collapsed="1"/>
    <col min="16" max="16" width="1.5703125" style="26" customWidth="1" collapsed="1"/>
    <col min="17" max="17" width="9.140625" style="26" hidden="1" customWidth="1" outlineLevel="1"/>
    <col min="18" max="18" width="1.5703125" style="26" hidden="1" customWidth="1" outlineLevel="1"/>
    <col min="19" max="19" width="9.140625" style="26" hidden="1" customWidth="1" outlineLevel="1"/>
    <col min="20" max="20" width="1.5703125" style="26" hidden="1" customWidth="1" outlineLevel="1"/>
    <col min="21" max="21" width="9.140625" style="26" hidden="1" customWidth="1" outlineLevel="1"/>
    <col min="22" max="22" width="1.5703125" style="26" hidden="1" customWidth="1" outlineLevel="1"/>
    <col min="23" max="23" width="9.140625" style="26" hidden="1" customWidth="1" outlineLevel="1"/>
    <col min="24" max="24" width="1.5703125" style="26" hidden="1" customWidth="1" outlineLevel="1"/>
    <col min="25" max="25" width="9.140625" style="26" hidden="1" customWidth="1" outlineLevel="1"/>
    <col min="26" max="26" width="1.5703125" style="26" hidden="1" customWidth="1" outlineLevel="1"/>
    <col min="27" max="27" width="9.140625" style="26" hidden="1" customWidth="1" outlineLevel="1"/>
    <col min="28" max="28" width="1.5703125" style="26" hidden="1" customWidth="1" outlineLevel="1"/>
    <col min="29" max="29" width="9.140625" style="26" hidden="1" customWidth="1" outlineLevel="1"/>
    <col min="30" max="30" width="1.85546875" style="26" hidden="1" customWidth="1" outlineLevel="1"/>
    <col min="31" max="31" width="9.140625" style="26" hidden="1" customWidth="1" outlineLevel="1"/>
    <col min="32" max="32" width="1.85546875" style="26" hidden="1" customWidth="1" outlineLevel="1"/>
    <col min="33" max="33" width="9.42578125" style="26" hidden="1" customWidth="1" outlineLevel="1"/>
    <col min="34" max="34" width="1.85546875" style="26" hidden="1" customWidth="1" outlineLevel="1"/>
    <col min="35" max="35" width="9.42578125" style="26" hidden="1" customWidth="1" outlineLevel="1"/>
    <col min="36" max="36" width="1.85546875" style="26" hidden="1" customWidth="1" outlineLevel="1"/>
    <col min="37" max="37" width="8.85546875" style="26" hidden="1" customWidth="1" outlineLevel="1"/>
    <col min="38" max="38" width="1.7109375" style="26" hidden="1" customWidth="1" outlineLevel="1"/>
    <col min="39" max="39" width="9.42578125" style="26" hidden="1" customWidth="1" outlineLevel="1" collapsed="1"/>
    <col min="40" max="40" width="1.5703125" style="26" hidden="1" customWidth="1" outlineLevel="1"/>
    <col min="41" max="41" width="9.42578125" style="26" customWidth="1" collapsed="1"/>
    <col min="42" max="42" width="1.5703125" style="26" customWidth="1"/>
    <col min="43" max="43" width="9.42578125" style="26" customWidth="1"/>
    <col min="44" max="44" width="1.5703125" style="26" customWidth="1"/>
    <col min="45" max="45" width="9.42578125" style="26" customWidth="1"/>
    <col min="46" max="46" width="1.5703125" style="26" customWidth="1"/>
    <col min="47" max="47" width="9.5703125" style="26" customWidth="1"/>
    <col min="48" max="48" width="1.5703125" style="26" customWidth="1"/>
    <col min="49" max="49" width="9.42578125" style="26" customWidth="1"/>
    <col min="50" max="50" width="1.5703125" style="26" customWidth="1"/>
    <col min="51" max="51" width="9.42578125" style="26" customWidth="1"/>
    <col min="52" max="52" width="1.5703125" style="26" customWidth="1"/>
    <col min="53" max="53" width="9.42578125" style="26" customWidth="1"/>
    <col min="54" max="54" width="1.5703125" style="26" customWidth="1"/>
    <col min="55" max="55" width="9.42578125" style="26" customWidth="1"/>
    <col min="56" max="56" width="1.5703125" style="26" customWidth="1"/>
    <col min="57" max="57" width="9.42578125" style="26" customWidth="1"/>
    <col min="58" max="58" width="1.5703125" style="26" customWidth="1"/>
    <col min="59" max="59" width="9.42578125" style="26" customWidth="1"/>
    <col min="60" max="60" width="1.5703125" style="26" customWidth="1"/>
    <col min="61" max="61" width="9.42578125" style="26" customWidth="1"/>
    <col min="62" max="62" width="9.140625" style="26"/>
    <col min="63" max="63" width="32.85546875" hidden="1" customWidth="1" outlineLevel="1"/>
    <col min="64" max="68" width="9.140625" hidden="1" customWidth="1" outlineLevel="1"/>
    <col min="69" max="69" width="9.140625" style="26" collapsed="1"/>
    <col min="70" max="70" width="9.140625" style="26"/>
    <col min="71" max="71" width="10.85546875" style="26" bestFit="1" customWidth="1"/>
    <col min="72" max="16384" width="9.140625" style="26"/>
  </cols>
  <sheetData>
    <row r="1" spans="1:62">
      <c r="A1" s="259" t="str">
        <f>+sumry!A1</f>
        <v>Chico's</v>
      </c>
      <c r="B1" s="28"/>
      <c r="D1" s="28"/>
      <c r="E1" s="42"/>
      <c r="F1" s="28"/>
      <c r="G1" s="42"/>
      <c r="H1" s="28"/>
      <c r="I1" s="28"/>
      <c r="J1" s="28"/>
      <c r="K1" s="42"/>
      <c r="L1" s="28"/>
      <c r="M1" s="28"/>
      <c r="N1" s="28"/>
      <c r="O1" s="42"/>
      <c r="P1" s="28"/>
      <c r="Q1" s="42"/>
      <c r="R1" s="28"/>
      <c r="S1" s="42"/>
      <c r="T1" s="28"/>
      <c r="U1" s="42"/>
      <c r="V1" s="28"/>
      <c r="W1" s="42"/>
      <c r="X1" s="28"/>
      <c r="Y1" s="42"/>
      <c r="Z1" s="28"/>
      <c r="AA1" s="42"/>
      <c r="AB1" s="28"/>
      <c r="AC1" s="42"/>
      <c r="AD1" s="42"/>
      <c r="AE1" s="42"/>
      <c r="AF1" s="42"/>
      <c r="AG1" s="42"/>
      <c r="AH1" s="42"/>
      <c r="AI1" s="42"/>
      <c r="AJ1" s="42"/>
      <c r="AK1" s="42"/>
      <c r="AL1" s="42"/>
      <c r="AM1" s="42"/>
      <c r="AN1" s="42"/>
      <c r="AO1" s="42"/>
      <c r="AP1" s="42"/>
      <c r="AQ1" s="42"/>
      <c r="AR1" s="42"/>
      <c r="AS1" s="42"/>
      <c r="AT1" s="42"/>
      <c r="AU1" s="42"/>
      <c r="AV1" s="42"/>
      <c r="AW1" s="42"/>
      <c r="AX1" s="42"/>
      <c r="AY1" s="42"/>
      <c r="AZ1" s="42"/>
      <c r="BA1" s="42"/>
      <c r="BB1" s="42"/>
      <c r="BC1" s="42"/>
      <c r="BD1" s="42"/>
      <c r="BE1" s="42"/>
      <c r="BF1" s="42"/>
      <c r="BG1" s="42"/>
      <c r="BH1" s="42"/>
      <c r="BI1" s="42"/>
      <c r="BJ1" s="28"/>
    </row>
    <row r="2" spans="1:62">
      <c r="A2" s="147" t="s">
        <v>620</v>
      </c>
      <c r="B2" s="29"/>
      <c r="C2" s="29"/>
      <c r="D2" s="29"/>
      <c r="E2" s="43"/>
      <c r="F2" s="29"/>
      <c r="G2" s="43"/>
      <c r="H2" s="29"/>
      <c r="I2" s="29"/>
      <c r="J2" s="29"/>
      <c r="K2" s="43"/>
      <c r="L2" s="29"/>
      <c r="M2" s="29"/>
      <c r="N2" s="29"/>
      <c r="O2" s="43"/>
      <c r="P2" s="29"/>
      <c r="Q2" s="43"/>
      <c r="R2" s="29"/>
      <c r="S2" s="43"/>
      <c r="T2" s="29"/>
      <c r="U2" s="43"/>
      <c r="V2" s="29"/>
      <c r="W2" s="43"/>
      <c r="X2" s="29"/>
      <c r="Y2" s="43"/>
      <c r="Z2" s="29"/>
      <c r="AA2" s="43"/>
      <c r="AB2" s="29"/>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29"/>
    </row>
    <row r="3" spans="1:62">
      <c r="A3" s="1018" t="s">
        <v>649</v>
      </c>
      <c r="B3" s="828"/>
    </row>
    <row r="4" spans="1:62">
      <c r="A4" s="828" t="s">
        <v>621</v>
      </c>
      <c r="B4" s="828"/>
    </row>
    <row r="5" spans="1:62">
      <c r="O5" s="107"/>
    </row>
    <row r="6" spans="1:62">
      <c r="E6" s="836">
        <v>1994</v>
      </c>
      <c r="G6" s="836">
        <v>1995</v>
      </c>
      <c r="H6" s="44"/>
      <c r="I6" s="835">
        <f>G6+1</f>
        <v>1996</v>
      </c>
      <c r="J6" s="44"/>
      <c r="K6" s="835">
        <f>I6+1</f>
        <v>1997</v>
      </c>
      <c r="L6" s="44"/>
      <c r="M6" s="835">
        <f>K6+1</f>
        <v>1998</v>
      </c>
      <c r="N6" s="44"/>
      <c r="O6" s="835">
        <f>M6+1</f>
        <v>1999</v>
      </c>
      <c r="P6" s="44"/>
      <c r="Q6" s="835">
        <f>O6+1</f>
        <v>2000</v>
      </c>
      <c r="R6" s="44"/>
      <c r="S6" s="835">
        <f>Q6+1</f>
        <v>2001</v>
      </c>
      <c r="T6" s="44"/>
      <c r="U6" s="835">
        <f>S6+1</f>
        <v>2002</v>
      </c>
      <c r="V6" s="44"/>
      <c r="W6" s="835">
        <f>U6+1</f>
        <v>2003</v>
      </c>
      <c r="X6" s="44"/>
      <c r="Y6" s="835">
        <f>+W6+1</f>
        <v>2004</v>
      </c>
      <c r="Z6" s="91"/>
      <c r="AA6" s="835">
        <f>+Y6+1</f>
        <v>2005</v>
      </c>
      <c r="AB6" s="91"/>
      <c r="AC6" s="835">
        <f>+AA6+1</f>
        <v>2006</v>
      </c>
      <c r="AD6" s="974"/>
      <c r="AE6" s="835">
        <f>+AC6+1</f>
        <v>2007</v>
      </c>
      <c r="AF6" s="974"/>
      <c r="AG6" s="835">
        <f>+AE6+1</f>
        <v>2008</v>
      </c>
      <c r="AH6" s="974"/>
      <c r="AI6" s="835">
        <f>+AG6+1</f>
        <v>2009</v>
      </c>
      <c r="AJ6" s="974"/>
      <c r="AK6" s="835">
        <f>+AI6+1</f>
        <v>2010</v>
      </c>
      <c r="AL6" s="974"/>
      <c r="AM6" s="835">
        <f>+AK6+1</f>
        <v>2011</v>
      </c>
      <c r="AN6" s="974"/>
      <c r="AO6" s="835">
        <f>+AM6+1</f>
        <v>2012</v>
      </c>
      <c r="AP6" s="974"/>
      <c r="AQ6" s="835">
        <f>+AO6+1</f>
        <v>2013</v>
      </c>
      <c r="AR6" s="974"/>
      <c r="AS6" s="835">
        <f>+AQ6+1</f>
        <v>2014</v>
      </c>
      <c r="AT6" s="975"/>
      <c r="AU6" s="835">
        <f>+AS6+1</f>
        <v>2015</v>
      </c>
      <c r="AV6" s="975"/>
      <c r="AW6" s="835">
        <f>+AU6+1</f>
        <v>2016</v>
      </c>
      <c r="AX6" s="975"/>
      <c r="AY6" s="1644">
        <f>+AW6+1</f>
        <v>2017</v>
      </c>
      <c r="AZ6" s="975"/>
      <c r="BA6" s="974">
        <f>+AY6+1</f>
        <v>2018</v>
      </c>
      <c r="BB6" s="975"/>
      <c r="BC6" s="974">
        <f>+BA6+1</f>
        <v>2019</v>
      </c>
      <c r="BD6" s="975"/>
      <c r="BE6" s="974">
        <f>+BC6+1</f>
        <v>2020</v>
      </c>
      <c r="BF6" s="975"/>
      <c r="BG6" s="974">
        <f>+BE6+1</f>
        <v>2021</v>
      </c>
      <c r="BH6" s="975"/>
      <c r="BI6" s="974">
        <f>+BG6+1</f>
        <v>2022</v>
      </c>
    </row>
    <row r="7" spans="1:62">
      <c r="AK7" s="976"/>
    </row>
    <row r="8" spans="1:62">
      <c r="A8" s="711" t="s">
        <v>622</v>
      </c>
      <c r="B8" s="711"/>
      <c r="AG8" s="976"/>
      <c r="AI8" s="976"/>
      <c r="AK8" s="882"/>
      <c r="AM8" s="882"/>
      <c r="AO8" s="882"/>
      <c r="AQ8" s="882"/>
      <c r="AS8" s="882"/>
      <c r="AT8" s="882"/>
      <c r="AU8" s="882"/>
      <c r="AV8" s="882"/>
      <c r="AW8" s="882"/>
      <c r="AX8" s="882"/>
      <c r="AY8" s="882"/>
      <c r="AZ8" s="882"/>
      <c r="BA8" s="882"/>
      <c r="BB8" s="882"/>
      <c r="BC8" s="882"/>
      <c r="BD8" s="882"/>
      <c r="BE8" s="882"/>
      <c r="BF8" s="882"/>
      <c r="BG8" s="882"/>
      <c r="BH8" s="882"/>
      <c r="BI8" s="882"/>
    </row>
    <row r="9" spans="1:62">
      <c r="B9" s="26" t="s">
        <v>568</v>
      </c>
      <c r="E9" s="844">
        <v>0.805979</v>
      </c>
      <c r="G9" s="882">
        <f>+flow!D52</f>
        <v>1.0999289999999979</v>
      </c>
      <c r="I9" s="882">
        <f>+flow!F52</f>
        <v>0.83217599999999603</v>
      </c>
      <c r="K9" s="882">
        <f>+flow!H52</f>
        <v>2.9439159999999918</v>
      </c>
      <c r="L9" s="45"/>
      <c r="M9" s="882">
        <f>+flow!J52</f>
        <v>14.484775999999989</v>
      </c>
      <c r="O9" s="882">
        <f>+flow!L52</f>
        <v>3.9809299999999901</v>
      </c>
      <c r="Q9" s="882">
        <f>+flow!N52</f>
        <v>3.9141179999999789</v>
      </c>
      <c r="S9" s="882">
        <f>flow!P52</f>
        <v>13.376863999999953</v>
      </c>
      <c r="U9" s="882">
        <f>flow!R52</f>
        <v>8.7530889999999726</v>
      </c>
      <c r="W9" s="882">
        <f>+flow!T52</f>
        <v>15.676105000000048</v>
      </c>
      <c r="Y9" s="882">
        <f>+flow!V52</f>
        <v>14.426000000000162</v>
      </c>
      <c r="Z9" s="882"/>
      <c r="AA9" s="882">
        <f>+flow!X52</f>
        <v>3.0350000000001991</v>
      </c>
      <c r="AC9" s="883">
        <f>+flow!Z52</f>
        <v>37.203000000000287</v>
      </c>
      <c r="AD9" s="882"/>
      <c r="AE9" s="883">
        <f>+flow!AB52</f>
        <v>13.801000000000109</v>
      </c>
      <c r="AF9" s="882"/>
      <c r="AG9" s="883">
        <f>+flow!AD52</f>
        <v>26.549000000000056</v>
      </c>
      <c r="AH9" s="882"/>
      <c r="AI9" s="883">
        <f>+flow!AF52</f>
        <v>37.043000000000227</v>
      </c>
      <c r="AJ9" s="882"/>
      <c r="AK9" s="883">
        <f>+flow!AH52</f>
        <v>14.69500000000016</v>
      </c>
      <c r="AL9" s="883"/>
      <c r="AM9" s="883">
        <f>+flow!AJ52</f>
        <v>62.49300000000035</v>
      </c>
      <c r="AN9" s="883"/>
      <c r="AO9" s="883">
        <f>+flow!AL52</f>
        <v>61.644760000000034</v>
      </c>
      <c r="AP9" s="883"/>
      <c r="AQ9" s="883">
        <f>+flow!AN52</f>
        <v>34.443999999999967</v>
      </c>
      <c r="AR9" s="883"/>
      <c r="AS9" s="883">
        <f>flow!AP52</f>
        <v>133.351</v>
      </c>
      <c r="AT9" s="883"/>
      <c r="AU9" s="883">
        <f>flow!AR52</f>
        <v>89.950000000000017</v>
      </c>
      <c r="AV9" s="883"/>
      <c r="AW9" s="883">
        <f>+flow!AT52</f>
        <v>142.13400000000004</v>
      </c>
      <c r="AX9" s="883"/>
      <c r="AY9" s="883">
        <f>+flow!AV52</f>
        <v>160.07000000000005</v>
      </c>
      <c r="AZ9" s="883"/>
      <c r="BA9" s="883">
        <f>+flow!AX52</f>
        <v>248.43663660090482</v>
      </c>
      <c r="BB9" s="883"/>
      <c r="BC9" s="883">
        <f>+flow!AZ52</f>
        <v>276.96115045005848</v>
      </c>
      <c r="BD9" s="883"/>
      <c r="BE9" s="883">
        <f>+flow!BB52</f>
        <v>320.26158731785273</v>
      </c>
      <c r="BF9" s="883"/>
      <c r="BG9" s="883">
        <f>+flow!BD52</f>
        <v>368.44321401250926</v>
      </c>
      <c r="BH9" s="883"/>
      <c r="BI9" s="883">
        <f>+flow!BF52</f>
        <v>471.11461678210094</v>
      </c>
    </row>
    <row r="10" spans="1:62">
      <c r="B10" s="26" t="s">
        <v>376</v>
      </c>
      <c r="E10" s="955">
        <v>0</v>
      </c>
      <c r="G10" s="955">
        <v>0</v>
      </c>
      <c r="I10" s="955">
        <v>0</v>
      </c>
      <c r="K10" s="955">
        <v>0</v>
      </c>
      <c r="L10" s="977"/>
      <c r="M10" s="955">
        <v>0</v>
      </c>
      <c r="O10" s="955">
        <v>13.995526999999999</v>
      </c>
      <c r="Q10" s="955">
        <v>14.22152</v>
      </c>
      <c r="S10" s="955">
        <v>40.428674999999998</v>
      </c>
      <c r="U10" s="955">
        <v>91.195175000000006</v>
      </c>
      <c r="W10" s="955">
        <v>104.453</v>
      </c>
      <c r="Y10" s="955">
        <v>251.19900000000001</v>
      </c>
      <c r="AA10" s="955">
        <v>401.44499999999999</v>
      </c>
      <c r="AC10" s="955">
        <v>238.33600000000001</v>
      </c>
      <c r="AD10" s="318"/>
      <c r="AE10" s="955">
        <v>260.46899999999999</v>
      </c>
      <c r="AF10" s="318"/>
      <c r="AG10" s="955">
        <v>242.15299999999999</v>
      </c>
      <c r="AH10" s="318"/>
      <c r="AI10" s="955">
        <v>386.5</v>
      </c>
      <c r="AJ10" s="318"/>
      <c r="AK10" s="955">
        <v>534.01900000000001</v>
      </c>
      <c r="AL10" s="318"/>
      <c r="AM10" s="956">
        <v>188.934</v>
      </c>
      <c r="AN10" s="318"/>
      <c r="AO10" s="956">
        <v>272.49900000000002</v>
      </c>
      <c r="AP10" s="318"/>
      <c r="AQ10" s="955">
        <v>116.002</v>
      </c>
      <c r="AR10" s="318"/>
      <c r="AS10" s="958">
        <f>126.561+16.8</f>
        <v>143.36100000000002</v>
      </c>
      <c r="AT10" s="318"/>
      <c r="AU10" s="958">
        <f>50.194+16.525</f>
        <v>66.718999999999994</v>
      </c>
      <c r="AV10" s="318"/>
      <c r="AW10" s="958">
        <v>50.37</v>
      </c>
      <c r="AX10" s="318"/>
      <c r="AY10" s="1651">
        <v>60.06</v>
      </c>
      <c r="AZ10" s="318"/>
      <c r="BA10" s="318">
        <f>+AY10-flow!AX42</f>
        <v>60.06</v>
      </c>
      <c r="BB10" s="318"/>
      <c r="BC10" s="318">
        <f>+BA10-flow!AZ42</f>
        <v>60.06</v>
      </c>
      <c r="BD10" s="318"/>
      <c r="BE10" s="318">
        <f>+BC10-flow!BB42</f>
        <v>60.06</v>
      </c>
      <c r="BF10" s="318"/>
      <c r="BG10" s="318">
        <f>+BE10-flow!BD42</f>
        <v>60.06</v>
      </c>
      <c r="BH10" s="318"/>
      <c r="BI10" s="318">
        <f>+BG10-flow!BF42</f>
        <v>60.06</v>
      </c>
    </row>
    <row r="11" spans="1:62">
      <c r="B11" s="26" t="s">
        <v>623</v>
      </c>
      <c r="E11" s="955">
        <v>1.0997840000000001</v>
      </c>
      <c r="G11" s="955">
        <v>0.57148200000000005</v>
      </c>
      <c r="I11" s="955">
        <v>0.76345099999999999</v>
      </c>
      <c r="K11" s="955">
        <v>0.894895</v>
      </c>
      <c r="L11" s="977"/>
      <c r="M11" s="955">
        <v>1.149078</v>
      </c>
      <c r="O11" s="955">
        <v>1.706661</v>
      </c>
      <c r="Q11" s="955">
        <v>2.99891</v>
      </c>
      <c r="S11" s="955">
        <v>2.0834700000000002</v>
      </c>
      <c r="U11" s="955">
        <v>2.2260680000000002</v>
      </c>
      <c r="W11" s="955">
        <v>6.3680000000000003</v>
      </c>
      <c r="Y11" s="955">
        <v>5.1059999999999999</v>
      </c>
      <c r="AA11" s="955">
        <v>7.24</v>
      </c>
      <c r="AC11" s="955">
        <v>14.246</v>
      </c>
      <c r="AD11" s="318"/>
      <c r="AE11" s="955">
        <f>11.924+23.973</f>
        <v>35.896999999999998</v>
      </c>
      <c r="AF11" s="318"/>
      <c r="AG11" s="955">
        <f>33.993+11.706</f>
        <v>45.698999999999998</v>
      </c>
      <c r="AH11" s="318"/>
      <c r="AI11" s="955">
        <f>3.922+0.312</f>
        <v>4.234</v>
      </c>
      <c r="AJ11" s="318"/>
      <c r="AK11" s="955">
        <f>3.845+6.565</f>
        <v>10.41</v>
      </c>
      <c r="AL11" s="318"/>
      <c r="AM11" s="956">
        <v>0</v>
      </c>
      <c r="AN11" s="318"/>
      <c r="AO11" s="956">
        <v>0</v>
      </c>
      <c r="AP11" s="318"/>
      <c r="AQ11" s="955">
        <v>0</v>
      </c>
      <c r="AR11" s="318"/>
      <c r="AS11" s="958">
        <v>0</v>
      </c>
      <c r="AT11" s="318"/>
      <c r="AU11" s="958">
        <v>0</v>
      </c>
      <c r="AV11" s="318"/>
      <c r="AW11" s="958">
        <v>0</v>
      </c>
      <c r="AX11" s="318"/>
      <c r="AY11" s="1651">
        <v>0</v>
      </c>
      <c r="AZ11" s="318"/>
      <c r="BA11" s="318">
        <f>BA75*BA80</f>
        <v>0</v>
      </c>
      <c r="BB11" s="318"/>
      <c r="BC11" s="318">
        <f>BC75*BC80</f>
        <v>0</v>
      </c>
      <c r="BD11" s="318"/>
      <c r="BE11" s="318">
        <f>BE75*BE80</f>
        <v>0</v>
      </c>
      <c r="BF11" s="318"/>
      <c r="BG11" s="318">
        <f>BG75*BG80</f>
        <v>0</v>
      </c>
      <c r="BH11" s="318"/>
      <c r="BI11" s="318">
        <f>BI75*BI80</f>
        <v>0</v>
      </c>
    </row>
    <row r="12" spans="1:62">
      <c r="B12" s="26" t="s">
        <v>624</v>
      </c>
      <c r="E12" s="955">
        <v>6.5558969999999999</v>
      </c>
      <c r="G12" s="955">
        <v>6.7753740000000002</v>
      </c>
      <c r="I12" s="955">
        <v>7.8453619999999997</v>
      </c>
      <c r="K12" s="955">
        <v>9.5254720000000006</v>
      </c>
      <c r="L12" s="977"/>
      <c r="M12" s="955">
        <v>10.105153</v>
      </c>
      <c r="O12" s="955">
        <v>14.8348</v>
      </c>
      <c r="Q12" s="955">
        <v>24.394162000000001</v>
      </c>
      <c r="S12" s="955">
        <v>28.905066000000001</v>
      </c>
      <c r="U12" s="955">
        <v>44.907504000000003</v>
      </c>
      <c r="V12" s="107"/>
      <c r="W12" s="955">
        <v>54.896000000000001</v>
      </c>
      <c r="X12" s="189"/>
      <c r="Y12" s="955">
        <v>73.222999999999999</v>
      </c>
      <c r="Z12" s="107"/>
      <c r="AA12" s="955">
        <v>95.421000000000006</v>
      </c>
      <c r="AB12" s="107"/>
      <c r="AC12" s="955">
        <v>110.84</v>
      </c>
      <c r="AD12" s="318"/>
      <c r="AE12" s="955">
        <v>144.261</v>
      </c>
      <c r="AF12" s="318"/>
      <c r="AG12" s="955">
        <v>132.41300000000001</v>
      </c>
      <c r="AH12" s="318"/>
      <c r="AI12" s="955">
        <v>138.51599999999999</v>
      </c>
      <c r="AJ12" s="318"/>
      <c r="AK12" s="955">
        <v>159.81399999999999</v>
      </c>
      <c r="AL12" s="318"/>
      <c r="AM12" s="956">
        <v>194.46899999999999</v>
      </c>
      <c r="AN12" s="318"/>
      <c r="AO12" s="956">
        <v>206.84899999999999</v>
      </c>
      <c r="AP12" s="318"/>
      <c r="AQ12" s="955">
        <v>238.14500000000001</v>
      </c>
      <c r="AR12" s="318"/>
      <c r="AS12" s="958">
        <v>235.15899999999999</v>
      </c>
      <c r="AT12" s="318"/>
      <c r="AU12" s="958">
        <v>233.834</v>
      </c>
      <c r="AV12" s="318"/>
      <c r="AW12" s="958">
        <v>232.363</v>
      </c>
      <c r="AX12" s="318"/>
      <c r="AY12" s="1651">
        <v>233.726</v>
      </c>
      <c r="AZ12" s="318"/>
      <c r="BA12" s="318">
        <f>+BA75*BA81</f>
        <v>194.48304704670588</v>
      </c>
      <c r="BB12" s="318"/>
      <c r="BC12" s="318">
        <f>+BC75*BC81</f>
        <v>191.00570540174033</v>
      </c>
      <c r="BD12" s="318"/>
      <c r="BE12" s="318">
        <f>+BE75*BE81</f>
        <v>190.63958527425669</v>
      </c>
      <c r="BF12" s="318"/>
      <c r="BG12" s="318">
        <f>+BG75*BG81</f>
        <v>190.43560519549314</v>
      </c>
      <c r="BH12" s="318"/>
      <c r="BI12" s="318">
        <f>+BI75*BI81</f>
        <v>190.3989862074022</v>
      </c>
    </row>
    <row r="13" spans="1:62">
      <c r="B13" s="26" t="s">
        <v>625</v>
      </c>
      <c r="E13" s="955">
        <v>0.30748300000000001</v>
      </c>
      <c r="G13" s="955">
        <v>0.37698700000000002</v>
      </c>
      <c r="I13" s="955">
        <v>0.47344399999999998</v>
      </c>
      <c r="K13" s="955">
        <v>0.66714499999999999</v>
      </c>
      <c r="L13" s="977"/>
      <c r="M13" s="955">
        <v>0.51088500000000003</v>
      </c>
      <c r="O13" s="955">
        <v>0.66869500000000004</v>
      </c>
      <c r="Q13" s="955">
        <v>2.2543489999999999</v>
      </c>
      <c r="S13" s="955">
        <v>3.7967979999999999</v>
      </c>
      <c r="U13" s="955">
        <v>6.2225260000000002</v>
      </c>
      <c r="W13" s="955">
        <v>8.6549999999999994</v>
      </c>
      <c r="Y13" s="955">
        <v>9.4290000000000003</v>
      </c>
      <c r="AA13" s="955">
        <v>13.497</v>
      </c>
      <c r="AC13" s="955">
        <v>15.773999999999999</v>
      </c>
      <c r="AD13" s="318"/>
      <c r="AE13" s="955">
        <v>18.998999999999999</v>
      </c>
      <c r="AF13" s="318"/>
      <c r="AG13" s="955">
        <v>21.702000000000002</v>
      </c>
      <c r="AH13" s="318"/>
      <c r="AI13" s="955">
        <v>24.023</v>
      </c>
      <c r="AJ13" s="318"/>
      <c r="AK13" s="955">
        <v>26.850999999999999</v>
      </c>
      <c r="AL13" s="318"/>
      <c r="AM13" s="956">
        <v>55.103999999999999</v>
      </c>
      <c r="AN13" s="318"/>
      <c r="AO13" s="956">
        <v>61.786000000000001</v>
      </c>
      <c r="AP13" s="318"/>
      <c r="AQ13" s="955">
        <v>50.698</v>
      </c>
      <c r="AR13" s="318"/>
      <c r="AS13" s="958">
        <v>51.088000000000001</v>
      </c>
      <c r="AT13" s="318"/>
      <c r="AU13" s="958">
        <v>45.66</v>
      </c>
      <c r="AV13" s="318"/>
      <c r="AW13" s="958">
        <v>50.35</v>
      </c>
      <c r="AX13" s="318"/>
      <c r="AY13" s="1651">
        <v>60.667999999999999</v>
      </c>
      <c r="AZ13" s="318"/>
      <c r="BA13" s="318">
        <f>+BA75*BA82</f>
        <v>48.206261870537809</v>
      </c>
      <c r="BB13" s="318"/>
      <c r="BC13" s="318">
        <f>+BC75*BC82</f>
        <v>47.344337684877146</v>
      </c>
      <c r="BD13" s="318"/>
      <c r="BE13" s="318">
        <f>+BE75*BE82</f>
        <v>47.253587961394494</v>
      </c>
      <c r="BF13" s="318"/>
      <c r="BG13" s="318">
        <f>+BG75*BG82</f>
        <v>47.203027682529225</v>
      </c>
      <c r="BH13" s="318"/>
      <c r="BI13" s="318">
        <f>+BI75*BI82</f>
        <v>47.193950981211799</v>
      </c>
    </row>
    <row r="14" spans="1:62">
      <c r="B14" s="26" t="s">
        <v>626</v>
      </c>
      <c r="E14" s="959">
        <v>1.153</v>
      </c>
      <c r="G14" s="959">
        <v>0.86699999999999999</v>
      </c>
      <c r="I14" s="959">
        <v>1.29</v>
      </c>
      <c r="J14" s="977"/>
      <c r="K14" s="959">
        <v>1.2509999999999999</v>
      </c>
      <c r="L14" s="977"/>
      <c r="M14" s="959">
        <v>1.5860000000000001</v>
      </c>
      <c r="O14" s="959">
        <v>2.0379999999999998</v>
      </c>
      <c r="Q14" s="959">
        <v>3.0030000000000001</v>
      </c>
      <c r="S14" s="959">
        <v>4.4000000000000004</v>
      </c>
      <c r="U14" s="959">
        <v>7.125</v>
      </c>
      <c r="W14" s="959">
        <v>7.5250000000000004</v>
      </c>
      <c r="Y14" s="959">
        <v>11.183999999999999</v>
      </c>
      <c r="Z14" s="120"/>
      <c r="AA14" s="959">
        <f>12.327+5.013</f>
        <v>17.34</v>
      </c>
      <c r="AB14" s="120"/>
      <c r="AC14" s="959">
        <v>17.337</v>
      </c>
      <c r="AD14" s="959"/>
      <c r="AE14" s="959">
        <v>13.305999999999999</v>
      </c>
      <c r="AF14" s="959"/>
      <c r="AG14" s="959">
        <v>17.859000000000002</v>
      </c>
      <c r="AH14" s="959"/>
      <c r="AI14" s="959">
        <v>9.6639999999999997</v>
      </c>
      <c r="AJ14" s="959"/>
      <c r="AK14" s="959">
        <v>10.976000000000001</v>
      </c>
      <c r="AL14" s="959"/>
      <c r="AM14" s="978">
        <v>0</v>
      </c>
      <c r="AN14" s="959"/>
      <c r="AO14" s="978">
        <v>0</v>
      </c>
      <c r="AP14" s="959"/>
      <c r="AQ14" s="959">
        <f>AO14</f>
        <v>0</v>
      </c>
      <c r="AR14" s="959"/>
      <c r="AS14" s="959">
        <f>AQ14</f>
        <v>0</v>
      </c>
      <c r="AT14" s="979"/>
      <c r="AU14" s="959">
        <v>29.157</v>
      </c>
      <c r="AV14" s="979"/>
      <c r="AW14" s="959">
        <v>2.4079999999999999</v>
      </c>
      <c r="AX14" s="979"/>
      <c r="AY14" s="959">
        <v>0</v>
      </c>
      <c r="AZ14" s="979"/>
      <c r="BA14" s="959">
        <f>AY14</f>
        <v>0</v>
      </c>
      <c r="BB14" s="979"/>
      <c r="BC14" s="959">
        <f>BA14</f>
        <v>0</v>
      </c>
      <c r="BD14" s="979"/>
      <c r="BE14" s="959">
        <f>BC14</f>
        <v>0</v>
      </c>
      <c r="BF14" s="979"/>
      <c r="BG14" s="959">
        <f>BE14</f>
        <v>0</v>
      </c>
      <c r="BH14" s="979"/>
      <c r="BI14" s="959">
        <f>BG14</f>
        <v>0</v>
      </c>
    </row>
    <row r="15" spans="1:62">
      <c r="C15" s="26" t="s">
        <v>627</v>
      </c>
      <c r="E15" s="798">
        <f>SUM(E9:E14)</f>
        <v>9.9221430000000002</v>
      </c>
      <c r="G15" s="798">
        <f>SUM(G9:G14)</f>
        <v>9.6907719999999991</v>
      </c>
      <c r="I15" s="798">
        <f>SUM(I9:I14)</f>
        <v>11.204432999999995</v>
      </c>
      <c r="K15" s="798">
        <f>SUM(K9:K14)</f>
        <v>15.282427999999992</v>
      </c>
      <c r="M15" s="798">
        <f>SUM(M9:M14)</f>
        <v>27.835891999999987</v>
      </c>
      <c r="O15" s="798">
        <f>SUM(O9:O14)</f>
        <v>37.224612999999984</v>
      </c>
      <c r="Q15" s="798">
        <f>SUM(Q9:Q14)</f>
        <v>50.786058999999973</v>
      </c>
      <c r="S15" s="798">
        <f>SUM(S9:S14)</f>
        <v>92.990872999999951</v>
      </c>
      <c r="U15" s="798">
        <f>SUM(U9:U14)</f>
        <v>160.42936199999997</v>
      </c>
      <c r="W15" s="798">
        <f>SUM(W9:W14)</f>
        <v>197.57310500000006</v>
      </c>
      <c r="Y15" s="798">
        <f>SUM(Y9:Y14)</f>
        <v>364.56700000000018</v>
      </c>
      <c r="AA15" s="798">
        <f>SUM(AA9:AA14)</f>
        <v>537.97800000000018</v>
      </c>
      <c r="AC15" s="798">
        <f>SUM(AC9:AC14)</f>
        <v>433.73600000000033</v>
      </c>
      <c r="AD15" s="798"/>
      <c r="AE15" s="798">
        <f>SUM(AE9:AE14)</f>
        <v>486.73300000000012</v>
      </c>
      <c r="AF15" s="798"/>
      <c r="AG15" s="798">
        <f>SUM(AG9:AG14)</f>
        <v>486.37500000000006</v>
      </c>
      <c r="AH15" s="798"/>
      <c r="AI15" s="798">
        <f>SUM(AI9:AI14)</f>
        <v>599.98000000000025</v>
      </c>
      <c r="AJ15" s="798"/>
      <c r="AK15" s="798">
        <f>SUM(AK9:AK14)</f>
        <v>756.7650000000001</v>
      </c>
      <c r="AL15" s="798"/>
      <c r="AM15" s="805">
        <f>SUM(AM9:AM14)</f>
        <v>501.00000000000034</v>
      </c>
      <c r="AN15" s="798"/>
      <c r="AO15" s="798">
        <f>SUM(AO9:AO14)</f>
        <v>602.77876000000015</v>
      </c>
      <c r="AP15" s="798"/>
      <c r="AQ15" s="798">
        <f>SUM(AQ9:AQ14)</f>
        <v>439.28899999999999</v>
      </c>
      <c r="AR15" s="798"/>
      <c r="AS15" s="798">
        <f>SUM(AS9:AS14)</f>
        <v>562.95899999999995</v>
      </c>
      <c r="AT15" s="798"/>
      <c r="AU15" s="798">
        <f>SUM(AU9:AU14)</f>
        <v>465.32</v>
      </c>
      <c r="AV15" s="798"/>
      <c r="AW15" s="798">
        <f>SUM(AW9:AW14)</f>
        <v>477.62500000000011</v>
      </c>
      <c r="AX15" s="798"/>
      <c r="AY15" s="798">
        <f>SUM(AY9:AY14)</f>
        <v>514.524</v>
      </c>
      <c r="AZ15" s="798"/>
      <c r="BA15" s="798">
        <f>SUM(BA9:BA14)</f>
        <v>551.18594551814851</v>
      </c>
      <c r="BB15" s="798"/>
      <c r="BC15" s="798">
        <f>SUM(BC9:BC14)</f>
        <v>575.37119353667595</v>
      </c>
      <c r="BD15" s="798"/>
      <c r="BE15" s="798">
        <f>SUM(BE9:BE14)</f>
        <v>618.21476055350388</v>
      </c>
      <c r="BF15" s="798"/>
      <c r="BG15" s="798">
        <f>SUM(BG9:BG14)</f>
        <v>666.14184689053161</v>
      </c>
      <c r="BH15" s="798"/>
      <c r="BI15" s="798">
        <f>SUM(BI9:BI14)</f>
        <v>768.76755397071497</v>
      </c>
    </row>
    <row r="16" spans="1:62">
      <c r="I16" s="980"/>
      <c r="AM16" s="137"/>
    </row>
    <row r="17" spans="1:62">
      <c r="A17" s="137"/>
      <c r="B17" s="137" t="s">
        <v>572</v>
      </c>
      <c r="C17" s="137"/>
      <c r="D17" s="137"/>
      <c r="E17" s="801">
        <v>0</v>
      </c>
      <c r="F17" s="801"/>
      <c r="G17" s="801">
        <v>0</v>
      </c>
      <c r="H17" s="801"/>
      <c r="I17" s="801">
        <v>1.6</v>
      </c>
      <c r="J17" s="801"/>
      <c r="K17" s="801">
        <v>1</v>
      </c>
      <c r="L17" s="801"/>
      <c r="M17" s="801">
        <v>0</v>
      </c>
      <c r="N17" s="803"/>
      <c r="O17" s="801">
        <v>0</v>
      </c>
      <c r="P17" s="803"/>
      <c r="Q17" s="801">
        <v>0</v>
      </c>
      <c r="R17" s="803"/>
      <c r="S17" s="801">
        <v>0</v>
      </c>
      <c r="T17" s="803"/>
      <c r="U17" s="801">
        <v>0</v>
      </c>
      <c r="V17" s="803"/>
      <c r="W17" s="801">
        <v>0</v>
      </c>
      <c r="X17" s="803"/>
      <c r="Y17" s="801">
        <v>0</v>
      </c>
      <c r="Z17" s="803"/>
      <c r="AA17" s="801">
        <v>0</v>
      </c>
      <c r="AB17" s="803"/>
      <c r="AC17" s="801">
        <v>0</v>
      </c>
      <c r="AD17" s="801"/>
      <c r="AE17" s="801">
        <v>0</v>
      </c>
      <c r="AF17" s="801"/>
      <c r="AG17" s="801">
        <v>0</v>
      </c>
      <c r="AH17" s="801"/>
      <c r="AI17" s="801">
        <v>0</v>
      </c>
      <c r="AJ17" s="801"/>
      <c r="AK17" s="801">
        <v>0</v>
      </c>
      <c r="AL17" s="801"/>
      <c r="AM17" s="801">
        <v>0</v>
      </c>
      <c r="AN17" s="801"/>
      <c r="AO17" s="801">
        <v>0</v>
      </c>
      <c r="AP17" s="801"/>
      <c r="AQ17" s="801">
        <v>0</v>
      </c>
      <c r="AR17" s="801"/>
      <c r="AS17" s="801">
        <v>0</v>
      </c>
      <c r="AT17" s="801"/>
      <c r="AU17" s="801">
        <v>0</v>
      </c>
      <c r="AV17" s="801"/>
      <c r="AW17" s="801">
        <v>0</v>
      </c>
      <c r="AX17" s="801"/>
      <c r="AY17" s="801">
        <v>0</v>
      </c>
      <c r="AZ17" s="801"/>
      <c r="BA17" s="801">
        <v>0</v>
      </c>
      <c r="BB17" s="801"/>
      <c r="BC17" s="801">
        <v>0</v>
      </c>
      <c r="BD17" s="801"/>
      <c r="BE17" s="801">
        <v>0</v>
      </c>
      <c r="BF17" s="801"/>
      <c r="BG17" s="801">
        <v>0</v>
      </c>
      <c r="BH17" s="801"/>
      <c r="BI17" s="801">
        <v>0</v>
      </c>
      <c r="BJ17" s="137"/>
    </row>
    <row r="18" spans="1:62" hidden="1" outlineLevel="1">
      <c r="C18" s="26" t="s">
        <v>17</v>
      </c>
      <c r="E18" s="793"/>
      <c r="F18" s="793"/>
      <c r="G18" s="793"/>
      <c r="H18" s="793"/>
      <c r="I18" s="793"/>
      <c r="J18" s="793"/>
      <c r="K18" s="793"/>
      <c r="L18" s="793"/>
      <c r="M18" s="793"/>
      <c r="N18" s="794"/>
      <c r="O18" s="793"/>
      <c r="P18" s="794"/>
      <c r="Q18" s="793"/>
      <c r="R18" s="794"/>
      <c r="S18" s="793"/>
      <c r="T18" s="794"/>
      <c r="U18" s="793"/>
      <c r="V18" s="794"/>
      <c r="W18" s="793">
        <v>5.976</v>
      </c>
      <c r="X18" s="794"/>
      <c r="Y18" s="793">
        <v>6.0549999999999997</v>
      </c>
      <c r="Z18" s="794"/>
      <c r="AA18" s="793">
        <v>44.893000000000001</v>
      </c>
      <c r="AB18" s="794"/>
      <c r="AC18" s="793">
        <f>14.64+38.12</f>
        <v>52.76</v>
      </c>
      <c r="AD18" s="793"/>
      <c r="AE18" s="793">
        <v>17.867000000000001</v>
      </c>
      <c r="AF18" s="793"/>
      <c r="AG18" s="793">
        <v>18.626999999999999</v>
      </c>
      <c r="AH18" s="793"/>
      <c r="AI18" s="793">
        <v>21.978000000000002</v>
      </c>
      <c r="AJ18" s="793"/>
      <c r="AK18" s="793">
        <v>42.468000000000004</v>
      </c>
      <c r="AL18" s="793"/>
      <c r="AM18" s="801">
        <v>44.768000000000001</v>
      </c>
      <c r="AN18" s="793"/>
      <c r="AO18" s="793">
        <v>45.213999999999999</v>
      </c>
      <c r="AP18" s="793"/>
      <c r="AQ18" s="793">
        <v>49.412999999999997</v>
      </c>
      <c r="AR18" s="793"/>
      <c r="AS18" s="793">
        <v>30.146999999999998</v>
      </c>
      <c r="AT18" s="793"/>
      <c r="AU18" s="793">
        <v>30.157</v>
      </c>
      <c r="AV18" s="793"/>
      <c r="AW18" s="793"/>
      <c r="AX18" s="793"/>
      <c r="AY18" s="793"/>
      <c r="AZ18" s="793"/>
      <c r="BA18" s="793"/>
      <c r="BB18" s="793"/>
      <c r="BC18" s="793"/>
      <c r="BD18" s="793"/>
      <c r="BE18" s="793"/>
      <c r="BF18" s="793"/>
      <c r="BG18" s="793"/>
      <c r="BH18" s="793"/>
      <c r="BI18" s="793"/>
    </row>
    <row r="19" spans="1:62" hidden="1" outlineLevel="1">
      <c r="C19" s="26" t="s">
        <v>19</v>
      </c>
      <c r="E19" s="793"/>
      <c r="F19" s="793"/>
      <c r="G19" s="793"/>
      <c r="H19" s="793"/>
      <c r="I19" s="793"/>
      <c r="J19" s="793"/>
      <c r="K19" s="793"/>
      <c r="L19" s="793"/>
      <c r="M19" s="793"/>
      <c r="N19" s="794"/>
      <c r="O19" s="793"/>
      <c r="P19" s="794"/>
      <c r="Q19" s="793"/>
      <c r="R19" s="794"/>
      <c r="S19" s="793"/>
      <c r="T19" s="794"/>
      <c r="U19" s="793"/>
      <c r="V19" s="794"/>
      <c r="W19" s="793">
        <v>25.013999999999999</v>
      </c>
      <c r="X19" s="794"/>
      <c r="Y19" s="793">
        <v>29.286000000000001</v>
      </c>
      <c r="Z19" s="794"/>
      <c r="AA19" s="793">
        <v>35.573</v>
      </c>
      <c r="AB19" s="794"/>
      <c r="AC19" s="793">
        <v>56.781999999999996</v>
      </c>
      <c r="AD19" s="793"/>
      <c r="AE19" s="793">
        <v>62.877000000000002</v>
      </c>
      <c r="AF19" s="793"/>
      <c r="AG19" s="793">
        <v>74.998000000000005</v>
      </c>
      <c r="AH19" s="793"/>
      <c r="AI19" s="793">
        <v>82.168999999999997</v>
      </c>
      <c r="AJ19" s="793"/>
      <c r="AK19" s="793">
        <v>89.328000000000003</v>
      </c>
      <c r="AL19" s="793"/>
      <c r="AM19" s="801">
        <v>98.905000000000001</v>
      </c>
      <c r="AN19" s="793"/>
      <c r="AO19" s="793">
        <v>125.60599999999999</v>
      </c>
      <c r="AP19" s="793"/>
      <c r="AQ19" s="793">
        <v>126.858</v>
      </c>
      <c r="AR19" s="793"/>
      <c r="AS19" s="793">
        <v>128.00299999999999</v>
      </c>
      <c r="AT19" s="793"/>
      <c r="AU19" s="793">
        <v>128.09299999999999</v>
      </c>
      <c r="AV19" s="793"/>
      <c r="AW19" s="793"/>
      <c r="AX19" s="793"/>
      <c r="AY19" s="793"/>
      <c r="AZ19" s="793"/>
      <c r="BA19" s="793"/>
      <c r="BB19" s="793"/>
      <c r="BC19" s="793"/>
      <c r="BD19" s="793"/>
      <c r="BE19" s="793"/>
      <c r="BF19" s="793"/>
      <c r="BG19" s="793"/>
      <c r="BH19" s="793"/>
      <c r="BI19" s="793"/>
    </row>
    <row r="20" spans="1:62" hidden="1" outlineLevel="1">
      <c r="C20" s="26" t="s">
        <v>18</v>
      </c>
      <c r="E20" s="793"/>
      <c r="F20" s="793"/>
      <c r="G20" s="793"/>
      <c r="H20" s="793"/>
      <c r="I20" s="793"/>
      <c r="J20" s="793"/>
      <c r="K20" s="793"/>
      <c r="L20" s="793"/>
      <c r="M20" s="793"/>
      <c r="N20" s="794"/>
      <c r="O20" s="793"/>
      <c r="P20" s="794"/>
      <c r="Q20" s="793"/>
      <c r="R20" s="794"/>
      <c r="S20" s="793"/>
      <c r="T20" s="794"/>
      <c r="U20" s="793"/>
      <c r="V20" s="794"/>
      <c r="W20" s="793">
        <v>100.589</v>
      </c>
      <c r="X20" s="794"/>
      <c r="Y20" s="793">
        <v>140.36000000000001</v>
      </c>
      <c r="Z20" s="794"/>
      <c r="AA20" s="793">
        <v>187.97</v>
      </c>
      <c r="AB20" s="794"/>
      <c r="AC20" s="793">
        <v>268.12200000000001</v>
      </c>
      <c r="AD20" s="793"/>
      <c r="AE20" s="793">
        <v>347.93700000000001</v>
      </c>
      <c r="AF20" s="793"/>
      <c r="AG20" s="793">
        <v>376.21800000000002</v>
      </c>
      <c r="AH20" s="793"/>
      <c r="AI20" s="793">
        <v>388.392</v>
      </c>
      <c r="AJ20" s="793"/>
      <c r="AK20" s="793">
        <v>428.21699999999998</v>
      </c>
      <c r="AL20" s="793"/>
      <c r="AM20" s="801">
        <v>504.56700000000001</v>
      </c>
      <c r="AN20" s="793"/>
      <c r="AO20" s="793">
        <v>561.40200000000004</v>
      </c>
      <c r="AP20" s="793"/>
      <c r="AQ20" s="793">
        <v>611.43899999999996</v>
      </c>
      <c r="AR20" s="793"/>
      <c r="AS20" s="793">
        <v>634.14499999999998</v>
      </c>
      <c r="AT20" s="793"/>
      <c r="AU20" s="793">
        <v>626.952</v>
      </c>
      <c r="AV20" s="793"/>
      <c r="AW20" s="793"/>
      <c r="AX20" s="793"/>
      <c r="AY20" s="793"/>
      <c r="AZ20" s="793"/>
      <c r="BA20" s="793"/>
      <c r="BB20" s="793"/>
      <c r="BC20" s="793"/>
      <c r="BD20" s="793"/>
      <c r="BE20" s="793"/>
      <c r="BF20" s="793"/>
      <c r="BG20" s="793"/>
      <c r="BH20" s="793"/>
      <c r="BI20" s="793"/>
    </row>
    <row r="21" spans="1:62" hidden="1" outlineLevel="1">
      <c r="C21" s="26" t="s">
        <v>20</v>
      </c>
      <c r="E21" s="793"/>
      <c r="F21" s="793"/>
      <c r="G21" s="793"/>
      <c r="H21" s="793"/>
      <c r="I21" s="793"/>
      <c r="J21" s="793"/>
      <c r="K21" s="793"/>
      <c r="L21" s="793"/>
      <c r="M21" s="793"/>
      <c r="N21" s="794"/>
      <c r="O21" s="793"/>
      <c r="P21" s="794"/>
      <c r="Q21" s="793"/>
      <c r="R21" s="794"/>
      <c r="S21" s="793"/>
      <c r="T21" s="794"/>
      <c r="U21" s="793"/>
      <c r="V21" s="794"/>
      <c r="W21" s="793">
        <v>99.805999999999997</v>
      </c>
      <c r="X21" s="794"/>
      <c r="Y21" s="793">
        <v>166.096</v>
      </c>
      <c r="Z21" s="794"/>
      <c r="AA21" s="793">
        <v>209.34200000000001</v>
      </c>
      <c r="AB21" s="794"/>
      <c r="AC21" s="793">
        <v>301.67</v>
      </c>
      <c r="AD21" s="793"/>
      <c r="AE21" s="793">
        <v>396.65</v>
      </c>
      <c r="AF21" s="793"/>
      <c r="AG21" s="793">
        <v>418.69099999999997</v>
      </c>
      <c r="AH21" s="793"/>
      <c r="AI21" s="793">
        <v>412.834</v>
      </c>
      <c r="AJ21" s="793"/>
      <c r="AK21" s="793">
        <v>426.14100000000002</v>
      </c>
      <c r="AL21" s="793"/>
      <c r="AM21" s="801">
        <v>450.78399999999999</v>
      </c>
      <c r="AN21" s="793"/>
      <c r="AO21" s="793">
        <v>495.01799999999997</v>
      </c>
      <c r="AP21" s="793"/>
      <c r="AQ21" s="793">
        <v>545.52599999999995</v>
      </c>
      <c r="AR21" s="793"/>
      <c r="AS21" s="793">
        <v>573.87699999999995</v>
      </c>
      <c r="AT21" s="793"/>
      <c r="AU21" s="793">
        <v>553.125</v>
      </c>
      <c r="AV21" s="793"/>
      <c r="AW21" s="793"/>
      <c r="AX21" s="793"/>
      <c r="AY21" s="793"/>
      <c r="AZ21" s="793"/>
      <c r="BA21" s="793"/>
      <c r="BB21" s="793"/>
      <c r="BC21" s="793"/>
      <c r="BD21" s="793"/>
      <c r="BE21" s="793"/>
      <c r="BF21" s="793"/>
      <c r="BG21" s="793"/>
      <c r="BH21" s="793"/>
      <c r="BI21" s="793"/>
    </row>
    <row r="22" spans="1:62" hidden="1" outlineLevel="1">
      <c r="C22" s="26" t="s">
        <v>21</v>
      </c>
      <c r="E22" s="793"/>
      <c r="F22" s="793"/>
      <c r="G22" s="793"/>
      <c r="H22" s="793"/>
      <c r="I22" s="793"/>
      <c r="J22" s="793"/>
      <c r="K22" s="793"/>
      <c r="L22" s="793"/>
      <c r="M22" s="793"/>
      <c r="N22" s="794"/>
      <c r="O22" s="793"/>
      <c r="P22" s="794"/>
      <c r="Q22" s="981"/>
      <c r="R22" s="982"/>
      <c r="S22" s="981"/>
      <c r="T22" s="982"/>
      <c r="U22" s="981"/>
      <c r="V22" s="982"/>
      <c r="W22" s="981">
        <v>-57.66</v>
      </c>
      <c r="X22" s="982"/>
      <c r="Y22" s="981">
        <v>-93.834000000000003</v>
      </c>
      <c r="Z22" s="982"/>
      <c r="AA22" s="981">
        <v>-131.846</v>
      </c>
      <c r="AB22" s="982"/>
      <c r="AC22" s="981">
        <v>-184.47399999999999</v>
      </c>
      <c r="AD22" s="979"/>
      <c r="AE22" s="959">
        <v>-257.37799999999999</v>
      </c>
      <c r="AF22" s="959"/>
      <c r="AG22" s="959">
        <v>-327.98899999999998</v>
      </c>
      <c r="AH22" s="959"/>
      <c r="AI22" s="959">
        <v>-383.84399999999999</v>
      </c>
      <c r="AJ22" s="959"/>
      <c r="AK22" s="959">
        <v>-468.77699999999999</v>
      </c>
      <c r="AL22" s="959"/>
      <c r="AM22" s="978">
        <v>-548.79399999999998</v>
      </c>
      <c r="AN22" s="959"/>
      <c r="AO22" s="978">
        <v>-619.12</v>
      </c>
      <c r="AP22" s="959"/>
      <c r="AQ22" s="959">
        <v>-702.18600000000004</v>
      </c>
      <c r="AR22" s="959"/>
      <c r="AS22" s="959">
        <v>-760.02499999999998</v>
      </c>
      <c r="AT22" s="979"/>
      <c r="AU22" s="959">
        <v>-787.37400000000002</v>
      </c>
      <c r="AV22" s="979"/>
      <c r="AW22" s="959"/>
      <c r="AX22" s="979"/>
      <c r="AY22" s="959"/>
      <c r="AZ22" s="979"/>
      <c r="BA22" s="959"/>
      <c r="BB22" s="979"/>
      <c r="BC22" s="959"/>
      <c r="BD22" s="979"/>
      <c r="BE22" s="959"/>
      <c r="BF22" s="979"/>
      <c r="BG22" s="959"/>
      <c r="BH22" s="979"/>
      <c r="BI22" s="959"/>
    </row>
    <row r="23" spans="1:62" collapsed="1">
      <c r="B23" s="26" t="s">
        <v>569</v>
      </c>
      <c r="E23" s="793">
        <v>16.635870000000001</v>
      </c>
      <c r="F23" s="793"/>
      <c r="G23" s="793">
        <v>16.219968000000001</v>
      </c>
      <c r="H23" s="793"/>
      <c r="I23" s="793">
        <v>17.236951999999999</v>
      </c>
      <c r="J23" s="793"/>
      <c r="K23" s="793">
        <v>16.979386000000002</v>
      </c>
      <c r="L23" s="793"/>
      <c r="M23" s="793">
        <v>19.665261000000001</v>
      </c>
      <c r="N23" s="794"/>
      <c r="O23" s="793">
        <v>31.344996999999999</v>
      </c>
      <c r="P23" s="794"/>
      <c r="Q23" s="800">
        <v>65.585010999999994</v>
      </c>
      <c r="R23" s="800"/>
      <c r="S23" s="800">
        <v>91.305952000000005</v>
      </c>
      <c r="T23" s="800"/>
      <c r="U23" s="800">
        <f>175.395378-36.686235</f>
        <v>138.70914299999998</v>
      </c>
      <c r="V23" s="800"/>
      <c r="W23" s="798">
        <f>SUM(W18:W22)</f>
        <v>173.72499999999999</v>
      </c>
      <c r="X23" s="800"/>
      <c r="Y23" s="798">
        <f>SUM(Y18:Y22)</f>
        <v>247.96300000000002</v>
      </c>
      <c r="Z23" s="798"/>
      <c r="AA23" s="798">
        <f>SUM(AA18:AA22)</f>
        <v>345.93200000000002</v>
      </c>
      <c r="AB23" s="798"/>
      <c r="AC23" s="798">
        <f>SUM(AC18:AC22)</f>
        <v>494.86000000000007</v>
      </c>
      <c r="AD23" s="794"/>
      <c r="AE23" s="798">
        <f>SUM(AE18:AE22)</f>
        <v>567.95299999999997</v>
      </c>
      <c r="AF23" s="794"/>
      <c r="AG23" s="794">
        <f>SUM(AG18:AG22)</f>
        <v>560.54500000000007</v>
      </c>
      <c r="AH23" s="794"/>
      <c r="AI23" s="794">
        <f>SUM(AI18:AI22)</f>
        <v>521.529</v>
      </c>
      <c r="AJ23" s="794"/>
      <c r="AK23" s="794">
        <f>SUM(AK18:AK22)</f>
        <v>517.37699999999995</v>
      </c>
      <c r="AL23" s="794"/>
      <c r="AM23" s="794">
        <f>SUM(AM18:AM22)</f>
        <v>550.2299999999999</v>
      </c>
      <c r="AN23" s="794"/>
      <c r="AO23" s="793">
        <v>608.1</v>
      </c>
      <c r="AP23" s="793"/>
      <c r="AQ23" s="793">
        <v>631.04999999999995</v>
      </c>
      <c r="AR23" s="794"/>
      <c r="AS23" s="928">
        <v>606.14700000000005</v>
      </c>
      <c r="AT23" s="794"/>
      <c r="AU23" s="928">
        <v>550.95299999999997</v>
      </c>
      <c r="AV23" s="794"/>
      <c r="AW23" s="928">
        <v>477.185</v>
      </c>
      <c r="AX23" s="794"/>
      <c r="AY23" s="1657">
        <v>421.03800000000001</v>
      </c>
      <c r="AZ23" s="794"/>
      <c r="BA23" s="794">
        <f>+AY23+flow!AX18-flow!AX11</f>
        <v>402.03800000000001</v>
      </c>
      <c r="BB23" s="794"/>
      <c r="BC23" s="794">
        <f>+BA23+flow!AZ18-flow!AZ11</f>
        <v>381.03800000000001</v>
      </c>
      <c r="BD23" s="794"/>
      <c r="BE23" s="794">
        <f>+BC23+flow!BB18-flow!BB11</f>
        <v>358.03800000000001</v>
      </c>
      <c r="BF23" s="794"/>
      <c r="BG23" s="794">
        <f>+BE23+flow!BD18-flow!BD11</f>
        <v>333.03800000000001</v>
      </c>
      <c r="BH23" s="794"/>
      <c r="BI23" s="794">
        <f>+BG23+flow!BF18-flow!BF11</f>
        <v>306.03800000000001</v>
      </c>
    </row>
    <row r="24" spans="1:62">
      <c r="AK24" s="794"/>
      <c r="AL24" s="794"/>
      <c r="AM24" s="803"/>
      <c r="AN24" s="794"/>
      <c r="AO24" s="794"/>
      <c r="AP24" s="794"/>
      <c r="AQ24" s="794"/>
      <c r="AR24" s="794"/>
      <c r="AS24" s="794"/>
      <c r="AT24" s="794"/>
      <c r="AU24" s="794"/>
      <c r="AV24" s="794"/>
      <c r="AW24" s="794"/>
      <c r="AX24" s="794"/>
      <c r="AY24" s="794"/>
      <c r="AZ24" s="794"/>
      <c r="BA24" s="794"/>
      <c r="BB24" s="794"/>
      <c r="BC24" s="794"/>
      <c r="BD24" s="794"/>
      <c r="BE24" s="794"/>
      <c r="BF24" s="794"/>
      <c r="BG24" s="794"/>
      <c r="BH24" s="794"/>
      <c r="BI24" s="794"/>
    </row>
    <row r="25" spans="1:62">
      <c r="A25" s="711" t="s">
        <v>628</v>
      </c>
      <c r="AM25" s="137"/>
    </row>
    <row r="26" spans="1:62">
      <c r="B26" s="26" t="s">
        <v>626</v>
      </c>
      <c r="E26" s="955">
        <v>0.55700000000000005</v>
      </c>
      <c r="G26" s="955">
        <v>0.54</v>
      </c>
      <c r="I26" s="955">
        <v>0.55200000000000005</v>
      </c>
      <c r="K26" s="955">
        <v>0.55900000000000005</v>
      </c>
      <c r="L26" s="977"/>
      <c r="M26" s="955">
        <v>0.81200000000000006</v>
      </c>
      <c r="O26" s="955">
        <v>1.1060000000000001</v>
      </c>
      <c r="Q26" s="955">
        <v>0.747</v>
      </c>
      <c r="S26" s="955">
        <v>1.1659999999999999</v>
      </c>
      <c r="U26" s="955">
        <v>9.1999999999999998E-2</v>
      </c>
      <c r="W26" s="955">
        <v>0</v>
      </c>
      <c r="Y26" s="955">
        <v>0</v>
      </c>
      <c r="AA26" s="955">
        <v>0</v>
      </c>
      <c r="AC26" s="955">
        <v>11.837</v>
      </c>
      <c r="AD26" s="955"/>
      <c r="AE26" s="955">
        <v>22.503</v>
      </c>
      <c r="AF26" s="955"/>
      <c r="AG26" s="955">
        <v>38.457999999999998</v>
      </c>
      <c r="AH26" s="955"/>
      <c r="AI26" s="955">
        <v>36.320999999999998</v>
      </c>
      <c r="AJ26" s="955"/>
      <c r="AK26" s="955">
        <v>0.96399999999999997</v>
      </c>
      <c r="AL26" s="955"/>
      <c r="AM26" s="956">
        <v>0</v>
      </c>
      <c r="AN26" s="955"/>
      <c r="AO26" s="956">
        <v>0</v>
      </c>
      <c r="AP26" s="955"/>
      <c r="AQ26" s="955">
        <f>AO26</f>
        <v>0</v>
      </c>
      <c r="AR26" s="955"/>
      <c r="AS26" s="955">
        <f>AQ26</f>
        <v>0</v>
      </c>
      <c r="AT26" s="955"/>
      <c r="AU26" s="955">
        <f>AS26</f>
        <v>0</v>
      </c>
      <c r="AV26" s="955"/>
      <c r="AW26" s="955">
        <f>AU26</f>
        <v>0</v>
      </c>
      <c r="AX26" s="955"/>
      <c r="AY26" s="955">
        <f>AW26</f>
        <v>0</v>
      </c>
      <c r="AZ26" s="955"/>
      <c r="BA26" s="955">
        <f>AY26</f>
        <v>0</v>
      </c>
      <c r="BB26" s="955"/>
      <c r="BC26" s="955">
        <f>BA26</f>
        <v>0</v>
      </c>
      <c r="BD26" s="955"/>
      <c r="BE26" s="955">
        <f>BC26</f>
        <v>0</v>
      </c>
      <c r="BF26" s="955"/>
      <c r="BG26" s="955">
        <f>BE26</f>
        <v>0</v>
      </c>
      <c r="BH26" s="955"/>
      <c r="BI26" s="955">
        <f>BG26</f>
        <v>0</v>
      </c>
    </row>
    <row r="27" spans="1:62">
      <c r="B27" s="26" t="s">
        <v>471</v>
      </c>
      <c r="E27" s="955"/>
      <c r="G27" s="955"/>
      <c r="I27" s="955"/>
      <c r="K27" s="955"/>
      <c r="L27" s="977"/>
      <c r="M27" s="955"/>
      <c r="O27" s="955">
        <v>0</v>
      </c>
      <c r="Q27" s="955">
        <v>0</v>
      </c>
      <c r="S27" s="955">
        <v>0</v>
      </c>
      <c r="U27" s="955">
        <v>0</v>
      </c>
      <c r="W27" s="955">
        <v>60.113999999999997</v>
      </c>
      <c r="Y27" s="955">
        <v>61.795999999999999</v>
      </c>
      <c r="AA27" s="955">
        <v>61.795999999999999</v>
      </c>
      <c r="AC27" s="955">
        <v>62.595999999999997</v>
      </c>
      <c r="AD27" s="318"/>
      <c r="AE27" s="955">
        <v>96.774000000000001</v>
      </c>
      <c r="AF27" s="318"/>
      <c r="AG27" s="955">
        <v>96.774000000000001</v>
      </c>
      <c r="AH27" s="318"/>
      <c r="AI27" s="955">
        <v>96.774000000000001</v>
      </c>
      <c r="AJ27" s="318"/>
      <c r="AK27" s="955">
        <v>96.774000000000001</v>
      </c>
      <c r="AL27" s="318"/>
      <c r="AM27" s="956">
        <v>238.69300000000001</v>
      </c>
      <c r="AN27" s="318"/>
      <c r="AO27" s="956">
        <v>238.69300000000001</v>
      </c>
      <c r="AP27" s="318"/>
      <c r="AQ27" s="955">
        <v>171.42699999999999</v>
      </c>
      <c r="AR27" s="318"/>
      <c r="AS27" s="955">
        <v>145.62700000000001</v>
      </c>
      <c r="AT27" s="318"/>
      <c r="AU27" s="958">
        <v>96.774000000000001</v>
      </c>
      <c r="AV27" s="318"/>
      <c r="AW27" s="958">
        <v>96.774000000000001</v>
      </c>
      <c r="AX27" s="318"/>
      <c r="AY27" s="1651">
        <v>96.774000000000001</v>
      </c>
      <c r="AZ27" s="318"/>
      <c r="BA27" s="318">
        <f>+AY27</f>
        <v>96.774000000000001</v>
      </c>
      <c r="BB27" s="318"/>
      <c r="BC27" s="318">
        <f>+BA27</f>
        <v>96.774000000000001</v>
      </c>
      <c r="BD27" s="318"/>
      <c r="BE27" s="318">
        <f>+BC27</f>
        <v>96.774000000000001</v>
      </c>
      <c r="BF27" s="318"/>
      <c r="BG27" s="318">
        <f>+BE27</f>
        <v>96.774000000000001</v>
      </c>
      <c r="BH27" s="318"/>
      <c r="BI27" s="318">
        <f>+BG27</f>
        <v>96.774000000000001</v>
      </c>
    </row>
    <row r="28" spans="1:62">
      <c r="B28" s="26" t="s">
        <v>274</v>
      </c>
      <c r="E28" s="955"/>
      <c r="G28" s="955"/>
      <c r="I28" s="955"/>
      <c r="K28" s="955"/>
      <c r="L28" s="977"/>
      <c r="M28" s="955"/>
      <c r="O28" s="955">
        <v>0</v>
      </c>
      <c r="Q28" s="955">
        <v>0</v>
      </c>
      <c r="S28" s="955">
        <v>0</v>
      </c>
      <c r="U28" s="955">
        <v>0</v>
      </c>
      <c r="W28" s="955">
        <v>34.042999999999999</v>
      </c>
      <c r="Y28" s="955">
        <v>34.042000000000002</v>
      </c>
      <c r="AA28" s="955">
        <v>34.040999999999997</v>
      </c>
      <c r="AC28" s="955">
        <v>34.04</v>
      </c>
      <c r="AD28" s="318"/>
      <c r="AE28" s="955">
        <v>38.93</v>
      </c>
      <c r="AF28" s="318"/>
      <c r="AG28" s="955">
        <v>38.93</v>
      </c>
      <c r="AH28" s="318"/>
      <c r="AI28" s="955">
        <v>38.93</v>
      </c>
      <c r="AJ28" s="318"/>
      <c r="AK28" s="955">
        <v>38.93</v>
      </c>
      <c r="AL28" s="318"/>
      <c r="AM28" s="956">
        <v>132.11199999999999</v>
      </c>
      <c r="AN28" s="318"/>
      <c r="AO28" s="956">
        <v>127.754</v>
      </c>
      <c r="AP28" s="318"/>
      <c r="AQ28" s="955">
        <v>118.196</v>
      </c>
      <c r="AR28" s="318"/>
      <c r="AS28" s="955">
        <v>109.538</v>
      </c>
      <c r="AT28" s="318"/>
      <c r="AU28" s="958">
        <v>38.93</v>
      </c>
      <c r="AV28" s="318"/>
      <c r="AW28" s="958">
        <v>38.93</v>
      </c>
      <c r="AX28" s="318"/>
      <c r="AY28" s="1651">
        <v>38.93</v>
      </c>
      <c r="AZ28" s="318"/>
      <c r="BA28" s="318">
        <f>+AY28</f>
        <v>38.93</v>
      </c>
      <c r="BB28" s="318"/>
      <c r="BC28" s="318">
        <f>+BA28</f>
        <v>38.93</v>
      </c>
      <c r="BD28" s="318"/>
      <c r="BE28" s="318">
        <f>+BC28</f>
        <v>38.93</v>
      </c>
      <c r="BF28" s="318"/>
      <c r="BG28" s="318">
        <f>+BE28</f>
        <v>38.93</v>
      </c>
      <c r="BH28" s="318"/>
      <c r="BI28" s="318">
        <f>+BG28</f>
        <v>38.93</v>
      </c>
    </row>
    <row r="29" spans="1:62">
      <c r="B29" s="26" t="s">
        <v>62</v>
      </c>
      <c r="E29" s="959">
        <v>0.236763</v>
      </c>
      <c r="G29" s="959">
        <v>0.55854000000000004</v>
      </c>
      <c r="I29" s="959">
        <v>0.65467299999999995</v>
      </c>
      <c r="K29" s="959">
        <v>0.650702</v>
      </c>
      <c r="L29" s="977"/>
      <c r="M29" s="959">
        <v>0.68692299999999995</v>
      </c>
      <c r="O29" s="959">
        <v>0.64021099999999997</v>
      </c>
      <c r="Q29" s="959">
        <v>0.68854700000000002</v>
      </c>
      <c r="S29" s="959">
        <v>0.92253499999999999</v>
      </c>
      <c r="U29" s="959">
        <v>2.3132419999999998</v>
      </c>
      <c r="W29" s="959">
        <v>5.399</v>
      </c>
      <c r="Y29" s="959">
        <v>7.3609999999999998</v>
      </c>
      <c r="Z29" s="120"/>
      <c r="AA29" s="959">
        <v>19.666</v>
      </c>
      <c r="AB29" s="120"/>
      <c r="AC29" s="959">
        <v>21.065000000000001</v>
      </c>
      <c r="AD29" s="959"/>
      <c r="AE29" s="959">
        <v>37.232999999999997</v>
      </c>
      <c r="AF29" s="959"/>
      <c r="AG29" s="959">
        <v>5.101</v>
      </c>
      <c r="AH29" s="959"/>
      <c r="AI29" s="959">
        <v>25.268999999999998</v>
      </c>
      <c r="AJ29" s="959"/>
      <c r="AK29" s="959">
        <v>5.2110000000000003</v>
      </c>
      <c r="AL29" s="959"/>
      <c r="AM29" s="978">
        <f>6.691-3.6</f>
        <v>3.0909999999999997</v>
      </c>
      <c r="AN29" s="959"/>
      <c r="AO29" s="978">
        <f>8.068-4.8</f>
        <v>3.2679999999999998</v>
      </c>
      <c r="AP29" s="959"/>
      <c r="AQ29" s="959">
        <v>9.2289999999999992</v>
      </c>
      <c r="AR29" s="959"/>
      <c r="AS29" s="959">
        <v>14.31</v>
      </c>
      <c r="AT29" s="979"/>
      <c r="AU29" s="959">
        <v>14.074</v>
      </c>
      <c r="AV29" s="979"/>
      <c r="AW29" s="959">
        <v>18.478999999999999</v>
      </c>
      <c r="AX29" s="979"/>
      <c r="AY29" s="959">
        <v>16.338000000000001</v>
      </c>
      <c r="AZ29" s="979"/>
      <c r="BA29" s="959">
        <f>AY29</f>
        <v>16.338000000000001</v>
      </c>
      <c r="BB29" s="979"/>
      <c r="BC29" s="959">
        <f>BA29</f>
        <v>16.338000000000001</v>
      </c>
      <c r="BD29" s="979"/>
      <c r="BE29" s="959">
        <f>BC29</f>
        <v>16.338000000000001</v>
      </c>
      <c r="BF29" s="979"/>
      <c r="BG29" s="959">
        <f>BE29</f>
        <v>16.338000000000001</v>
      </c>
      <c r="BH29" s="979"/>
      <c r="BI29" s="959">
        <f>BG29</f>
        <v>16.338000000000001</v>
      </c>
    </row>
    <row r="30" spans="1:62">
      <c r="C30" s="26" t="s">
        <v>629</v>
      </c>
      <c r="E30" s="794">
        <f>SUM(E26:E29)</f>
        <v>0.793763</v>
      </c>
      <c r="F30" s="794"/>
      <c r="G30" s="794">
        <f>SUM(G26:G29)</f>
        <v>1.0985400000000001</v>
      </c>
      <c r="H30" s="794"/>
      <c r="I30" s="794">
        <f>SUM(I26:I29)</f>
        <v>1.2066729999999999</v>
      </c>
      <c r="J30" s="794"/>
      <c r="K30" s="794">
        <f>SUM(K26:K29)</f>
        <v>1.2097020000000001</v>
      </c>
      <c r="L30" s="794"/>
      <c r="M30" s="794">
        <f>SUM(M26:M29)</f>
        <v>1.498923</v>
      </c>
      <c r="N30" s="794"/>
      <c r="O30" s="794">
        <f>SUM(O26:O29)</f>
        <v>1.7462110000000002</v>
      </c>
      <c r="P30" s="794"/>
      <c r="Q30" s="794">
        <f>SUM(Q26:Q29)</f>
        <v>1.4355470000000001</v>
      </c>
      <c r="R30" s="794"/>
      <c r="S30" s="794">
        <f>SUM(S26:S29)</f>
        <v>2.0885349999999998</v>
      </c>
      <c r="T30" s="794"/>
      <c r="U30" s="794">
        <f>SUM(U26:U29)</f>
        <v>2.4052419999999999</v>
      </c>
      <c r="V30" s="794"/>
      <c r="W30" s="794">
        <f>SUM(W26:W29)</f>
        <v>99.555999999999997</v>
      </c>
      <c r="X30" s="794"/>
      <c r="Y30" s="794">
        <f>SUM(Y26:Y29)</f>
        <v>103.199</v>
      </c>
      <c r="Z30" s="794"/>
      <c r="AA30" s="794">
        <f>SUM(AA26:AA29)</f>
        <v>115.50299999999999</v>
      </c>
      <c r="AB30" s="794"/>
      <c r="AC30" s="794">
        <f>SUM(AC26:AC29)</f>
        <v>129.53799999999998</v>
      </c>
      <c r="AD30" s="794"/>
      <c r="AE30" s="794">
        <f>SUM(AE26:AE29)</f>
        <v>195.44</v>
      </c>
      <c r="AF30" s="794"/>
      <c r="AG30" s="794">
        <f>SUM(AG26:AG29)</f>
        <v>179.26300000000001</v>
      </c>
      <c r="AH30" s="794"/>
      <c r="AI30" s="794">
        <f>SUM(AI26:AI29)</f>
        <v>197.29400000000001</v>
      </c>
      <c r="AJ30" s="794"/>
      <c r="AK30" s="794">
        <f>SUM(AK26:AK29)</f>
        <v>141.87900000000002</v>
      </c>
      <c r="AL30" s="794"/>
      <c r="AM30" s="803">
        <f>SUM(AM26:AM29)</f>
        <v>373.89600000000002</v>
      </c>
      <c r="AN30" s="794"/>
      <c r="AO30" s="794">
        <f>SUM(AO26:AO29)</f>
        <v>369.71499999999997</v>
      </c>
      <c r="AP30" s="794"/>
      <c r="AQ30" s="794">
        <f>SUM(AQ26:AQ29)</f>
        <v>298.85199999999998</v>
      </c>
      <c r="AR30" s="794"/>
      <c r="AS30" s="794">
        <f>SUM(AS26:AS29)</f>
        <v>269.47500000000002</v>
      </c>
      <c r="AT30" s="794"/>
      <c r="AU30" s="794">
        <f>SUM(AU26:AU29)</f>
        <v>149.77800000000002</v>
      </c>
      <c r="AV30" s="794"/>
      <c r="AW30" s="794">
        <f>SUM(AW26:AW29)</f>
        <v>154.18299999999999</v>
      </c>
      <c r="AX30" s="794"/>
      <c r="AY30" s="794">
        <f>SUM(AY26:AY29)</f>
        <v>152.042</v>
      </c>
      <c r="AZ30" s="794"/>
      <c r="BA30" s="794">
        <f>SUM(BA26:BA29)</f>
        <v>152.042</v>
      </c>
      <c r="BB30" s="794"/>
      <c r="BC30" s="794">
        <f>SUM(BC26:BC29)</f>
        <v>152.042</v>
      </c>
      <c r="BD30" s="794"/>
      <c r="BE30" s="794">
        <f>SUM(BE26:BE29)</f>
        <v>152.042</v>
      </c>
      <c r="BF30" s="794"/>
      <c r="BG30" s="794">
        <f>SUM(BG26:BG29)</f>
        <v>152.042</v>
      </c>
      <c r="BH30" s="794"/>
      <c r="BI30" s="794">
        <f>SUM(BI26:BI29)</f>
        <v>152.042</v>
      </c>
    </row>
    <row r="31" spans="1:62">
      <c r="AM31" s="137"/>
    </row>
    <row r="32" spans="1:62">
      <c r="A32" s="26" t="s">
        <v>591</v>
      </c>
      <c r="E32" s="983">
        <f>E15+E17+E23+E30</f>
        <v>27.351776000000001</v>
      </c>
      <c r="F32" s="798"/>
      <c r="G32" s="983">
        <f>G15+G17+G23+G30</f>
        <v>27.00928</v>
      </c>
      <c r="H32" s="798"/>
      <c r="I32" s="983">
        <f>I15+I17+I23+I30</f>
        <v>31.24805799999999</v>
      </c>
      <c r="J32" s="798"/>
      <c r="K32" s="983">
        <f>K15+K17+K23+K30</f>
        <v>34.471515999999994</v>
      </c>
      <c r="L32" s="798"/>
      <c r="M32" s="983">
        <f>M15+M17+M23+M30</f>
        <v>49.000075999999986</v>
      </c>
      <c r="N32" s="798"/>
      <c r="O32" s="983">
        <f>O15+O17+O23+O30</f>
        <v>70.315820999999985</v>
      </c>
      <c r="P32" s="798"/>
      <c r="Q32" s="983">
        <f>Q15+Q17+Q23+Q30</f>
        <v>117.80661699999997</v>
      </c>
      <c r="R32" s="798"/>
      <c r="S32" s="983">
        <f>S15+S17+S23+S30</f>
        <v>186.38535999999996</v>
      </c>
      <c r="T32" s="798"/>
      <c r="U32" s="983">
        <f>U15+U17+U23+U30</f>
        <v>301.54374699999994</v>
      </c>
      <c r="V32" s="798"/>
      <c r="W32" s="983">
        <f>W15+W17+W23+W30</f>
        <v>470.85410500000006</v>
      </c>
      <c r="X32" s="798"/>
      <c r="Y32" s="983">
        <f>Y15+Y17+Y23+Y30</f>
        <v>715.72900000000016</v>
      </c>
      <c r="Z32" s="983"/>
      <c r="AA32" s="983">
        <f>AA15+AA17+AA23+AA30</f>
        <v>999.41300000000024</v>
      </c>
      <c r="AB32" s="983"/>
      <c r="AC32" s="983">
        <f>AC15+AC17+AC23+AC30</f>
        <v>1058.1340000000005</v>
      </c>
      <c r="AD32" s="983"/>
      <c r="AE32" s="983">
        <f>AE15+AE17+AE23+AE30</f>
        <v>1250.1260000000002</v>
      </c>
      <c r="AF32" s="983"/>
      <c r="AG32" s="983">
        <f>AG15+AG17+AG23+AG30</f>
        <v>1226.183</v>
      </c>
      <c r="AH32" s="983"/>
      <c r="AI32" s="983">
        <f>AI15+AI17+AI23+AI30</f>
        <v>1318.8030000000003</v>
      </c>
      <c r="AJ32" s="983"/>
      <c r="AK32" s="983">
        <f>AK15+AK17+AK23+AK30</f>
        <v>1416.0210000000002</v>
      </c>
      <c r="AL32" s="983"/>
      <c r="AM32" s="984">
        <f>AM15+AM17+AM23+AM30</f>
        <v>1425.1260000000002</v>
      </c>
      <c r="AN32" s="983"/>
      <c r="AO32" s="983">
        <f>AO15+AO17+AO23+AO30</f>
        <v>1580.59376</v>
      </c>
      <c r="AP32" s="983"/>
      <c r="AQ32" s="983">
        <f>AQ15+AQ17+AQ23+AQ30</f>
        <v>1369.1909999999998</v>
      </c>
      <c r="AR32" s="983"/>
      <c r="AS32" s="983">
        <f>AS15+AS17+AS23+AS30</f>
        <v>1438.5810000000001</v>
      </c>
      <c r="AT32" s="888"/>
      <c r="AU32" s="983">
        <f>AU15+AU17+AU23+AU30</f>
        <v>1166.0509999999999</v>
      </c>
      <c r="AV32" s="888"/>
      <c r="AW32" s="983">
        <f>AW15+AW17+AW23+AW30</f>
        <v>1108.9930000000002</v>
      </c>
      <c r="AX32" s="888"/>
      <c r="AY32" s="983">
        <f>AY15+AY17+AY23+AY30</f>
        <v>1087.604</v>
      </c>
      <c r="AZ32" s="888"/>
      <c r="BA32" s="983">
        <f>BA15+BA17+BA23+BA30</f>
        <v>1105.2659455181486</v>
      </c>
      <c r="BB32" s="888"/>
      <c r="BC32" s="983">
        <f>BC15+BC17+BC23+BC30</f>
        <v>1108.4511935366759</v>
      </c>
      <c r="BD32" s="888"/>
      <c r="BE32" s="983">
        <f>BE15+BE17+BE23+BE30</f>
        <v>1128.2947605535039</v>
      </c>
      <c r="BF32" s="888"/>
      <c r="BG32" s="983">
        <f>BG15+BG17+BG23+BG30</f>
        <v>1151.2218468905317</v>
      </c>
      <c r="BH32" s="888"/>
      <c r="BI32" s="983">
        <f>BI15+BI17+BI23+BI30</f>
        <v>1226.8475539707149</v>
      </c>
    </row>
    <row r="33" spans="1:61">
      <c r="AM33" s="137"/>
    </row>
    <row r="34" spans="1:61">
      <c r="A34" s="711" t="s">
        <v>50</v>
      </c>
      <c r="AM34" s="137"/>
    </row>
    <row r="35" spans="1:61">
      <c r="AM35" s="137"/>
    </row>
    <row r="36" spans="1:61">
      <c r="A36" s="711" t="s">
        <v>51</v>
      </c>
      <c r="AM36" s="137"/>
    </row>
    <row r="37" spans="1:61">
      <c r="B37" s="26" t="s">
        <v>52</v>
      </c>
      <c r="E37" s="844">
        <v>3.2734299999999998</v>
      </c>
      <c r="G37" s="844">
        <v>2.0350739999999998</v>
      </c>
      <c r="I37" s="844">
        <v>3.30199</v>
      </c>
      <c r="K37" s="844">
        <v>3.5202650000000002</v>
      </c>
      <c r="L37" s="45"/>
      <c r="M37" s="844">
        <v>3.995123</v>
      </c>
      <c r="O37" s="844">
        <v>5.9826839999999999</v>
      </c>
      <c r="Q37" s="844">
        <v>13.751761999999999</v>
      </c>
      <c r="S37" s="844">
        <v>18.054137000000001</v>
      </c>
      <c r="U37" s="844">
        <v>28.488471000000001</v>
      </c>
      <c r="W37" s="844">
        <v>27.795999999999999</v>
      </c>
      <c r="Y37" s="844">
        <v>36.725000000000001</v>
      </c>
      <c r="AA37" s="844">
        <v>47.433999999999997</v>
      </c>
      <c r="AC37" s="844">
        <v>55.695999999999998</v>
      </c>
      <c r="AD37" s="882"/>
      <c r="AE37" s="844">
        <v>79.03</v>
      </c>
      <c r="AF37" s="882"/>
      <c r="AG37" s="844">
        <v>56.542000000000002</v>
      </c>
      <c r="AH37" s="882"/>
      <c r="AI37" s="844">
        <v>79.218999999999994</v>
      </c>
      <c r="AJ37" s="882"/>
      <c r="AK37" s="844">
        <v>106.66500000000001</v>
      </c>
      <c r="AL37" s="882"/>
      <c r="AM37" s="848">
        <v>100.395</v>
      </c>
      <c r="AN37" s="882"/>
      <c r="AO37" s="848">
        <v>129.387</v>
      </c>
      <c r="AP37" s="882"/>
      <c r="AQ37" s="844">
        <v>131.25399999999999</v>
      </c>
      <c r="AR37" s="882"/>
      <c r="AS37" s="844">
        <v>144.53399999999999</v>
      </c>
      <c r="AT37" s="882"/>
      <c r="AU37" s="1199">
        <v>129.34299999999999</v>
      </c>
      <c r="AV37" s="882"/>
      <c r="AW37" s="1199">
        <v>116.378</v>
      </c>
      <c r="AX37" s="882"/>
      <c r="AY37" s="1658">
        <v>118.253</v>
      </c>
      <c r="AZ37" s="882"/>
      <c r="BA37" s="882">
        <f>BA83*BA12</f>
        <v>97.405989977756946</v>
      </c>
      <c r="BB37" s="882"/>
      <c r="BC37" s="882">
        <f>BC83*BC12</f>
        <v>95.664378507954083</v>
      </c>
      <c r="BD37" s="882"/>
      <c r="BE37" s="882">
        <f>BE83*BE12</f>
        <v>95.481008831214282</v>
      </c>
      <c r="BF37" s="882"/>
      <c r="BG37" s="882">
        <f>BG83*BG12</f>
        <v>95.378846294122127</v>
      </c>
      <c r="BH37" s="882"/>
      <c r="BI37" s="882">
        <f>BI83*BI12</f>
        <v>95.360505832878104</v>
      </c>
    </row>
    <row r="38" spans="1:61">
      <c r="B38" s="26" t="s">
        <v>53</v>
      </c>
      <c r="E38" s="955">
        <v>2.824503</v>
      </c>
      <c r="G38" s="955">
        <v>2.467231</v>
      </c>
      <c r="I38" s="955">
        <v>2.4610259999999999</v>
      </c>
      <c r="K38" s="955">
        <v>2.540375</v>
      </c>
      <c r="L38" s="977"/>
      <c r="M38" s="955">
        <v>3.6793550000000002</v>
      </c>
      <c r="O38" s="955">
        <v>4.5931040000000003</v>
      </c>
      <c r="Q38" s="955">
        <v>11.299352000000001</v>
      </c>
      <c r="S38" s="955">
        <v>16.585156999999999</v>
      </c>
      <c r="U38" s="955">
        <v>26.200081000000001</v>
      </c>
      <c r="W38" s="955">
        <v>43.186999999999998</v>
      </c>
      <c r="Y38" s="955">
        <v>58.258000000000003</v>
      </c>
      <c r="AA38" s="955">
        <v>74.585999999999999</v>
      </c>
      <c r="AC38" s="955">
        <v>87.367000000000004</v>
      </c>
      <c r="AD38" s="318"/>
      <c r="AE38" s="955">
        <v>100.726</v>
      </c>
      <c r="AF38" s="318"/>
      <c r="AG38" s="955">
        <v>88.445999999999998</v>
      </c>
      <c r="AH38" s="318"/>
      <c r="AI38" s="955">
        <v>95.861999999999995</v>
      </c>
      <c r="AJ38" s="318"/>
      <c r="AK38" s="955">
        <v>94.852000000000004</v>
      </c>
      <c r="AL38" s="318"/>
      <c r="AM38" s="956">
        <v>137.714</v>
      </c>
      <c r="AN38" s="318"/>
      <c r="AO38" s="956">
        <v>173.024</v>
      </c>
      <c r="AP38" s="318"/>
      <c r="AQ38" s="955">
        <v>142.07300000000001</v>
      </c>
      <c r="AR38" s="318"/>
      <c r="AS38" s="955">
        <v>158.39599999999999</v>
      </c>
      <c r="AT38" s="318"/>
      <c r="AU38" s="958">
        <v>158.78800000000001</v>
      </c>
      <c r="AV38" s="318"/>
      <c r="AW38" s="958">
        <v>170.232</v>
      </c>
      <c r="AX38" s="318"/>
      <c r="AY38" s="1651">
        <v>133.715</v>
      </c>
      <c r="AZ38" s="318"/>
      <c r="BA38" s="318">
        <f>BA77*BA84</f>
        <v>168.72464365347196</v>
      </c>
      <c r="BB38" s="318"/>
      <c r="BC38" s="318">
        <f>BC77*BC84</f>
        <v>155.86210274728703</v>
      </c>
      <c r="BD38" s="318"/>
      <c r="BE38" s="318">
        <f>BE77*BE84</f>
        <v>154.24587135827827</v>
      </c>
      <c r="BF38" s="318"/>
      <c r="BG38" s="318">
        <f>BG77*BG84</f>
        <v>152.35982376078459</v>
      </c>
      <c r="BH38" s="318"/>
      <c r="BI38" s="318">
        <f>BI77*BI84</f>
        <v>151.11593083055752</v>
      </c>
    </row>
    <row r="39" spans="1:61">
      <c r="B39" s="26" t="s">
        <v>389</v>
      </c>
      <c r="E39" s="959">
        <v>2.3646859999999998</v>
      </c>
      <c r="G39" s="959">
        <v>0.65226399999999995</v>
      </c>
      <c r="I39" s="959">
        <v>0.45660200000000001</v>
      </c>
      <c r="K39" s="959">
        <v>0.25176199999999999</v>
      </c>
      <c r="L39" s="977"/>
      <c r="M39" s="959">
        <v>0.30952000000000002</v>
      </c>
      <c r="O39" s="959">
        <v>0.26011099999999998</v>
      </c>
      <c r="Q39" s="959">
        <v>0.27640999999999999</v>
      </c>
      <c r="S39" s="959">
        <v>0.30687599999999998</v>
      </c>
      <c r="U39" s="959">
        <v>0.17121700000000001</v>
      </c>
      <c r="W39" s="959">
        <v>0.59899999999999998</v>
      </c>
      <c r="Y39" s="979">
        <v>0.33200000000000002</v>
      </c>
      <c r="AA39" s="979">
        <v>0.64800000000000002</v>
      </c>
      <c r="AC39" s="979">
        <v>1.169</v>
      </c>
      <c r="AD39" s="979"/>
      <c r="AE39" s="979">
        <v>1.4370000000000001</v>
      </c>
      <c r="AF39" s="979"/>
      <c r="AG39" s="979">
        <v>1.748</v>
      </c>
      <c r="AH39" s="979"/>
      <c r="AI39" s="979">
        <v>19.625</v>
      </c>
      <c r="AJ39" s="979"/>
      <c r="AK39" s="979">
        <v>19.760000000000002</v>
      </c>
      <c r="AL39" s="979"/>
      <c r="AM39" s="985">
        <v>0</v>
      </c>
      <c r="AN39" s="979"/>
      <c r="AO39" s="985">
        <v>0</v>
      </c>
      <c r="AP39" s="959"/>
      <c r="AQ39" s="959">
        <f>+AO39</f>
        <v>0</v>
      </c>
      <c r="AR39" s="959"/>
      <c r="AS39" s="959">
        <f>+AQ39</f>
        <v>0</v>
      </c>
      <c r="AT39" s="979"/>
      <c r="AU39" s="959">
        <v>10</v>
      </c>
      <c r="AV39" s="979"/>
      <c r="AW39" s="959">
        <v>16.25</v>
      </c>
      <c r="AX39" s="979"/>
      <c r="AY39" s="959">
        <v>15</v>
      </c>
      <c r="AZ39" s="979"/>
      <c r="BA39" s="959">
        <f>+AY39</f>
        <v>15</v>
      </c>
      <c r="BB39" s="979"/>
      <c r="BC39" s="959">
        <f>+BA39</f>
        <v>15</v>
      </c>
      <c r="BD39" s="979"/>
      <c r="BE39" s="959">
        <f>+BC39</f>
        <v>15</v>
      </c>
      <c r="BF39" s="979"/>
      <c r="BG39" s="959">
        <f>+BE39</f>
        <v>15</v>
      </c>
      <c r="BH39" s="979"/>
      <c r="BI39" s="959">
        <f>+BG39</f>
        <v>15</v>
      </c>
    </row>
    <row r="40" spans="1:61">
      <c r="C40" s="26" t="s">
        <v>54</v>
      </c>
      <c r="E40" s="798">
        <f>SUM(E37:E39)</f>
        <v>8.4626190000000001</v>
      </c>
      <c r="G40" s="798">
        <f>SUM(G37:G39)</f>
        <v>5.1545689999999995</v>
      </c>
      <c r="I40" s="798">
        <f>SUM(I37:I39)</f>
        <v>6.2196180000000005</v>
      </c>
      <c r="K40" s="798">
        <f>SUM(K37:K39)</f>
        <v>6.3124020000000005</v>
      </c>
      <c r="M40" s="798">
        <f>SUM(M37:M39)</f>
        <v>7.9839980000000006</v>
      </c>
      <c r="O40" s="798">
        <f>SUM(O37:O39)</f>
        <v>10.835899</v>
      </c>
      <c r="Q40" s="798">
        <f>SUM(Q37:Q39)</f>
        <v>25.327523999999997</v>
      </c>
      <c r="S40" s="798">
        <f>SUM(S37:S39)</f>
        <v>34.946170000000002</v>
      </c>
      <c r="U40" s="798">
        <f>SUM(U37:U39)</f>
        <v>54.859769</v>
      </c>
      <c r="W40" s="798">
        <f>SUM(W37:W39)</f>
        <v>71.582000000000008</v>
      </c>
      <c r="Y40" s="862">
        <f>SUM(Y37:Y39)</f>
        <v>95.314999999999998</v>
      </c>
      <c r="Z40" s="495"/>
      <c r="AA40" s="862">
        <f>SUM(AA37:AA39)</f>
        <v>122.66799999999999</v>
      </c>
      <c r="AB40" s="495"/>
      <c r="AC40" s="862">
        <f>SUM(AC37:AC39)</f>
        <v>144.232</v>
      </c>
      <c r="AD40" s="862"/>
      <c r="AE40" s="862">
        <f>SUM(AE37:AE39)</f>
        <v>181.19300000000001</v>
      </c>
      <c r="AF40" s="862"/>
      <c r="AG40" s="862">
        <f>SUM(AG37:AG39)</f>
        <v>146.73599999999999</v>
      </c>
      <c r="AH40" s="862"/>
      <c r="AI40" s="862">
        <f>SUM(AI37:AI39)</f>
        <v>194.70599999999999</v>
      </c>
      <c r="AJ40" s="862"/>
      <c r="AK40" s="862">
        <f>SUM(AK37:AK39)</f>
        <v>221.27699999999999</v>
      </c>
      <c r="AL40" s="862"/>
      <c r="AM40" s="986">
        <f>SUM(AM37:AM39)</f>
        <v>238.10899999999998</v>
      </c>
      <c r="AN40" s="862"/>
      <c r="AO40" s="862">
        <f>SUM(AO37:AO39)</f>
        <v>302.411</v>
      </c>
      <c r="AP40" s="798"/>
      <c r="AQ40" s="798">
        <f>SUM(AQ37:AQ39)</f>
        <v>273.327</v>
      </c>
      <c r="AR40" s="798"/>
      <c r="AS40" s="798">
        <f>SUM(AS37:AS39)</f>
        <v>302.92999999999995</v>
      </c>
      <c r="AT40" s="798"/>
      <c r="AU40" s="798">
        <f>SUM(AU37:AU39)</f>
        <v>298.13099999999997</v>
      </c>
      <c r="AV40" s="798"/>
      <c r="AW40" s="798">
        <f>SUM(AW37:AW39)</f>
        <v>302.86</v>
      </c>
      <c r="AX40" s="798"/>
      <c r="AY40" s="798">
        <f>SUM(AY37:AY39)</f>
        <v>266.96800000000002</v>
      </c>
      <c r="AZ40" s="798"/>
      <c r="BA40" s="798">
        <f>SUM(BA37:BA39)</f>
        <v>281.13063363122887</v>
      </c>
      <c r="BB40" s="798"/>
      <c r="BC40" s="798">
        <f>SUM(BC37:BC39)</f>
        <v>266.52648125524109</v>
      </c>
      <c r="BD40" s="798"/>
      <c r="BE40" s="798">
        <f>SUM(BE37:BE39)</f>
        <v>264.72688018949253</v>
      </c>
      <c r="BF40" s="798"/>
      <c r="BG40" s="798">
        <f>SUM(BG37:BG39)</f>
        <v>262.73867005490672</v>
      </c>
      <c r="BH40" s="798"/>
      <c r="BI40" s="798">
        <f>SUM(BI37:BI39)</f>
        <v>261.47643666343561</v>
      </c>
    </row>
    <row r="41" spans="1:61">
      <c r="Y41" s="122"/>
      <c r="Z41" s="122"/>
      <c r="AA41" s="122"/>
      <c r="AB41" s="122"/>
      <c r="AC41" s="122"/>
      <c r="AD41" s="122"/>
      <c r="AE41" s="122"/>
      <c r="AF41" s="122"/>
      <c r="AG41" s="122"/>
      <c r="AH41" s="122"/>
      <c r="AI41" s="122"/>
      <c r="AJ41" s="122"/>
      <c r="AK41" s="122"/>
      <c r="AL41" s="122"/>
      <c r="AM41" s="220"/>
      <c r="AN41" s="122"/>
      <c r="AO41" s="122"/>
    </row>
    <row r="42" spans="1:61">
      <c r="B42" s="26" t="s">
        <v>504</v>
      </c>
      <c r="E42" s="979">
        <v>4.6631220000000004</v>
      </c>
      <c r="F42" s="122"/>
      <c r="G42" s="979">
        <v>5.8957610000000003</v>
      </c>
      <c r="H42" s="122"/>
      <c r="I42" s="979">
        <v>7.0078420000000001</v>
      </c>
      <c r="J42" s="122"/>
      <c r="K42" s="979">
        <v>6.7032290000000003</v>
      </c>
      <c r="L42" s="718"/>
      <c r="M42" s="979">
        <v>6.7130450000000002</v>
      </c>
      <c r="N42" s="122"/>
      <c r="O42" s="979">
        <v>6.8391799999999998</v>
      </c>
      <c r="P42" s="122"/>
      <c r="Q42" s="979">
        <v>7.1578520000000001</v>
      </c>
      <c r="R42" s="122"/>
      <c r="S42" s="979">
        <v>7.9442589999999997</v>
      </c>
      <c r="T42" s="122"/>
      <c r="U42" s="979">
        <v>6.5508559999999996</v>
      </c>
      <c r="V42" s="122"/>
      <c r="W42" s="979">
        <v>12.712999999999999</v>
      </c>
      <c r="X42" s="122"/>
      <c r="Y42" s="979">
        <v>47.149000000000001</v>
      </c>
      <c r="Z42" s="122"/>
      <c r="AA42" s="979">
        <v>65.188999999999993</v>
      </c>
      <c r="AB42" s="122"/>
      <c r="AC42" s="979">
        <v>109.971</v>
      </c>
      <c r="AD42" s="979"/>
      <c r="AE42" s="979">
        <v>156.417</v>
      </c>
      <c r="AF42" s="979"/>
      <c r="AG42" s="979">
        <v>177.251</v>
      </c>
      <c r="AH42" s="979"/>
      <c r="AI42" s="979">
        <v>142.179</v>
      </c>
      <c r="AJ42" s="979"/>
      <c r="AK42" s="979">
        <v>129.83699999999999</v>
      </c>
      <c r="AL42" s="979"/>
      <c r="AM42" s="985">
        <v>125.69</v>
      </c>
      <c r="AN42" s="979"/>
      <c r="AO42" s="979">
        <v>132.374</v>
      </c>
      <c r="AP42" s="979"/>
      <c r="AQ42" s="979">
        <v>138.874</v>
      </c>
      <c r="AR42" s="979"/>
      <c r="AS42" s="979">
        <v>142.37100000000001</v>
      </c>
      <c r="AT42" s="979"/>
      <c r="AU42" s="979">
        <v>130.74299999999999</v>
      </c>
      <c r="AV42" s="979"/>
      <c r="AW42" s="979">
        <v>118.54300000000001</v>
      </c>
      <c r="AX42" s="979"/>
      <c r="AY42" s="979">
        <v>103.282</v>
      </c>
      <c r="AZ42" s="979"/>
      <c r="BA42" s="979">
        <f>+AY42+0.6</f>
        <v>103.88199999999999</v>
      </c>
      <c r="BB42" s="979"/>
      <c r="BC42" s="979">
        <f>+BA42+0.6</f>
        <v>104.48199999999999</v>
      </c>
      <c r="BD42" s="979"/>
      <c r="BE42" s="979">
        <f>+BC42+0.6</f>
        <v>105.08199999999998</v>
      </c>
      <c r="BF42" s="979"/>
      <c r="BG42" s="979">
        <f>+BE42+0.6</f>
        <v>105.68199999999997</v>
      </c>
      <c r="BH42" s="979"/>
      <c r="BI42" s="979">
        <f>+BG42+0.6</f>
        <v>106.28199999999997</v>
      </c>
    </row>
    <row r="43" spans="1:61">
      <c r="B43" s="26" t="s">
        <v>505</v>
      </c>
      <c r="E43" s="979"/>
      <c r="F43" s="122"/>
      <c r="G43" s="979"/>
      <c r="H43" s="122"/>
      <c r="I43" s="979"/>
      <c r="J43" s="122"/>
      <c r="K43" s="979"/>
      <c r="L43" s="718"/>
      <c r="M43" s="979"/>
      <c r="N43" s="122"/>
      <c r="O43" s="979"/>
      <c r="P43" s="122"/>
      <c r="Q43" s="979"/>
      <c r="R43" s="122"/>
      <c r="S43" s="979"/>
      <c r="T43" s="122"/>
      <c r="U43" s="979"/>
      <c r="V43" s="122"/>
      <c r="W43" s="979"/>
      <c r="X43" s="122"/>
      <c r="Y43" s="979">
        <v>0</v>
      </c>
      <c r="Z43" s="122"/>
      <c r="AA43" s="979">
        <v>0</v>
      </c>
      <c r="AB43" s="122"/>
      <c r="AC43" s="979">
        <v>0</v>
      </c>
      <c r="AD43" s="979"/>
      <c r="AE43" s="979">
        <v>0</v>
      </c>
      <c r="AF43" s="979"/>
      <c r="AG43" s="979">
        <v>0</v>
      </c>
      <c r="AH43" s="979"/>
      <c r="AI43" s="979">
        <v>0</v>
      </c>
      <c r="AJ43" s="979"/>
      <c r="AK43" s="979">
        <v>0</v>
      </c>
      <c r="AL43" s="979"/>
      <c r="AM43" s="985">
        <v>0</v>
      </c>
      <c r="AN43" s="979"/>
      <c r="AO43" s="979">
        <v>0</v>
      </c>
      <c r="AP43" s="979"/>
      <c r="AQ43" s="979">
        <v>0</v>
      </c>
      <c r="AR43" s="979"/>
      <c r="AS43" s="979">
        <v>0</v>
      </c>
      <c r="AT43" s="979"/>
      <c r="AU43" s="979">
        <v>82.218999999999994</v>
      </c>
      <c r="AV43" s="979"/>
      <c r="AW43" s="979">
        <v>68.534999999999997</v>
      </c>
      <c r="AX43" s="979"/>
      <c r="AY43" s="979">
        <v>53.600999999999999</v>
      </c>
      <c r="AZ43" s="979"/>
      <c r="BA43" s="979">
        <f>AY43</f>
        <v>53.600999999999999</v>
      </c>
      <c r="BB43" s="979"/>
      <c r="BC43" s="979">
        <f>BA43</f>
        <v>53.600999999999999</v>
      </c>
      <c r="BD43" s="979"/>
      <c r="BE43" s="979">
        <f>BC43</f>
        <v>53.600999999999999</v>
      </c>
      <c r="BF43" s="979"/>
      <c r="BG43" s="979">
        <f>BE43</f>
        <v>53.600999999999999</v>
      </c>
      <c r="BH43" s="979"/>
      <c r="BI43" s="979">
        <f>BG43</f>
        <v>53.600999999999999</v>
      </c>
    </row>
    <row r="44" spans="1:61">
      <c r="B44" s="26" t="s">
        <v>626</v>
      </c>
      <c r="E44" s="959"/>
      <c r="F44" s="122"/>
      <c r="G44" s="959"/>
      <c r="H44" s="122"/>
      <c r="I44" s="959"/>
      <c r="J44" s="122"/>
      <c r="K44" s="959"/>
      <c r="L44" s="718"/>
      <c r="M44" s="959"/>
      <c r="N44" s="122"/>
      <c r="O44" s="959">
        <v>0</v>
      </c>
      <c r="P44" s="122"/>
      <c r="Q44" s="959">
        <v>0</v>
      </c>
      <c r="R44" s="122"/>
      <c r="S44" s="959">
        <v>0</v>
      </c>
      <c r="T44" s="122"/>
      <c r="U44" s="959">
        <v>0</v>
      </c>
      <c r="V44" s="122"/>
      <c r="W44" s="959">
        <v>11.724</v>
      </c>
      <c r="X44" s="122"/>
      <c r="Y44" s="959">
        <v>12.397</v>
      </c>
      <c r="Z44" s="120"/>
      <c r="AA44" s="959">
        <v>5.1289999999999996</v>
      </c>
      <c r="AB44" s="120"/>
      <c r="AC44" s="959">
        <v>0</v>
      </c>
      <c r="AD44" s="959"/>
      <c r="AE44" s="959">
        <v>0</v>
      </c>
      <c r="AF44" s="959"/>
      <c r="AG44" s="959">
        <v>0</v>
      </c>
      <c r="AH44" s="959"/>
      <c r="AI44" s="959">
        <v>0</v>
      </c>
      <c r="AJ44" s="959"/>
      <c r="AK44" s="959">
        <v>0</v>
      </c>
      <c r="AL44" s="959"/>
      <c r="AM44" s="978">
        <v>52.125</v>
      </c>
      <c r="AN44" s="959"/>
      <c r="AO44" s="978">
        <v>52.643999999999998</v>
      </c>
      <c r="AP44" s="959"/>
      <c r="AQ44" s="959">
        <v>49.887</v>
      </c>
      <c r="AR44" s="959"/>
      <c r="AS44" s="959">
        <v>49.658999999999999</v>
      </c>
      <c r="AT44" s="979"/>
      <c r="AU44" s="959">
        <v>15.170999999999999</v>
      </c>
      <c r="AV44" s="979"/>
      <c r="AW44" s="959">
        <v>9.8829999999999991</v>
      </c>
      <c r="AX44" s="979"/>
      <c r="AY44" s="959">
        <v>7.3719999999999999</v>
      </c>
      <c r="AZ44" s="979"/>
      <c r="BA44" s="959">
        <f>AY44</f>
        <v>7.3719999999999999</v>
      </c>
      <c r="BB44" s="979"/>
      <c r="BC44" s="959">
        <f>BA44</f>
        <v>7.3719999999999999</v>
      </c>
      <c r="BD44" s="979"/>
      <c r="BE44" s="959">
        <f>BC44</f>
        <v>7.3719999999999999</v>
      </c>
      <c r="BF44" s="979"/>
      <c r="BG44" s="959">
        <f>BE44</f>
        <v>7.3719999999999999</v>
      </c>
      <c r="BH44" s="979"/>
      <c r="BI44" s="959">
        <f>BG44</f>
        <v>7.3719999999999999</v>
      </c>
    </row>
    <row r="45" spans="1:61">
      <c r="C45" s="26" t="s">
        <v>570</v>
      </c>
      <c r="E45" s="798">
        <f>+E40+E42+E44</f>
        <v>13.125741000000001</v>
      </c>
      <c r="G45" s="798">
        <f>+G40+G42+G44</f>
        <v>11.050329999999999</v>
      </c>
      <c r="I45" s="798">
        <f>+I40+I42+I44</f>
        <v>13.227460000000001</v>
      </c>
      <c r="K45" s="798">
        <f>+K40+K42+K44</f>
        <v>13.015631000000001</v>
      </c>
      <c r="M45" s="798">
        <f>+M40+M42+M44</f>
        <v>14.697043000000001</v>
      </c>
      <c r="O45" s="798">
        <f>+O40+O42+O44</f>
        <v>17.675079</v>
      </c>
      <c r="Q45" s="798">
        <f>+Q40+Q42+Q44</f>
        <v>32.485375999999995</v>
      </c>
      <c r="S45" s="798">
        <f>+S40+S42+S44</f>
        <v>42.890429000000005</v>
      </c>
      <c r="U45" s="798">
        <f>+U40+U42+U44</f>
        <v>61.410624999999996</v>
      </c>
      <c r="W45" s="798">
        <f>+W40+W42+W44</f>
        <v>96.019000000000005</v>
      </c>
      <c r="Y45" s="798">
        <f>+Y40+Y42+Y44</f>
        <v>154.86099999999999</v>
      </c>
      <c r="AA45" s="798">
        <f>+AA40+AA42+AA44</f>
        <v>192.98599999999996</v>
      </c>
      <c r="AC45" s="798">
        <f>+AC40+AC42+AC44</f>
        <v>254.203</v>
      </c>
      <c r="AD45" s="798"/>
      <c r="AE45" s="798">
        <f>+AE40+AE42+AE44</f>
        <v>337.61</v>
      </c>
      <c r="AF45" s="798"/>
      <c r="AG45" s="798">
        <f>+AG40+AG42+AG44</f>
        <v>323.98699999999997</v>
      </c>
      <c r="AH45" s="798"/>
      <c r="AI45" s="798">
        <f>+AI40+AI42+AI44</f>
        <v>336.88499999999999</v>
      </c>
      <c r="AJ45" s="798"/>
      <c r="AK45" s="798">
        <f>+AK40+AK42+AK44</f>
        <v>351.11399999999998</v>
      </c>
      <c r="AL45" s="798"/>
      <c r="AM45" s="805">
        <f>+AM40+AM42+AM44</f>
        <v>415.92399999999998</v>
      </c>
      <c r="AN45" s="798"/>
      <c r="AO45" s="798">
        <f>+AO40+AO42+AO44</f>
        <v>487.42899999999997</v>
      </c>
      <c r="AP45" s="798"/>
      <c r="AQ45" s="798">
        <f>+AQ40+AQ42+AQ44</f>
        <v>462.08800000000002</v>
      </c>
      <c r="AR45" s="798"/>
      <c r="AS45" s="798">
        <f>+AS40+AS42+AS44</f>
        <v>494.95999999999992</v>
      </c>
      <c r="AT45" s="798"/>
      <c r="AU45" s="798">
        <f>+AU40+AU42+AU44+AU43</f>
        <v>526.2639999999999</v>
      </c>
      <c r="AV45" s="798"/>
      <c r="AW45" s="798">
        <f>+AW40+AW42+AW44+AW43</f>
        <v>499.82100000000003</v>
      </c>
      <c r="AX45" s="798"/>
      <c r="AY45" s="798">
        <f>+AY40+AY42+AY44+AY43</f>
        <v>431.22300000000001</v>
      </c>
      <c r="AZ45" s="798"/>
      <c r="BA45" s="798">
        <f>+BA40+BA42+BA44+BA43</f>
        <v>445.98563363122889</v>
      </c>
      <c r="BB45" s="798"/>
      <c r="BC45" s="798">
        <f>+BC40+BC42+BC44+BC43</f>
        <v>431.98148125524108</v>
      </c>
      <c r="BD45" s="798"/>
      <c r="BE45" s="798">
        <f>+BE40+BE42+BE44+BE43</f>
        <v>430.78188018949254</v>
      </c>
      <c r="BF45" s="798"/>
      <c r="BG45" s="798">
        <f>+BG40+BG42+BG44+BG43</f>
        <v>429.39367005490669</v>
      </c>
      <c r="BH45" s="798"/>
      <c r="BI45" s="798">
        <f>+BI40+BI42+BI44+BI43</f>
        <v>428.7314366634356</v>
      </c>
    </row>
    <row r="46" spans="1:61">
      <c r="A46" s="711" t="s">
        <v>55</v>
      </c>
      <c r="AM46" s="137"/>
    </row>
    <row r="47" spans="1:61">
      <c r="B47" s="26" t="s">
        <v>56</v>
      </c>
      <c r="E47" s="979">
        <v>7.7753000000000003E-2</v>
      </c>
      <c r="F47" s="122"/>
      <c r="G47" s="979">
        <v>7.7825000000000005E-2</v>
      </c>
      <c r="H47" s="122"/>
      <c r="I47" s="979">
        <v>7.8840999999999994E-2</v>
      </c>
      <c r="J47" s="122"/>
      <c r="K47" s="979">
        <v>8.0113000000000004E-2</v>
      </c>
      <c r="L47" s="718"/>
      <c r="M47" s="979">
        <v>8.3930000000000005E-2</v>
      </c>
      <c r="N47" s="122"/>
      <c r="O47" s="979">
        <v>0.17128499999999999</v>
      </c>
      <c r="P47" s="122"/>
      <c r="Q47" s="979">
        <v>0.17499400000000001</v>
      </c>
      <c r="R47" s="122"/>
      <c r="S47" s="979">
        <v>0.40790700000000002</v>
      </c>
      <c r="T47" s="122"/>
      <c r="U47" s="979">
        <v>0.852823</v>
      </c>
      <c r="V47" s="122"/>
      <c r="W47" s="979">
        <v>0.875</v>
      </c>
      <c r="X47" s="122"/>
      <c r="Y47" s="979">
        <v>1.79</v>
      </c>
      <c r="Z47" s="987"/>
      <c r="AA47" s="979">
        <v>1.8169999999999999</v>
      </c>
      <c r="AB47" s="987"/>
      <c r="AC47" s="979">
        <v>1.7569999999999999</v>
      </c>
      <c r="AD47" s="987"/>
      <c r="AE47" s="979">
        <v>1.762</v>
      </c>
      <c r="AF47" s="987"/>
      <c r="AG47" s="979">
        <v>1.7709999999999999</v>
      </c>
      <c r="AH47" s="987"/>
      <c r="AI47" s="979">
        <v>1.7809999999999999</v>
      </c>
      <c r="AJ47" s="987"/>
      <c r="AK47" s="979">
        <v>1.7789999999999999</v>
      </c>
      <c r="AL47" s="987"/>
      <c r="AM47" s="979">
        <v>1.657</v>
      </c>
      <c r="AN47" s="987"/>
      <c r="AO47" s="979">
        <v>1.6279999999999999</v>
      </c>
      <c r="AP47" s="987"/>
      <c r="AQ47" s="979">
        <v>1.522</v>
      </c>
      <c r="AR47" s="987"/>
      <c r="AS47" s="1069">
        <v>1.5289999999999999</v>
      </c>
      <c r="AT47" s="987"/>
      <c r="AU47" s="1069">
        <v>1.355</v>
      </c>
      <c r="AV47" s="987"/>
      <c r="AW47" s="1069">
        <v>1.288</v>
      </c>
      <c r="AX47" s="987"/>
      <c r="AY47" s="1638">
        <v>1.2749999999999999</v>
      </c>
      <c r="AZ47" s="987"/>
      <c r="BA47" s="987">
        <f>AY47</f>
        <v>1.2749999999999999</v>
      </c>
      <c r="BB47" s="987"/>
      <c r="BC47" s="987">
        <f>BA47</f>
        <v>1.2749999999999999</v>
      </c>
      <c r="BD47" s="987"/>
      <c r="BE47" s="987">
        <f>BC47</f>
        <v>1.2749999999999999</v>
      </c>
      <c r="BF47" s="987"/>
      <c r="BG47" s="987">
        <f>BE47</f>
        <v>1.2749999999999999</v>
      </c>
      <c r="BH47" s="987"/>
      <c r="BI47" s="987">
        <f>BG47</f>
        <v>1.2749999999999999</v>
      </c>
    </row>
    <row r="48" spans="1:61">
      <c r="B48" s="26" t="s">
        <v>58</v>
      </c>
      <c r="E48" s="979">
        <v>7.058389</v>
      </c>
      <c r="F48" s="122"/>
      <c r="G48" s="979">
        <v>7.0876359999999998</v>
      </c>
      <c r="H48" s="122"/>
      <c r="I48" s="979">
        <v>7.5557080000000001</v>
      </c>
      <c r="J48" s="122"/>
      <c r="K48" s="979">
        <v>8.2197069999999997</v>
      </c>
      <c r="L48" s="718"/>
      <c r="M48" s="979">
        <v>11.92393</v>
      </c>
      <c r="N48" s="122"/>
      <c r="O48" s="979">
        <v>14.709237999999999</v>
      </c>
      <c r="P48" s="122"/>
      <c r="Q48" s="979">
        <v>18.935828999999998</v>
      </c>
      <c r="R48" s="122"/>
      <c r="S48" s="979">
        <v>34.634396000000002</v>
      </c>
      <c r="T48" s="122"/>
      <c r="U48" s="985">
        <v>63.985702000000003</v>
      </c>
      <c r="V48" s="122"/>
      <c r="W48" s="979">
        <v>98.585999999999999</v>
      </c>
      <c r="X48" s="122"/>
      <c r="Y48" s="979">
        <v>147.65199999999999</v>
      </c>
      <c r="Z48" s="987"/>
      <c r="AA48" s="979">
        <v>202.87799999999999</v>
      </c>
      <c r="AB48" s="987"/>
      <c r="AC48" s="979">
        <v>229.934</v>
      </c>
      <c r="AD48" s="987"/>
      <c r="AE48" s="979">
        <v>249.63900000000001</v>
      </c>
      <c r="AF48" s="987"/>
      <c r="AG48" s="979">
        <v>258.31200000000001</v>
      </c>
      <c r="AH48" s="987"/>
      <c r="AI48" s="979">
        <v>268.10899999999998</v>
      </c>
      <c r="AJ48" s="987"/>
      <c r="AK48" s="979">
        <v>282.52800000000002</v>
      </c>
      <c r="AL48" s="987"/>
      <c r="AM48" s="979">
        <v>302.61200000000002</v>
      </c>
      <c r="AN48" s="987"/>
      <c r="AO48" s="979">
        <v>348.77499999999998</v>
      </c>
      <c r="AP48" s="987"/>
      <c r="AQ48" s="979">
        <v>382.08800000000002</v>
      </c>
      <c r="AR48" s="987"/>
      <c r="AS48" s="1069">
        <v>407.27499999999998</v>
      </c>
      <c r="AT48" s="987"/>
      <c r="AU48" s="1069">
        <v>435.88099999999997</v>
      </c>
      <c r="AV48" s="987"/>
      <c r="AW48" s="1069">
        <v>452.75599999999997</v>
      </c>
      <c r="AX48" s="987"/>
      <c r="AY48" s="1638">
        <v>468.80599999999998</v>
      </c>
      <c r="AZ48" s="987"/>
      <c r="BA48" s="987">
        <f>+AY48+flow!AX38+flow!AX13+flow!AX40</f>
        <v>408.80599999999998</v>
      </c>
      <c r="BB48" s="987"/>
      <c r="BC48" s="987">
        <f>+BA48+flow!AZ38+flow!AZ13+flow!AZ40</f>
        <v>348.80599999999998</v>
      </c>
      <c r="BD48" s="987"/>
      <c r="BE48" s="987">
        <f>+BC48+flow!BB38+flow!BB13+flow!BB40</f>
        <v>288.80599999999998</v>
      </c>
      <c r="BF48" s="987"/>
      <c r="BG48" s="987">
        <f>+BE48+flow!BD38+flow!BD13+flow!BD40</f>
        <v>228.80599999999998</v>
      </c>
      <c r="BH48" s="987"/>
      <c r="BI48" s="987">
        <f>+BG48+flow!BF38+flow!BF13+flow!BF40</f>
        <v>168.80599999999998</v>
      </c>
    </row>
    <row r="49" spans="1:62">
      <c r="B49" s="26" t="s">
        <v>761</v>
      </c>
      <c r="E49" s="979"/>
      <c r="F49" s="122"/>
      <c r="G49" s="979"/>
      <c r="H49" s="122"/>
      <c r="I49" s="979"/>
      <c r="J49" s="122"/>
      <c r="K49" s="979"/>
      <c r="L49" s="718"/>
      <c r="M49" s="979"/>
      <c r="N49" s="122"/>
      <c r="O49" s="979"/>
      <c r="P49" s="122"/>
      <c r="Q49" s="979"/>
      <c r="R49" s="122"/>
      <c r="S49" s="979"/>
      <c r="T49" s="122"/>
      <c r="U49" s="985"/>
      <c r="V49" s="122"/>
      <c r="W49" s="979"/>
      <c r="X49" s="122"/>
      <c r="Y49" s="979"/>
      <c r="Z49" s="987"/>
      <c r="AA49" s="979"/>
      <c r="AB49" s="987"/>
      <c r="AC49" s="979"/>
      <c r="AD49" s="987"/>
      <c r="AE49" s="979"/>
      <c r="AF49" s="987"/>
      <c r="AG49" s="979"/>
      <c r="AH49" s="987"/>
      <c r="AI49" s="979"/>
      <c r="AJ49" s="987"/>
      <c r="AK49" s="979"/>
      <c r="AL49" s="987"/>
      <c r="AM49" s="979"/>
      <c r="AN49" s="987"/>
      <c r="AO49" s="979"/>
      <c r="AP49" s="987"/>
      <c r="AQ49" s="979"/>
      <c r="AR49" s="987"/>
      <c r="AS49" s="1069"/>
      <c r="AT49" s="987"/>
      <c r="AU49" s="1069">
        <v>-289.81299999999999</v>
      </c>
      <c r="AV49" s="987"/>
      <c r="AW49" s="1069">
        <v>-386.09399999999999</v>
      </c>
      <c r="AX49" s="987"/>
      <c r="AY49" s="1638">
        <v>-413.46499999999997</v>
      </c>
      <c r="AZ49" s="987"/>
      <c r="BA49" s="987">
        <f>AY49</f>
        <v>-413.46499999999997</v>
      </c>
      <c r="BB49" s="987"/>
      <c r="BC49" s="987">
        <f>BA49</f>
        <v>-413.46499999999997</v>
      </c>
      <c r="BD49" s="987"/>
      <c r="BE49" s="987">
        <f>BC49</f>
        <v>-413.46499999999997</v>
      </c>
      <c r="BF49" s="987"/>
      <c r="BG49" s="987">
        <f>BE49</f>
        <v>-413.46499999999997</v>
      </c>
      <c r="BH49" s="987"/>
      <c r="BI49" s="987">
        <f>BG49</f>
        <v>-413.46499999999997</v>
      </c>
    </row>
    <row r="50" spans="1:62">
      <c r="B50" s="26" t="s">
        <v>59</v>
      </c>
      <c r="E50" s="979">
        <v>7.089893</v>
      </c>
      <c r="F50" s="122"/>
      <c r="G50" s="979">
        <v>8.7934889999999992</v>
      </c>
      <c r="H50" s="122"/>
      <c r="I50" s="979">
        <v>10.386049</v>
      </c>
      <c r="J50" s="122"/>
      <c r="K50" s="979">
        <v>13.156065</v>
      </c>
      <c r="L50" s="718"/>
      <c r="M50" s="979">
        <v>22.295172999999998</v>
      </c>
      <c r="N50" s="122"/>
      <c r="O50" s="979">
        <v>37.784553000000002</v>
      </c>
      <c r="P50" s="122"/>
      <c r="Q50" s="979">
        <v>66.163172000000003</v>
      </c>
      <c r="R50" s="122"/>
      <c r="S50" s="987">
        <f>Q50+S78</f>
        <v>108.35020299999998</v>
      </c>
      <c r="T50" s="122"/>
      <c r="U50" s="987">
        <f>S50+U78</f>
        <v>175.10914500000001</v>
      </c>
      <c r="V50" s="122"/>
      <c r="W50" s="987">
        <f>U50+W78</f>
        <v>275.33910500000002</v>
      </c>
      <c r="X50" s="122"/>
      <c r="Y50" s="979">
        <v>411.55599999999998</v>
      </c>
      <c r="Z50" s="987"/>
      <c r="AA50" s="979">
        <v>605.53700000000003</v>
      </c>
      <c r="AB50" s="987"/>
      <c r="AC50" s="979">
        <v>572.24</v>
      </c>
      <c r="AD50" s="987"/>
      <c r="AE50" s="979">
        <v>661.11500000000001</v>
      </c>
      <c r="AF50" s="987"/>
      <c r="AG50" s="979">
        <v>641.97799999999995</v>
      </c>
      <c r="AH50" s="987"/>
      <c r="AI50" s="979">
        <v>711.62400000000002</v>
      </c>
      <c r="AJ50" s="987"/>
      <c r="AK50" s="979">
        <v>780.21199999999999</v>
      </c>
      <c r="AL50" s="987"/>
      <c r="AM50" s="979">
        <v>704.63099999999997</v>
      </c>
      <c r="AN50" s="987"/>
      <c r="AO50" s="979">
        <v>742.58</v>
      </c>
      <c r="AP50" s="987"/>
      <c r="AQ50" s="979">
        <v>523.38099999999997</v>
      </c>
      <c r="AR50" s="987"/>
      <c r="AS50" s="1069">
        <f>534.255</f>
        <v>534.255</v>
      </c>
      <c r="AT50" s="987"/>
      <c r="AU50" s="1069">
        <v>492.32499999999999</v>
      </c>
      <c r="AV50" s="987"/>
      <c r="AW50" s="1069">
        <v>541.25099999999998</v>
      </c>
      <c r="AX50" s="987"/>
      <c r="AY50" s="1638">
        <v>599.80999999999995</v>
      </c>
      <c r="AZ50" s="987"/>
      <c r="BA50" s="987">
        <f>AY50+BA78+flow!AX48</f>
        <v>662.70931188691952</v>
      </c>
      <c r="BB50" s="987"/>
      <c r="BC50" s="987">
        <f>BA50+BC78+flow!AZ48</f>
        <v>739.89871228143477</v>
      </c>
      <c r="BD50" s="987"/>
      <c r="BE50" s="987">
        <f>BC50+BE78+flow!BB48</f>
        <v>820.94188036401124</v>
      </c>
      <c r="BF50" s="987"/>
      <c r="BG50" s="987">
        <f>BE50+BG78+flow!BD48</f>
        <v>905.25717683562482</v>
      </c>
      <c r="BH50" s="987"/>
      <c r="BI50" s="987">
        <f>BG50+BI78+flow!BF48</f>
        <v>1041.5451173072793</v>
      </c>
    </row>
    <row r="51" spans="1:62">
      <c r="B51" s="26" t="s">
        <v>571</v>
      </c>
      <c r="E51" s="959">
        <v>0</v>
      </c>
      <c r="F51" s="122"/>
      <c r="G51" s="959">
        <v>0</v>
      </c>
      <c r="H51" s="122"/>
      <c r="I51" s="959">
        <v>0</v>
      </c>
      <c r="J51" s="122"/>
      <c r="K51" s="959">
        <v>0</v>
      </c>
      <c r="L51" s="718"/>
      <c r="M51" s="959">
        <v>0</v>
      </c>
      <c r="N51" s="122"/>
      <c r="O51" s="959">
        <v>-2.4334000000000001E-2</v>
      </c>
      <c r="P51" s="122"/>
      <c r="Q51" s="959">
        <v>4.7246000000000003E-2</v>
      </c>
      <c r="R51" s="122"/>
      <c r="S51" s="959">
        <v>0.102425</v>
      </c>
      <c r="T51" s="122"/>
      <c r="U51" s="959">
        <v>0.18545200000000001</v>
      </c>
      <c r="V51" s="122"/>
      <c r="W51" s="959">
        <v>3.5000000000000003E-2</v>
      </c>
      <c r="X51" s="122"/>
      <c r="Y51" s="979">
        <v>-0.13</v>
      </c>
      <c r="Z51" s="987"/>
      <c r="AA51" s="979">
        <f>-0.095-3.71</f>
        <v>-3.8050000000000002</v>
      </c>
      <c r="AB51" s="987"/>
      <c r="AC51" s="979">
        <v>0</v>
      </c>
      <c r="AD51" s="987"/>
      <c r="AE51" s="979">
        <v>0</v>
      </c>
      <c r="AF51" s="987"/>
      <c r="AG51" s="979">
        <v>0.13500000000000001</v>
      </c>
      <c r="AH51" s="987"/>
      <c r="AI51" s="979">
        <v>0.40400000000000003</v>
      </c>
      <c r="AJ51" s="987"/>
      <c r="AK51" s="979">
        <v>0.38800000000000001</v>
      </c>
      <c r="AL51" s="987"/>
      <c r="AM51" s="979">
        <f>0.328-0.026</f>
        <v>0.30199999999999999</v>
      </c>
      <c r="AN51" s="987"/>
      <c r="AO51" s="979">
        <f>0.216-0.03424</f>
        <v>0.18176</v>
      </c>
      <c r="AP51" s="966"/>
      <c r="AQ51" s="959">
        <v>0.112</v>
      </c>
      <c r="AR51" s="966"/>
      <c r="AS51" s="1070">
        <v>0.56200000000000006</v>
      </c>
      <c r="AT51" s="987"/>
      <c r="AU51" s="1070">
        <v>0.04</v>
      </c>
      <c r="AV51" s="987"/>
      <c r="AW51" s="1070">
        <v>-2.8000000000000001E-2</v>
      </c>
      <c r="AX51" s="987"/>
      <c r="AY51" s="1650">
        <v>-4.3999999999999997E-2</v>
      </c>
      <c r="AZ51" s="987"/>
      <c r="BA51" s="966">
        <f>+AY51</f>
        <v>-4.3999999999999997E-2</v>
      </c>
      <c r="BB51" s="987"/>
      <c r="BC51" s="966">
        <f>+BA51</f>
        <v>-4.3999999999999997E-2</v>
      </c>
      <c r="BD51" s="987"/>
      <c r="BE51" s="966">
        <f>+BC51</f>
        <v>-4.3999999999999997E-2</v>
      </c>
      <c r="BF51" s="987"/>
      <c r="BG51" s="966">
        <f>+BE51</f>
        <v>-4.3999999999999997E-2</v>
      </c>
      <c r="BH51" s="987"/>
      <c r="BI51" s="966">
        <f>+BG51</f>
        <v>-4.3999999999999997E-2</v>
      </c>
    </row>
    <row r="52" spans="1:62">
      <c r="C52" s="26" t="s">
        <v>60</v>
      </c>
      <c r="E52" s="798">
        <f>SUM(E47:E51)</f>
        <v>14.226035</v>
      </c>
      <c r="G52" s="798">
        <f>SUM(G47:G51)</f>
        <v>15.958949999999998</v>
      </c>
      <c r="I52" s="798">
        <f>SUM(I47:I51)</f>
        <v>18.020598</v>
      </c>
      <c r="K52" s="798">
        <f>SUM(K47:K51)</f>
        <v>21.455885000000002</v>
      </c>
      <c r="M52" s="798">
        <f>SUM(M47:M51)</f>
        <v>34.303032999999999</v>
      </c>
      <c r="O52" s="798">
        <f>SUM(O47:O51)</f>
        <v>52.640741999999996</v>
      </c>
      <c r="Q52" s="798">
        <f>SUM(Q47:Q51)</f>
        <v>85.321241000000001</v>
      </c>
      <c r="S52" s="798">
        <f>SUM(S47:S51)</f>
        <v>143.49493099999998</v>
      </c>
      <c r="U52" s="798">
        <f>SUM(U47:U51)</f>
        <v>240.13312200000001</v>
      </c>
      <c r="W52" s="798">
        <f>SUM(W47:W51)</f>
        <v>374.83510500000006</v>
      </c>
      <c r="Y52" s="862">
        <f>SUM(Y47:Y51)</f>
        <v>560.86799999999994</v>
      </c>
      <c r="Z52" s="495"/>
      <c r="AA52" s="862">
        <f>SUM(AA47:AA51)</f>
        <v>806.42700000000002</v>
      </c>
      <c r="AB52" s="495"/>
      <c r="AC52" s="862">
        <f>SUM(AC47:AC51)</f>
        <v>803.93100000000004</v>
      </c>
      <c r="AD52" s="862"/>
      <c r="AE52" s="862">
        <f>SUM(AE47:AE51)</f>
        <v>912.51600000000008</v>
      </c>
      <c r="AF52" s="862"/>
      <c r="AG52" s="862">
        <f>SUM(AG47:AG51)</f>
        <v>902.19599999999991</v>
      </c>
      <c r="AH52" s="862"/>
      <c r="AI52" s="862">
        <f>SUM(AI47:AI51)</f>
        <v>981.91800000000001</v>
      </c>
      <c r="AJ52" s="862"/>
      <c r="AK52" s="862">
        <f>SUM(AK47:AK51)</f>
        <v>1064.9069999999999</v>
      </c>
      <c r="AL52" s="862"/>
      <c r="AM52" s="862">
        <f>SUM(AM47:AM51)</f>
        <v>1009.202</v>
      </c>
      <c r="AN52" s="862"/>
      <c r="AO52" s="862">
        <f>SUM(AO47:AO51)</f>
        <v>1093.1647599999999</v>
      </c>
      <c r="AP52" s="798"/>
      <c r="AQ52" s="798">
        <f>SUM(AQ47:AQ51)</f>
        <v>907.10299999999995</v>
      </c>
      <c r="AR52" s="798"/>
      <c r="AS52" s="798">
        <f>SUM(AS47:AS51)</f>
        <v>943.62099999999998</v>
      </c>
      <c r="AT52" s="798"/>
      <c r="AU52" s="798">
        <f>SUM(AU47:AU51)</f>
        <v>639.78800000000001</v>
      </c>
      <c r="AV52" s="798"/>
      <c r="AW52" s="798">
        <f>SUM(AW47:AW51)</f>
        <v>609.173</v>
      </c>
      <c r="AX52" s="798"/>
      <c r="AY52" s="798">
        <f>SUM(AY47:AY51)</f>
        <v>656.38199999999995</v>
      </c>
      <c r="AZ52" s="798"/>
      <c r="BA52" s="798">
        <f>SUM(BA47:BA51)</f>
        <v>659.28131188691953</v>
      </c>
      <c r="BB52" s="798"/>
      <c r="BC52" s="798">
        <f>SUM(BC47:BC51)</f>
        <v>676.47071228143477</v>
      </c>
      <c r="BD52" s="798"/>
      <c r="BE52" s="798">
        <f>SUM(BE47:BE51)</f>
        <v>697.51388036401124</v>
      </c>
      <c r="BF52" s="798"/>
      <c r="BG52" s="798">
        <f>SUM(BG47:BG51)</f>
        <v>721.82917683562482</v>
      </c>
      <c r="BH52" s="798"/>
      <c r="BI52" s="798">
        <f>SUM(BI47:BI51)</f>
        <v>798.11711730727927</v>
      </c>
    </row>
    <row r="53" spans="1:62">
      <c r="Y53" s="120"/>
      <c r="Z53" s="120"/>
      <c r="AA53" s="120"/>
      <c r="AB53" s="120"/>
      <c r="AC53" s="120"/>
      <c r="AD53" s="120"/>
      <c r="AE53" s="120"/>
      <c r="AF53" s="120"/>
      <c r="AG53" s="120"/>
      <c r="AH53" s="120"/>
      <c r="AI53" s="120"/>
      <c r="AJ53" s="120"/>
      <c r="AK53" s="120"/>
      <c r="AL53" s="120"/>
      <c r="AM53" s="120"/>
      <c r="AN53" s="120"/>
      <c r="AO53" s="120"/>
    </row>
    <row r="54" spans="1:62">
      <c r="A54" s="26" t="s">
        <v>63</v>
      </c>
      <c r="E54" s="983">
        <f>+E45+E52</f>
        <v>27.351776000000001</v>
      </c>
      <c r="G54" s="983">
        <f>+G45+G52</f>
        <v>27.009279999999997</v>
      </c>
      <c r="I54" s="983">
        <f>+I45+I52</f>
        <v>31.248058</v>
      </c>
      <c r="K54" s="983">
        <f>+K45+K52</f>
        <v>34.471516000000001</v>
      </c>
      <c r="M54" s="983">
        <f>+M45+M52</f>
        <v>49.000076</v>
      </c>
      <c r="O54" s="983">
        <f>+O45+O52</f>
        <v>70.315821</v>
      </c>
      <c r="Q54" s="983">
        <f>+Q45+Q52</f>
        <v>117.80661699999999</v>
      </c>
      <c r="S54" s="983">
        <f>+S45+S52</f>
        <v>186.38535999999999</v>
      </c>
      <c r="U54" s="983">
        <f>+U45+U52</f>
        <v>301.543747</v>
      </c>
      <c r="W54" s="983">
        <f>+W45+W52</f>
        <v>470.85410500000006</v>
      </c>
      <c r="Y54" s="983">
        <f>+Y45+Y52</f>
        <v>715.72899999999993</v>
      </c>
      <c r="Z54" s="988"/>
      <c r="AA54" s="983">
        <f>+AA45+AA52</f>
        <v>999.41300000000001</v>
      </c>
      <c r="AB54" s="988"/>
      <c r="AC54" s="983">
        <f>+AC45+AC52</f>
        <v>1058.134</v>
      </c>
      <c r="AD54" s="983"/>
      <c r="AE54" s="983">
        <f>+AE45+AE52</f>
        <v>1250.1260000000002</v>
      </c>
      <c r="AF54" s="983"/>
      <c r="AG54" s="983">
        <f>+AG45+AG52</f>
        <v>1226.183</v>
      </c>
      <c r="AH54" s="983"/>
      <c r="AI54" s="983">
        <f>+AI45+AI52</f>
        <v>1318.8029999999999</v>
      </c>
      <c r="AJ54" s="983"/>
      <c r="AK54" s="983">
        <f>+AK45+AK52</f>
        <v>1416.021</v>
      </c>
      <c r="AL54" s="983"/>
      <c r="AM54" s="983">
        <f>+AM45+AM52</f>
        <v>1425.126</v>
      </c>
      <c r="AN54" s="983"/>
      <c r="AO54" s="983">
        <f>+AO45+AO52</f>
        <v>1580.5937599999997</v>
      </c>
      <c r="AP54" s="983"/>
      <c r="AQ54" s="983">
        <f>+AQ45+AQ52</f>
        <v>1369.191</v>
      </c>
      <c r="AR54" s="983"/>
      <c r="AS54" s="983">
        <f>+AS45+AS52</f>
        <v>1438.5809999999999</v>
      </c>
      <c r="AT54" s="888"/>
      <c r="AU54" s="983">
        <f>+AU45+AU52</f>
        <v>1166.0519999999999</v>
      </c>
      <c r="AV54" s="888"/>
      <c r="AW54" s="983">
        <f>+AW45+AW52</f>
        <v>1108.9940000000001</v>
      </c>
      <c r="AX54" s="888"/>
      <c r="AY54" s="983">
        <f>+AY45+AY52</f>
        <v>1087.605</v>
      </c>
      <c r="AZ54" s="888"/>
      <c r="BA54" s="983">
        <f>+BA45+BA52</f>
        <v>1105.2669455181485</v>
      </c>
      <c r="BB54" s="888"/>
      <c r="BC54" s="983">
        <f>+BC45+BC52</f>
        <v>1108.4521935366758</v>
      </c>
      <c r="BD54" s="888"/>
      <c r="BE54" s="983">
        <f>+BE45+BE52</f>
        <v>1128.2957605535039</v>
      </c>
      <c r="BF54" s="888"/>
      <c r="BG54" s="983">
        <f>+BG45+BG52</f>
        <v>1151.2228468905314</v>
      </c>
      <c r="BH54" s="888"/>
      <c r="BI54" s="983">
        <f>+BI45+BI52</f>
        <v>1226.8485539707149</v>
      </c>
    </row>
    <row r="56" spans="1:62" outlineLevel="1">
      <c r="Q56" s="882">
        <f>+Q9-flow!N52</f>
        <v>0</v>
      </c>
      <c r="S56" s="882">
        <f>+S9-flow!P52</f>
        <v>0</v>
      </c>
      <c r="U56" s="882">
        <f>+U9-flow!R52</f>
        <v>0</v>
      </c>
      <c r="W56" s="882">
        <f>+W9-flow!T52</f>
        <v>0</v>
      </c>
      <c r="Y56" s="882">
        <f>+Y9-flow!V52</f>
        <v>0</v>
      </c>
      <c r="AA56" s="882">
        <f>+AA9-flow!X52</f>
        <v>0</v>
      </c>
      <c r="AC56" s="882">
        <f>+AC9-flow!Z52</f>
        <v>0</v>
      </c>
      <c r="AE56" s="882">
        <f>+AE9-flow!AB52</f>
        <v>0</v>
      </c>
      <c r="AG56" s="882">
        <f>+AG9-flow!AD52</f>
        <v>0</v>
      </c>
      <c r="AI56" s="882">
        <f>+AI9-flow!AF52</f>
        <v>0</v>
      </c>
      <c r="AK56" s="882">
        <f>+AK9-flow!AH52</f>
        <v>0</v>
      </c>
      <c r="AM56" s="882">
        <f>+AM9-flow!AJ52</f>
        <v>0</v>
      </c>
      <c r="AO56" s="882">
        <f>+AO9-flow!AL52</f>
        <v>0</v>
      </c>
      <c r="AQ56" s="882">
        <f>+AQ9-flow!AN52</f>
        <v>0</v>
      </c>
      <c r="AS56" s="882">
        <f>+AS9-flow!AP52</f>
        <v>0</v>
      </c>
      <c r="AT56" s="882"/>
      <c r="AU56" s="882">
        <f>+AU9-flow!AR52</f>
        <v>0</v>
      </c>
      <c r="AV56" s="882"/>
      <c r="AW56" s="882">
        <f>+AW9-flow!AT52</f>
        <v>0</v>
      </c>
      <c r="AX56" s="882"/>
      <c r="AY56" s="882">
        <f>+AY9-flow!AV52</f>
        <v>0</v>
      </c>
      <c r="AZ56" s="882"/>
      <c r="BA56" s="882">
        <f>+BA9-flow!AX52</f>
        <v>0</v>
      </c>
      <c r="BB56" s="882"/>
      <c r="BC56" s="882">
        <f>+BC9-flow!AZ52</f>
        <v>0</v>
      </c>
      <c r="BD56" s="882"/>
      <c r="BE56" s="882">
        <f>+BE9-flow!BB52</f>
        <v>0</v>
      </c>
      <c r="BF56" s="882"/>
      <c r="BG56" s="882">
        <f>+BG9-flow!BD52</f>
        <v>0</v>
      </c>
      <c r="BH56" s="882"/>
      <c r="BI56" s="882">
        <f>+BI9-flow!BF52</f>
        <v>0</v>
      </c>
    </row>
    <row r="57" spans="1:62" outlineLevel="1">
      <c r="Q57" s="798">
        <f>+Q32-Q54</f>
        <v>0</v>
      </c>
      <c r="S57" s="798">
        <f>+S32-S54</f>
        <v>0</v>
      </c>
      <c r="U57" s="798">
        <f>+U32-U54</f>
        <v>0</v>
      </c>
      <c r="W57" s="798">
        <f>+W32-W54</f>
        <v>0</v>
      </c>
      <c r="Y57" s="798">
        <f>+Y32-Y54</f>
        <v>0</v>
      </c>
      <c r="AA57" s="798">
        <f>+AA32-AA54</f>
        <v>0</v>
      </c>
      <c r="AC57" s="798">
        <f>+AC32-AC54</f>
        <v>0</v>
      </c>
      <c r="AE57" s="798">
        <f>+AE32-AE54</f>
        <v>0</v>
      </c>
      <c r="AG57" s="798">
        <f>+AG32-AG54</f>
        <v>0</v>
      </c>
      <c r="AI57" s="798">
        <f>+AI32-AI54</f>
        <v>0</v>
      </c>
      <c r="AK57" s="798">
        <f>+AK32-AK54</f>
        <v>0</v>
      </c>
      <c r="AM57" s="798">
        <f>+AM32-AM54</f>
        <v>0</v>
      </c>
      <c r="AO57" s="798">
        <f>+AO32-AO54</f>
        <v>0</v>
      </c>
      <c r="AQ57" s="798">
        <f>+AQ32-AQ54</f>
        <v>0</v>
      </c>
      <c r="AS57" s="798">
        <f>+AS32-AS54</f>
        <v>0</v>
      </c>
      <c r="AT57" s="798"/>
      <c r="AU57" s="320">
        <f>+AU32-AU54</f>
        <v>-9.9999999997635314E-4</v>
      </c>
      <c r="AV57" s="320"/>
      <c r="AW57" s="320">
        <f>+AW32-AW54</f>
        <v>-9.9999999997635314E-4</v>
      </c>
      <c r="AX57" s="320"/>
      <c r="AY57" s="320">
        <f>+AY32-AY54</f>
        <v>-9.9999999997635314E-4</v>
      </c>
      <c r="AZ57" s="798"/>
      <c r="BA57" s="798">
        <f>+BA32-BA54</f>
        <v>-9.9999999997635314E-4</v>
      </c>
      <c r="BB57" s="798"/>
      <c r="BC57" s="798">
        <f>+BC32-BC54</f>
        <v>-9.9999999997635314E-4</v>
      </c>
      <c r="BD57" s="798"/>
      <c r="BE57" s="798">
        <f>+BE32-BE54</f>
        <v>-9.9999999997635314E-4</v>
      </c>
      <c r="BF57" s="798"/>
      <c r="BG57" s="798">
        <f>+BG32-BG54</f>
        <v>-9.9999999974897946E-4</v>
      </c>
      <c r="BH57" s="798"/>
      <c r="BI57" s="798">
        <f>+BI32-BI54</f>
        <v>-9.9999999997635314E-4</v>
      </c>
    </row>
    <row r="58" spans="1:62">
      <c r="A58" s="675" t="s">
        <v>700</v>
      </c>
    </row>
    <row r="61" spans="1:62" hidden="1" outlineLevel="1">
      <c r="A61" s="989"/>
      <c r="B61" s="215" t="s">
        <v>513</v>
      </c>
      <c r="C61" s="989"/>
      <c r="D61" s="989"/>
      <c r="E61" s="990"/>
      <c r="F61" s="990"/>
      <c r="G61" s="990">
        <f>+G9/'yrP&amp;L'!C57</f>
        <v>1.1635323313615456E-2</v>
      </c>
      <c r="H61" s="990"/>
      <c r="I61" s="990">
        <f>+I9/'yrP&amp;L'!D57</f>
        <v>8.6167317527210772E-3</v>
      </c>
      <c r="J61" s="990"/>
      <c r="K61" s="990">
        <f>+K9/'yrP&amp;L'!E57</f>
        <v>2.0197409792151004E-2</v>
      </c>
      <c r="L61" s="990"/>
      <c r="M61" s="990">
        <f>+M9/'yrP&amp;L'!F57</f>
        <v>9.4339928385736127E-2</v>
      </c>
      <c r="N61" s="990"/>
      <c r="O61" s="990">
        <f>+O9/'yrP&amp;L'!G57</f>
        <v>2.5016945020736588E-2</v>
      </c>
      <c r="P61" s="989"/>
      <c r="Q61" s="990">
        <f>+Q9/'yrP&amp;L'!H57</f>
        <v>2.3964361648050481E-2</v>
      </c>
      <c r="R61" s="989"/>
      <c r="S61" s="990">
        <f>+S9/'yrP&amp;L'!I57</f>
        <v>7.9834863275393492E-2</v>
      </c>
      <c r="T61" s="989"/>
      <c r="U61" s="990">
        <f>+U9/'yrP&amp;L'!J57</f>
        <v>5.0871092787604169E-2</v>
      </c>
      <c r="V61" s="989"/>
      <c r="W61" s="990">
        <f>+W9/'yrP&amp;L'!K57</f>
        <v>8.8999795981995256E-2</v>
      </c>
      <c r="X61" s="989"/>
      <c r="Y61" s="990">
        <f>+Y9/'yrP&amp;L'!L57</f>
        <v>8.007815752516062E-2</v>
      </c>
      <c r="Z61" s="989"/>
      <c r="AA61" s="990">
        <f>+AA9/'yrP&amp;L'!M57</f>
        <v>1.6638524626113982E-2</v>
      </c>
      <c r="AB61" s="989"/>
      <c r="AC61" s="990">
        <f>+AC9/'yrP&amp;L'!N57</f>
        <v>0.20847622890189119</v>
      </c>
      <c r="AD61" s="989"/>
      <c r="AE61" s="990">
        <f>+AE9/'yrP&amp;L'!O57</f>
        <v>7.8256924952511187E-2</v>
      </c>
      <c r="AF61" s="990"/>
      <c r="AG61" s="990">
        <f>+AG9/'yrP&amp;L'!P57</f>
        <v>0.15032898089532665</v>
      </c>
      <c r="AH61" s="990"/>
      <c r="AI61" s="990">
        <f>+AI9/'yrP&amp;L'!Q57</f>
        <v>0.20710843238770549</v>
      </c>
      <c r="AJ61" s="990"/>
      <c r="AK61" s="990">
        <f>+AK9/'yrP&amp;L'!S57</f>
        <v>8.6314243759178622E-2</v>
      </c>
      <c r="AL61" s="990"/>
      <c r="AM61" s="990">
        <f>+AM9/'yrP&amp;L'!S57</f>
        <v>0.36706607929515622</v>
      </c>
      <c r="AN61" s="990"/>
      <c r="AO61" s="990">
        <f>+AO9/'yrP&amp;L'!T57</f>
        <v>0.37079690269906751</v>
      </c>
      <c r="AP61" s="990"/>
      <c r="AQ61" s="990">
        <f>+AQ9/'yrP&amp;L'!U57</f>
        <v>0.21535280562271628</v>
      </c>
      <c r="AR61" s="990"/>
      <c r="AS61" s="990">
        <f>+AS9/'yrP&amp;L'!V57</f>
        <v>0.88826052782329501</v>
      </c>
      <c r="AT61" s="990"/>
      <c r="AU61" s="990">
        <f>+AU9/'yrP&amp;L'!W57</f>
        <v>0.64833034214831964</v>
      </c>
      <c r="AV61" s="990"/>
      <c r="AW61" s="990">
        <f>+AW9/'yrP&amp;L'!X57</f>
        <v>1.0997934028180787</v>
      </c>
      <c r="AX61" s="990"/>
      <c r="AY61" s="990">
        <f>+AY9/'yrP&amp;L'!Y57</f>
        <v>1.2764447421513045</v>
      </c>
      <c r="AZ61" s="990"/>
      <c r="BA61" s="990">
        <f>+BA9/'yrP&amp;L'!Z57</f>
        <v>2.0592994932712796</v>
      </c>
      <c r="BB61" s="990"/>
      <c r="BC61" s="990">
        <f>+BC9/'yrP&amp;L'!AA57</f>
        <v>2.4396285922098646</v>
      </c>
      <c r="BD61" s="990"/>
      <c r="BE61" s="990">
        <f>+BE9/'yrP&amp;L'!AA57</f>
        <v>2.8210430384821672</v>
      </c>
      <c r="BF61" s="990"/>
      <c r="BG61" s="990">
        <f>+BG9/'yrP&amp;L'!AC57</f>
        <v>3.5009729501292086</v>
      </c>
      <c r="BH61" s="990"/>
      <c r="BI61" s="990" t="e">
        <f>+BI9/'yrP&amp;L'!AE57</f>
        <v>#DIV/0!</v>
      </c>
      <c r="BJ61" s="989"/>
    </row>
    <row r="62" spans="1:62" hidden="1" outlineLevel="1">
      <c r="A62" s="989"/>
      <c r="B62" s="215" t="s">
        <v>339</v>
      </c>
      <c r="C62" s="989"/>
      <c r="D62" s="989"/>
      <c r="E62" s="989"/>
      <c r="F62" s="989"/>
      <c r="G62" s="990">
        <f>+(G9+G10)/'yrP&amp;L'!C57</f>
        <v>1.1635323313615456E-2</v>
      </c>
      <c r="H62" s="990"/>
      <c r="I62" s="990">
        <f>+(I9+I10)/'yrP&amp;L'!D57</f>
        <v>8.6167317527210772E-3</v>
      </c>
      <c r="J62" s="990"/>
      <c r="K62" s="990">
        <f>+(K9+K10)/'yrP&amp;L'!E57</f>
        <v>2.0197409792151004E-2</v>
      </c>
      <c r="L62" s="990"/>
      <c r="M62" s="990">
        <f>+(M9+M10)/'yrP&amp;L'!F57</f>
        <v>9.4339928385736127E-2</v>
      </c>
      <c r="N62" s="990"/>
      <c r="O62" s="990">
        <f>+(O9+O10)/'yrP&amp;L'!G57</f>
        <v>0.11296758205661397</v>
      </c>
      <c r="P62" s="989"/>
      <c r="Q62" s="990">
        <f>+(Q10+Q10)/'yrP&amp;L'!H57</f>
        <v>0.17414377822282553</v>
      </c>
      <c r="R62" s="989"/>
      <c r="S62" s="990">
        <f>+(S10+S10)/'yrP&amp;L'!I57</f>
        <v>0.48256717583887082</v>
      </c>
      <c r="T62" s="989"/>
      <c r="U62" s="990">
        <f>+(U10+U10)/'yrP&amp;L'!J57</f>
        <v>1.060013946895048</v>
      </c>
      <c r="V62" s="989"/>
      <c r="W62" s="990">
        <f>+(W10+W10)/'yrP&amp;L'!K57</f>
        <v>1.1860466218754369</v>
      </c>
      <c r="X62" s="989"/>
      <c r="Y62" s="990">
        <f>+(Y10+Y10)/'yrP&amp;L'!L57</f>
        <v>2.7887915003691388</v>
      </c>
      <c r="Z62" s="989"/>
      <c r="AA62" s="990">
        <f>+(AA10+AA10)/'yrP&amp;L'!M57</f>
        <v>4.4016161571860888</v>
      </c>
      <c r="AB62" s="989"/>
      <c r="AC62" s="990">
        <f>+(AC10+AC10)/'yrP&amp;L'!N57</f>
        <v>2.6711496648958826</v>
      </c>
      <c r="AD62" s="989"/>
      <c r="AE62" s="990">
        <f>+(AE10+AE10)/'yrP&amp;L'!O57</f>
        <v>2.953916815514162</v>
      </c>
      <c r="AF62" s="990"/>
      <c r="AG62" s="990">
        <f>+(AG10+AG10)/'yrP&amp;L'!P57</f>
        <v>2.7422964112204569</v>
      </c>
      <c r="AH62" s="990"/>
      <c r="AI62" s="990">
        <f>+(AI10+AI10)/'yrP&amp;L'!Q57</f>
        <v>4.3218642722159482</v>
      </c>
      <c r="AJ62" s="990"/>
      <c r="AK62" s="990">
        <f>+(AK10+AK10)/'yrP&amp;L'!S57</f>
        <v>6.2733509544787083</v>
      </c>
      <c r="AL62" s="990"/>
      <c r="AM62" s="990">
        <f>+(AM10+AM10)/'yrP&amp;L'!S57</f>
        <v>2.2194889867841407</v>
      </c>
      <c r="AN62" s="990"/>
      <c r="AO62" s="990">
        <f>+(AO10+AO10)/'yrP&amp;L'!T57</f>
        <v>3.278195427757141</v>
      </c>
      <c r="AP62" s="990"/>
      <c r="AQ62" s="990">
        <f>+(AQ10+AQ10)/'yrP&amp;L'!U57</f>
        <v>1.4505490743146183</v>
      </c>
      <c r="AR62" s="990"/>
      <c r="AS62" s="990">
        <f>+(AS10+AS10)/'yrP&amp;L'!V57</f>
        <v>1.9098757044082972</v>
      </c>
      <c r="AT62" s="990"/>
      <c r="AU62" s="990">
        <f>+(AU10+AU10)/'yrP&amp;L'!W57</f>
        <v>0.96177770089591375</v>
      </c>
      <c r="AV62" s="990"/>
      <c r="AW62" s="990">
        <f>+(AW10+AW10)/'yrP&amp;L'!X57</f>
        <v>0.77949813134009605</v>
      </c>
      <c r="AX62" s="990"/>
      <c r="AY62" s="990">
        <f>+(AY10+AY10)/'yrP&amp;L'!Y57</f>
        <v>0.95787182124829551</v>
      </c>
      <c r="AZ62" s="990"/>
      <c r="BA62" s="990">
        <f>+(BA10+BA10)/'yrP&amp;L'!Z57</f>
        <v>0.99567865076645934</v>
      </c>
      <c r="BB62" s="990"/>
      <c r="BC62" s="990">
        <f>+(BC10+BC10)/'yrP&amp;L'!AA57</f>
        <v>1.0580840887613632</v>
      </c>
      <c r="BD62" s="990"/>
      <c r="BE62" s="990">
        <f>+(BE10+BE10)/'yrP&amp;L'!AA57</f>
        <v>1.0580840887613632</v>
      </c>
      <c r="BF62" s="990"/>
      <c r="BG62" s="990">
        <f>+(BG10+BG10)/'yrP&amp;L'!AC57</f>
        <v>1.1413885634903909</v>
      </c>
      <c r="BH62" s="990"/>
      <c r="BI62" s="990" t="e">
        <f>+(BI10+BI10)/'yrP&amp;L'!AE57</f>
        <v>#DIV/0!</v>
      </c>
      <c r="BJ62" s="989"/>
    </row>
    <row r="63" spans="1:62" hidden="1" outlineLevel="1">
      <c r="A63" s="989"/>
      <c r="B63" s="215"/>
      <c r="C63" s="989"/>
      <c r="D63" s="989"/>
      <c r="E63" s="989"/>
      <c r="F63" s="989"/>
      <c r="G63" s="989"/>
      <c r="H63" s="989"/>
      <c r="I63" s="989"/>
      <c r="J63" s="989"/>
      <c r="K63" s="989"/>
      <c r="L63" s="989"/>
      <c r="M63" s="989"/>
      <c r="N63" s="989"/>
      <c r="O63" s="989"/>
      <c r="P63" s="989"/>
      <c r="Q63" s="989"/>
      <c r="R63" s="989"/>
      <c r="S63" s="989"/>
      <c r="T63" s="989"/>
      <c r="U63" s="989"/>
      <c r="V63" s="989"/>
      <c r="W63" s="989"/>
      <c r="X63" s="989"/>
      <c r="Y63" s="989"/>
      <c r="Z63" s="989"/>
      <c r="AA63" s="989"/>
      <c r="AB63" s="989"/>
      <c r="AC63" s="989"/>
      <c r="AD63" s="989"/>
      <c r="AE63" s="989"/>
      <c r="AF63" s="989"/>
      <c r="AG63" s="989"/>
      <c r="AH63" s="989"/>
      <c r="AI63" s="989"/>
      <c r="AJ63" s="989"/>
      <c r="AK63" s="989"/>
      <c r="AL63" s="989"/>
      <c r="AM63" s="989"/>
      <c r="AN63" s="989"/>
      <c r="AO63" s="989"/>
      <c r="AP63" s="989"/>
      <c r="AQ63" s="989"/>
      <c r="AR63" s="989"/>
      <c r="AS63" s="989"/>
      <c r="AT63" s="989"/>
      <c r="AU63" s="989"/>
      <c r="AV63" s="989"/>
      <c r="AW63" s="989"/>
      <c r="AX63" s="989"/>
      <c r="AY63" s="989"/>
      <c r="AZ63" s="989"/>
      <c r="BA63" s="989"/>
      <c r="BB63" s="989"/>
      <c r="BC63" s="989"/>
      <c r="BD63" s="989"/>
      <c r="BE63" s="989"/>
      <c r="BF63" s="989"/>
      <c r="BG63" s="989"/>
      <c r="BH63" s="989"/>
      <c r="BI63" s="989"/>
      <c r="BJ63" s="989"/>
    </row>
    <row r="64" spans="1:62" hidden="1" outlineLevel="1">
      <c r="A64" s="989"/>
      <c r="B64" s="991"/>
      <c r="C64" s="991"/>
      <c r="D64" s="992"/>
      <c r="E64" s="992"/>
      <c r="F64" s="992"/>
      <c r="G64" s="992"/>
      <c r="H64" s="992"/>
      <c r="I64" s="992"/>
      <c r="J64" s="992"/>
      <c r="K64" s="992"/>
      <c r="L64" s="992"/>
      <c r="M64" s="992"/>
      <c r="N64" s="992"/>
      <c r="O64" s="992"/>
      <c r="P64" s="992"/>
      <c r="Q64" s="992"/>
      <c r="R64" s="992"/>
      <c r="S64" s="992"/>
      <c r="T64" s="992"/>
      <c r="U64" s="992"/>
      <c r="V64" s="992"/>
      <c r="W64" s="992"/>
      <c r="X64" s="992"/>
      <c r="Y64" s="992"/>
      <c r="Z64" s="992"/>
      <c r="AA64" s="992"/>
      <c r="AB64" s="992"/>
      <c r="AC64" s="992"/>
      <c r="AD64" s="992"/>
      <c r="AE64" s="992"/>
      <c r="AF64" s="992"/>
      <c r="AG64" s="992"/>
      <c r="AH64" s="992"/>
      <c r="AI64" s="992"/>
      <c r="AJ64" s="992"/>
      <c r="AK64" s="992"/>
      <c r="AL64" s="992"/>
      <c r="AM64" s="992"/>
      <c r="AN64" s="992"/>
      <c r="AO64" s="992"/>
      <c r="AP64" s="992"/>
      <c r="AQ64" s="992"/>
      <c r="AR64" s="992"/>
      <c r="AS64" s="992"/>
      <c r="AT64" s="992"/>
      <c r="AU64" s="992"/>
      <c r="AV64" s="992"/>
      <c r="AW64" s="992"/>
      <c r="AX64" s="992"/>
      <c r="AY64" s="992"/>
      <c r="AZ64" s="992"/>
      <c r="BA64" s="992"/>
      <c r="BB64" s="992"/>
      <c r="BC64" s="992"/>
      <c r="BD64" s="992"/>
      <c r="BE64" s="992"/>
      <c r="BF64" s="992"/>
      <c r="BG64" s="992"/>
      <c r="BH64" s="992"/>
      <c r="BI64" s="992"/>
      <c r="BJ64" s="989"/>
    </row>
    <row r="65" spans="1:62" hidden="1" outlineLevel="1">
      <c r="A65" s="989"/>
      <c r="B65" s="215" t="s">
        <v>159</v>
      </c>
      <c r="C65" s="989"/>
      <c r="D65" s="989"/>
      <c r="E65" s="989"/>
      <c r="F65" s="989"/>
      <c r="G65" s="989"/>
      <c r="H65" s="989"/>
      <c r="I65" s="989"/>
      <c r="J65" s="989"/>
      <c r="K65" s="989"/>
      <c r="L65" s="989"/>
      <c r="M65" s="989"/>
      <c r="N65" s="989"/>
      <c r="O65" s="993">
        <v>0</v>
      </c>
      <c r="P65" s="215"/>
      <c r="Q65" s="993">
        <v>0</v>
      </c>
      <c r="R65" s="215"/>
      <c r="S65" s="993">
        <v>0</v>
      </c>
      <c r="T65" s="215"/>
      <c r="U65" s="993">
        <v>0</v>
      </c>
      <c r="V65" s="215"/>
      <c r="W65" s="993">
        <v>0</v>
      </c>
      <c r="X65" s="215"/>
      <c r="Y65" s="993">
        <v>0</v>
      </c>
      <c r="Z65" s="215"/>
      <c r="AA65" s="993">
        <v>0</v>
      </c>
      <c r="AB65" s="994"/>
      <c r="AC65" s="993">
        <v>0</v>
      </c>
      <c r="AD65" s="989"/>
      <c r="AE65" s="993">
        <v>0</v>
      </c>
      <c r="AF65" s="993"/>
      <c r="AG65" s="993">
        <v>0</v>
      </c>
      <c r="AH65" s="993"/>
      <c r="AI65" s="993">
        <v>0</v>
      </c>
      <c r="AJ65" s="993"/>
      <c r="AK65" s="993">
        <v>0</v>
      </c>
      <c r="AL65" s="993"/>
      <c r="AM65" s="993">
        <v>0</v>
      </c>
      <c r="AN65" s="993"/>
      <c r="AO65" s="993">
        <v>0</v>
      </c>
      <c r="AP65" s="993"/>
      <c r="AQ65" s="993">
        <v>0</v>
      </c>
      <c r="AR65" s="993"/>
      <c r="AS65" s="993">
        <v>0</v>
      </c>
      <c r="AT65" s="993"/>
      <c r="AU65" s="993">
        <v>0</v>
      </c>
      <c r="AV65" s="993"/>
      <c r="AW65" s="993">
        <v>0</v>
      </c>
      <c r="AX65" s="993"/>
      <c r="AY65" s="993">
        <v>0</v>
      </c>
      <c r="AZ65" s="993"/>
      <c r="BA65" s="993">
        <v>0</v>
      </c>
      <c r="BB65" s="993"/>
      <c r="BC65" s="993">
        <v>0</v>
      </c>
      <c r="BD65" s="993"/>
      <c r="BE65" s="993">
        <v>0</v>
      </c>
      <c r="BF65" s="993"/>
      <c r="BG65" s="993">
        <v>0</v>
      </c>
      <c r="BH65" s="993"/>
      <c r="BI65" s="993">
        <v>0</v>
      </c>
      <c r="BJ65" s="989"/>
    </row>
    <row r="66" spans="1:62" hidden="1" outlineLevel="1">
      <c r="A66" s="989"/>
      <c r="B66" s="215" t="s">
        <v>160</v>
      </c>
      <c r="C66" s="989"/>
      <c r="D66" s="989"/>
      <c r="E66" s="989"/>
      <c r="F66" s="989"/>
      <c r="G66" s="989"/>
      <c r="H66" s="989"/>
      <c r="I66" s="989"/>
      <c r="J66" s="989"/>
      <c r="K66" s="989"/>
      <c r="L66" s="989"/>
      <c r="M66" s="989"/>
      <c r="N66" s="989"/>
      <c r="O66" s="995">
        <v>0</v>
      </c>
      <c r="P66" s="996"/>
      <c r="Q66" s="995">
        <v>0</v>
      </c>
      <c r="R66" s="996"/>
      <c r="S66" s="995">
        <v>0</v>
      </c>
      <c r="T66" s="996"/>
      <c r="U66" s="995">
        <v>0</v>
      </c>
      <c r="V66" s="996"/>
      <c r="W66" s="995">
        <v>0</v>
      </c>
      <c r="X66" s="996"/>
      <c r="Y66" s="995">
        <v>0</v>
      </c>
      <c r="Z66" s="996"/>
      <c r="AA66" s="995">
        <v>0</v>
      </c>
      <c r="AB66" s="997"/>
      <c r="AC66" s="995">
        <v>0</v>
      </c>
      <c r="AD66" s="1019"/>
      <c r="AE66" s="995">
        <v>0</v>
      </c>
      <c r="AF66" s="995"/>
      <c r="AG66" s="995">
        <v>0</v>
      </c>
      <c r="AH66" s="995"/>
      <c r="AI66" s="995">
        <v>0</v>
      </c>
      <c r="AJ66" s="995"/>
      <c r="AK66" s="995">
        <v>0</v>
      </c>
      <c r="AL66" s="995"/>
      <c r="AM66" s="995">
        <v>0</v>
      </c>
      <c r="AN66" s="995"/>
      <c r="AO66" s="995">
        <v>0</v>
      </c>
      <c r="AP66" s="995"/>
      <c r="AQ66" s="995">
        <v>0</v>
      </c>
      <c r="AR66" s="995"/>
      <c r="AS66" s="995">
        <v>0</v>
      </c>
      <c r="AT66" s="995"/>
      <c r="AU66" s="995">
        <v>0</v>
      </c>
      <c r="AV66" s="995"/>
      <c r="AW66" s="995">
        <v>0</v>
      </c>
      <c r="AX66" s="995"/>
      <c r="AY66" s="995">
        <v>0</v>
      </c>
      <c r="AZ66" s="995"/>
      <c r="BA66" s="995">
        <v>0</v>
      </c>
      <c r="BB66" s="995"/>
      <c r="BC66" s="995">
        <v>0</v>
      </c>
      <c r="BD66" s="995"/>
      <c r="BE66" s="995">
        <v>0</v>
      </c>
      <c r="BF66" s="995"/>
      <c r="BG66" s="995">
        <v>0</v>
      </c>
      <c r="BH66" s="995"/>
      <c r="BI66" s="995">
        <v>0</v>
      </c>
      <c r="BJ66" s="989"/>
    </row>
    <row r="67" spans="1:62" hidden="1" outlineLevel="1">
      <c r="A67" s="989"/>
      <c r="B67" s="215" t="s">
        <v>161</v>
      </c>
      <c r="C67" s="989"/>
      <c r="D67" s="989"/>
      <c r="E67" s="989"/>
      <c r="F67" s="989"/>
      <c r="G67" s="989"/>
      <c r="H67" s="989"/>
      <c r="I67" s="989"/>
      <c r="J67" s="989"/>
      <c r="K67" s="989"/>
      <c r="L67" s="989"/>
      <c r="M67" s="989"/>
      <c r="N67" s="989"/>
      <c r="O67" s="993">
        <f>O65-O66</f>
        <v>0</v>
      </c>
      <c r="P67" s="215"/>
      <c r="Q67" s="993">
        <f>Q65-Q66</f>
        <v>0</v>
      </c>
      <c r="R67" s="215"/>
      <c r="S67" s="993">
        <f>S65-S66</f>
        <v>0</v>
      </c>
      <c r="T67" s="215"/>
      <c r="U67" s="993">
        <f>U65-U66</f>
        <v>0</v>
      </c>
      <c r="V67" s="215"/>
      <c r="W67" s="993">
        <f>W65-W66</f>
        <v>0</v>
      </c>
      <c r="X67" s="215"/>
      <c r="Y67" s="993">
        <f>Y65-Y66</f>
        <v>0</v>
      </c>
      <c r="Z67" s="215"/>
      <c r="AA67" s="993">
        <f>AA65-AA66</f>
        <v>0</v>
      </c>
      <c r="AB67" s="994"/>
      <c r="AC67" s="993">
        <f>AC65-AC66</f>
        <v>0</v>
      </c>
      <c r="AD67" s="989"/>
      <c r="AE67" s="993">
        <f>AE65-AE66</f>
        <v>0</v>
      </c>
      <c r="AF67" s="993"/>
      <c r="AG67" s="993">
        <f>AG65-AG66</f>
        <v>0</v>
      </c>
      <c r="AH67" s="993"/>
      <c r="AI67" s="993">
        <f>AI65-AI66</f>
        <v>0</v>
      </c>
      <c r="AJ67" s="993"/>
      <c r="AK67" s="993">
        <f>AK65-AK66</f>
        <v>0</v>
      </c>
      <c r="AL67" s="993"/>
      <c r="AM67" s="993">
        <f>AM65-AM66</f>
        <v>0</v>
      </c>
      <c r="AN67" s="993"/>
      <c r="AO67" s="993">
        <f>AO65-AO66</f>
        <v>0</v>
      </c>
      <c r="AP67" s="993"/>
      <c r="AQ67" s="993">
        <f>AQ65-AQ66</f>
        <v>0</v>
      </c>
      <c r="AR67" s="993"/>
      <c r="AS67" s="993">
        <f>AS65-AS66</f>
        <v>0</v>
      </c>
      <c r="AT67" s="993"/>
      <c r="AU67" s="993">
        <f>AU65-AU66</f>
        <v>0</v>
      </c>
      <c r="AV67" s="993"/>
      <c r="AW67" s="993">
        <f>AW65-AW66</f>
        <v>0</v>
      </c>
      <c r="AX67" s="993"/>
      <c r="AY67" s="993">
        <f>AY65-AY66</f>
        <v>0</v>
      </c>
      <c r="AZ67" s="993"/>
      <c r="BA67" s="993">
        <f>BA65-BA66</f>
        <v>0</v>
      </c>
      <c r="BB67" s="993"/>
      <c r="BC67" s="993">
        <f>BC65-BC66</f>
        <v>0</v>
      </c>
      <c r="BD67" s="993"/>
      <c r="BE67" s="993">
        <f>BE65-BE66</f>
        <v>0</v>
      </c>
      <c r="BF67" s="993"/>
      <c r="BG67" s="993">
        <f>BG65-BG66</f>
        <v>0</v>
      </c>
      <c r="BH67" s="993"/>
      <c r="BI67" s="993">
        <f>BI65-BI66</f>
        <v>0</v>
      </c>
      <c r="BJ67" s="989"/>
    </row>
    <row r="68" spans="1:62" hidden="1" outlineLevel="1">
      <c r="A68" s="989"/>
      <c r="B68" s="215" t="s">
        <v>162</v>
      </c>
      <c r="C68" s="989"/>
      <c r="D68" s="989"/>
      <c r="E68" s="989"/>
      <c r="F68" s="989"/>
      <c r="G68" s="989"/>
      <c r="H68" s="989"/>
      <c r="I68" s="989"/>
      <c r="J68" s="989"/>
      <c r="K68" s="989"/>
      <c r="L68" s="989"/>
      <c r="M68" s="989"/>
      <c r="N68" s="989"/>
      <c r="O68" s="993">
        <v>0</v>
      </c>
      <c r="P68" s="215"/>
      <c r="Q68" s="993">
        <v>0</v>
      </c>
      <c r="R68" s="215"/>
      <c r="S68" s="993">
        <v>0</v>
      </c>
      <c r="T68" s="215"/>
      <c r="U68" s="993">
        <v>0</v>
      </c>
      <c r="V68" s="215"/>
      <c r="W68" s="993">
        <v>34.042999999999999</v>
      </c>
      <c r="X68" s="215"/>
      <c r="Y68" s="993">
        <v>34.042000000000002</v>
      </c>
      <c r="Z68" s="215"/>
      <c r="AA68" s="993">
        <f>+AA28</f>
        <v>34.040999999999997</v>
      </c>
      <c r="AB68" s="994"/>
      <c r="AC68" s="993">
        <f>+AC28</f>
        <v>34.04</v>
      </c>
      <c r="AD68" s="989"/>
      <c r="AE68" s="993">
        <f>+AE28</f>
        <v>38.93</v>
      </c>
      <c r="AF68" s="993"/>
      <c r="AG68" s="993">
        <f>+AG28</f>
        <v>38.93</v>
      </c>
      <c r="AH68" s="993"/>
      <c r="AI68" s="993">
        <f>+AI28</f>
        <v>38.93</v>
      </c>
      <c r="AJ68" s="993"/>
      <c r="AK68" s="993">
        <f>+AK28</f>
        <v>38.93</v>
      </c>
      <c r="AL68" s="993"/>
      <c r="AM68" s="993">
        <f>+AM28</f>
        <v>132.11199999999999</v>
      </c>
      <c r="AN68" s="993"/>
      <c r="AO68" s="993">
        <f>+AO28</f>
        <v>127.754</v>
      </c>
      <c r="AP68" s="993"/>
      <c r="AQ68" s="993">
        <f>+AQ28</f>
        <v>118.196</v>
      </c>
      <c r="AR68" s="993"/>
      <c r="AS68" s="993">
        <f>+AS28</f>
        <v>109.538</v>
      </c>
      <c r="AT68" s="993"/>
      <c r="AU68" s="993">
        <f>+AU28</f>
        <v>38.93</v>
      </c>
      <c r="AV68" s="993"/>
      <c r="AW68" s="993">
        <f>+AW28</f>
        <v>38.93</v>
      </c>
      <c r="AX68" s="993"/>
      <c r="AY68" s="993">
        <f>+AY28</f>
        <v>38.93</v>
      </c>
      <c r="AZ68" s="993"/>
      <c r="BA68" s="993">
        <f>+BA28</f>
        <v>38.93</v>
      </c>
      <c r="BB68" s="993"/>
      <c r="BC68" s="993">
        <f>+BC28</f>
        <v>38.93</v>
      </c>
      <c r="BD68" s="993"/>
      <c r="BE68" s="993">
        <f>+BE28</f>
        <v>38.93</v>
      </c>
      <c r="BF68" s="993"/>
      <c r="BG68" s="993">
        <f>+BG28</f>
        <v>38.93</v>
      </c>
      <c r="BH68" s="993"/>
      <c r="BI68" s="993">
        <f>+BI28</f>
        <v>38.93</v>
      </c>
      <c r="BJ68" s="989"/>
    </row>
    <row r="69" spans="1:62" hidden="1" outlineLevel="1">
      <c r="A69" s="989"/>
      <c r="B69" s="215" t="s">
        <v>163</v>
      </c>
      <c r="C69" s="989"/>
      <c r="D69" s="989"/>
      <c r="E69" s="989"/>
      <c r="F69" s="989"/>
      <c r="G69" s="989"/>
      <c r="H69" s="989"/>
      <c r="I69" s="989"/>
      <c r="J69" s="989"/>
      <c r="K69" s="989"/>
      <c r="L69" s="989"/>
      <c r="M69" s="989"/>
      <c r="N69" s="989"/>
      <c r="O69" s="993">
        <f t="shared" ref="O69:AA69" si="0">+O29</f>
        <v>0.64021099999999997</v>
      </c>
      <c r="P69" s="993"/>
      <c r="Q69" s="993">
        <f t="shared" si="0"/>
        <v>0.68854700000000002</v>
      </c>
      <c r="R69" s="993"/>
      <c r="S69" s="993">
        <f t="shared" si="0"/>
        <v>0.92253499999999999</v>
      </c>
      <c r="T69" s="993"/>
      <c r="U69" s="993">
        <f t="shared" si="0"/>
        <v>2.3132419999999998</v>
      </c>
      <c r="V69" s="993"/>
      <c r="W69" s="993">
        <f t="shared" si="0"/>
        <v>5.399</v>
      </c>
      <c r="X69" s="993"/>
      <c r="Y69" s="993">
        <f t="shared" si="0"/>
        <v>7.3609999999999998</v>
      </c>
      <c r="Z69" s="993"/>
      <c r="AA69" s="993">
        <f t="shared" si="0"/>
        <v>19.666</v>
      </c>
      <c r="AB69" s="993"/>
      <c r="AC69" s="993">
        <f>+AC29</f>
        <v>21.065000000000001</v>
      </c>
      <c r="AD69" s="989"/>
      <c r="AE69" s="993">
        <f>+AE29</f>
        <v>37.232999999999997</v>
      </c>
      <c r="AF69" s="993"/>
      <c r="AG69" s="993">
        <f>+AG29</f>
        <v>5.101</v>
      </c>
      <c r="AH69" s="993"/>
      <c r="AI69" s="993">
        <f>+AI29</f>
        <v>25.268999999999998</v>
      </c>
      <c r="AJ69" s="993"/>
      <c r="AK69" s="993">
        <f>+AK29</f>
        <v>5.2110000000000003</v>
      </c>
      <c r="AL69" s="993"/>
      <c r="AM69" s="993">
        <f>+AM29</f>
        <v>3.0909999999999997</v>
      </c>
      <c r="AN69" s="993"/>
      <c r="AO69" s="993">
        <f>+AO29</f>
        <v>3.2679999999999998</v>
      </c>
      <c r="AP69" s="993"/>
      <c r="AQ69" s="993">
        <f>+AQ29</f>
        <v>9.2289999999999992</v>
      </c>
      <c r="AR69" s="993"/>
      <c r="AS69" s="993">
        <f>+AS29</f>
        <v>14.31</v>
      </c>
      <c r="AT69" s="993"/>
      <c r="AU69" s="993">
        <f>+AU29</f>
        <v>14.074</v>
      </c>
      <c r="AV69" s="993"/>
      <c r="AW69" s="993">
        <f>+AW29</f>
        <v>18.478999999999999</v>
      </c>
      <c r="AX69" s="993"/>
      <c r="AY69" s="993">
        <f>+AY29</f>
        <v>16.338000000000001</v>
      </c>
      <c r="AZ69" s="993"/>
      <c r="BA69" s="993">
        <f>+BA29</f>
        <v>16.338000000000001</v>
      </c>
      <c r="BB69" s="993"/>
      <c r="BC69" s="993">
        <f>+BC29</f>
        <v>16.338000000000001</v>
      </c>
      <c r="BD69" s="993"/>
      <c r="BE69" s="993">
        <f>+BE29</f>
        <v>16.338000000000001</v>
      </c>
      <c r="BF69" s="993"/>
      <c r="BG69" s="993">
        <f>+BG29</f>
        <v>16.338000000000001</v>
      </c>
      <c r="BH69" s="993"/>
      <c r="BI69" s="993">
        <f>+BI29</f>
        <v>16.338000000000001</v>
      </c>
      <c r="BJ69" s="989"/>
    </row>
    <row r="70" spans="1:62" hidden="1" outlineLevel="1">
      <c r="B70" s="998"/>
      <c r="C70" s="989" t="s">
        <v>421</v>
      </c>
      <c r="D70" s="989"/>
      <c r="E70" s="989"/>
      <c r="F70" s="989"/>
      <c r="G70" s="989"/>
      <c r="H70" s="989"/>
      <c r="I70" s="989"/>
      <c r="J70" s="989"/>
      <c r="K70" s="989"/>
      <c r="L70" s="989"/>
      <c r="M70" s="989"/>
      <c r="N70" s="989"/>
      <c r="O70" s="993">
        <v>41.216999999999999</v>
      </c>
      <c r="P70" s="215"/>
      <c r="Q70" s="993">
        <v>80.198000000000008</v>
      </c>
      <c r="R70" s="215"/>
      <c r="S70" s="993">
        <v>114.307</v>
      </c>
      <c r="T70" s="215"/>
      <c r="U70" s="993">
        <v>175.39500000000001</v>
      </c>
      <c r="V70" s="215"/>
      <c r="W70" s="993">
        <v>231.38499999999999</v>
      </c>
      <c r="X70" s="215"/>
      <c r="Y70" s="993">
        <v>341.79689999999999</v>
      </c>
      <c r="Z70" s="215"/>
      <c r="AA70" s="993">
        <f>+Y70+flow!X18</f>
        <v>489.43189999999998</v>
      </c>
      <c r="AB70" s="994"/>
      <c r="AC70" s="993">
        <f>+AA70+flow!Z18</f>
        <v>707.74289999999996</v>
      </c>
      <c r="AD70" s="989"/>
      <c r="AE70" s="993">
        <f>+AC70+flow!AB18</f>
        <v>909.96589999999992</v>
      </c>
      <c r="AF70" s="993"/>
      <c r="AG70" s="993">
        <f>+AE70+flow!AD18</f>
        <v>1014.5808999999999</v>
      </c>
      <c r="AH70" s="993"/>
      <c r="AI70" s="993">
        <f>+AG70+flow!AF18</f>
        <v>1082.5009</v>
      </c>
      <c r="AJ70" s="993"/>
      <c r="AK70" s="993">
        <f>+AI70+flow!AH18</f>
        <v>1155.5459000000001</v>
      </c>
      <c r="AL70" s="993"/>
      <c r="AM70" s="993">
        <f>+AK70+flow!AJ18</f>
        <v>1287.3029000000001</v>
      </c>
      <c r="AN70" s="993"/>
      <c r="AO70" s="993">
        <f>+AM70+flow!AL18</f>
        <v>1451.9929000000002</v>
      </c>
      <c r="AP70" s="993"/>
      <c r="AQ70" s="993">
        <f>+AO70+flow!AN18</f>
        <v>1590.5029000000002</v>
      </c>
      <c r="AR70" s="993"/>
      <c r="AS70" s="993">
        <f>+AQ70+flow!AP18</f>
        <v>1710.3199000000002</v>
      </c>
      <c r="AT70" s="993"/>
      <c r="AU70" s="993">
        <f>+AS70+flow!AR18</f>
        <v>1795.1609000000001</v>
      </c>
      <c r="AV70" s="993"/>
      <c r="AW70" s="993">
        <f>+AU70+flow!AT18</f>
        <v>1842.9969000000001</v>
      </c>
      <c r="AX70" s="993"/>
      <c r="AY70" s="993">
        <f>+AW70+flow!AV18</f>
        <v>1891.5269000000001</v>
      </c>
      <c r="AZ70" s="993"/>
      <c r="BA70" s="993">
        <f>+AY70+flow!AX18</f>
        <v>1966.5269000000001</v>
      </c>
      <c r="BB70" s="993"/>
      <c r="BC70" s="993">
        <f>+BA70+flow!AZ18</f>
        <v>2041.5269000000001</v>
      </c>
      <c r="BD70" s="993"/>
      <c r="BE70" s="993">
        <f>+BC70+flow!BD18</f>
        <v>2116.5268999999998</v>
      </c>
      <c r="BF70" s="993"/>
      <c r="BG70" s="993">
        <f>+BE70+flow!BH18</f>
        <v>2116.5268999999998</v>
      </c>
      <c r="BH70" s="993"/>
      <c r="BI70" s="993">
        <f>+BG70+flow!BJ18</f>
        <v>2116.5268999999998</v>
      </c>
    </row>
    <row r="71" spans="1:62" collapsed="1">
      <c r="O71" s="794"/>
      <c r="Q71" s="794"/>
      <c r="S71" s="794"/>
    </row>
    <row r="73" spans="1:62">
      <c r="A73" s="26" t="s">
        <v>68</v>
      </c>
    </row>
    <row r="75" spans="1:62">
      <c r="B75" s="26" t="s">
        <v>64</v>
      </c>
      <c r="E75" s="692">
        <f>+'qtrP&amp;L'!D14</f>
        <v>59.271447999999999</v>
      </c>
      <c r="G75" s="692">
        <f>'qtrP&amp;L'!H14</f>
        <v>60.343188000000005</v>
      </c>
      <c r="I75" s="692">
        <f>'qtrP&amp;L'!L14</f>
        <v>64.072604999999996</v>
      </c>
      <c r="K75" s="692">
        <f>'qtrP&amp;L'!P14</f>
        <v>75.339151999999999</v>
      </c>
      <c r="M75" s="692">
        <f>'qtrP&amp;L'!T14</f>
        <v>106.74159300000001</v>
      </c>
      <c r="O75" s="692">
        <f>'qtrP&amp;L'!X14</f>
        <v>155.00228100000001</v>
      </c>
      <c r="Q75" s="692">
        <f>'qtrP&amp;L'!AB14</f>
        <v>259.44589599999995</v>
      </c>
      <c r="S75" s="692">
        <f>+'qtrP&amp;L'!AF14</f>
        <v>378.08533999999997</v>
      </c>
      <c r="U75" s="692">
        <f>+'qtrP&amp;L'!AJ14</f>
        <v>531.10814500000004</v>
      </c>
      <c r="W75" s="692">
        <f>+'qtrP&amp;L'!AN14</f>
        <v>768.49907299999995</v>
      </c>
      <c r="Y75" s="692">
        <f>+'yrP&amp;L'!L7</f>
        <v>1066.8820000000001</v>
      </c>
      <c r="AA75" s="692">
        <f>+'yrP&amp;L'!M7</f>
        <v>1404.575</v>
      </c>
      <c r="AC75" s="692">
        <f>+'yrP&amp;L'!N7</f>
        <v>1640.9270000000001</v>
      </c>
      <c r="AD75" s="692"/>
      <c r="AE75" s="692">
        <f>+'yrP&amp;L'!O7</f>
        <v>1714.327</v>
      </c>
      <c r="AF75" s="692"/>
      <c r="AG75" s="692">
        <f>+'yrP&amp;L'!P7</f>
        <v>1582.404</v>
      </c>
      <c r="AH75" s="692"/>
      <c r="AI75" s="692">
        <f>+'yrP&amp;L'!Q7</f>
        <v>1713.1510000000001</v>
      </c>
      <c r="AJ75" s="692"/>
      <c r="AK75" s="692">
        <f>+'yrP&amp;L'!R7</f>
        <v>1904.9839999999999</v>
      </c>
      <c r="AL75" s="692"/>
      <c r="AM75" s="692">
        <f>+'yrP&amp;L'!S7</f>
        <v>2196.36</v>
      </c>
      <c r="AN75" s="692"/>
      <c r="AO75" s="692">
        <f>+'yrP&amp;L'!T7</f>
        <v>2581.0569999999998</v>
      </c>
      <c r="AP75" s="692"/>
      <c r="AQ75" s="692">
        <f>+'yrP&amp;L'!U7</f>
        <v>2586.0369999999998</v>
      </c>
      <c r="AR75" s="692"/>
      <c r="AS75" s="692">
        <f>+'yrP&amp;L'!V7</f>
        <v>2590.3340000000003</v>
      </c>
      <c r="AT75" s="692"/>
      <c r="AU75" s="692">
        <f>'yrP&amp;L'!W7</f>
        <v>2573.5860000000002</v>
      </c>
      <c r="AV75" s="692"/>
      <c r="AW75" s="692">
        <f>'yrP&amp;L'!Y7</f>
        <v>2282.3789999999999</v>
      </c>
      <c r="AX75" s="692"/>
      <c r="AY75" s="692">
        <f>'yrP&amp;L'!Y7</f>
        <v>2282.3789999999999</v>
      </c>
      <c r="AZ75" s="692"/>
      <c r="BA75" s="692">
        <f>'yrP&amp;L'!Z7</f>
        <v>2185.2027758056843</v>
      </c>
      <c r="BB75" s="692"/>
      <c r="BC75" s="692">
        <f>'yrP&amp;L'!AA7</f>
        <v>2146.131521367869</v>
      </c>
      <c r="BD75" s="692"/>
      <c r="BE75" s="692">
        <f>'yrP&amp;L'!AB7</f>
        <v>2142.0178120702999</v>
      </c>
      <c r="BF75" s="692"/>
      <c r="BG75" s="692">
        <f>'yrP&amp;L'!AC7</f>
        <v>2139.7259010729567</v>
      </c>
      <c r="BH75" s="692"/>
      <c r="BI75" s="692">
        <f>'yrP&amp;L'!AD7</f>
        <v>2139.3144517685641</v>
      </c>
    </row>
    <row r="76" spans="1:62">
      <c r="B76" s="26" t="s">
        <v>65</v>
      </c>
      <c r="E76" s="696">
        <f>+'qtrP&amp;L'!D24</f>
        <v>22.418443000000003</v>
      </c>
      <c r="G76" s="696">
        <f>'qtrP&amp;L'!H24</f>
        <v>26.115326</v>
      </c>
      <c r="H76" s="696"/>
      <c r="I76" s="696">
        <f>'qtrP&amp;L'!L24</f>
        <v>26.712475000000001</v>
      </c>
      <c r="J76" s="696"/>
      <c r="K76" s="696">
        <f>'qtrP&amp;L'!P24</f>
        <v>33.240162000000005</v>
      </c>
      <c r="L76" s="696"/>
      <c r="M76" s="696">
        <f>'qtrP&amp;L'!T24</f>
        <v>44.196426000000002</v>
      </c>
      <c r="N76" s="696"/>
      <c r="O76" s="696">
        <f>'qtrP&amp;L'!X24</f>
        <v>64.949929999999995</v>
      </c>
      <c r="Q76" s="696">
        <f>'qtrP&amp;L'!AB24</f>
        <v>108.67057699999999</v>
      </c>
      <c r="S76" s="696">
        <f>+'qtrP&amp;L'!AF24</f>
        <v>153.937579</v>
      </c>
      <c r="U76" s="696">
        <f>+'qtrP&amp;L'!AJ24</f>
        <v>209.77010100000001</v>
      </c>
      <c r="W76" s="696">
        <f>+'qtrP&amp;L'!AN24</f>
        <v>297.47697899999997</v>
      </c>
      <c r="Y76" s="696">
        <f>+'yrP&amp;L'!L11</f>
        <v>411.90899999999999</v>
      </c>
      <c r="AA76" s="696">
        <f>+'yrP&amp;L'!M11</f>
        <v>547.53200000000004</v>
      </c>
      <c r="AC76" s="696">
        <f>+'yrP&amp;L'!N11</f>
        <v>673.74199999999996</v>
      </c>
      <c r="AD76" s="696"/>
      <c r="AE76" s="696">
        <f>+'yrP&amp;L'!O11</f>
        <v>745.2650000000001</v>
      </c>
      <c r="AF76" s="696"/>
      <c r="AG76" s="696">
        <f>+'yrP&amp;L'!P11</f>
        <v>762.91200000000003</v>
      </c>
      <c r="AH76" s="696"/>
      <c r="AI76" s="696">
        <f>+'yrP&amp;L'!Q11</f>
        <v>753.41100000000006</v>
      </c>
      <c r="AJ76" s="696"/>
      <c r="AK76" s="696">
        <f>+'yrP&amp;L'!R11</f>
        <v>836.37800000000004</v>
      </c>
      <c r="AL76" s="696"/>
      <c r="AM76" s="696">
        <f>+'yrP&amp;L'!S11</f>
        <v>969.98900000000003</v>
      </c>
      <c r="AN76" s="696"/>
      <c r="AO76" s="696">
        <f>+'yrP&amp;L'!T11</f>
        <v>1129.2570000000001</v>
      </c>
      <c r="AP76" s="696"/>
      <c r="AQ76" s="696">
        <f>+'yrP&amp;L'!U11</f>
        <v>1169.4059999999999</v>
      </c>
      <c r="AR76" s="696"/>
      <c r="AS76" s="696">
        <f>+'yrP&amp;L'!V11</f>
        <v>1592.7860000000001</v>
      </c>
      <c r="AT76" s="696"/>
      <c r="AU76" s="696">
        <f>'yrP&amp;L'!W11</f>
        <v>1573.8579999999999</v>
      </c>
      <c r="AV76" s="696"/>
      <c r="AW76" s="696">
        <f>'yrP&amp;L'!Y11</f>
        <v>1417.6020000000001</v>
      </c>
      <c r="AX76" s="696"/>
      <c r="AY76" s="696">
        <f>'yrP&amp;L'!Y11</f>
        <v>1417.6020000000001</v>
      </c>
      <c r="AZ76" s="696"/>
      <c r="BA76" s="696">
        <f>'yrP&amp;L'!Z11</f>
        <v>1328.4791377312529</v>
      </c>
      <c r="BB76" s="696"/>
      <c r="BC76" s="696">
        <f>'yrP&amp;L'!AA11</f>
        <v>1322.2316303147441</v>
      </c>
      <c r="BD76" s="696"/>
      <c r="BE76" s="696">
        <f>'yrP&amp;L'!AB11</f>
        <v>1316.2699455171994</v>
      </c>
      <c r="BF76" s="696"/>
      <c r="BG76" s="696">
        <f>'yrP&amp;L'!AC11</f>
        <v>1313.7917032587955</v>
      </c>
      <c r="BH76" s="696"/>
      <c r="BI76" s="696">
        <f>'yrP&amp;L'!AD11</f>
        <v>1312.6833476051909</v>
      </c>
    </row>
    <row r="77" spans="1:62">
      <c r="B77" s="26" t="s">
        <v>67</v>
      </c>
      <c r="E77" s="696">
        <f>+'qtrP&amp;L'!D34</f>
        <v>30.093667</v>
      </c>
      <c r="G77" s="696">
        <f>'qtrP&amp;L'!H34</f>
        <v>29.001042999999996</v>
      </c>
      <c r="H77" s="696"/>
      <c r="I77" s="696">
        <f>'qtrP&amp;L'!L34</f>
        <v>31.842326999999997</v>
      </c>
      <c r="J77" s="696"/>
      <c r="K77" s="696">
        <f>'qtrP&amp;L'!P34</f>
        <v>35.070525000000004</v>
      </c>
      <c r="L77" s="696"/>
      <c r="M77" s="696">
        <f>'qtrP&amp;L'!T34</f>
        <v>45.003258000000002</v>
      </c>
      <c r="N77" s="696"/>
      <c r="O77" s="696">
        <f>'qtrP&amp;L'!X34</f>
        <v>61.938732000000002</v>
      </c>
      <c r="Q77" s="696">
        <f>'qtrP&amp;L'!AB34</f>
        <v>99.434100000000001</v>
      </c>
      <c r="S77" s="696">
        <f>+'qtrP&amp;L'!AF34</f>
        <v>146.50171399999999</v>
      </c>
      <c r="U77" s="696">
        <f>+'qtrP&amp;L'!AJ34</f>
        <v>199.51502200000002</v>
      </c>
      <c r="W77" s="696">
        <f>+'qtrP&amp;L'!AN34</f>
        <v>289.10537899999997</v>
      </c>
      <c r="Y77" s="696">
        <f>+'yrP&amp;L'!L14</f>
        <v>398.11699999999996</v>
      </c>
      <c r="AA77" s="696">
        <f>+'yrP&amp;L'!M14</f>
        <v>514.529</v>
      </c>
      <c r="AC77" s="696">
        <f>+'yrP&amp;L'!N14</f>
        <v>703.48500000000001</v>
      </c>
      <c r="AD77" s="696"/>
      <c r="AE77" s="696">
        <f>+'yrP&amp;L'!O14</f>
        <v>847.60400000000004</v>
      </c>
      <c r="AF77" s="696"/>
      <c r="AG77" s="696">
        <f>+'yrP&amp;L'!P14</f>
        <v>835.42100000000005</v>
      </c>
      <c r="AH77" s="696"/>
      <c r="AI77" s="696">
        <f>+'yrP&amp;L'!Q14</f>
        <v>836.56099999999992</v>
      </c>
      <c r="AJ77" s="696"/>
      <c r="AK77" s="696">
        <f>+'yrP&amp;L'!R14</f>
        <v>890.44799999999998</v>
      </c>
      <c r="AL77" s="696"/>
      <c r="AM77" s="696">
        <f>+'yrP&amp;L'!S14</f>
        <v>998.86099999999988</v>
      </c>
      <c r="AN77" s="696"/>
      <c r="AO77" s="696">
        <f>+'yrP&amp;L'!T14</f>
        <v>1162.4259999999999</v>
      </c>
      <c r="AP77" s="696"/>
      <c r="AQ77" s="696">
        <f>+'yrP&amp;L'!U14</f>
        <v>1202.981</v>
      </c>
      <c r="AR77" s="696"/>
      <c r="AS77" s="696">
        <f>+'yrP&amp;L'!V14</f>
        <v>821.21699999999998</v>
      </c>
      <c r="AT77" s="696"/>
      <c r="AU77" s="696">
        <f>'yrP&amp;L'!W14</f>
        <v>830.77599999999995</v>
      </c>
      <c r="AV77" s="696"/>
      <c r="AW77" s="696">
        <f>'yrP&amp;L'!Y14</f>
        <v>719.60699999999997</v>
      </c>
      <c r="AX77" s="696"/>
      <c r="AY77" s="696">
        <f>'yrP&amp;L'!Y14</f>
        <v>719.60699999999997</v>
      </c>
      <c r="AZ77" s="696"/>
      <c r="BA77" s="696">
        <f>'yrP&amp;L'!Z14</f>
        <v>713.23508297819444</v>
      </c>
      <c r="BB77" s="696"/>
      <c r="BC77" s="696">
        <f>'yrP&amp;L'!AA14</f>
        <v>658.86237705993574</v>
      </c>
      <c r="BD77" s="696"/>
      <c r="BE77" s="696">
        <f>'yrP&amp;L'!AB14</f>
        <v>652.03022199419934</v>
      </c>
      <c r="BF77" s="696"/>
      <c r="BG77" s="696">
        <f>'yrP&amp;L'!AC14</f>
        <v>644.05749622295991</v>
      </c>
      <c r="BH77" s="696"/>
      <c r="BI77" s="696">
        <f>'yrP&amp;L'!AD14</f>
        <v>638.79929529809317</v>
      </c>
    </row>
    <row r="78" spans="1:62">
      <c r="B78" s="26" t="s">
        <v>69</v>
      </c>
      <c r="E78" s="696">
        <f>+'qtrP&amp;L'!D136</f>
        <v>3.2906309999999994</v>
      </c>
      <c r="G78" s="696">
        <f>'qtrP&amp;L'!H136</f>
        <v>1.7035959999999981</v>
      </c>
      <c r="H78" s="696"/>
      <c r="I78" s="696">
        <f>'qtrP&amp;L'!L136</f>
        <v>1.9305529999999957</v>
      </c>
      <c r="J78" s="696"/>
      <c r="K78" s="696">
        <f>'qtrP&amp;L'!P136</f>
        <v>2.7700159999999974</v>
      </c>
      <c r="L78" s="696"/>
      <c r="M78" s="696">
        <f>'qtrP&amp;L'!T136</f>
        <v>9.139108000000002</v>
      </c>
      <c r="N78" s="696"/>
      <c r="O78" s="696">
        <f>'qtrP&amp;L'!X136</f>
        <v>15.489686000000003</v>
      </c>
      <c r="Q78" s="696">
        <f>'qtrP&amp;L'!AB136</f>
        <v>28.378620999999995</v>
      </c>
      <c r="S78" s="696">
        <f>+'qtrP&amp;L'!AF136</f>
        <v>42.187030999999976</v>
      </c>
      <c r="U78" s="696">
        <f>+'qtrP&amp;L'!AJ136</f>
        <v>66.758942000000033</v>
      </c>
      <c r="W78" s="696">
        <f>+'qtrP&amp;L'!AN136</f>
        <v>100.22995999999998</v>
      </c>
      <c r="Y78" s="696">
        <f>+'yrP&amp;L'!L51</f>
        <v>141.20600000000013</v>
      </c>
      <c r="AA78" s="696">
        <f>+'yrP&amp;L'!M51</f>
        <v>193.98100000000002</v>
      </c>
      <c r="AC78" s="696">
        <f>+'yrP&amp;L'!N51</f>
        <v>174.69000000000014</v>
      </c>
      <c r="AD78" s="696"/>
      <c r="AE78" s="696">
        <f>+'yrP&amp;L'!O51</f>
        <v>84.313999999999851</v>
      </c>
      <c r="AF78" s="696"/>
      <c r="AG78" s="696">
        <f>+'yrP&amp;L'!P51</f>
        <v>-3.4370000000000855</v>
      </c>
      <c r="AH78" s="696"/>
      <c r="AI78" s="696">
        <f>+'yrP&amp;L'!Q51</f>
        <v>79.099000000000089</v>
      </c>
      <c r="AJ78" s="696"/>
      <c r="AK78" s="696">
        <f>+'yrP&amp;L'!R51</f>
        <v>115.52699999999977</v>
      </c>
      <c r="AL78" s="696"/>
      <c r="AM78" s="696">
        <f>+'yrP&amp;L'!S51</f>
        <v>142.6140000000002</v>
      </c>
      <c r="AN78" s="696"/>
      <c r="AO78" s="696">
        <f>+'yrP&amp;L'!T51</f>
        <v>181.43075999999976</v>
      </c>
      <c r="AP78" s="696"/>
      <c r="AQ78" s="696">
        <f>'qtrP&amp;L'!CB136</f>
        <v>136.3489999999999</v>
      </c>
      <c r="AR78" s="696"/>
      <c r="AS78" s="696">
        <f>+'yrP&amp;L'!V51</f>
        <v>115.39400000000025</v>
      </c>
      <c r="AT78" s="696"/>
      <c r="AU78" s="696">
        <f>'yrP&amp;L'!W51</f>
        <v>104.17475000000036</v>
      </c>
      <c r="AV78" s="696"/>
      <c r="AW78" s="696">
        <f>'yrP&amp;L'!Y51</f>
        <v>98.710999999999856</v>
      </c>
      <c r="AX78" s="696"/>
      <c r="AY78" s="696">
        <f>'yrP&amp;L'!Y51</f>
        <v>98.710999999999856</v>
      </c>
      <c r="AZ78" s="696"/>
      <c r="BA78" s="696">
        <f>'yrP&amp;L'!Z51</f>
        <v>103.91736522025292</v>
      </c>
      <c r="BB78" s="696"/>
      <c r="BC78" s="696">
        <f>'yrP&amp;L'!AA51</f>
        <v>119.64810521502808</v>
      </c>
      <c r="BD78" s="696"/>
      <c r="BE78" s="696">
        <f>'yrP&amp;L'!AB51</f>
        <v>125.98460052799777</v>
      </c>
      <c r="BF78" s="696"/>
      <c r="BG78" s="696">
        <f>'yrP&amp;L'!AC51</f>
        <v>131.94071216157693</v>
      </c>
      <c r="BH78" s="696"/>
      <c r="BI78" s="696">
        <f>'yrP&amp;L'!AD51</f>
        <v>136.28794047165439</v>
      </c>
    </row>
    <row r="80" spans="1:62">
      <c r="B80" s="26" t="s">
        <v>70</v>
      </c>
      <c r="E80" s="22">
        <f>E11/E75</f>
        <v>1.8555038506904709E-2</v>
      </c>
      <c r="G80" s="22">
        <f>G11/G75</f>
        <v>9.4705304598756042E-3</v>
      </c>
      <c r="I80" s="22">
        <f>I11/I75</f>
        <v>1.1915404407234575E-2</v>
      </c>
      <c r="K80" s="22">
        <f>K11/K75</f>
        <v>1.1878219707065457E-2</v>
      </c>
      <c r="M80" s="22">
        <f>M11/M75</f>
        <v>1.0765044512685883E-2</v>
      </c>
      <c r="O80" s="22">
        <f>O11/O75</f>
        <v>1.101055409629746E-2</v>
      </c>
      <c r="Q80" s="22">
        <f>Q11/Q75</f>
        <v>1.1558903209631039E-2</v>
      </c>
      <c r="S80" s="22">
        <f>S11/S75</f>
        <v>5.5105812883408821E-3</v>
      </c>
      <c r="U80" s="22">
        <f>U11/U75</f>
        <v>4.1913648302268078E-3</v>
      </c>
      <c r="W80" s="22">
        <f>W11/W75</f>
        <v>8.2862819536543546E-3</v>
      </c>
      <c r="Y80" s="22">
        <f>Y11/Y75</f>
        <v>4.7859088446519857E-3</v>
      </c>
      <c r="AA80" s="22">
        <f>AA11/AA75</f>
        <v>5.1545841268711172E-3</v>
      </c>
      <c r="AC80" s="22">
        <f>AC11/AC75</f>
        <v>8.6816781002445557E-3</v>
      </c>
      <c r="AD80" s="999"/>
      <c r="AE80" s="22">
        <f>AE11/AE75</f>
        <v>2.0939412375818613E-2</v>
      </c>
      <c r="AF80" s="999"/>
      <c r="AG80" s="22">
        <f>AG11/AG75</f>
        <v>2.8879477048844669E-2</v>
      </c>
      <c r="AH80" s="999"/>
      <c r="AI80" s="22">
        <f>AI11/AI75</f>
        <v>2.4714692400144528E-3</v>
      </c>
      <c r="AJ80" s="999"/>
      <c r="AK80" s="22">
        <f>AK11/AK75</f>
        <v>5.464612826144472E-3</v>
      </c>
      <c r="AL80" s="999"/>
      <c r="AM80" s="22">
        <f>AM11/AM75</f>
        <v>0</v>
      </c>
      <c r="AN80" s="999"/>
      <c r="AO80" s="22">
        <f>AO11/AO75</f>
        <v>0</v>
      </c>
      <c r="AP80" s="22"/>
      <c r="AQ80" s="22">
        <f>AQ11/AQ75</f>
        <v>0</v>
      </c>
      <c r="AR80" s="22"/>
      <c r="AS80" s="22">
        <f>AS11/AS75</f>
        <v>0</v>
      </c>
      <c r="AT80" s="22"/>
      <c r="AU80" s="22">
        <f>AU11/AU75</f>
        <v>0</v>
      </c>
      <c r="AV80" s="999"/>
      <c r="AW80" s="22">
        <f>AW11/AW75</f>
        <v>0</v>
      </c>
      <c r="AX80" s="999"/>
      <c r="AY80" s="999">
        <f>AW80</f>
        <v>0</v>
      </c>
      <c r="AZ80" s="999"/>
      <c r="BA80" s="999">
        <f>AY80</f>
        <v>0</v>
      </c>
      <c r="BB80" s="999"/>
      <c r="BC80" s="999">
        <f>BA80</f>
        <v>0</v>
      </c>
      <c r="BD80" s="999"/>
      <c r="BE80" s="999">
        <f>BC80</f>
        <v>0</v>
      </c>
      <c r="BF80" s="999"/>
      <c r="BG80" s="999">
        <f>BE80</f>
        <v>0</v>
      </c>
      <c r="BH80" s="999"/>
      <c r="BI80" s="999">
        <f>BG80</f>
        <v>0</v>
      </c>
      <c r="BJ80" s="689"/>
    </row>
    <row r="81" spans="1:62">
      <c r="B81" s="26" t="s">
        <v>72</v>
      </c>
      <c r="E81" s="22">
        <f>E12/E75</f>
        <v>0.11060801146616159</v>
      </c>
      <c r="G81" s="22">
        <f>G12/G75</f>
        <v>0.11228067698378813</v>
      </c>
      <c r="I81" s="22">
        <f>I12/I75</f>
        <v>0.1224448732808663</v>
      </c>
      <c r="K81" s="22">
        <f>K12/K75</f>
        <v>0.12643455291347055</v>
      </c>
      <c r="M81" s="22">
        <f>M12/M75</f>
        <v>9.466931039711951E-2</v>
      </c>
      <c r="O81" s="22">
        <f>O12/O75</f>
        <v>9.5706978660526923E-2</v>
      </c>
      <c r="Q81" s="22">
        <f>Q12/Q75</f>
        <v>9.4024081228866338E-2</v>
      </c>
      <c r="S81" s="22">
        <f>S12/S75</f>
        <v>7.6451168405524544E-2</v>
      </c>
      <c r="U81" s="22">
        <f>U12/U75</f>
        <v>8.4554350037316789E-2</v>
      </c>
      <c r="W81" s="22">
        <f>W12/W75</f>
        <v>7.143274719343741E-2</v>
      </c>
      <c r="Y81" s="22">
        <f>Y12/Y75</f>
        <v>6.8632707272219415E-2</v>
      </c>
      <c r="AA81" s="22">
        <f>AA12/AA75</f>
        <v>6.793585248206753E-2</v>
      </c>
      <c r="AC81" s="22">
        <f>AC12/AC75</f>
        <v>6.7547185219086522E-2</v>
      </c>
      <c r="AD81" s="999"/>
      <c r="AE81" s="22">
        <f>AE12/AE75</f>
        <v>8.4150223382120207E-2</v>
      </c>
      <c r="AF81" s="999"/>
      <c r="AG81" s="22">
        <f>AG12/AG75</f>
        <v>8.3678377961633063E-2</v>
      </c>
      <c r="AH81" s="999"/>
      <c r="AI81" s="22">
        <f>AI12/AI75</f>
        <v>8.085451895367074E-2</v>
      </c>
      <c r="AJ81" s="999"/>
      <c r="AK81" s="22">
        <f>AK12/AK75</f>
        <v>8.3892568126556447E-2</v>
      </c>
      <c r="AL81" s="999"/>
      <c r="AM81" s="22">
        <f>AM12/AM75</f>
        <v>8.854149592962901E-2</v>
      </c>
      <c r="AN81" s="999"/>
      <c r="AO81" s="22">
        <f>AO12/AO75</f>
        <v>8.0141197966569516E-2</v>
      </c>
      <c r="AP81" s="22"/>
      <c r="AQ81" s="22">
        <f>AQ12/AQ75</f>
        <v>9.2088782952448101E-2</v>
      </c>
      <c r="AR81" s="22"/>
      <c r="AS81" s="22">
        <f>AS12/AS75</f>
        <v>9.0783273508358367E-2</v>
      </c>
      <c r="AT81" s="22"/>
      <c r="AU81" s="22">
        <f>AU12/AU75</f>
        <v>9.0859213564264019E-2</v>
      </c>
      <c r="AV81" s="999"/>
      <c r="AW81" s="22">
        <f>AW12/AW75</f>
        <v>0.10180736853958085</v>
      </c>
      <c r="AX81" s="999"/>
      <c r="AY81" s="999">
        <v>8.8999999999999996E-2</v>
      </c>
      <c r="AZ81" s="999"/>
      <c r="BA81" s="999">
        <f>AY81</f>
        <v>8.8999999999999996E-2</v>
      </c>
      <c r="BB81" s="999"/>
      <c r="BC81" s="999">
        <f>BA81</f>
        <v>8.8999999999999996E-2</v>
      </c>
      <c r="BD81" s="999"/>
      <c r="BE81" s="999">
        <f>BC81</f>
        <v>8.8999999999999996E-2</v>
      </c>
      <c r="BF81" s="999"/>
      <c r="BG81" s="999">
        <f>BE81</f>
        <v>8.8999999999999996E-2</v>
      </c>
      <c r="BH81" s="999"/>
      <c r="BI81" s="999">
        <f>BG81</f>
        <v>8.8999999999999996E-2</v>
      </c>
      <c r="BJ81" s="237"/>
    </row>
    <row r="82" spans="1:62">
      <c r="B82" s="26" t="s">
        <v>281</v>
      </c>
      <c r="E82" s="22">
        <f>+E13/E75</f>
        <v>5.1877085911584278E-3</v>
      </c>
      <c r="G82" s="22">
        <f>+G13/G75</f>
        <v>6.247382886035123E-3</v>
      </c>
      <c r="I82" s="22">
        <f>+I13/I75</f>
        <v>7.389179821859904E-3</v>
      </c>
      <c r="K82" s="22">
        <f>+K13/K75</f>
        <v>8.855223111616654E-3</v>
      </c>
      <c r="M82" s="22">
        <f>+M13/M75</f>
        <v>4.7861848942052044E-3</v>
      </c>
      <c r="O82" s="22">
        <f>+O13/O75</f>
        <v>4.3140978035026466E-3</v>
      </c>
      <c r="Q82" s="22">
        <f>+Q13/Q75</f>
        <v>8.6890910003062857E-3</v>
      </c>
      <c r="S82" s="22">
        <f>+S13/S75</f>
        <v>1.0042171960436235E-2</v>
      </c>
      <c r="U82" s="22">
        <f>+U13/U75</f>
        <v>1.1716118569411132E-2</v>
      </c>
      <c r="W82" s="22">
        <f>+W13/W75</f>
        <v>1.126221267413292E-2</v>
      </c>
      <c r="Y82" s="22">
        <f>+Y13/Y75</f>
        <v>8.83790334826157E-3</v>
      </c>
      <c r="AA82" s="22">
        <f>+AA13/AA75</f>
        <v>9.6093124254667782E-3</v>
      </c>
      <c r="AC82" s="22">
        <f>+AC13/AC75</f>
        <v>9.612859072950836E-3</v>
      </c>
      <c r="AD82" s="999"/>
      <c r="AE82" s="22">
        <f>+AE13/AE75</f>
        <v>1.1082483096865416E-2</v>
      </c>
      <c r="AF82" s="999"/>
      <c r="AG82" s="22">
        <f>+AG13/AG75</f>
        <v>1.3714576050111098E-2</v>
      </c>
      <c r="AH82" s="999"/>
      <c r="AI82" s="22">
        <f>+AI13/AI75</f>
        <v>1.4022698524531696E-2</v>
      </c>
      <c r="AJ82" s="999"/>
      <c r="AK82" s="22">
        <f>+AK13/AK75</f>
        <v>1.4095131507666206E-2</v>
      </c>
      <c r="AL82" s="999"/>
      <c r="AM82" s="22">
        <f>+AM13/AM75</f>
        <v>2.5088783259574931E-2</v>
      </c>
      <c r="AN82" s="999"/>
      <c r="AO82" s="22">
        <f>+AO13/AO75</f>
        <v>2.3938254753769487E-2</v>
      </c>
      <c r="AP82" s="22"/>
      <c r="AQ82" s="22">
        <f>+AQ13/AQ75</f>
        <v>1.9604514552576009E-2</v>
      </c>
      <c r="AR82" s="22"/>
      <c r="AS82" s="22">
        <f>+AS13/AS75</f>
        <v>1.9722553153377131E-2</v>
      </c>
      <c r="AT82" s="22"/>
      <c r="AU82" s="22">
        <f>+AU13/AU75</f>
        <v>1.7741781312145773E-2</v>
      </c>
      <c r="AV82" s="999"/>
      <c r="AW82" s="22">
        <f>+AW13/AW75</f>
        <v>2.2060315136092648E-2</v>
      </c>
      <c r="AX82" s="999"/>
      <c r="AY82" s="999">
        <f>AW82</f>
        <v>2.2060315136092648E-2</v>
      </c>
      <c r="AZ82" s="999"/>
      <c r="BA82" s="999">
        <f>AY82</f>
        <v>2.2060315136092648E-2</v>
      </c>
      <c r="BB82" s="999"/>
      <c r="BC82" s="999">
        <f>BA82</f>
        <v>2.2060315136092648E-2</v>
      </c>
      <c r="BD82" s="999"/>
      <c r="BE82" s="999">
        <f>BC82</f>
        <v>2.2060315136092648E-2</v>
      </c>
      <c r="BF82" s="999"/>
      <c r="BG82" s="999">
        <f>BE82</f>
        <v>2.2060315136092648E-2</v>
      </c>
      <c r="BH82" s="999"/>
      <c r="BI82" s="999">
        <f>BG82</f>
        <v>2.2060315136092648E-2</v>
      </c>
    </row>
    <row r="83" spans="1:62">
      <c r="B83" s="26" t="s">
        <v>71</v>
      </c>
      <c r="E83" s="22">
        <f>E37/E12</f>
        <v>0.49931077318633893</v>
      </c>
      <c r="G83" s="22">
        <f>G37/G12</f>
        <v>0.30036334525592234</v>
      </c>
      <c r="I83" s="22">
        <f>I37/I12</f>
        <v>0.42088433905280598</v>
      </c>
      <c r="K83" s="22">
        <f>K37/K12</f>
        <v>0.36956331402790327</v>
      </c>
      <c r="M83" s="22">
        <f>M37/M12</f>
        <v>0.39535502332324907</v>
      </c>
      <c r="O83" s="22">
        <f>O37/O12</f>
        <v>0.40328713565400276</v>
      </c>
      <c r="Q83" s="22">
        <f>Q37/Q12</f>
        <v>0.563731683014977</v>
      </c>
      <c r="S83" s="22">
        <f>S37/S12</f>
        <v>0.6246011339327161</v>
      </c>
      <c r="U83" s="22">
        <f>U37/U12</f>
        <v>0.6343810825023809</v>
      </c>
      <c r="W83" s="22">
        <f>W37/W12</f>
        <v>0.5063392596910522</v>
      </c>
      <c r="Y83" s="22">
        <f>Y37/Y12</f>
        <v>0.50155005940756325</v>
      </c>
      <c r="AA83" s="22">
        <f>AA37/AA12</f>
        <v>0.49710231500403468</v>
      </c>
      <c r="AC83" s="22">
        <f>AC37/AC12</f>
        <v>0.50249007578491511</v>
      </c>
      <c r="AD83" s="999"/>
      <c r="AE83" s="22">
        <f>AE37/AE12</f>
        <v>0.54782650889706852</v>
      </c>
      <c r="AF83" s="999"/>
      <c r="AG83" s="22">
        <f>AG37/AG12</f>
        <v>0.42701245346000766</v>
      </c>
      <c r="AH83" s="999"/>
      <c r="AI83" s="22">
        <f>AI37/AI12</f>
        <v>0.57191227006266421</v>
      </c>
      <c r="AJ83" s="999"/>
      <c r="AK83" s="22">
        <f>AK37/AK12</f>
        <v>0.66743213986259031</v>
      </c>
      <c r="AL83" s="999"/>
      <c r="AM83" s="22">
        <f>AM37/AM12</f>
        <v>0.51625194761118742</v>
      </c>
      <c r="AN83" s="999"/>
      <c r="AO83" s="22">
        <f>AO37/AO12</f>
        <v>0.6255142640283492</v>
      </c>
      <c r="AP83" s="22"/>
      <c r="AQ83" s="22">
        <f>AQ37/AQ12</f>
        <v>0.55115160931365337</v>
      </c>
      <c r="AR83" s="22"/>
      <c r="AS83" s="22">
        <f>AS37/AS12</f>
        <v>0.61462244694015533</v>
      </c>
      <c r="AT83" s="22"/>
      <c r="AU83" s="22">
        <f>AU37/AU12</f>
        <v>0.5531402618951905</v>
      </c>
      <c r="AV83" s="999"/>
      <c r="AW83" s="22">
        <f>AW37/AW12</f>
        <v>0.50084565959296445</v>
      </c>
      <c r="AX83" s="999"/>
      <c r="AY83" s="999">
        <f>AW83</f>
        <v>0.50084565959296445</v>
      </c>
      <c r="AZ83" s="999"/>
      <c r="BA83" s="999">
        <f>AY83</f>
        <v>0.50084565959296445</v>
      </c>
      <c r="BB83" s="999"/>
      <c r="BC83" s="999">
        <f>BA83</f>
        <v>0.50084565959296445</v>
      </c>
      <c r="BD83" s="999"/>
      <c r="BE83" s="999">
        <f>BC83</f>
        <v>0.50084565959296445</v>
      </c>
      <c r="BF83" s="999"/>
      <c r="BG83" s="999">
        <f>BE83</f>
        <v>0.50084565959296445</v>
      </c>
      <c r="BH83" s="999"/>
      <c r="BI83" s="999">
        <f>BG83</f>
        <v>0.50084565959296445</v>
      </c>
    </row>
    <row r="84" spans="1:62" ht="14.25" customHeight="1">
      <c r="B84" s="26" t="s">
        <v>403</v>
      </c>
      <c r="E84" s="22">
        <f>E38/E77</f>
        <v>9.3857056370032943E-2</v>
      </c>
      <c r="G84" s="22">
        <f>G38/G77</f>
        <v>8.5073871308697424E-2</v>
      </c>
      <c r="I84" s="22">
        <f>I38/I77</f>
        <v>7.7287881630007757E-2</v>
      </c>
      <c r="K84" s="22">
        <f>K38/K77</f>
        <v>7.2436183946490679E-2</v>
      </c>
      <c r="M84" s="22">
        <f>M38/M77</f>
        <v>8.1757525199619985E-2</v>
      </c>
      <c r="O84" s="22">
        <f>O38/O77</f>
        <v>7.4155602668779214E-2</v>
      </c>
      <c r="Q84" s="22">
        <f>Q38/Q77</f>
        <v>0.11363658945975275</v>
      </c>
      <c r="S84" s="22">
        <f>S38/S77</f>
        <v>0.11320793830439417</v>
      </c>
      <c r="U84" s="22">
        <f>U38/U77</f>
        <v>0.13131883873886949</v>
      </c>
      <c r="W84" s="22">
        <f>W38/W77</f>
        <v>0.149381516696028</v>
      </c>
      <c r="Y84" s="22">
        <f>Y38/Y77</f>
        <v>0.14633386667738379</v>
      </c>
      <c r="AA84" s="22">
        <f>AA38/AA77</f>
        <v>0.14495975931385791</v>
      </c>
      <c r="AC84" s="22">
        <f>AC38/AC77</f>
        <v>0.1241917027370875</v>
      </c>
      <c r="AD84" s="999"/>
      <c r="AE84" s="22">
        <f>AE38/AE77</f>
        <v>0.11883615461937413</v>
      </c>
      <c r="AF84" s="999"/>
      <c r="AG84" s="22">
        <f>AG38/AG77</f>
        <v>0.10586997453978293</v>
      </c>
      <c r="AH84" s="999"/>
      <c r="AI84" s="22">
        <f>AI38/AI77</f>
        <v>0.11459056781274767</v>
      </c>
      <c r="AJ84" s="999"/>
      <c r="AK84" s="22">
        <f>AK38/AK77</f>
        <v>0.10652166100659444</v>
      </c>
      <c r="AL84" s="999"/>
      <c r="AM84" s="22">
        <f>AM38/AM77</f>
        <v>0.13787103510898915</v>
      </c>
      <c r="AN84" s="999"/>
      <c r="AO84" s="22">
        <f>AO38/AO77</f>
        <v>0.1488473244748483</v>
      </c>
      <c r="AP84" s="22"/>
      <c r="AQ84" s="22">
        <f>AQ38/AQ77</f>
        <v>0.11810078463417129</v>
      </c>
      <c r="AR84" s="22"/>
      <c r="AS84" s="22">
        <f>AS38/AS77</f>
        <v>0.19287959211755235</v>
      </c>
      <c r="AT84" s="22"/>
      <c r="AU84" s="22">
        <f>AU38/AU77</f>
        <v>0.19113214633065956</v>
      </c>
      <c r="AV84" s="999"/>
      <c r="AW84" s="22">
        <f>AW38/AW77</f>
        <v>0.23656245700778342</v>
      </c>
      <c r="AX84" s="999"/>
      <c r="AY84" s="999">
        <f>AW84</f>
        <v>0.23656245700778342</v>
      </c>
      <c r="AZ84" s="999"/>
      <c r="BA84" s="999">
        <f>AY84</f>
        <v>0.23656245700778342</v>
      </c>
      <c r="BB84" s="999"/>
      <c r="BC84" s="999">
        <f>BA84</f>
        <v>0.23656245700778342</v>
      </c>
      <c r="BD84" s="999"/>
      <c r="BE84" s="999">
        <f>BC84</f>
        <v>0.23656245700778342</v>
      </c>
      <c r="BF84" s="999"/>
      <c r="BG84" s="999">
        <f>BE84</f>
        <v>0.23656245700778342</v>
      </c>
      <c r="BH84" s="999"/>
      <c r="BI84" s="999">
        <f>BG84</f>
        <v>0.23656245700778342</v>
      </c>
    </row>
    <row r="85" spans="1:62" ht="19.5" customHeight="1">
      <c r="B85" s="26" t="s">
        <v>513</v>
      </c>
      <c r="O85" s="247">
        <f>(O9+O10)/'yrP&amp;L'!G57</f>
        <v>0.11296758205661397</v>
      </c>
      <c r="P85" s="247"/>
      <c r="Q85" s="247">
        <f>(Q9+Q10)/'yrP&amp;L'!H57</f>
        <v>0.11103625075946326</v>
      </c>
      <c r="R85" s="247"/>
      <c r="S85" s="247">
        <f>(S9+S10)/'yrP&amp;L'!I57</f>
        <v>0.3211184511948289</v>
      </c>
      <c r="T85" s="247"/>
      <c r="U85" s="247">
        <f>(U9+U10)/'yrP&amp;L'!J57</f>
        <v>0.58087806623512817</v>
      </c>
      <c r="V85" s="247"/>
      <c r="W85" s="247">
        <f>(W9+W10)/'yrP&amp;L'!K57</f>
        <v>0.68202310691971368</v>
      </c>
      <c r="X85" s="247"/>
      <c r="Y85" s="247">
        <f>(Y9+Y10)/'yrP&amp;L'!L57</f>
        <v>1.4744739077097302</v>
      </c>
      <c r="Z85" s="247"/>
      <c r="AA85" s="247">
        <f>(AA9+AA10)/'yrP&amp;L'!N57</f>
        <v>2.2666039046914586</v>
      </c>
      <c r="AB85" s="247">
        <f>(AB9+AB10)/'yrP&amp;L'!N57</f>
        <v>0</v>
      </c>
      <c r="AC85" s="247">
        <f>(AC9+AC10)/'yrP&amp;L'!N57</f>
        <v>1.5440510613498326</v>
      </c>
      <c r="AD85" s="247"/>
      <c r="AE85" s="247">
        <f>(AE9+AE10)/'yrP&amp;L'!O57</f>
        <v>1.5552153327095921</v>
      </c>
      <c r="AF85" s="247"/>
      <c r="AG85" s="247">
        <f>(AG9+AG10)/'yrP&amp;L'!P57</f>
        <v>1.5214771865055552</v>
      </c>
      <c r="AH85" s="247"/>
      <c r="AI85" s="247">
        <f>(AI9+AI10)/'yrP&amp;L'!Q57</f>
        <v>2.3680405684956796</v>
      </c>
      <c r="AJ85" s="247"/>
      <c r="AK85" s="247">
        <f>(AK9+AK10)/'yrP&amp;L'!R57</f>
        <v>3.0820742105440546</v>
      </c>
      <c r="AL85" s="247"/>
      <c r="AM85" s="247">
        <f>(AM9+AM10)/'yrP&amp;L'!S57</f>
        <v>1.4768105726872267</v>
      </c>
      <c r="AN85" s="247"/>
      <c r="AO85" s="247">
        <f>(AO9+AO10)/'yrP&amp;L'!U57</f>
        <v>2.0891532980293706</v>
      </c>
      <c r="AP85" s="247"/>
      <c r="AQ85" s="247">
        <f>(AQ9+AQ10)/'yrP&amp;L'!V57</f>
        <v>1.0021315428373496</v>
      </c>
      <c r="AR85" s="247"/>
      <c r="AS85" s="247">
        <f>(AS9+AS10)/'yrP&amp;L'!V57</f>
        <v>1.8431983800274434</v>
      </c>
      <c r="AT85" s="247"/>
      <c r="AU85" s="247">
        <f>(AU9+AU10)/'yrP&amp;L'!W57</f>
        <v>1.1292191925962765</v>
      </c>
      <c r="AV85" s="247"/>
      <c r="AW85" s="247">
        <f>(AW9+AW10)/'yrP&amp;L'!Y57</f>
        <v>1.5350828927537621</v>
      </c>
      <c r="AX85" s="247"/>
      <c r="AY85" s="247">
        <f>(AY9+AY10)/'yrP&amp;L'!Y57</f>
        <v>1.7553806527754523</v>
      </c>
      <c r="AZ85" s="247"/>
      <c r="BA85" s="247">
        <f>(BA9+BA10)/'yrP&amp;L'!Z57</f>
        <v>2.5571388186545092</v>
      </c>
      <c r="BB85" s="247"/>
      <c r="BC85" s="247">
        <f>(BC9+BC10)/'yrP&amp;L'!AA57</f>
        <v>2.968670636590546</v>
      </c>
      <c r="BD85" s="247"/>
      <c r="BE85" s="247">
        <f>(BE9+BE10)/'yrP&amp;L'!AB57</f>
        <v>3.4815156640274298</v>
      </c>
      <c r="BF85" s="247"/>
      <c r="BG85" s="247">
        <f>(BG9+BG10)/'yrP&amp;L'!AC57</f>
        <v>4.0716672318744038</v>
      </c>
      <c r="BH85" s="247"/>
      <c r="BI85" s="247">
        <f>(BI9+BI10)/'yrP&amp;L'!AD57</f>
        <v>5.0553255385108971</v>
      </c>
    </row>
    <row r="87" spans="1:62">
      <c r="A87" s="1020"/>
      <c r="B87" s="1020" t="s">
        <v>61</v>
      </c>
      <c r="C87" s="1020"/>
      <c r="D87" s="1020"/>
      <c r="E87" s="1020" t="str">
        <f>IF(E54=E32," ","Unbalanced")</f>
        <v xml:space="preserve"> </v>
      </c>
      <c r="F87" s="1020"/>
      <c r="G87" s="1020" t="str">
        <f>IF(G54=G32," ",G54-G32)</f>
        <v xml:space="preserve"> </v>
      </c>
      <c r="H87" s="1020"/>
      <c r="I87" s="1020" t="str">
        <f>IF(I54=I32," ",I54-I32)</f>
        <v xml:space="preserve"> </v>
      </c>
      <c r="J87" s="1020"/>
      <c r="K87" s="1020" t="str">
        <f>IF(K54=K32," ",K54-K32)</f>
        <v xml:space="preserve"> </v>
      </c>
      <c r="L87" s="1020"/>
      <c r="M87" s="1020" t="str">
        <f>IF(M54=M32," ",M54-M32)</f>
        <v xml:space="preserve"> </v>
      </c>
      <c r="N87" s="1020"/>
      <c r="O87" s="1020" t="str">
        <f>IF(O54=O32," ",O54-O32)</f>
        <v xml:space="preserve"> </v>
      </c>
      <c r="P87" s="1020"/>
      <c r="Q87" s="1020" t="str">
        <f>IF(Q54=Q32," ",Q54-Q32)</f>
        <v xml:space="preserve"> </v>
      </c>
      <c r="R87" s="1020"/>
      <c r="S87" s="1020" t="str">
        <f>IF(S54=S32," ",S54-S32)</f>
        <v xml:space="preserve"> </v>
      </c>
      <c r="T87" s="1020"/>
      <c r="U87" s="1020" t="str">
        <f>IF(U54=U32," ",U54-U32)</f>
        <v xml:space="preserve"> </v>
      </c>
      <c r="V87" s="1020"/>
      <c r="W87" s="1021" t="str">
        <f>IF(W54=W32," ",W54-W32)</f>
        <v xml:space="preserve"> </v>
      </c>
      <c r="X87" s="1020"/>
      <c r="Y87" s="1022" t="str">
        <f>IF(Y54=Y32," ",Y54-Y32)</f>
        <v xml:space="preserve"> </v>
      </c>
      <c r="Z87" s="1020"/>
      <c r="AA87" s="1021" t="str">
        <f>IF(AA54=AA32," ",AA54-AA32)</f>
        <v xml:space="preserve"> </v>
      </c>
      <c r="AB87" s="1020"/>
      <c r="AC87" s="1023" t="str">
        <f>IF(AC54=AC32," ",AC54-AC32)</f>
        <v xml:space="preserve"> </v>
      </c>
      <c r="AD87" s="1023"/>
      <c r="AE87" s="1024" t="str">
        <f>IF(AE54=AE32," ",AE54-AE32)</f>
        <v xml:space="preserve"> </v>
      </c>
      <c r="AF87" s="1023"/>
      <c r="AG87" s="1023" t="str">
        <f>IF(AG54=AG32," ",AG54-AG32)</f>
        <v xml:space="preserve"> </v>
      </c>
      <c r="AH87" s="1023"/>
      <c r="AI87" s="1023" t="str">
        <f>IF(AI54=AI32," ",AI54-AI32)</f>
        <v xml:space="preserve"> </v>
      </c>
      <c r="AJ87" s="1023"/>
      <c r="AK87" s="1023" t="str">
        <f>IF(AK54=AK32," ",AK54-AK32)</f>
        <v xml:space="preserve"> </v>
      </c>
      <c r="AL87" s="1023"/>
      <c r="AM87" s="1023" t="str">
        <f>IF(AM54=AM32," ",AM54-AM32)</f>
        <v xml:space="preserve"> </v>
      </c>
      <c r="AN87" s="1023"/>
      <c r="AO87" s="1023" t="str">
        <f>IF(AO54=AO32," ",AO54-AO32)</f>
        <v xml:space="preserve"> </v>
      </c>
      <c r="AP87" s="1023"/>
      <c r="AQ87" s="1023" t="str">
        <f>IF(AQ54=AQ32," ",AQ54-AQ32)</f>
        <v xml:space="preserve"> </v>
      </c>
      <c r="AR87" s="1023"/>
      <c r="AS87" s="1023" t="str">
        <f>IF(AS54=AS32," ",AS54-AS32)</f>
        <v xml:space="preserve"> </v>
      </c>
      <c r="AT87" s="1023"/>
      <c r="AU87" s="1023"/>
      <c r="AV87" s="1023"/>
      <c r="AW87" s="1023"/>
      <c r="AX87" s="1023"/>
      <c r="AY87" s="1023"/>
      <c r="AZ87" s="1023"/>
      <c r="BA87" s="1023"/>
      <c r="BB87" s="1023"/>
      <c r="BC87" s="1023"/>
      <c r="BD87" s="1023"/>
      <c r="BE87" s="1023"/>
      <c r="BF87" s="1023"/>
      <c r="BG87" s="1023"/>
      <c r="BH87" s="1023"/>
      <c r="BI87" s="1023"/>
      <c r="BJ87" s="1020"/>
    </row>
    <row r="89" spans="1:62">
      <c r="AK89" s="1000"/>
    </row>
    <row r="90" spans="1:62" hidden="1"/>
    <row r="91" spans="1:62" hidden="1">
      <c r="B91" s="1001" t="s">
        <v>227</v>
      </c>
      <c r="C91" s="988"/>
    </row>
    <row r="92" spans="1:62" hidden="1">
      <c r="B92" s="1002"/>
    </row>
    <row r="93" spans="1:62" hidden="1">
      <c r="B93" s="1003" t="s">
        <v>228</v>
      </c>
    </row>
    <row r="94" spans="1:62" hidden="1">
      <c r="B94" s="1004" t="s">
        <v>229</v>
      </c>
      <c r="K94" s="689">
        <f>SUM(K9:K14,K125)</f>
        <v>15.549427999999992</v>
      </c>
      <c r="M94" s="689">
        <f>SUM(M9:M14,M125)</f>
        <v>28.195891999999986</v>
      </c>
      <c r="O94" s="689">
        <f>SUM(O9:O14,O125)</f>
        <v>37.810612999999982</v>
      </c>
      <c r="Q94" s="318">
        <f>SUM(Q9:Q14,Q125)</f>
        <v>51.939058999999972</v>
      </c>
      <c r="S94" s="318">
        <f>SUM(S9:S14,S125)</f>
        <v>94.143872999999957</v>
      </c>
      <c r="U94" s="318">
        <f>SUM(U9:U14,U125)</f>
        <v>161.58236199999996</v>
      </c>
      <c r="W94" s="318">
        <f>SUM(W9:W14,W125)</f>
        <v>198.72610500000005</v>
      </c>
      <c r="Y94" s="318">
        <f>SUM(Y9:Y14,Y125)</f>
        <v>365.7200000000002</v>
      </c>
      <c r="AA94" s="318">
        <f>SUM(AA9:AA14,AA125)</f>
        <v>539.1310000000002</v>
      </c>
      <c r="AC94" s="318">
        <f>SUM(AC9:AC14,AC125)</f>
        <v>434.88900000000035</v>
      </c>
      <c r="AD94" s="318"/>
      <c r="AE94" s="318">
        <f>SUM(AE9:AE14,AE125)</f>
        <v>487.88600000000014</v>
      </c>
      <c r="AF94" s="318"/>
      <c r="AG94" s="318">
        <f>SUM(AG9:AG14,AG125)</f>
        <v>487.52800000000008</v>
      </c>
      <c r="AH94" s="318"/>
      <c r="AI94" s="318">
        <f>SUM(AI9:AI14,AI125)</f>
        <v>601.13300000000027</v>
      </c>
      <c r="AJ94" s="318"/>
      <c r="AK94" s="318">
        <f>SUM(AK9:AK14,AK125)</f>
        <v>757.91800000000012</v>
      </c>
      <c r="AL94" s="318"/>
      <c r="AM94" s="318">
        <f>SUM(AM9:AM14,AM125)</f>
        <v>502.15300000000036</v>
      </c>
      <c r="AN94" s="318"/>
      <c r="AO94" s="318" t="e">
        <f>SUM(AO9:AO14,AO125)</f>
        <v>#REF!</v>
      </c>
      <c r="AP94" s="318"/>
      <c r="AQ94" s="318" t="e">
        <f>SUM(AQ9:AQ14,AQ125)</f>
        <v>#REF!</v>
      </c>
      <c r="AR94" s="318"/>
      <c r="AS94" s="318" t="e">
        <f>SUM(AS9:AS14,AS125)</f>
        <v>#REF!</v>
      </c>
      <c r="AT94" s="318"/>
      <c r="AU94" s="318"/>
      <c r="AV94" s="318"/>
      <c r="AW94" s="318"/>
      <c r="AX94" s="318"/>
      <c r="AY94" s="318"/>
      <c r="AZ94" s="318"/>
      <c r="BA94" s="318"/>
      <c r="BB94" s="318"/>
      <c r="BC94" s="318"/>
      <c r="BD94" s="318"/>
      <c r="BE94" s="318"/>
      <c r="BF94" s="318"/>
      <c r="BG94" s="318"/>
      <c r="BH94" s="318"/>
      <c r="BI94" s="318"/>
    </row>
    <row r="95" spans="1:62" hidden="1">
      <c r="B95" s="1004" t="s">
        <v>230</v>
      </c>
      <c r="K95" s="643">
        <f>SUM(K37:K38)</f>
        <v>6.0606400000000002</v>
      </c>
      <c r="M95" s="643">
        <f>SUM(M37:M38)</f>
        <v>7.6744780000000006</v>
      </c>
      <c r="O95" s="643">
        <f>SUM(O37:O38)</f>
        <v>10.575787999999999</v>
      </c>
      <c r="Q95" s="966">
        <f>SUM(Q37:Q38)</f>
        <v>25.051113999999998</v>
      </c>
      <c r="S95" s="966">
        <f>SUM(S37:S38)</f>
        <v>34.639294</v>
      </c>
      <c r="U95" s="966">
        <f>SUM(U37:U38)</f>
        <v>54.688552000000001</v>
      </c>
      <c r="W95" s="966">
        <f>SUM(W37:W38)</f>
        <v>70.983000000000004</v>
      </c>
      <c r="Y95" s="966">
        <f>SUM(Y37:Y38)</f>
        <v>94.983000000000004</v>
      </c>
      <c r="AA95" s="966">
        <f>SUM(AA37:AA38)</f>
        <v>122.02</v>
      </c>
      <c r="AC95" s="966">
        <f>SUM(AC37:AC38)</f>
        <v>143.06299999999999</v>
      </c>
      <c r="AD95" s="987"/>
      <c r="AE95" s="966">
        <f>SUM(AE37:AE38)</f>
        <v>179.756</v>
      </c>
      <c r="AF95" s="966"/>
      <c r="AG95" s="966">
        <f>SUM(AG37:AG38)</f>
        <v>144.988</v>
      </c>
      <c r="AH95" s="966"/>
      <c r="AI95" s="966">
        <f>SUM(AI37:AI38)</f>
        <v>175.08099999999999</v>
      </c>
      <c r="AJ95" s="966"/>
      <c r="AK95" s="966">
        <f>SUM(AK37:AK38)</f>
        <v>201.517</v>
      </c>
      <c r="AL95" s="966"/>
      <c r="AM95" s="966">
        <f>SUM(AM37:AM38)</f>
        <v>238.10899999999998</v>
      </c>
      <c r="AN95" s="966"/>
      <c r="AO95" s="966">
        <f>SUM(AO37:AO38)</f>
        <v>302.411</v>
      </c>
      <c r="AP95" s="966"/>
      <c r="AQ95" s="966">
        <f>SUM(AQ37:AQ38)</f>
        <v>273.327</v>
      </c>
      <c r="AR95" s="966"/>
      <c r="AS95" s="966">
        <f>SUM(AS37:AS38)</f>
        <v>302.92999999999995</v>
      </c>
      <c r="AT95" s="987"/>
      <c r="AU95" s="987"/>
      <c r="AV95" s="987"/>
      <c r="AW95" s="987"/>
      <c r="AX95" s="987"/>
      <c r="AY95" s="987"/>
      <c r="AZ95" s="987"/>
      <c r="BA95" s="987"/>
      <c r="BB95" s="987"/>
      <c r="BC95" s="987"/>
      <c r="BD95" s="987"/>
      <c r="BE95" s="987"/>
      <c r="BF95" s="987"/>
      <c r="BG95" s="987"/>
      <c r="BH95" s="987"/>
      <c r="BI95" s="987"/>
    </row>
    <row r="96" spans="1:62" hidden="1">
      <c r="A96" s="28"/>
      <c r="B96" s="1005" t="s">
        <v>469</v>
      </c>
      <c r="C96" s="28"/>
      <c r="D96" s="28"/>
      <c r="E96" s="28"/>
      <c r="F96" s="28"/>
      <c r="G96" s="28"/>
      <c r="H96" s="28"/>
      <c r="I96" s="28"/>
      <c r="J96" s="28"/>
      <c r="K96" s="1006">
        <f>+K94-K95</f>
        <v>9.4887879999999925</v>
      </c>
      <c r="L96" s="28"/>
      <c r="M96" s="1006">
        <f>+M94-M95</f>
        <v>20.521413999999986</v>
      </c>
      <c r="N96" s="28"/>
      <c r="O96" s="1006">
        <f>+O94-O95</f>
        <v>27.234824999999983</v>
      </c>
      <c r="P96" s="28"/>
      <c r="Q96" s="1006">
        <f>+Q94-Q95</f>
        <v>26.887944999999974</v>
      </c>
      <c r="R96" s="28"/>
      <c r="S96" s="1006">
        <f>+S94-S95</f>
        <v>59.504578999999957</v>
      </c>
      <c r="T96" s="28"/>
      <c r="U96" s="1006">
        <f>+U94-U95</f>
        <v>106.89380999999996</v>
      </c>
      <c r="V96" s="28"/>
      <c r="W96" s="1006">
        <f>+W94-W95</f>
        <v>127.74310500000004</v>
      </c>
      <c r="X96" s="28"/>
      <c r="Y96" s="1006">
        <f>+Y94-Y95</f>
        <v>270.73700000000019</v>
      </c>
      <c r="Z96" s="28"/>
      <c r="AA96" s="1006">
        <f>+AA94-AA95</f>
        <v>417.11100000000022</v>
      </c>
      <c r="AB96" s="28"/>
      <c r="AC96" s="1006">
        <f>+AC94-AC95</f>
        <v>291.82600000000036</v>
      </c>
      <c r="AD96" s="1006"/>
      <c r="AE96" s="1006">
        <f>+AE94-AE95</f>
        <v>308.13000000000011</v>
      </c>
      <c r="AF96" s="1006"/>
      <c r="AG96" s="1006">
        <f>+AG94-AG95</f>
        <v>342.54000000000008</v>
      </c>
      <c r="AH96" s="1006"/>
      <c r="AI96" s="1006">
        <f>+AI94-AI95</f>
        <v>426.05200000000025</v>
      </c>
      <c r="AJ96" s="1006"/>
      <c r="AK96" s="1006">
        <f>+AK94-AK95</f>
        <v>556.40100000000007</v>
      </c>
      <c r="AL96" s="1006"/>
      <c r="AM96" s="1006">
        <f>+AM94-AM95</f>
        <v>264.04400000000038</v>
      </c>
      <c r="AN96" s="1006"/>
      <c r="AO96" s="1006" t="e">
        <f>+AO94-AO95</f>
        <v>#REF!</v>
      </c>
      <c r="AP96" s="1006"/>
      <c r="AQ96" s="1006" t="e">
        <f>+AQ94-AQ95</f>
        <v>#REF!</v>
      </c>
      <c r="AR96" s="1006"/>
      <c r="AS96" s="1006" t="e">
        <f>+AS94-AS95</f>
        <v>#REF!</v>
      </c>
      <c r="AT96" s="1006"/>
      <c r="AU96" s="1006"/>
      <c r="AV96" s="1006"/>
      <c r="AW96" s="1006"/>
      <c r="AX96" s="1006"/>
      <c r="AY96" s="1006"/>
      <c r="AZ96" s="1006"/>
      <c r="BA96" s="1006"/>
      <c r="BB96" s="1006"/>
      <c r="BC96" s="1006"/>
      <c r="BD96" s="1006"/>
      <c r="BE96" s="1006"/>
      <c r="BF96" s="1006"/>
      <c r="BG96" s="1006"/>
      <c r="BH96" s="1006"/>
      <c r="BI96" s="1006"/>
      <c r="BJ96" s="28"/>
    </row>
    <row r="97" spans="1:62" hidden="1">
      <c r="B97" s="1007" t="s">
        <v>470</v>
      </c>
      <c r="K97" s="689">
        <f>+K23</f>
        <v>16.979386000000002</v>
      </c>
      <c r="M97" s="689">
        <f>+M23</f>
        <v>19.665261000000001</v>
      </c>
      <c r="O97" s="689">
        <f>+O23</f>
        <v>31.344996999999999</v>
      </c>
      <c r="Q97" s="794">
        <f>+Q23</f>
        <v>65.585010999999994</v>
      </c>
      <c r="S97" s="794">
        <f>+S23</f>
        <v>91.305952000000005</v>
      </c>
      <c r="U97" s="794">
        <f>+U23</f>
        <v>138.70914299999998</v>
      </c>
      <c r="W97" s="794">
        <f>+W23</f>
        <v>173.72499999999999</v>
      </c>
      <c r="Y97" s="794">
        <f>+Y23</f>
        <v>247.96300000000002</v>
      </c>
      <c r="AA97" s="794">
        <f>+AA23</f>
        <v>345.93200000000002</v>
      </c>
      <c r="AC97" s="794">
        <f>+AC23</f>
        <v>494.86000000000007</v>
      </c>
      <c r="AD97" s="794"/>
      <c r="AE97" s="794">
        <f>+AE23</f>
        <v>567.95299999999997</v>
      </c>
      <c r="AF97" s="794"/>
      <c r="AG97" s="794">
        <f>+AG23</f>
        <v>560.54500000000007</v>
      </c>
      <c r="AH97" s="794"/>
      <c r="AI97" s="794">
        <f>+AI23</f>
        <v>521.529</v>
      </c>
      <c r="AJ97" s="794"/>
      <c r="AK97" s="794">
        <f>+AK23</f>
        <v>517.37699999999995</v>
      </c>
      <c r="AL97" s="794"/>
      <c r="AM97" s="794">
        <f>+AM23</f>
        <v>550.2299999999999</v>
      </c>
      <c r="AN97" s="794"/>
      <c r="AO97" s="794">
        <f>+AO23</f>
        <v>608.1</v>
      </c>
      <c r="AP97" s="794"/>
      <c r="AQ97" s="794">
        <f>+AQ23</f>
        <v>631.04999999999995</v>
      </c>
      <c r="AR97" s="794"/>
      <c r="AS97" s="794">
        <f>+AS23</f>
        <v>606.14700000000005</v>
      </c>
      <c r="AT97" s="794"/>
      <c r="AU97" s="794"/>
      <c r="AV97" s="794"/>
      <c r="AW97" s="794"/>
      <c r="AX97" s="794"/>
      <c r="AY97" s="794"/>
      <c r="AZ97" s="794"/>
      <c r="BA97" s="794"/>
      <c r="BB97" s="794"/>
      <c r="BC97" s="794"/>
      <c r="BD97" s="794"/>
      <c r="BE97" s="794"/>
      <c r="BF97" s="794"/>
      <c r="BG97" s="794"/>
      <c r="BH97" s="794"/>
      <c r="BI97" s="794"/>
    </row>
    <row r="98" spans="1:62" hidden="1">
      <c r="B98" s="1007" t="s">
        <v>471</v>
      </c>
    </row>
    <row r="99" spans="1:62" hidden="1">
      <c r="B99" s="1007" t="s">
        <v>472</v>
      </c>
    </row>
    <row r="100" spans="1:62" hidden="1">
      <c r="B100" s="1007" t="s">
        <v>473</v>
      </c>
    </row>
    <row r="101" spans="1:62" hidden="1">
      <c r="B101" s="1004"/>
      <c r="C101" s="1004" t="s">
        <v>474</v>
      </c>
    </row>
    <row r="102" spans="1:62" hidden="1">
      <c r="B102" s="1004"/>
      <c r="C102" s="1004" t="s">
        <v>475</v>
      </c>
    </row>
    <row r="103" spans="1:62" hidden="1">
      <c r="B103" s="1007"/>
      <c r="C103" s="1007" t="s">
        <v>476</v>
      </c>
      <c r="K103" s="173">
        <v>0.25472174892687388</v>
      </c>
      <c r="L103" s="45"/>
      <c r="M103" s="173">
        <v>0.25472174892687388</v>
      </c>
      <c r="N103" s="45"/>
      <c r="O103" s="173">
        <v>0.25472174892687388</v>
      </c>
      <c r="P103" s="45"/>
      <c r="Q103" s="173">
        <v>0.25472174892687388</v>
      </c>
      <c r="S103" s="173">
        <v>0.25472174892687388</v>
      </c>
      <c r="U103" s="173">
        <v>0.25472174892687388</v>
      </c>
      <c r="W103" s="173">
        <v>0.25472174892687388</v>
      </c>
      <c r="Y103" s="173">
        <v>0.25472174892687388</v>
      </c>
      <c r="AA103" s="173">
        <v>0.25472174892687388</v>
      </c>
      <c r="AC103" s="173">
        <v>0.25472174892687388</v>
      </c>
      <c r="AD103" s="173"/>
      <c r="AE103" s="173">
        <v>0.25472174892687388</v>
      </c>
      <c r="AF103" s="173"/>
      <c r="AG103" s="173">
        <v>0.25472174892687388</v>
      </c>
      <c r="AH103" s="173"/>
      <c r="AI103" s="173">
        <v>0.25472174892687388</v>
      </c>
      <c r="AJ103" s="173"/>
      <c r="AK103" s="173">
        <v>0.25472174892687388</v>
      </c>
      <c r="AL103" s="173"/>
      <c r="AM103" s="173">
        <v>0.25472174892687388</v>
      </c>
      <c r="AN103" s="173"/>
      <c r="AO103" s="173">
        <v>0.25472174892687388</v>
      </c>
      <c r="AP103" s="173"/>
      <c r="AQ103" s="173">
        <v>0.25472174892687388</v>
      </c>
      <c r="AR103" s="173"/>
      <c r="AS103" s="173">
        <v>0.25472174892687388</v>
      </c>
      <c r="AT103" s="173"/>
      <c r="AU103" s="173"/>
      <c r="AV103" s="173"/>
      <c r="AW103" s="173"/>
      <c r="AX103" s="173"/>
      <c r="AY103" s="173"/>
      <c r="AZ103" s="173"/>
      <c r="BA103" s="173"/>
      <c r="BB103" s="173"/>
      <c r="BC103" s="173"/>
      <c r="BD103" s="173"/>
      <c r="BE103" s="173"/>
      <c r="BF103" s="173"/>
      <c r="BG103" s="173"/>
      <c r="BH103" s="173"/>
      <c r="BI103" s="173"/>
    </row>
    <row r="104" spans="1:62" hidden="1">
      <c r="B104" s="1007"/>
      <c r="C104" s="1007" t="s">
        <v>477</v>
      </c>
      <c r="K104" s="1008">
        <v>27.464947364575131</v>
      </c>
      <c r="L104" s="173"/>
      <c r="M104" s="1008">
        <v>33.950131045395466</v>
      </c>
      <c r="N104" s="173"/>
      <c r="O104" s="1008">
        <v>43.879523957499913</v>
      </c>
      <c r="P104" s="173"/>
      <c r="Q104" s="1008">
        <v>42.524022324216773</v>
      </c>
      <c r="S104" s="1009">
        <v>42.524022324216773</v>
      </c>
      <c r="T104" s="174"/>
      <c r="U104" s="1009">
        <v>42.524022324216773</v>
      </c>
      <c r="V104" s="174"/>
      <c r="W104" s="1009">
        <v>42.524022324216773</v>
      </c>
      <c r="X104" s="174"/>
      <c r="Y104" s="1009">
        <v>42.524022324216773</v>
      </c>
      <c r="Z104" s="174"/>
      <c r="AA104" s="1009">
        <v>42.524022324216773</v>
      </c>
      <c r="AB104" s="174"/>
      <c r="AC104" s="1009">
        <v>42.524022324216773</v>
      </c>
      <c r="AD104" s="1010"/>
      <c r="AE104" s="1009">
        <v>42.524022324216773</v>
      </c>
      <c r="AF104" s="1009"/>
      <c r="AG104" s="1009">
        <v>42.524022324216773</v>
      </c>
      <c r="AH104" s="1009"/>
      <c r="AI104" s="1009">
        <v>42.524022324216773</v>
      </c>
      <c r="AJ104" s="1009"/>
      <c r="AK104" s="1009">
        <v>42.524022324216773</v>
      </c>
      <c r="AL104" s="1009"/>
      <c r="AM104" s="1009">
        <v>42.524022324216773</v>
      </c>
      <c r="AN104" s="1009"/>
      <c r="AO104" s="1009">
        <v>42.524022324216773</v>
      </c>
      <c r="AP104" s="1009"/>
      <c r="AQ104" s="1009">
        <v>42.524022324216773</v>
      </c>
      <c r="AR104" s="1009"/>
      <c r="AS104" s="1009">
        <v>42.524022324216773</v>
      </c>
      <c r="AT104" s="1010"/>
      <c r="AU104" s="1010"/>
      <c r="AV104" s="1010"/>
      <c r="AW104" s="1010"/>
      <c r="AX104" s="1010"/>
      <c r="AY104" s="1010"/>
      <c r="AZ104" s="1010"/>
      <c r="BA104" s="1010"/>
      <c r="BB104" s="1010"/>
      <c r="BC104" s="1010"/>
      <c r="BD104" s="1010"/>
      <c r="BE104" s="1010"/>
      <c r="BF104" s="1010"/>
      <c r="BG104" s="1010"/>
      <c r="BH104" s="1010"/>
      <c r="BI104" s="1010"/>
    </row>
    <row r="105" spans="1:62" hidden="1">
      <c r="A105" s="28"/>
      <c r="B105" s="1005" t="s">
        <v>478</v>
      </c>
      <c r="C105" s="28"/>
      <c r="D105" s="28"/>
      <c r="E105" s="28"/>
      <c r="F105" s="28"/>
      <c r="G105" s="28"/>
      <c r="H105" s="28"/>
      <c r="I105" s="28"/>
      <c r="J105" s="28"/>
      <c r="K105" s="1011">
        <f>SUM(K97:K104)</f>
        <v>44.699055113502006</v>
      </c>
      <c r="L105" s="28"/>
      <c r="M105" s="1011">
        <f>SUM(M97:M104)</f>
        <v>53.870113794322336</v>
      </c>
      <c r="N105" s="28"/>
      <c r="O105" s="1011">
        <f>SUM(O97:O104)</f>
        <v>75.479242706426788</v>
      </c>
      <c r="P105" s="28"/>
      <c r="Q105" s="1012">
        <f>SUM(Q97:Q104)</f>
        <v>108.36375507314364</v>
      </c>
      <c r="R105" s="28"/>
      <c r="S105" s="1012">
        <f>SUM(S97:S104)</f>
        <v>134.08469607314365</v>
      </c>
      <c r="T105" s="28"/>
      <c r="U105" s="1012">
        <f>SUM(U97:U104)</f>
        <v>181.48788707314361</v>
      </c>
      <c r="V105" s="28"/>
      <c r="W105" s="1012">
        <f>SUM(W97:W104)</f>
        <v>216.50374407314365</v>
      </c>
      <c r="X105" s="28"/>
      <c r="Y105" s="1012">
        <f>SUM(Y97:Y104)</f>
        <v>290.74174407314365</v>
      </c>
      <c r="Z105" s="28"/>
      <c r="AA105" s="1012">
        <f>SUM(AA97:AA104)</f>
        <v>388.7107440731437</v>
      </c>
      <c r="AB105" s="28"/>
      <c r="AC105" s="1012">
        <f>SUM(AC97:AC104)</f>
        <v>537.6387440731437</v>
      </c>
      <c r="AD105" s="1012"/>
      <c r="AE105" s="1012">
        <f>SUM(AE97:AE104)</f>
        <v>610.73174407314355</v>
      </c>
      <c r="AF105" s="1012"/>
      <c r="AG105" s="1012">
        <f>SUM(AG97:AG104)</f>
        <v>603.32374407314364</v>
      </c>
      <c r="AH105" s="1012"/>
      <c r="AI105" s="1012">
        <f>SUM(AI97:AI104)</f>
        <v>564.30774407314357</v>
      </c>
      <c r="AJ105" s="1012"/>
      <c r="AK105" s="1012">
        <f>SUM(AK97:AK104)</f>
        <v>560.15574407314352</v>
      </c>
      <c r="AL105" s="1012"/>
      <c r="AM105" s="1012">
        <f>SUM(AM97:AM104)</f>
        <v>593.00874407314348</v>
      </c>
      <c r="AN105" s="1012"/>
      <c r="AO105" s="1012">
        <f>SUM(AO97:AO104)</f>
        <v>650.87874407314359</v>
      </c>
      <c r="AP105" s="1012"/>
      <c r="AQ105" s="1012">
        <f>SUM(AQ97:AQ104)</f>
        <v>673.82874407314353</v>
      </c>
      <c r="AR105" s="1012"/>
      <c r="AS105" s="1012">
        <f>SUM(AS97:AS104)</f>
        <v>648.92574407314362</v>
      </c>
      <c r="AT105" s="1012"/>
      <c r="AU105" s="1012"/>
      <c r="AV105" s="1012"/>
      <c r="AW105" s="1012"/>
      <c r="AX105" s="1012"/>
      <c r="AY105" s="1012"/>
      <c r="AZ105" s="1012"/>
      <c r="BA105" s="1012"/>
      <c r="BB105" s="1012"/>
      <c r="BC105" s="1012"/>
      <c r="BD105" s="1012"/>
      <c r="BE105" s="1012"/>
      <c r="BF105" s="1012"/>
      <c r="BG105" s="1012"/>
      <c r="BH105" s="1012"/>
      <c r="BI105" s="1012"/>
      <c r="BJ105" s="28"/>
    </row>
    <row r="106" spans="1:62" hidden="1">
      <c r="B106" s="1007" t="s">
        <v>479</v>
      </c>
      <c r="K106" s="643">
        <f>+K26+K29+K17</f>
        <v>2.2097020000000001</v>
      </c>
      <c r="M106" s="643">
        <f>+M26+M29</f>
        <v>1.498923</v>
      </c>
      <c r="O106" s="643">
        <f>+O26+O29</f>
        <v>1.7462110000000002</v>
      </c>
      <c r="Q106" s="966">
        <f>+Q26+Q29</f>
        <v>1.4355470000000001</v>
      </c>
      <c r="S106" s="966">
        <f>+S26+S29</f>
        <v>2.0885349999999998</v>
      </c>
      <c r="U106" s="966">
        <f>+U26+U29</f>
        <v>2.4052419999999999</v>
      </c>
      <c r="W106" s="966">
        <f>+W26+W29</f>
        <v>5.399</v>
      </c>
      <c r="Y106" s="966">
        <f>+Y26+Y29</f>
        <v>7.3609999999999998</v>
      </c>
      <c r="AA106" s="966">
        <f>+AA26+AA29</f>
        <v>19.666</v>
      </c>
      <c r="AC106" s="966">
        <f>+AC26+AC29</f>
        <v>32.902000000000001</v>
      </c>
      <c r="AD106" s="987"/>
      <c r="AE106" s="966">
        <f>+AE26+AE29</f>
        <v>59.735999999999997</v>
      </c>
      <c r="AF106" s="966"/>
      <c r="AG106" s="966">
        <f>+AG26+AG29</f>
        <v>43.558999999999997</v>
      </c>
      <c r="AH106" s="966"/>
      <c r="AI106" s="966">
        <f>+AI26+AI29</f>
        <v>61.589999999999996</v>
      </c>
      <c r="AJ106" s="966"/>
      <c r="AK106" s="966">
        <f>+AK26+AK29</f>
        <v>6.1750000000000007</v>
      </c>
      <c r="AL106" s="966"/>
      <c r="AM106" s="966">
        <f>+AM26+AM29</f>
        <v>3.0909999999999997</v>
      </c>
      <c r="AN106" s="966"/>
      <c r="AO106" s="966">
        <f>+AO26+AO29</f>
        <v>3.2679999999999998</v>
      </c>
      <c r="AP106" s="966"/>
      <c r="AQ106" s="966">
        <f>+AQ26+AQ29</f>
        <v>9.2289999999999992</v>
      </c>
      <c r="AR106" s="966"/>
      <c r="AS106" s="966">
        <f>+AS26+AS29</f>
        <v>14.31</v>
      </c>
      <c r="AT106" s="987"/>
      <c r="AU106" s="987"/>
      <c r="AV106" s="987"/>
      <c r="AW106" s="987"/>
      <c r="AX106" s="987"/>
      <c r="AY106" s="987"/>
      <c r="AZ106" s="987"/>
      <c r="BA106" s="987"/>
      <c r="BB106" s="987"/>
      <c r="BC106" s="987"/>
      <c r="BD106" s="987"/>
      <c r="BE106" s="987"/>
      <c r="BF106" s="987"/>
      <c r="BG106" s="987"/>
      <c r="BH106" s="987"/>
      <c r="BI106" s="987"/>
    </row>
    <row r="107" spans="1:62" hidden="1">
      <c r="A107" s="28"/>
      <c r="B107" s="1005" t="s">
        <v>480</v>
      </c>
      <c r="C107" s="28"/>
      <c r="D107" s="28"/>
      <c r="E107" s="28"/>
      <c r="F107" s="28"/>
      <c r="G107" s="28"/>
      <c r="H107" s="28"/>
      <c r="I107" s="28"/>
      <c r="J107" s="28"/>
      <c r="K107" s="1011">
        <f>+K106+K105+K96</f>
        <v>56.397545113501998</v>
      </c>
      <c r="L107" s="28"/>
      <c r="M107" s="1011">
        <f>+M106+M105+M96</f>
        <v>75.890450794322319</v>
      </c>
      <c r="N107" s="28"/>
      <c r="O107" s="1011">
        <f>+O106+O105+O96</f>
        <v>104.46027870642678</v>
      </c>
      <c r="P107" s="28"/>
      <c r="Q107" s="1006">
        <f>+Q106+Q105+Q96</f>
        <v>136.68724707314362</v>
      </c>
      <c r="R107" s="28"/>
      <c r="S107" s="1006">
        <f>+S106+S105+S96</f>
        <v>195.6778100731436</v>
      </c>
      <c r="T107" s="28"/>
      <c r="U107" s="1006">
        <f>+U106+U105+U96</f>
        <v>290.78693907314357</v>
      </c>
      <c r="V107" s="28"/>
      <c r="W107" s="1006">
        <f>+W106+W105+W96</f>
        <v>349.64584907314372</v>
      </c>
      <c r="X107" s="28"/>
      <c r="Y107" s="1006">
        <f>+Y106+Y105+Y96</f>
        <v>568.83974407314383</v>
      </c>
      <c r="Z107" s="28"/>
      <c r="AA107" s="1006">
        <f>+AA106+AA105+AA96</f>
        <v>825.48774407314386</v>
      </c>
      <c r="AB107" s="28"/>
      <c r="AC107" s="1006">
        <f>+AC106+AC105+AC96</f>
        <v>862.3667440731441</v>
      </c>
      <c r="AD107" s="1006"/>
      <c r="AE107" s="1006">
        <f>+AE106+AE105+AE96</f>
        <v>978.59774407314364</v>
      </c>
      <c r="AF107" s="1006"/>
      <c r="AG107" s="1006">
        <f>+AG106+AG105+AG96</f>
        <v>989.42274407314369</v>
      </c>
      <c r="AH107" s="1006"/>
      <c r="AI107" s="1006">
        <f>+AI106+AI105+AI96</f>
        <v>1051.9497440731438</v>
      </c>
      <c r="AJ107" s="1006"/>
      <c r="AK107" s="1006">
        <f>+AK106+AK105+AK96</f>
        <v>1122.7317440731435</v>
      </c>
      <c r="AL107" s="1006"/>
      <c r="AM107" s="1006">
        <f>+AM106+AM105+AM96</f>
        <v>860.14374407314381</v>
      </c>
      <c r="AN107" s="1006"/>
      <c r="AO107" s="1006" t="e">
        <f>+AO106+AO105+AO96</f>
        <v>#REF!</v>
      </c>
      <c r="AP107" s="1006"/>
      <c r="AQ107" s="1006" t="e">
        <f>+AQ106+AQ105+AQ96</f>
        <v>#REF!</v>
      </c>
      <c r="AR107" s="1006"/>
      <c r="AS107" s="1006" t="e">
        <f>+AS106+AS105+AS96</f>
        <v>#REF!</v>
      </c>
      <c r="AT107" s="1006"/>
      <c r="AU107" s="1006"/>
      <c r="AV107" s="1006"/>
      <c r="AW107" s="1006"/>
      <c r="AX107" s="1006"/>
      <c r="AY107" s="1006"/>
      <c r="AZ107" s="1006"/>
      <c r="BA107" s="1006"/>
      <c r="BB107" s="1006"/>
      <c r="BC107" s="1006"/>
      <c r="BD107" s="1006"/>
      <c r="BE107" s="1006"/>
      <c r="BF107" s="1006"/>
      <c r="BG107" s="1006"/>
      <c r="BH107" s="1006"/>
      <c r="BI107" s="1006"/>
      <c r="BJ107" s="28"/>
    </row>
    <row r="108" spans="1:62" ht="13.5" hidden="1" thickBot="1">
      <c r="A108" s="28"/>
      <c r="B108" s="1005" t="s">
        <v>481</v>
      </c>
      <c r="C108" s="28"/>
      <c r="D108" s="28"/>
      <c r="E108" s="28"/>
      <c r="F108" s="28"/>
      <c r="G108" s="28"/>
      <c r="H108" s="28"/>
      <c r="I108" s="28"/>
      <c r="J108" s="28"/>
      <c r="K108" s="1013">
        <f>(K107+I107)/2</f>
        <v>28.198772556750999</v>
      </c>
      <c r="L108" s="28"/>
      <c r="M108" s="1013">
        <f>(M107+K107)/2</f>
        <v>66.143997953912162</v>
      </c>
      <c r="N108" s="28"/>
      <c r="O108" s="1013">
        <f>(O107+M107)/2</f>
        <v>90.175364750374541</v>
      </c>
      <c r="P108" s="28"/>
      <c r="Q108" s="1014">
        <f>(Q107+O107)/2</f>
        <v>120.5737628897852</v>
      </c>
      <c r="R108" s="28"/>
      <c r="S108" s="1014">
        <f>(S107+Q107)/2</f>
        <v>166.1825285731436</v>
      </c>
      <c r="T108" s="28"/>
      <c r="U108" s="1014">
        <f>(U107+S107)/2</f>
        <v>243.2323745731436</v>
      </c>
      <c r="V108" s="28"/>
      <c r="W108" s="1014">
        <f>(W107+U107)/2</f>
        <v>320.21639407314365</v>
      </c>
      <c r="X108" s="28"/>
      <c r="Y108" s="1014">
        <f>(Y107+W107)/2</f>
        <v>459.24279657314378</v>
      </c>
      <c r="Z108" s="28"/>
      <c r="AA108" s="1014">
        <f>(AA107+Y107)/2</f>
        <v>697.16374407314379</v>
      </c>
      <c r="AB108" s="28"/>
      <c r="AC108" s="1014">
        <f>(AC107+AA107)/2</f>
        <v>843.92724407314404</v>
      </c>
      <c r="AD108" s="1015"/>
      <c r="AE108" s="1014">
        <f>(AE107+AC107)/2</f>
        <v>920.48224407314387</v>
      </c>
      <c r="AF108" s="1014"/>
      <c r="AG108" s="1014">
        <f>(AG107+AE107)/2</f>
        <v>984.01024407314367</v>
      </c>
      <c r="AH108" s="1014"/>
      <c r="AI108" s="1014">
        <f>(AI107+AG107)/2</f>
        <v>1020.6862440731438</v>
      </c>
      <c r="AJ108" s="1014"/>
      <c r="AK108" s="1014">
        <f>(AK107+AI107)/2</f>
        <v>1087.3407440731437</v>
      </c>
      <c r="AL108" s="1014"/>
      <c r="AM108" s="1014">
        <f>(AM107+AK107)/2</f>
        <v>991.43774407314368</v>
      </c>
      <c r="AN108" s="1014"/>
      <c r="AO108" s="1014" t="e">
        <f>(AO107+#REF!)/2</f>
        <v>#REF!</v>
      </c>
      <c r="AP108" s="1014"/>
      <c r="AQ108" s="1014" t="e">
        <f>(AQ107+#REF!)/2</f>
        <v>#REF!</v>
      </c>
      <c r="AR108" s="1014"/>
      <c r="AS108" s="1014" t="e">
        <f>(AS107+#REF!)/2</f>
        <v>#REF!</v>
      </c>
      <c r="AT108" s="1015"/>
      <c r="AU108" s="1015"/>
      <c r="AV108" s="1015"/>
      <c r="AW108" s="1015"/>
      <c r="AX108" s="1015"/>
      <c r="AY108" s="1015"/>
      <c r="AZ108" s="1015"/>
      <c r="BA108" s="1015"/>
      <c r="BB108" s="1015"/>
      <c r="BC108" s="1015"/>
      <c r="BD108" s="1015"/>
      <c r="BE108" s="1015"/>
      <c r="BF108" s="1015"/>
      <c r="BG108" s="1015"/>
      <c r="BH108" s="1015"/>
      <c r="BI108" s="1015"/>
      <c r="BJ108" s="28"/>
    </row>
    <row r="109" spans="1:62" hidden="1">
      <c r="B109" s="1007"/>
    </row>
    <row r="110" spans="1:62" hidden="1">
      <c r="B110" s="1007" t="s">
        <v>482</v>
      </c>
      <c r="K110" s="318">
        <f>+K96-I96</f>
        <v>9.4887879999999925</v>
      </c>
      <c r="M110" s="318">
        <f>+M96-K96</f>
        <v>11.032625999999993</v>
      </c>
      <c r="O110" s="318">
        <f>+O96-M96</f>
        <v>6.7134109999999971</v>
      </c>
      <c r="Q110" s="318">
        <f>+Q96-O96</f>
        <v>-0.3468800000000094</v>
      </c>
      <c r="S110" s="318">
        <f>+S96-Q96</f>
        <v>32.616633999999983</v>
      </c>
      <c r="U110" s="318">
        <f>+U96-S96</f>
        <v>47.389231000000002</v>
      </c>
      <c r="W110" s="318">
        <f>+W96-U96</f>
        <v>20.849295000000083</v>
      </c>
      <c r="Y110" s="318">
        <f>+Y96-W96</f>
        <v>142.99389500000015</v>
      </c>
      <c r="AA110" s="318">
        <f>+AA96-Y96</f>
        <v>146.37400000000002</v>
      </c>
      <c r="AC110" s="318">
        <f>+AC96-AA96</f>
        <v>-125.28499999999985</v>
      </c>
      <c r="AD110" s="318"/>
      <c r="AE110" s="318">
        <f>+AE96-AC96</f>
        <v>16.303999999999746</v>
      </c>
      <c r="AF110" s="318"/>
      <c r="AG110" s="318">
        <f>+AG96-AE96</f>
        <v>34.409999999999968</v>
      </c>
      <c r="AH110" s="318"/>
      <c r="AI110" s="318">
        <f>+AI96-AG96</f>
        <v>83.512000000000171</v>
      </c>
      <c r="AJ110" s="318"/>
      <c r="AK110" s="318">
        <f>+AK96-AI96</f>
        <v>130.34899999999982</v>
      </c>
      <c r="AL110" s="318"/>
      <c r="AM110" s="318">
        <f>+AM96-AK96</f>
        <v>-292.35699999999969</v>
      </c>
      <c r="AN110" s="318"/>
      <c r="AO110" s="318" t="e">
        <f>+AO96-#REF!</f>
        <v>#REF!</v>
      </c>
      <c r="AP110" s="318"/>
      <c r="AQ110" s="318" t="e">
        <f>+AQ96-#REF!</f>
        <v>#REF!</v>
      </c>
      <c r="AR110" s="318"/>
      <c r="AS110" s="318" t="e">
        <f>+AS96-#REF!</f>
        <v>#REF!</v>
      </c>
      <c r="AT110" s="318"/>
      <c r="AU110" s="318"/>
      <c r="AV110" s="318"/>
      <c r="AW110" s="318"/>
      <c r="AX110" s="318"/>
      <c r="AY110" s="318"/>
      <c r="AZ110" s="318"/>
      <c r="BA110" s="318"/>
      <c r="BB110" s="318"/>
      <c r="BC110" s="318"/>
      <c r="BD110" s="318"/>
      <c r="BE110" s="318"/>
      <c r="BF110" s="318"/>
      <c r="BG110" s="318"/>
      <c r="BH110" s="318"/>
      <c r="BI110" s="318"/>
    </row>
    <row r="111" spans="1:62" hidden="1">
      <c r="B111" s="1007" t="s">
        <v>483</v>
      </c>
      <c r="K111" s="794">
        <f>+K105-I105</f>
        <v>44.699055113502006</v>
      </c>
      <c r="M111" s="794">
        <f>+M105-K105</f>
        <v>9.1710586808203303</v>
      </c>
      <c r="O111" s="794">
        <f>+O105-M105</f>
        <v>21.609128912104453</v>
      </c>
      <c r="Q111" s="794">
        <f>+Q105-O105</f>
        <v>32.884512366716848</v>
      </c>
      <c r="S111" s="794">
        <f>+S105-Q105</f>
        <v>25.72094100000001</v>
      </c>
      <c r="U111" s="794">
        <f>+U105-S105</f>
        <v>47.403190999999964</v>
      </c>
      <c r="W111" s="794">
        <f>+W105-U105</f>
        <v>35.01585700000004</v>
      </c>
      <c r="Y111" s="794">
        <f>+Y105-W105</f>
        <v>74.238</v>
      </c>
      <c r="AA111" s="794">
        <f>+AA105-Y105</f>
        <v>97.969000000000051</v>
      </c>
      <c r="AC111" s="794">
        <f>+AC105-AA105</f>
        <v>148.928</v>
      </c>
      <c r="AD111" s="794"/>
      <c r="AE111" s="794">
        <f>+AE105-AC105</f>
        <v>73.092999999999847</v>
      </c>
      <c r="AF111" s="794"/>
      <c r="AG111" s="794">
        <f>+AG105-AE105</f>
        <v>-7.4079999999999018</v>
      </c>
      <c r="AH111" s="794"/>
      <c r="AI111" s="794">
        <f>+AI105-AG105</f>
        <v>-39.016000000000076</v>
      </c>
      <c r="AJ111" s="794"/>
      <c r="AK111" s="794">
        <f>+AK105-AI105</f>
        <v>-4.1520000000000437</v>
      </c>
      <c r="AL111" s="794"/>
      <c r="AM111" s="794">
        <f>+AM105-AK105</f>
        <v>32.852999999999952</v>
      </c>
      <c r="AN111" s="794"/>
      <c r="AO111" s="794" t="e">
        <f>+AO105-#REF!</f>
        <v>#REF!</v>
      </c>
      <c r="AP111" s="794"/>
      <c r="AQ111" s="794" t="e">
        <f>+AQ105-#REF!</f>
        <v>#REF!</v>
      </c>
      <c r="AR111" s="794"/>
      <c r="AS111" s="794" t="e">
        <f>+AS105-#REF!</f>
        <v>#REF!</v>
      </c>
      <c r="AT111" s="794"/>
      <c r="AU111" s="794"/>
      <c r="AV111" s="794"/>
      <c r="AW111" s="794"/>
      <c r="AX111" s="794"/>
      <c r="AY111" s="794"/>
      <c r="AZ111" s="794"/>
      <c r="BA111" s="794"/>
      <c r="BB111" s="794"/>
      <c r="BC111" s="794"/>
      <c r="BD111" s="794"/>
      <c r="BE111" s="794"/>
      <c r="BF111" s="794"/>
      <c r="BG111" s="794"/>
      <c r="BH111" s="794"/>
      <c r="BI111" s="794"/>
    </row>
    <row r="112" spans="1:62" hidden="1">
      <c r="B112" s="1007" t="s">
        <v>484</v>
      </c>
      <c r="K112" s="318">
        <f>+K106-I106</f>
        <v>2.2097020000000001</v>
      </c>
      <c r="M112" s="318">
        <f>+M106-K106</f>
        <v>-0.71077900000000005</v>
      </c>
      <c r="O112" s="318">
        <f>+O106-M106</f>
        <v>0.24728800000000017</v>
      </c>
      <c r="Q112" s="318">
        <f>+Q106-O106</f>
        <v>-0.31066400000000005</v>
      </c>
      <c r="S112" s="318">
        <f>+S106-Q106</f>
        <v>0.65298799999999968</v>
      </c>
      <c r="U112" s="318">
        <f>+U106-S106</f>
        <v>0.31670700000000007</v>
      </c>
      <c r="W112" s="318">
        <f>+W106-U106</f>
        <v>2.9937580000000001</v>
      </c>
      <c r="Y112" s="318">
        <f>+Y106-W106</f>
        <v>1.9619999999999997</v>
      </c>
      <c r="AA112" s="318">
        <f>+AA106-Y106</f>
        <v>12.305</v>
      </c>
      <c r="AC112" s="318">
        <f>+AC106-AA106</f>
        <v>13.236000000000001</v>
      </c>
      <c r="AD112" s="318"/>
      <c r="AE112" s="318">
        <f>+AE106-AC106</f>
        <v>26.833999999999996</v>
      </c>
      <c r="AF112" s="318"/>
      <c r="AG112" s="318">
        <f>+AG106-AE106</f>
        <v>-16.177</v>
      </c>
      <c r="AH112" s="318"/>
      <c r="AI112" s="318">
        <f>+AI106-AG106</f>
        <v>18.030999999999999</v>
      </c>
      <c r="AJ112" s="318"/>
      <c r="AK112" s="318">
        <f>+AK106-AI106</f>
        <v>-55.414999999999992</v>
      </c>
      <c r="AL112" s="318"/>
      <c r="AM112" s="318">
        <f>+AM106-AK106</f>
        <v>-3.084000000000001</v>
      </c>
      <c r="AN112" s="318"/>
      <c r="AO112" s="318" t="e">
        <f>+AO106-#REF!</f>
        <v>#REF!</v>
      </c>
      <c r="AP112" s="318"/>
      <c r="AQ112" s="318" t="e">
        <f>+AQ106-#REF!</f>
        <v>#REF!</v>
      </c>
      <c r="AR112" s="318"/>
      <c r="AS112" s="318" t="e">
        <f>+AS106-#REF!</f>
        <v>#REF!</v>
      </c>
      <c r="AT112" s="318"/>
      <c r="AU112" s="318"/>
      <c r="AV112" s="318"/>
      <c r="AW112" s="318"/>
      <c r="AX112" s="318"/>
      <c r="AY112" s="318"/>
      <c r="AZ112" s="318"/>
      <c r="BA112" s="318"/>
      <c r="BB112" s="318"/>
      <c r="BC112" s="318"/>
      <c r="BD112" s="318"/>
      <c r="BE112" s="318"/>
      <c r="BF112" s="318"/>
      <c r="BG112" s="318"/>
      <c r="BH112" s="318"/>
      <c r="BI112" s="318"/>
    </row>
    <row r="113" spans="2:61" hidden="1">
      <c r="B113" s="1016" t="s">
        <v>485</v>
      </c>
      <c r="K113" s="1006">
        <f>+K107-I107</f>
        <v>56.397545113501998</v>
      </c>
      <c r="M113" s="1006">
        <f>+M107-K107</f>
        <v>19.492905680820321</v>
      </c>
      <c r="O113" s="1006">
        <f>+O107-M107</f>
        <v>28.569827912104458</v>
      </c>
      <c r="Q113" s="1006">
        <f>+Q107-O107</f>
        <v>32.226968366716847</v>
      </c>
      <c r="S113" s="1006">
        <f>+S107-Q107</f>
        <v>58.99056299999998</v>
      </c>
      <c r="U113" s="1006">
        <f>+U107-S107</f>
        <v>95.109128999999967</v>
      </c>
      <c r="W113" s="1006">
        <f>+W107-U107</f>
        <v>58.858910000000151</v>
      </c>
      <c r="Y113" s="1006">
        <f>+Y107-W107</f>
        <v>219.19389500000011</v>
      </c>
      <c r="AA113" s="1006">
        <f>+AA107-Y107</f>
        <v>256.64800000000002</v>
      </c>
      <c r="AC113" s="1006">
        <f>+AC107-AA107</f>
        <v>36.879000000000246</v>
      </c>
      <c r="AD113" s="1006"/>
      <c r="AE113" s="1006">
        <f>+AE107-AC107</f>
        <v>116.23099999999954</v>
      </c>
      <c r="AF113" s="1006"/>
      <c r="AG113" s="1006">
        <f>+AG107-AE107</f>
        <v>10.825000000000045</v>
      </c>
      <c r="AH113" s="1006"/>
      <c r="AI113" s="1006">
        <f>+AI107-AG107</f>
        <v>62.527000000000157</v>
      </c>
      <c r="AJ113" s="1006"/>
      <c r="AK113" s="1006">
        <f>+AK107-AI107</f>
        <v>70.781999999999698</v>
      </c>
      <c r="AL113" s="1006"/>
      <c r="AM113" s="1006">
        <f>+AM107-AK107</f>
        <v>-262.58799999999974</v>
      </c>
      <c r="AN113" s="1006"/>
      <c r="AO113" s="1006" t="e">
        <f>+AO107-#REF!</f>
        <v>#REF!</v>
      </c>
      <c r="AP113" s="1006"/>
      <c r="AQ113" s="1006" t="e">
        <f>+AQ107-#REF!</f>
        <v>#REF!</v>
      </c>
      <c r="AR113" s="1006"/>
      <c r="AS113" s="1006" t="e">
        <f>+AS107-#REF!</f>
        <v>#REF!</v>
      </c>
      <c r="AT113" s="1006"/>
      <c r="AU113" s="1006"/>
      <c r="AV113" s="1006"/>
      <c r="AW113" s="1006"/>
      <c r="AX113" s="1006"/>
      <c r="AY113" s="1006"/>
      <c r="AZ113" s="1006"/>
      <c r="BA113" s="1006"/>
      <c r="BB113" s="1006"/>
      <c r="BC113" s="1006"/>
      <c r="BD113" s="1006"/>
      <c r="BE113" s="1006"/>
      <c r="BF113" s="1006"/>
      <c r="BG113" s="1006"/>
      <c r="BH113" s="1006"/>
      <c r="BI113" s="1006"/>
    </row>
    <row r="114" spans="2:61" hidden="1">
      <c r="B114" s="1007"/>
    </row>
    <row r="115" spans="2:61" hidden="1">
      <c r="B115" s="1003" t="s">
        <v>486</v>
      </c>
    </row>
    <row r="116" spans="2:61" hidden="1">
      <c r="B116" s="1004" t="s">
        <v>487</v>
      </c>
      <c r="K116" s="689">
        <f>+'yrP&amp;L'!E$7/bal!K96</f>
        <v>7.9398076972528058</v>
      </c>
      <c r="M116" s="689">
        <f>+'yrP&amp;L'!F$7/bal!M96</f>
        <v>5.2014735924142501</v>
      </c>
      <c r="O116" s="689">
        <f>+'yrP&amp;L'!G$7/bal!O96</f>
        <v>5.6913264909908587</v>
      </c>
      <c r="Q116" s="689">
        <f>+'yrP&amp;L'!H$7/bal!Q96</f>
        <v>9.6491530312190168</v>
      </c>
      <c r="S116" s="689">
        <f>+'yrP&amp;L'!I$7/bal!S96</f>
        <v>6.3538864798959462</v>
      </c>
      <c r="U116" s="689">
        <f>+'yrP&amp;L'!J$7/bal!U96</f>
        <v>4.9685584693819056</v>
      </c>
      <c r="W116" s="689">
        <f>+'yrP&amp;L'!L$7/bal!W96</f>
        <v>8.3517775773494751</v>
      </c>
      <c r="Y116" s="689">
        <f>+'yrP&amp;L'!N$7/bal!Y96</f>
        <v>6.0609632226108694</v>
      </c>
      <c r="AA116" s="689">
        <f>+'yrP&amp;L'!AE$7/bal!AA96</f>
        <v>0</v>
      </c>
      <c r="AC116" s="689" t="e">
        <f>+'yrP&amp;L'!AG$7/bal!AC96</f>
        <v>#VALUE!</v>
      </c>
      <c r="AD116" s="689"/>
      <c r="AE116" s="689" t="e">
        <f>+'yrP&amp;L'!#REF!/bal!AE96</f>
        <v>#REF!</v>
      </c>
      <c r="AF116" s="689"/>
      <c r="AG116" s="689">
        <f>+'yrP&amp;L'!AH$7/bal!AG96</f>
        <v>-3.7552203976680318E-3</v>
      </c>
      <c r="AH116" s="689"/>
      <c r="AI116" s="689">
        <f>+'yrP&amp;L'!AJ$7/bal!AI96</f>
        <v>0</v>
      </c>
      <c r="AJ116" s="689"/>
      <c r="AK116" s="689">
        <f>+'yrP&amp;L'!AL$7/bal!AK96</f>
        <v>0</v>
      </c>
      <c r="AL116" s="689"/>
      <c r="AM116" s="689">
        <f>+'yrP&amp;L'!AN$7/bal!AM96</f>
        <v>0</v>
      </c>
      <c r="AN116" s="689"/>
      <c r="AO116" s="689" t="e">
        <f>+'yrP&amp;L'!AO$7/bal!AO96</f>
        <v>#REF!</v>
      </c>
      <c r="AP116" s="689"/>
      <c r="AQ116" s="689" t="e">
        <f>+'yrP&amp;L'!AQ$7/bal!AQ96</f>
        <v>#REF!</v>
      </c>
      <c r="AR116" s="689"/>
      <c r="AS116" s="689" t="e">
        <f>+'yrP&amp;L'!AS$7/bal!AS96</f>
        <v>#REF!</v>
      </c>
      <c r="AT116" s="689"/>
      <c r="AU116" s="689"/>
      <c r="AV116" s="689"/>
      <c r="AW116" s="689"/>
      <c r="AX116" s="689"/>
      <c r="AY116" s="689"/>
      <c r="AZ116" s="689"/>
      <c r="BA116" s="689"/>
      <c r="BB116" s="689"/>
      <c r="BC116" s="689"/>
      <c r="BD116" s="689"/>
      <c r="BE116" s="689"/>
      <c r="BF116" s="689"/>
      <c r="BG116" s="689"/>
      <c r="BH116" s="689"/>
      <c r="BI116" s="689"/>
    </row>
    <row r="117" spans="2:61" hidden="1">
      <c r="B117" s="1004" t="s">
        <v>488</v>
      </c>
      <c r="K117" s="689">
        <f>+'yrP&amp;L'!E$7/bal!K105</f>
        <v>1.6854752703092979</v>
      </c>
      <c r="M117" s="689">
        <f>+'yrP&amp;L'!F$7/bal!M105</f>
        <v>1.9814621778513875</v>
      </c>
      <c r="O117" s="689">
        <f>+'yrP&amp;L'!G$7/bal!O105</f>
        <v>2.0535749358651438</v>
      </c>
      <c r="Q117" s="689">
        <f>+'yrP&amp;L'!H$7/bal!Q105</f>
        <v>2.3942128604243966</v>
      </c>
      <c r="S117" s="689">
        <f>+'yrP&amp;L'!I$7/bal!S105</f>
        <v>2.8197501360912445</v>
      </c>
      <c r="U117" s="689">
        <f>+'yrP&amp;L'!J$7/bal!U105</f>
        <v>2.9264109774221558</v>
      </c>
      <c r="W117" s="689">
        <f>+'yrP&amp;L'!L$7/bal!W105</f>
        <v>4.9277762126809437</v>
      </c>
      <c r="Y117" s="689">
        <f>+'yrP&amp;L'!N$7/bal!Y105</f>
        <v>5.6439332619095186</v>
      </c>
      <c r="AA117" s="689">
        <f>+'yrP&amp;L'!AE$7/bal!AA105</f>
        <v>0</v>
      </c>
      <c r="AC117" s="689" t="e">
        <f>+'yrP&amp;L'!AG$7/bal!AC105</f>
        <v>#VALUE!</v>
      </c>
      <c r="AD117" s="689"/>
      <c r="AE117" s="689" t="e">
        <f>+'yrP&amp;L'!#REF!/bal!AE105</f>
        <v>#REF!</v>
      </c>
      <c r="AF117" s="689"/>
      <c r="AG117" s="689">
        <f>+'yrP&amp;L'!AH$7/bal!AG105</f>
        <v>-2.1320447067656972E-3</v>
      </c>
      <c r="AH117" s="689"/>
      <c r="AI117" s="689">
        <f>+'yrP&amp;L'!AJ$7/bal!AI105</f>
        <v>0</v>
      </c>
      <c r="AJ117" s="689"/>
      <c r="AK117" s="689">
        <f>+'yrP&amp;L'!AL$7/bal!AK105</f>
        <v>0</v>
      </c>
      <c r="AL117" s="689"/>
      <c r="AM117" s="689">
        <f>+'yrP&amp;L'!AN$7/bal!AM105</f>
        <v>0</v>
      </c>
      <c r="AN117" s="689"/>
      <c r="AO117" s="689">
        <f>+'yrP&amp;L'!AO$7/bal!AO105</f>
        <v>0</v>
      </c>
      <c r="AP117" s="689"/>
      <c r="AQ117" s="689">
        <f>+'yrP&amp;L'!AQ$7/bal!AQ105</f>
        <v>0</v>
      </c>
      <c r="AR117" s="689"/>
      <c r="AS117" s="689">
        <f>+'yrP&amp;L'!AS$7/bal!AS105</f>
        <v>0</v>
      </c>
      <c r="AT117" s="689"/>
      <c r="AU117" s="689"/>
      <c r="AV117" s="689"/>
      <c r="AW117" s="689"/>
      <c r="AX117" s="689"/>
      <c r="AY117" s="689"/>
      <c r="AZ117" s="689"/>
      <c r="BA117" s="689"/>
      <c r="BB117" s="689"/>
      <c r="BC117" s="689"/>
      <c r="BD117" s="689"/>
      <c r="BE117" s="689"/>
      <c r="BF117" s="689"/>
      <c r="BG117" s="689"/>
      <c r="BH117" s="689"/>
      <c r="BI117" s="689"/>
    </row>
    <row r="118" spans="2:61" hidden="1">
      <c r="B118" s="1004" t="s">
        <v>382</v>
      </c>
      <c r="K118" s="689">
        <f>+'yrP&amp;L'!E$7/bal!K106</f>
        <v>34.094711413575226</v>
      </c>
      <c r="M118" s="689">
        <f>+'yrP&amp;L'!F$7/bal!M106</f>
        <v>71.212192354110257</v>
      </c>
      <c r="O118" s="689">
        <f>+'yrP&amp;L'!G$7/bal!O106</f>
        <v>88.764920734092271</v>
      </c>
      <c r="Q118" s="689">
        <f>+'yrP&amp;L'!H$7/bal!Q106</f>
        <v>180.72964242898345</v>
      </c>
      <c r="S118" s="689">
        <f>+'yrP&amp;L'!I$7/bal!S106</f>
        <v>181.02897006753537</v>
      </c>
      <c r="U118" s="689">
        <f>+'yrP&amp;L'!J$7/bal!U106</f>
        <v>220.81276852807329</v>
      </c>
      <c r="W118" s="689">
        <f>+'yrP&amp;L'!L$7/bal!W106</f>
        <v>197.60733469160957</v>
      </c>
      <c r="Y118" s="689">
        <f>+'yrP&amp;L'!N$7/bal!Y106</f>
        <v>222.92174976226059</v>
      </c>
      <c r="AA118" s="689">
        <f>+'yrP&amp;L'!AE$7/bal!AA106</f>
        <v>0</v>
      </c>
      <c r="AC118" s="689" t="e">
        <f>+'yrP&amp;L'!AG$7/bal!AC106</f>
        <v>#VALUE!</v>
      </c>
      <c r="AD118" s="689"/>
      <c r="AE118" s="689" t="e">
        <f>+'yrP&amp;L'!#REF!/bal!AE106</f>
        <v>#REF!</v>
      </c>
      <c r="AF118" s="689"/>
      <c r="AG118" s="689">
        <f>+'yrP&amp;L'!AH$7/bal!AG106</f>
        <v>-2.9530365596483116E-2</v>
      </c>
      <c r="AH118" s="689"/>
      <c r="AI118" s="689">
        <f>+'yrP&amp;L'!AJ$7/bal!AI106</f>
        <v>0</v>
      </c>
      <c r="AJ118" s="689"/>
      <c r="AK118" s="689">
        <f>+'yrP&amp;L'!AL$7/bal!AK106</f>
        <v>0</v>
      </c>
      <c r="AL118" s="689"/>
      <c r="AM118" s="689">
        <f>+'yrP&amp;L'!AN$7/bal!AM106</f>
        <v>0</v>
      </c>
      <c r="AN118" s="689"/>
      <c r="AO118" s="689">
        <f>+'yrP&amp;L'!AO$7/bal!AO106</f>
        <v>0</v>
      </c>
      <c r="AP118" s="689"/>
      <c r="AQ118" s="689">
        <f>+'yrP&amp;L'!AQ$7/bal!AQ106</f>
        <v>0</v>
      </c>
      <c r="AR118" s="689"/>
      <c r="AS118" s="689">
        <f>+'yrP&amp;L'!AS$7/bal!AS106</f>
        <v>0</v>
      </c>
      <c r="AT118" s="689"/>
      <c r="AU118" s="689"/>
      <c r="AV118" s="689"/>
      <c r="AW118" s="689"/>
      <c r="AX118" s="689"/>
      <c r="AY118" s="689"/>
      <c r="AZ118" s="689"/>
      <c r="BA118" s="689"/>
      <c r="BB118" s="689"/>
      <c r="BC118" s="689"/>
      <c r="BD118" s="689"/>
      <c r="BE118" s="689"/>
      <c r="BF118" s="689"/>
      <c r="BG118" s="689"/>
      <c r="BH118" s="689"/>
      <c r="BI118" s="689"/>
    </row>
    <row r="119" spans="2:61" hidden="1">
      <c r="B119" s="1016" t="s">
        <v>383</v>
      </c>
      <c r="K119" s="1011">
        <f>+'yrP&amp;L'!E$7/bal!K107</f>
        <v>1.3358587124382342</v>
      </c>
      <c r="M119" s="1011">
        <f>+'yrP&amp;L'!F$7/bal!M107</f>
        <v>1.4065220575549116</v>
      </c>
      <c r="O119" s="1011">
        <f>+'yrP&amp;L'!G$7/bal!O107</f>
        <v>1.483839435615671</v>
      </c>
      <c r="Q119" s="1011">
        <f>+'yrP&amp;L'!H$7/bal!Q107</f>
        <v>1.898098773334473</v>
      </c>
      <c r="S119" s="1011">
        <f>+'yrP&amp;L'!I$7/bal!S107</f>
        <v>1.932183009706993</v>
      </c>
      <c r="U119" s="1011">
        <f>+'yrP&amp;L'!J$7/bal!U107</f>
        <v>1.8264511696875314</v>
      </c>
      <c r="W119" s="1011">
        <f>+'yrP&amp;L'!L$7/bal!W107</f>
        <v>3.0513217955486582</v>
      </c>
      <c r="Y119" s="1011">
        <f>+'yrP&amp;L'!N$7/bal!Y107</f>
        <v>2.8846911930770482</v>
      </c>
      <c r="AA119" s="1011">
        <f>+'yrP&amp;L'!AE$7/bal!AA107</f>
        <v>0</v>
      </c>
      <c r="AC119" s="1011" t="e">
        <f>+'yrP&amp;L'!AG$7/bal!AC107</f>
        <v>#VALUE!</v>
      </c>
      <c r="AD119" s="1011"/>
      <c r="AE119" s="1011" t="e">
        <f>+'yrP&amp;L'!#REF!/bal!AE107</f>
        <v>#REF!</v>
      </c>
      <c r="AF119" s="1011"/>
      <c r="AG119" s="1011">
        <f>+'yrP&amp;L'!AH$7/bal!AG107</f>
        <v>-1.3000643079234861E-3</v>
      </c>
      <c r="AH119" s="1011"/>
      <c r="AI119" s="1011">
        <f>+'yrP&amp;L'!AJ$7/bal!AI107</f>
        <v>0</v>
      </c>
      <c r="AJ119" s="1011"/>
      <c r="AK119" s="1011">
        <f>+'yrP&amp;L'!AL$7/bal!AK107</f>
        <v>0</v>
      </c>
      <c r="AL119" s="1011"/>
      <c r="AM119" s="1011">
        <f>+'yrP&amp;L'!AN$7/bal!AM107</f>
        <v>0</v>
      </c>
      <c r="AN119" s="1011"/>
      <c r="AO119" s="1011" t="e">
        <f>+'yrP&amp;L'!AO$7/bal!AO107</f>
        <v>#REF!</v>
      </c>
      <c r="AP119" s="1011"/>
      <c r="AQ119" s="1011" t="e">
        <f>+'yrP&amp;L'!AQ$7/bal!AQ107</f>
        <v>#REF!</v>
      </c>
      <c r="AR119" s="1011"/>
      <c r="AS119" s="1011" t="e">
        <f>+'yrP&amp;L'!AS$7/bal!AS107</f>
        <v>#REF!</v>
      </c>
      <c r="AT119" s="1011"/>
      <c r="AU119" s="1011"/>
      <c r="AV119" s="1011"/>
      <c r="AW119" s="1011"/>
      <c r="AX119" s="1011"/>
      <c r="AY119" s="1011"/>
      <c r="AZ119" s="1011"/>
      <c r="BA119" s="1011"/>
      <c r="BB119" s="1011"/>
      <c r="BC119" s="1011"/>
      <c r="BD119" s="1011"/>
      <c r="BE119" s="1011"/>
      <c r="BF119" s="1011"/>
      <c r="BG119" s="1011"/>
      <c r="BH119" s="1011"/>
      <c r="BI119" s="1011"/>
    </row>
    <row r="120" spans="2:61" hidden="1">
      <c r="B120" s="1016" t="s">
        <v>384</v>
      </c>
      <c r="K120" s="1011">
        <f>+'yrP&amp;L'!E$7/bal!K108</f>
        <v>2.6717174248764683</v>
      </c>
      <c r="M120" s="1011">
        <f>+'yrP&amp;L'!F$7/bal!M108</f>
        <v>1.6137759479609239</v>
      </c>
      <c r="O120" s="1011">
        <f>+'yrP&amp;L'!G$7/bal!O108</f>
        <v>1.7188982981003824</v>
      </c>
      <c r="Q120" s="1011">
        <f>+'yrP&amp;L'!H$7/bal!Q108</f>
        <v>2.1517607958968306</v>
      </c>
      <c r="S120" s="1011">
        <f>+'yrP&amp;L'!I$7/bal!S108</f>
        <v>2.27512087610094</v>
      </c>
      <c r="U120" s="1011">
        <f>+'yrP&amp;L'!J$7/bal!U108</f>
        <v>2.1835421618197781</v>
      </c>
      <c r="W120" s="1011">
        <f>+'yrP&amp;L'!L$7/bal!W108</f>
        <v>3.3317532135981254</v>
      </c>
      <c r="Y120" s="1011">
        <f>+'yrP&amp;L'!N$7/bal!Y108</f>
        <v>3.5731142921446981</v>
      </c>
      <c r="AA120" s="1011">
        <f>+'yrP&amp;L'!AE$7/bal!AA108</f>
        <v>0</v>
      </c>
      <c r="AC120" s="1011" t="e">
        <f>+'yrP&amp;L'!AG$7/bal!AC108</f>
        <v>#VALUE!</v>
      </c>
      <c r="AD120" s="1011"/>
      <c r="AE120" s="1011" t="e">
        <f>+'yrP&amp;L'!#REF!/bal!AE108</f>
        <v>#REF!</v>
      </c>
      <c r="AF120" s="1011"/>
      <c r="AG120" s="1011">
        <f>+'yrP&amp;L'!AH$7/bal!AG108</f>
        <v>-1.3072152477729628E-3</v>
      </c>
      <c r="AH120" s="1011"/>
      <c r="AI120" s="1011">
        <f>+'yrP&amp;L'!AJ$7/bal!AI108</f>
        <v>0</v>
      </c>
      <c r="AJ120" s="1011"/>
      <c r="AK120" s="1011">
        <f>+'yrP&amp;L'!AL$7/bal!AK108</f>
        <v>0</v>
      </c>
      <c r="AL120" s="1011"/>
      <c r="AM120" s="1011">
        <f>+'yrP&amp;L'!AN$7/bal!AM108</f>
        <v>0</v>
      </c>
      <c r="AN120" s="1011"/>
      <c r="AO120" s="1011" t="e">
        <f>+'yrP&amp;L'!AO$7/bal!AO108</f>
        <v>#REF!</v>
      </c>
      <c r="AP120" s="1011"/>
      <c r="AQ120" s="1011" t="e">
        <f>+'yrP&amp;L'!AQ$7/bal!AQ108</f>
        <v>#REF!</v>
      </c>
      <c r="AR120" s="1011"/>
      <c r="AS120" s="1011" t="e">
        <f>+'yrP&amp;L'!AS$7/bal!AS108</f>
        <v>#REF!</v>
      </c>
      <c r="AT120" s="1011"/>
      <c r="AU120" s="1011"/>
      <c r="AV120" s="1011"/>
      <c r="AW120" s="1011"/>
      <c r="AX120" s="1011"/>
      <c r="AY120" s="1011"/>
      <c r="AZ120" s="1011"/>
      <c r="BA120" s="1011"/>
      <c r="BB120" s="1011"/>
      <c r="BC120" s="1011"/>
      <c r="BD120" s="1011"/>
      <c r="BE120" s="1011"/>
      <c r="BF120" s="1011"/>
      <c r="BG120" s="1011"/>
      <c r="BH120" s="1011"/>
      <c r="BI120" s="1011"/>
    </row>
    <row r="121" spans="2:61" hidden="1">
      <c r="B121" s="1007"/>
    </row>
    <row r="122" spans="2:61" hidden="1">
      <c r="B122" s="1003" t="s">
        <v>385</v>
      </c>
    </row>
    <row r="123" spans="2:61" hidden="1">
      <c r="B123" s="1007" t="s">
        <v>386</v>
      </c>
    </row>
    <row r="124" spans="2:61" hidden="1">
      <c r="B124" s="1007" t="s">
        <v>429</v>
      </c>
    </row>
    <row r="125" spans="2:61" hidden="1">
      <c r="B125" s="1007" t="s">
        <v>387</v>
      </c>
      <c r="E125" s="689">
        <v>0.06</v>
      </c>
      <c r="F125" s="689"/>
      <c r="G125" s="689">
        <v>9.4E-2</v>
      </c>
      <c r="H125" s="689"/>
      <c r="I125" s="689">
        <v>0.161</v>
      </c>
      <c r="J125" s="689"/>
      <c r="K125" s="689">
        <v>0.26700000000000002</v>
      </c>
      <c r="L125" s="689"/>
      <c r="M125" s="689">
        <v>0.36</v>
      </c>
      <c r="N125" s="689"/>
      <c r="O125" s="689">
        <v>0.58599999999999997</v>
      </c>
      <c r="P125" s="689"/>
      <c r="Q125" s="689">
        <v>1.153</v>
      </c>
      <c r="S125" s="689">
        <f>+Q125</f>
        <v>1.153</v>
      </c>
      <c r="U125" s="689">
        <f>+S125</f>
        <v>1.153</v>
      </c>
      <c r="W125" s="689">
        <f>+U125</f>
        <v>1.153</v>
      </c>
      <c r="Y125" s="689">
        <f>+W125</f>
        <v>1.153</v>
      </c>
      <c r="AA125" s="689">
        <f>+Y125</f>
        <v>1.153</v>
      </c>
      <c r="AC125" s="689">
        <f>+AA125</f>
        <v>1.153</v>
      </c>
      <c r="AD125" s="689"/>
      <c r="AE125" s="689">
        <f>+AC125</f>
        <v>1.153</v>
      </c>
      <c r="AF125" s="689"/>
      <c r="AG125" s="689">
        <f>+AE125</f>
        <v>1.153</v>
      </c>
      <c r="AH125" s="689"/>
      <c r="AI125" s="689">
        <f>+AG125</f>
        <v>1.153</v>
      </c>
      <c r="AJ125" s="689"/>
      <c r="AK125" s="689">
        <f>+AI125</f>
        <v>1.153</v>
      </c>
      <c r="AL125" s="689"/>
      <c r="AM125" s="689">
        <f>+AK125</f>
        <v>1.153</v>
      </c>
      <c r="AN125" s="689"/>
      <c r="AO125" s="689" t="e">
        <f>+#REF!</f>
        <v>#REF!</v>
      </c>
      <c r="AP125" s="689"/>
      <c r="AQ125" s="689" t="e">
        <f>+#REF!</f>
        <v>#REF!</v>
      </c>
      <c r="AR125" s="689"/>
      <c r="AS125" s="689" t="e">
        <f>+#REF!</f>
        <v>#REF!</v>
      </c>
      <c r="AT125" s="689"/>
      <c r="AU125" s="689"/>
      <c r="AV125" s="689"/>
      <c r="AW125" s="689"/>
      <c r="AX125" s="689"/>
      <c r="AY125" s="689"/>
      <c r="AZ125" s="689"/>
      <c r="BA125" s="689"/>
      <c r="BB125" s="689"/>
      <c r="BC125" s="689"/>
      <c r="BD125" s="689"/>
      <c r="BE125" s="689"/>
      <c r="BF125" s="689"/>
      <c r="BG125" s="689"/>
      <c r="BH125" s="689"/>
      <c r="BI125" s="689"/>
    </row>
    <row r="126" spans="2:61" hidden="1"/>
    <row r="127" spans="2:61" hidden="1"/>
    <row r="130" spans="1:61" outlineLevel="1">
      <c r="A130" s="28" t="s">
        <v>495</v>
      </c>
      <c r="O130" s="137"/>
    </row>
    <row r="131" spans="1:61" outlineLevel="1">
      <c r="B131" s="26" t="s">
        <v>496</v>
      </c>
      <c r="O131" s="1017">
        <f>+flow!L38</f>
        <v>1.7486630000000001</v>
      </c>
      <c r="Q131" s="1017">
        <f>+flow!N38</f>
        <v>1.5431440000000001</v>
      </c>
      <c r="S131" s="1017">
        <f>+flow!P38</f>
        <v>7.7028359999999996</v>
      </c>
      <c r="T131" s="1017"/>
      <c r="U131" s="1017">
        <f>+flow!R38</f>
        <v>7.2472219999999998</v>
      </c>
      <c r="V131" s="1017"/>
      <c r="W131" s="1017">
        <f>+flow!T38</f>
        <v>15.231</v>
      </c>
      <c r="X131" s="1017"/>
      <c r="Y131" s="1017">
        <f>+flow!V38</f>
        <v>17.692</v>
      </c>
      <c r="Z131" s="1017"/>
      <c r="AA131" s="1017">
        <f>+flow!X38</f>
        <v>28.466999999999999</v>
      </c>
      <c r="AB131" s="1017"/>
      <c r="AC131" s="1017">
        <f>+flow!Z38</f>
        <v>-193.74600000000001</v>
      </c>
      <c r="AD131" s="1017"/>
      <c r="AE131" s="1017">
        <f>+flow!AB38</f>
        <v>2.839</v>
      </c>
      <c r="AF131" s="1017"/>
      <c r="AG131" s="1017">
        <f>+flow!AD38</f>
        <v>-5.0000000000000044E-3</v>
      </c>
      <c r="AH131" s="1017"/>
      <c r="AI131" s="1017">
        <f>+flow!AF38</f>
        <v>7.1210000000000004</v>
      </c>
      <c r="AJ131" s="1017"/>
      <c r="AK131" s="1017">
        <f>+flow!AH38</f>
        <v>-12.904999999999998</v>
      </c>
      <c r="AL131" s="1017"/>
      <c r="AM131" s="1017">
        <f>+flow!AJ38</f>
        <v>-176.09799999999998</v>
      </c>
      <c r="AN131" s="1017"/>
      <c r="AO131" s="1017">
        <f>+flow!AL38</f>
        <v>-87.038000000000011</v>
      </c>
      <c r="AP131" s="1017"/>
      <c r="AQ131" s="1017">
        <f>+flow!AN38</f>
        <v>-236.76799999999997</v>
      </c>
      <c r="AR131" s="1017"/>
      <c r="AS131" s="1017">
        <f>+flow!BG38</f>
        <v>4.2302999999999988</v>
      </c>
      <c r="AT131" s="1017"/>
      <c r="AU131" s="1017">
        <f>+flow!BI38</f>
        <v>2.8726629999999989</v>
      </c>
      <c r="AV131" s="1017"/>
      <c r="AW131" s="1017">
        <f>+flow!BK38</f>
        <v>3.7080400000000009</v>
      </c>
      <c r="AX131" s="1017"/>
      <c r="AY131" s="1017">
        <f>+flow!BM38</f>
        <v>0</v>
      </c>
      <c r="AZ131" s="1017"/>
      <c r="BA131" s="1017">
        <f>+flow!BO38</f>
        <v>0</v>
      </c>
      <c r="BB131" s="1017"/>
      <c r="BC131" s="1017">
        <f>+flow!BQ38</f>
        <v>0</v>
      </c>
      <c r="BD131" s="1017"/>
      <c r="BE131" s="1017">
        <f>+flow!BS38</f>
        <v>0</v>
      </c>
      <c r="BF131" s="1017"/>
      <c r="BG131" s="1017">
        <f>+flow!BU38</f>
        <v>0</v>
      </c>
      <c r="BH131" s="1017"/>
      <c r="BI131" s="1017">
        <f>+flow!BW38</f>
        <v>0</v>
      </c>
    </row>
    <row r="132" spans="1:61" outlineLevel="1">
      <c r="B132" s="26" t="s">
        <v>498</v>
      </c>
      <c r="O132" s="1017">
        <f>+flow!L48</f>
        <v>0</v>
      </c>
      <c r="Q132" s="1017">
        <f>+flow!N48</f>
        <v>0</v>
      </c>
      <c r="S132" s="1017">
        <f>+flow!P48</f>
        <v>0</v>
      </c>
      <c r="T132" s="1017"/>
      <c r="U132" s="1017">
        <f>+flow!R48</f>
        <v>0</v>
      </c>
      <c r="V132" s="1017"/>
      <c r="W132" s="1017">
        <f>+flow!T48</f>
        <v>0</v>
      </c>
      <c r="X132" s="1017"/>
      <c r="Y132" s="1017">
        <f>+flow!V48</f>
        <v>0</v>
      </c>
      <c r="Z132" s="1017"/>
      <c r="AA132" s="1017">
        <f>+flow!X48</f>
        <v>0</v>
      </c>
      <c r="AB132" s="1017"/>
      <c r="AC132" s="1017">
        <f>+flow!Z48</f>
        <v>0</v>
      </c>
      <c r="AD132" s="1017"/>
      <c r="AE132" s="1017">
        <f>+flow!AB48</f>
        <v>0</v>
      </c>
      <c r="AF132" s="1017"/>
      <c r="AG132" s="1017">
        <f>+flow!AD48</f>
        <v>0</v>
      </c>
      <c r="AH132" s="1017"/>
      <c r="AI132" s="1017">
        <f>+flow!AF48</f>
        <v>0</v>
      </c>
      <c r="AJ132" s="1017"/>
      <c r="AK132" s="1017">
        <f>+flow!AH48</f>
        <v>-28.489000000000001</v>
      </c>
      <c r="AL132" s="1017"/>
      <c r="AM132" s="1017">
        <f>+flow!AJ48</f>
        <v>-34.152000000000001</v>
      </c>
      <c r="AN132" s="1017"/>
      <c r="AO132" s="1017">
        <f>+flow!AL48</f>
        <v>-34.927999999999997</v>
      </c>
      <c r="AP132" s="1017"/>
      <c r="AQ132" s="1017">
        <f>+flow!AN48</f>
        <v>-38.255000000000003</v>
      </c>
      <c r="AR132" s="1017"/>
      <c r="AS132" s="1017">
        <f>+flow!AP48</f>
        <v>-45.773000000000003</v>
      </c>
      <c r="AT132" s="1017"/>
      <c r="AU132" s="1017">
        <f>+flow!AR48</f>
        <v>-43.728999999999999</v>
      </c>
      <c r="AV132" s="1017"/>
      <c r="AW132" s="1017">
        <f>+flow!AT48</f>
        <v>-42.253999999999998</v>
      </c>
      <c r="AX132" s="1017"/>
      <c r="AY132" s="1017">
        <f>+flow!AV48</f>
        <v>-42.515999999999998</v>
      </c>
      <c r="AZ132" s="1017"/>
      <c r="BA132" s="1017">
        <f>+flow!AX48</f>
        <v>-41.018053333333334</v>
      </c>
      <c r="BB132" s="1017"/>
      <c r="BC132" s="1017">
        <f>+flow!AZ48</f>
        <v>-42.458704820512821</v>
      </c>
      <c r="BD132" s="1017"/>
      <c r="BE132" s="1017">
        <f>+flow!BD48</f>
        <v>-47.625415689963383</v>
      </c>
      <c r="BF132" s="1017"/>
      <c r="BG132" s="1017">
        <f>+flow!BH48</f>
        <v>0</v>
      </c>
      <c r="BH132" s="1017"/>
      <c r="BI132" s="1017">
        <f>+flow!BJ48</f>
        <v>0</v>
      </c>
    </row>
    <row r="133" spans="1:61" outlineLevel="1">
      <c r="B133" s="26" t="s">
        <v>497</v>
      </c>
      <c r="O133" s="1017">
        <v>0</v>
      </c>
      <c r="Q133" s="1017">
        <v>0</v>
      </c>
      <c r="R133" s="1017">
        <v>0</v>
      </c>
      <c r="S133" s="1017">
        <v>0</v>
      </c>
      <c r="T133" s="1017">
        <v>0</v>
      </c>
      <c r="U133" s="1017">
        <v>0</v>
      </c>
      <c r="V133" s="1017">
        <v>0</v>
      </c>
      <c r="W133" s="1017">
        <v>0</v>
      </c>
      <c r="X133" s="1017">
        <v>0</v>
      </c>
      <c r="Y133" s="1017">
        <v>0</v>
      </c>
      <c r="Z133" s="1017">
        <v>0</v>
      </c>
      <c r="AA133" s="1017">
        <v>0</v>
      </c>
      <c r="AB133" s="1017">
        <v>0</v>
      </c>
      <c r="AC133" s="1017">
        <v>0</v>
      </c>
      <c r="AD133" s="1017"/>
      <c r="AE133" s="1017">
        <v>0</v>
      </c>
      <c r="AF133" s="1017"/>
      <c r="AG133" s="1017">
        <v>0</v>
      </c>
      <c r="AH133" s="1017"/>
      <c r="AI133" s="1017">
        <v>0</v>
      </c>
      <c r="AJ133" s="1017"/>
      <c r="AK133" s="1017">
        <v>0</v>
      </c>
      <c r="AL133" s="1017">
        <v>0</v>
      </c>
      <c r="AM133" s="1017">
        <v>0</v>
      </c>
      <c r="AN133" s="1017">
        <v>0</v>
      </c>
      <c r="AO133" s="1017">
        <v>0</v>
      </c>
      <c r="AP133" s="1017">
        <v>0</v>
      </c>
      <c r="AQ133" s="1017">
        <v>0</v>
      </c>
      <c r="AR133" s="1017">
        <v>0</v>
      </c>
      <c r="AS133" s="1017">
        <v>0</v>
      </c>
      <c r="AT133" s="1017"/>
      <c r="AU133" s="1017">
        <v>2</v>
      </c>
      <c r="AV133" s="1017"/>
      <c r="AW133" s="1017">
        <v>4</v>
      </c>
      <c r="AX133" s="1017"/>
      <c r="AY133" s="1017">
        <v>6</v>
      </c>
      <c r="AZ133" s="1017"/>
      <c r="BA133" s="1017">
        <v>6</v>
      </c>
      <c r="BB133" s="1017"/>
      <c r="BC133" s="1017">
        <v>6</v>
      </c>
      <c r="BD133" s="1017"/>
      <c r="BE133" s="1017">
        <v>6</v>
      </c>
      <c r="BF133" s="1017"/>
      <c r="BG133" s="1017">
        <v>6</v>
      </c>
      <c r="BH133" s="1017"/>
      <c r="BI133" s="1017">
        <v>6</v>
      </c>
    </row>
    <row r="134" spans="1:61" customFormat="1" outlineLevel="1"/>
  </sheetData>
  <phoneticPr fontId="0" type="noConversion"/>
  <dataValidations disablePrompts="1" count="1">
    <dataValidation type="custom" allowBlank="1" showInputMessage="1" showErrorMessage="1" sqref="BR132:BT132 C64:AH64 B61:B70 B91:C125 O65:AH69 B132:U132 AM132 W132 Y132 AA132 AC132 AE132 AG132 AI132 AK132 AO132 AQ132:BI132 BY132:IX132 AI64:BI69">
      <formula1>-1</formula1>
    </dataValidation>
  </dataValidations>
  <printOptions horizontalCentered="1"/>
  <pageMargins left="0" right="0" top="0" bottom="0" header="0" footer="0"/>
  <pageSetup paperSize="5" scale="80" orientation="landscape" r:id="rId1"/>
  <headerFooter alignWithMargins="0">
    <oddFooter>&amp;R&amp;8&amp;D/&amp;T
&amp;F/&amp;A</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CB93"/>
  <sheetViews>
    <sheetView view="pageBreakPreview" zoomScale="85" zoomScaleNormal="85" zoomScaleSheetLayoutView="85" workbookViewId="0">
      <pane xSplit="13" ySplit="8" topLeftCell="AL15" activePane="bottomRight" state="frozen"/>
      <selection activeCell="E43" sqref="E43"/>
      <selection pane="topRight" activeCell="E43" sqref="E43"/>
      <selection pane="bottomLeft" activeCell="E43" sqref="E43"/>
      <selection pane="bottomRight" activeCell="AV50" sqref="AV50"/>
    </sheetView>
  </sheetViews>
  <sheetFormatPr defaultRowHeight="12.75" outlineLevelRow="1" outlineLevelCol="1"/>
  <cols>
    <col min="1" max="1" width="2.42578125" style="26" customWidth="1"/>
    <col min="2" max="2" width="4.28515625" style="26" customWidth="1"/>
    <col min="3" max="3" width="32.28515625" style="26" customWidth="1"/>
    <col min="4" max="4" width="8.85546875" style="26" hidden="1" customWidth="1" outlineLevel="1"/>
    <col min="5" max="5" width="1.7109375" style="26" hidden="1" customWidth="1" outlineLevel="1"/>
    <col min="6" max="6" width="8.85546875" style="26" hidden="1" customWidth="1" outlineLevel="1"/>
    <col min="7" max="7" width="1.7109375" style="26" hidden="1" customWidth="1" outlineLevel="1"/>
    <col min="8" max="8" width="9.140625" style="26" hidden="1" customWidth="1" outlineLevel="1"/>
    <col min="9" max="9" width="1.7109375" style="26" hidden="1" customWidth="1" outlineLevel="1"/>
    <col min="10" max="10" width="8.85546875" style="26" hidden="1" customWidth="1" outlineLevel="1"/>
    <col min="11" max="11" width="1.7109375" style="26" hidden="1" customWidth="1" outlineLevel="1"/>
    <col min="12" max="12" width="8.7109375" style="26" hidden="1" customWidth="1" outlineLevel="1"/>
    <col min="13" max="13" width="1.7109375" style="26" hidden="1" customWidth="1" outlineLevel="1"/>
    <col min="14" max="14" width="8.7109375" style="26" hidden="1" customWidth="1" outlineLevel="1" collapsed="1"/>
    <col min="15" max="15" width="1.7109375" style="26" hidden="1" customWidth="1" outlineLevel="1"/>
    <col min="16" max="16" width="8.7109375" style="26" hidden="1" customWidth="1" outlineLevel="1"/>
    <col min="17" max="17" width="1.7109375" style="26" hidden="1" customWidth="1" outlineLevel="1"/>
    <col min="18" max="18" width="8.7109375" style="26" hidden="1" customWidth="1" outlineLevel="1"/>
    <col min="19" max="19" width="1.7109375" style="26" hidden="1" customWidth="1" outlineLevel="1"/>
    <col min="20" max="20" width="8.7109375" style="26" hidden="1" customWidth="1" outlineLevel="1"/>
    <col min="21" max="21" width="1.7109375" style="26" hidden="1" customWidth="1" outlineLevel="1"/>
    <col min="22" max="22" width="8.7109375" style="26" hidden="1" customWidth="1" outlineLevel="1"/>
    <col min="23" max="23" width="1.7109375" style="26" hidden="1" customWidth="1" outlineLevel="1"/>
    <col min="24" max="24" width="8.7109375" style="26" hidden="1" customWidth="1" outlineLevel="1"/>
    <col min="25" max="25" width="1.7109375" style="26" hidden="1" customWidth="1" outlineLevel="1"/>
    <col min="26" max="26" width="8.7109375" style="26" hidden="1" customWidth="1" outlineLevel="1"/>
    <col min="27" max="27" width="1.7109375" style="26" hidden="1" customWidth="1" outlineLevel="1"/>
    <col min="28" max="28" width="8.7109375" style="26" hidden="1" customWidth="1" outlineLevel="1"/>
    <col min="29" max="29" width="1.7109375" style="26" hidden="1" customWidth="1" outlineLevel="1"/>
    <col min="30" max="30" width="8.7109375" style="26" hidden="1" customWidth="1" outlineLevel="1"/>
    <col min="31" max="31" width="1.7109375" style="26" hidden="1" customWidth="1" outlineLevel="1"/>
    <col min="32" max="32" width="8.7109375" style="26" hidden="1" customWidth="1" outlineLevel="1"/>
    <col min="33" max="33" width="1.7109375" style="26" hidden="1" customWidth="1" outlineLevel="1"/>
    <col min="34" max="34" width="8" style="26" hidden="1" customWidth="1" outlineLevel="1"/>
    <col min="35" max="35" width="1.85546875" style="26" hidden="1" customWidth="1" outlineLevel="1"/>
    <col min="36" max="36" width="8" style="26" hidden="1" customWidth="1" outlineLevel="1" collapsed="1"/>
    <col min="37" max="37" width="1.85546875" style="26" hidden="1" customWidth="1" outlineLevel="1"/>
    <col min="38" max="38" width="8.7109375" style="26" customWidth="1" collapsed="1"/>
    <col min="39" max="39" width="1.85546875" style="26" customWidth="1"/>
    <col min="40" max="40" width="8.7109375" style="26" customWidth="1"/>
    <col min="41" max="41" width="2" style="26" customWidth="1"/>
    <col min="42" max="42" width="8.7109375" style="26" customWidth="1"/>
    <col min="43" max="43" width="2" style="26" customWidth="1"/>
    <col min="44" max="44" width="8.7109375" style="26" customWidth="1"/>
    <col min="45" max="45" width="2" style="26" customWidth="1"/>
    <col min="46" max="46" width="8.7109375" style="26" customWidth="1"/>
    <col min="47" max="47" width="2" style="26" customWidth="1"/>
    <col min="48" max="48" width="8.7109375" style="137" customWidth="1"/>
    <col min="49" max="49" width="1.7109375" style="26" customWidth="1"/>
    <col min="50" max="50" width="8.7109375" style="26" customWidth="1"/>
    <col min="51" max="51" width="1.42578125" style="26" customWidth="1"/>
    <col min="52" max="52" width="8.7109375" style="26" customWidth="1"/>
    <col min="53" max="53" width="1.42578125" style="26" customWidth="1"/>
    <col min="54" max="54" width="8.7109375" style="26" customWidth="1"/>
    <col min="55" max="55" width="1.42578125" style="26" customWidth="1"/>
    <col min="56" max="56" width="8.7109375" style="26" customWidth="1"/>
    <col min="57" max="57" width="1.42578125" style="26" customWidth="1"/>
    <col min="58" max="58" width="8.7109375" style="26" customWidth="1"/>
    <col min="59" max="70" width="9.140625" style="26" customWidth="1" outlineLevel="1"/>
    <col min="71" max="71" width="9.42578125" style="26" bestFit="1" customWidth="1"/>
    <col min="72" max="72" width="10" style="26" bestFit="1" customWidth="1"/>
    <col min="73" max="73" width="9.42578125" style="26" bestFit="1" customWidth="1"/>
    <col min="74" max="74" width="30.7109375" hidden="1" customWidth="1" outlineLevel="1"/>
    <col min="75" max="79" width="9.140625" hidden="1" customWidth="1" outlineLevel="1"/>
    <col min="80" max="80" width="9.140625" style="26" collapsed="1"/>
    <col min="81" max="16384" width="9.140625" style="26"/>
  </cols>
  <sheetData>
    <row r="1" spans="1:73">
      <c r="A1" s="259" t="str">
        <f>+sumry!A1</f>
        <v>Chico's</v>
      </c>
      <c r="D1" s="28"/>
      <c r="E1" s="42"/>
      <c r="F1" s="28"/>
      <c r="G1" s="28"/>
      <c r="H1" s="46"/>
      <c r="I1" s="42"/>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1663"/>
      <c r="AW1" s="46"/>
      <c r="AX1" s="46"/>
      <c r="AY1" s="46"/>
      <c r="AZ1" s="46"/>
      <c r="BA1" s="46"/>
      <c r="BB1" s="46"/>
      <c r="BC1" s="46"/>
      <c r="BD1" s="46"/>
      <c r="BE1" s="46"/>
      <c r="BF1" s="46"/>
      <c r="BG1" s="46"/>
      <c r="BH1" s="47"/>
      <c r="BI1" s="46"/>
      <c r="BJ1" s="47"/>
      <c r="BK1" s="46"/>
      <c r="BL1" s="46"/>
      <c r="BM1" s="46"/>
      <c r="BN1" s="46"/>
      <c r="BO1" s="46"/>
      <c r="BP1" s="46"/>
      <c r="BQ1" s="46"/>
      <c r="BR1" s="46"/>
      <c r="BS1" s="46"/>
      <c r="BT1" s="46"/>
      <c r="BU1" s="46"/>
    </row>
    <row r="2" spans="1:73">
      <c r="A2" s="147" t="s">
        <v>73</v>
      </c>
      <c r="B2" s="29"/>
      <c r="C2" s="29"/>
      <c r="D2" s="29"/>
      <c r="E2" s="43"/>
      <c r="F2" s="29"/>
      <c r="G2" s="29"/>
      <c r="H2" s="29"/>
      <c r="I2" s="43"/>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1664"/>
      <c r="AW2" s="29"/>
      <c r="AX2" s="29"/>
      <c r="AY2" s="29"/>
      <c r="AZ2" s="29"/>
      <c r="BA2" s="29"/>
      <c r="BB2" s="29"/>
      <c r="BC2" s="29"/>
      <c r="BD2" s="29"/>
      <c r="BE2" s="29"/>
      <c r="BF2" s="29"/>
      <c r="BG2" s="46"/>
      <c r="BH2" s="47"/>
      <c r="BI2" s="46"/>
      <c r="BJ2" s="47"/>
      <c r="BK2" s="46"/>
      <c r="BL2" s="46"/>
      <c r="BM2" s="46"/>
      <c r="BN2" s="46"/>
      <c r="BO2" s="46"/>
      <c r="BP2" s="46"/>
      <c r="BQ2" s="46"/>
      <c r="BR2" s="46"/>
      <c r="BS2" s="46"/>
      <c r="BT2" s="46"/>
      <c r="BU2" s="46"/>
    </row>
    <row r="3" spans="1:73">
      <c r="A3" s="828" t="str">
        <f>bal!A3</f>
        <v>At January 31 of the following year</v>
      </c>
      <c r="B3" s="828"/>
    </row>
    <row r="4" spans="1:73">
      <c r="A4" s="828" t="s">
        <v>621</v>
      </c>
      <c r="B4" s="828"/>
      <c r="V4" s="798"/>
      <c r="X4" s="798"/>
      <c r="Z4" s="798"/>
      <c r="AB4" s="798"/>
      <c r="AD4" s="798"/>
      <c r="AF4" s="798"/>
      <c r="AH4" s="798"/>
      <c r="AI4" s="798"/>
      <c r="AJ4" s="798"/>
      <c r="AK4" s="798"/>
      <c r="AL4" s="798"/>
      <c r="AM4" s="798"/>
      <c r="AN4" s="798"/>
      <c r="AP4" s="798"/>
      <c r="AQ4" s="798"/>
      <c r="AR4" s="798"/>
      <c r="AS4" s="798"/>
      <c r="AT4" s="798"/>
      <c r="AU4" s="798"/>
      <c r="AV4" s="805"/>
      <c r="AW4" s="798"/>
      <c r="AX4" s="798"/>
      <c r="AY4" s="798"/>
      <c r="AZ4" s="798"/>
      <c r="BA4" s="798"/>
      <c r="BB4" s="798"/>
      <c r="BC4" s="798"/>
      <c r="BD4" s="798"/>
      <c r="BE4" s="798"/>
      <c r="BF4" s="798"/>
    </row>
    <row r="5" spans="1:73">
      <c r="A5" s="828"/>
      <c r="B5" s="828"/>
      <c r="V5" s="798"/>
      <c r="W5" s="798"/>
      <c r="X5" s="929"/>
      <c r="Y5" s="798"/>
      <c r="Z5" s="798"/>
      <c r="AA5" s="798"/>
      <c r="AB5" s="798"/>
      <c r="AC5" s="798"/>
      <c r="AD5" s="798"/>
      <c r="AE5" s="798"/>
      <c r="AF5" s="866"/>
      <c r="AG5" s="798"/>
      <c r="AH5" s="866"/>
      <c r="AP5" s="882"/>
      <c r="BG5" s="28">
        <v>2000</v>
      </c>
      <c r="BI5" s="28">
        <v>1999</v>
      </c>
      <c r="BK5" s="28">
        <v>1998</v>
      </c>
      <c r="BM5" s="28">
        <v>1997</v>
      </c>
      <c r="BO5" s="28">
        <v>1996</v>
      </c>
      <c r="BQ5" s="28">
        <v>1995</v>
      </c>
    </row>
    <row r="6" spans="1:73">
      <c r="D6" s="120"/>
      <c r="E6" s="120"/>
      <c r="F6" s="1025"/>
      <c r="G6" s="642"/>
      <c r="H6" s="91"/>
      <c r="I6" s="91"/>
      <c r="J6" s="91"/>
      <c r="K6" s="120"/>
      <c r="L6" s="91"/>
      <c r="M6" s="91"/>
      <c r="N6" s="91"/>
      <c r="O6" s="91"/>
      <c r="P6" s="120"/>
      <c r="Q6" s="120"/>
      <c r="R6" s="91" t="s">
        <v>417</v>
      </c>
      <c r="S6" s="120"/>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642"/>
      <c r="AW6" s="120"/>
      <c r="AX6" s="120"/>
      <c r="AY6" s="120"/>
      <c r="AZ6" s="120"/>
      <c r="BA6" s="120"/>
      <c r="BB6" s="120"/>
      <c r="BC6" s="120"/>
      <c r="BD6" s="120"/>
      <c r="BE6" s="120"/>
      <c r="BF6" s="120"/>
      <c r="BG6" s="161" t="s">
        <v>45</v>
      </c>
      <c r="BH6" s="162" t="s">
        <v>46</v>
      </c>
      <c r="BI6" s="161" t="s">
        <v>45</v>
      </c>
      <c r="BJ6" s="162" t="s">
        <v>46</v>
      </c>
      <c r="BK6" s="163" t="s">
        <v>45</v>
      </c>
      <c r="BL6" s="162" t="s">
        <v>46</v>
      </c>
      <c r="BM6" s="163" t="s">
        <v>45</v>
      </c>
      <c r="BN6" s="162" t="s">
        <v>46</v>
      </c>
      <c r="BO6" s="163" t="s">
        <v>45</v>
      </c>
      <c r="BP6" s="162" t="s">
        <v>46</v>
      </c>
      <c r="BQ6" s="163" t="s">
        <v>45</v>
      </c>
      <c r="BR6" s="162" t="s">
        <v>46</v>
      </c>
    </row>
    <row r="7" spans="1:73">
      <c r="BG7" s="551"/>
      <c r="BH7" s="543"/>
      <c r="BI7" s="551"/>
      <c r="BJ7" s="543"/>
      <c r="BL7" s="543"/>
      <c r="BN7" s="543"/>
      <c r="BP7" s="543"/>
      <c r="BR7" s="543"/>
    </row>
    <row r="8" spans="1:73">
      <c r="D8" s="836">
        <v>1995</v>
      </c>
      <c r="E8" s="44"/>
      <c r="F8" s="835">
        <f>D8+1</f>
        <v>1996</v>
      </c>
      <c r="G8" s="44"/>
      <c r="H8" s="835">
        <f>F8+1</f>
        <v>1997</v>
      </c>
      <c r="I8" s="44"/>
      <c r="J8" s="835">
        <f>H8+1</f>
        <v>1998</v>
      </c>
      <c r="K8" s="44"/>
      <c r="L8" s="835">
        <f>J8+1</f>
        <v>1999</v>
      </c>
      <c r="M8" s="44"/>
      <c r="N8" s="835">
        <f>L8+1</f>
        <v>2000</v>
      </c>
      <c r="O8" s="44"/>
      <c r="P8" s="835">
        <f>N8+1</f>
        <v>2001</v>
      </c>
      <c r="Q8" s="44"/>
      <c r="R8" s="835">
        <f>P8+1</f>
        <v>2002</v>
      </c>
      <c r="S8" s="44"/>
      <c r="T8" s="835">
        <f>R8+1</f>
        <v>2003</v>
      </c>
      <c r="U8" s="44"/>
      <c r="V8" s="835">
        <f>+T8+1</f>
        <v>2004</v>
      </c>
      <c r="W8" s="91"/>
      <c r="X8" s="835">
        <f>+V8+1</f>
        <v>2005</v>
      </c>
      <c r="Y8" s="91"/>
      <c r="Z8" s="835">
        <f>+X8+1</f>
        <v>2006</v>
      </c>
      <c r="AA8" s="974"/>
      <c r="AB8" s="835">
        <f>+Z8+1</f>
        <v>2007</v>
      </c>
      <c r="AC8" s="974"/>
      <c r="AD8" s="835">
        <f>+AB8+1</f>
        <v>2008</v>
      </c>
      <c r="AE8" s="974"/>
      <c r="AF8" s="835">
        <f>+AD8+1</f>
        <v>2009</v>
      </c>
      <c r="AG8" s="974"/>
      <c r="AH8" s="835">
        <f>+AF8+1</f>
        <v>2010</v>
      </c>
      <c r="AI8" s="974"/>
      <c r="AJ8" s="835">
        <f>+AH8+1</f>
        <v>2011</v>
      </c>
      <c r="AK8" s="974"/>
      <c r="AL8" s="835">
        <f>+AJ8+1</f>
        <v>2012</v>
      </c>
      <c r="AM8" s="974"/>
      <c r="AN8" s="835">
        <f>+AL8+1</f>
        <v>2013</v>
      </c>
      <c r="AO8" s="120"/>
      <c r="AP8" s="835">
        <f>+AN8+1</f>
        <v>2014</v>
      </c>
      <c r="AQ8" s="975"/>
      <c r="AR8" s="835">
        <f>+AP8+1</f>
        <v>2015</v>
      </c>
      <c r="AS8" s="975"/>
      <c r="AT8" s="835">
        <f>+AR8+1</f>
        <v>2016</v>
      </c>
      <c r="AU8" s="975"/>
      <c r="AV8" s="1644">
        <f>+AT8+1</f>
        <v>2017</v>
      </c>
      <c r="AW8" s="975"/>
      <c r="AX8" s="974">
        <f>+AV8+1</f>
        <v>2018</v>
      </c>
      <c r="AY8" s="975"/>
      <c r="AZ8" s="974">
        <f>+AX8+1</f>
        <v>2019</v>
      </c>
      <c r="BA8" s="975"/>
      <c r="BB8" s="974">
        <f>+AZ8+1</f>
        <v>2020</v>
      </c>
      <c r="BC8" s="975"/>
      <c r="BD8" s="974">
        <f>+BB8+1</f>
        <v>2021</v>
      </c>
      <c r="BE8" s="975"/>
      <c r="BF8" s="974">
        <f>+BD8+1</f>
        <v>2022</v>
      </c>
      <c r="BG8" s="1026"/>
      <c r="BH8" s="543"/>
      <c r="BI8" s="1026"/>
      <c r="BJ8" s="543"/>
      <c r="BK8" s="1027"/>
      <c r="BL8" s="543"/>
      <c r="BM8" s="1027"/>
      <c r="BN8" s="543"/>
      <c r="BO8" s="1027"/>
      <c r="BP8" s="543"/>
      <c r="BQ8" s="1027"/>
      <c r="BR8" s="543"/>
    </row>
    <row r="9" spans="1:73">
      <c r="AF9" s="882"/>
      <c r="AH9" s="137"/>
      <c r="AI9" s="137"/>
      <c r="AJ9" s="137"/>
      <c r="AK9" s="137"/>
      <c r="AL9" s="137"/>
      <c r="AM9" s="137"/>
      <c r="BG9" s="551"/>
      <c r="BH9" s="543"/>
      <c r="BI9" s="551"/>
      <c r="BJ9" s="543"/>
      <c r="BL9" s="543"/>
      <c r="BN9" s="543"/>
      <c r="BP9" s="543"/>
      <c r="BR9" s="543"/>
    </row>
    <row r="10" spans="1:73">
      <c r="A10" s="26" t="s">
        <v>129</v>
      </c>
      <c r="D10" s="798">
        <f>'qtrP&amp;L'!H136</f>
        <v>1.7035959999999981</v>
      </c>
      <c r="E10" s="26" t="s">
        <v>648</v>
      </c>
      <c r="F10" s="798">
        <f>'qtrP&amp;L'!L136</f>
        <v>1.9305529999999957</v>
      </c>
      <c r="G10" s="798"/>
      <c r="H10" s="798">
        <f>'qtrP&amp;L'!P136</f>
        <v>2.7700159999999974</v>
      </c>
      <c r="I10" s="798"/>
      <c r="J10" s="798">
        <f>'qtrP&amp;L'!T136</f>
        <v>9.139108000000002</v>
      </c>
      <c r="K10" s="798"/>
      <c r="L10" s="798">
        <f>'qtrP&amp;L'!X136</f>
        <v>15.489686000000003</v>
      </c>
      <c r="M10" s="798"/>
      <c r="N10" s="798">
        <f>'qtrP&amp;L'!AB136</f>
        <v>28.378620999999995</v>
      </c>
      <c r="O10" s="798"/>
      <c r="P10" s="798">
        <f>+'qtrP&amp;L'!AF136</f>
        <v>42.187030999999976</v>
      </c>
      <c r="Q10" s="798"/>
      <c r="R10" s="798">
        <f>+'qtrP&amp;L'!AJ136</f>
        <v>66.758942000000033</v>
      </c>
      <c r="S10" s="798"/>
      <c r="T10" s="798">
        <f>+'qtrP&amp;L'!AN136</f>
        <v>100.22995999999998</v>
      </c>
      <c r="U10" s="798"/>
      <c r="V10" s="882">
        <f>+bal!Y78</f>
        <v>141.20600000000013</v>
      </c>
      <c r="W10" s="882"/>
      <c r="X10" s="882">
        <f>+bal!AA78</f>
        <v>193.98100000000002</v>
      </c>
      <c r="Y10" s="882"/>
      <c r="Z10" s="883">
        <f>+bal!AC78-'qtrP&amp;L'!AZ145</f>
        <v>166.63600000000014</v>
      </c>
      <c r="AA10" s="882"/>
      <c r="AB10" s="882">
        <f>+bal!AE78-'qtrP&amp;L'!BD145+0.001</f>
        <v>88.874999999999858</v>
      </c>
      <c r="AC10" s="882"/>
      <c r="AD10" s="882">
        <f>+bal!AG78+'qtrP&amp;L'!BH145</f>
        <v>-19.137000000000086</v>
      </c>
      <c r="AE10" s="882"/>
      <c r="AF10" s="882">
        <f>+bal!AI78-'qtrP&amp;L'!BL145</f>
        <v>69.646000000000086</v>
      </c>
      <c r="AG10" s="882"/>
      <c r="AH10" s="883">
        <f>+'qtrP&amp;L'!BP136-'qtrP&amp;L'!BP145</f>
        <v>115.39400000000002</v>
      </c>
      <c r="AI10" s="883"/>
      <c r="AJ10" s="883">
        <f>+'qtrP&amp;L'!BT136+'qtrP&amp;L'!BT145</f>
        <v>144.44800000000012</v>
      </c>
      <c r="AK10" s="883"/>
      <c r="AL10" s="883">
        <f>+bal!AO78</f>
        <v>181.43075999999976</v>
      </c>
      <c r="AM10" s="883"/>
      <c r="AN10" s="883">
        <f>bal!AQ78</f>
        <v>136.3489999999999</v>
      </c>
      <c r="AP10" s="883">
        <v>66.64100000000002</v>
      </c>
      <c r="AQ10" s="882"/>
      <c r="AR10" s="882">
        <v>1.946</v>
      </c>
      <c r="AS10" s="882"/>
      <c r="AT10" s="882">
        <v>91.228999999999999</v>
      </c>
      <c r="AU10" s="882"/>
      <c r="AV10" s="883">
        <v>101</v>
      </c>
      <c r="AW10" s="882"/>
      <c r="AX10" s="882">
        <f>+bal!BA78</f>
        <v>103.91736522025292</v>
      </c>
      <c r="AY10" s="882"/>
      <c r="AZ10" s="882">
        <f>+bal!BC78</f>
        <v>119.64810521502808</v>
      </c>
      <c r="BA10" s="882"/>
      <c r="BB10" s="882">
        <f>+bal!BE78</f>
        <v>125.98460052799777</v>
      </c>
      <c r="BC10" s="882"/>
      <c r="BD10" s="882">
        <f>+bal!BG78</f>
        <v>131.94071216157693</v>
      </c>
      <c r="BE10" s="882"/>
      <c r="BF10" s="882">
        <f>+bal!BI78</f>
        <v>136.28794047165439</v>
      </c>
      <c r="BG10" s="551"/>
      <c r="BH10" s="543"/>
      <c r="BI10" s="551"/>
      <c r="BJ10" s="543"/>
      <c r="BL10" s="543"/>
      <c r="BN10" s="543"/>
      <c r="BP10" s="543"/>
      <c r="BR10" s="543"/>
    </row>
    <row r="11" spans="1:73">
      <c r="B11" s="26" t="s">
        <v>130</v>
      </c>
      <c r="D11" s="793">
        <v>1.7418199999999999</v>
      </c>
      <c r="E11" s="793"/>
      <c r="F11" s="793">
        <v>1.896196</v>
      </c>
      <c r="G11" s="793"/>
      <c r="H11" s="793">
        <v>2.1141459999999999</v>
      </c>
      <c r="I11" s="793"/>
      <c r="J11" s="793">
        <v>2.4077989999999998</v>
      </c>
      <c r="K11" s="793"/>
      <c r="L11" s="1028">
        <v>3.3075389999999998</v>
      </c>
      <c r="M11" s="793"/>
      <c r="N11" s="1028">
        <v>5.9777440000000004</v>
      </c>
      <c r="O11" s="793"/>
      <c r="P11" s="1028">
        <f>0.405787+10.001087</f>
        <v>10.406874</v>
      </c>
      <c r="Q11" s="793"/>
      <c r="R11" s="1028">
        <f>1.093486+15.049743</f>
        <v>16.143228999999998</v>
      </c>
      <c r="S11" s="793"/>
      <c r="T11" s="1028">
        <f>21.13+1.97</f>
        <v>23.099999999999998</v>
      </c>
      <c r="U11" s="794"/>
      <c r="V11" s="1029">
        <f>+'qtrP&amp;L'!AR78+3.605</f>
        <v>36.085999999999999</v>
      </c>
      <c r="W11" s="1029"/>
      <c r="X11" s="956">
        <f>44.201+4.651</f>
        <v>48.852000000000004</v>
      </c>
      <c r="Y11" s="1029"/>
      <c r="Z11" s="956">
        <f>7.564+61.84</f>
        <v>69.403999999999996</v>
      </c>
      <c r="AA11" s="956"/>
      <c r="AB11" s="1029">
        <f>+'yrP&amp;L'!O34+10.386</f>
        <v>91.978999999999999</v>
      </c>
      <c r="AC11" s="956"/>
      <c r="AD11" s="1029">
        <f>'qtrP&amp;L'!BH78</f>
        <v>97.572000000000003</v>
      </c>
      <c r="AE11" s="956"/>
      <c r="AF11" s="1029">
        <f>+'qtrP&amp;L'!BL78</f>
        <v>96.372</v>
      </c>
      <c r="AG11" s="956"/>
      <c r="AH11" s="1029">
        <f>+'qtrP&amp;L'!BP78</f>
        <v>94.113</v>
      </c>
      <c r="AI11" s="1029"/>
      <c r="AJ11" s="1029">
        <f>+'qtrP&amp;L'!BT78</f>
        <v>99.43</v>
      </c>
      <c r="AK11" s="1029"/>
      <c r="AL11" s="1029">
        <f>+'qtrP&amp;L'!BX78</f>
        <v>108.471</v>
      </c>
      <c r="AM11" s="1029"/>
      <c r="AN11" s="1029">
        <f>+'yrP&amp;L'!U34</f>
        <v>118.303</v>
      </c>
      <c r="AP11" s="1029">
        <f>'yrP&amp;L'!V34</f>
        <v>122.26900000000001</v>
      </c>
      <c r="AQ11" s="1029"/>
      <c r="AR11" s="1029">
        <f>+'yrP&amp;L'!W34</f>
        <v>118.8</v>
      </c>
      <c r="AS11" s="1029"/>
      <c r="AT11" s="1029">
        <f>+'yrP&amp;L'!X34</f>
        <v>109.251</v>
      </c>
      <c r="AU11" s="1029"/>
      <c r="AV11" s="1029">
        <f>+'yrP&amp;L'!Y34</f>
        <v>96.31</v>
      </c>
      <c r="AW11" s="1029"/>
      <c r="AX11" s="1029">
        <f>+'yrP&amp;L'!Z34</f>
        <v>94</v>
      </c>
      <c r="AY11" s="1029"/>
      <c r="AZ11" s="1029">
        <f>+'yrP&amp;L'!AA34</f>
        <v>96</v>
      </c>
      <c r="BA11" s="1029"/>
      <c r="BB11" s="1029">
        <f>+'yrP&amp;L'!AB34</f>
        <v>98</v>
      </c>
      <c r="BC11" s="1029"/>
      <c r="BD11" s="1029">
        <f>+'yrP&amp;L'!AC34</f>
        <v>100</v>
      </c>
      <c r="BE11" s="1029"/>
      <c r="BF11" s="1029">
        <f>+'yrP&amp;L'!AD34</f>
        <v>102</v>
      </c>
      <c r="BG11" s="551"/>
      <c r="BH11" s="543"/>
      <c r="BI11" s="551"/>
      <c r="BJ11" s="543"/>
      <c r="BL11" s="543"/>
      <c r="BN11" s="543"/>
      <c r="BP11" s="543"/>
      <c r="BR11" s="543"/>
    </row>
    <row r="12" spans="1:73">
      <c r="B12" s="26" t="s">
        <v>43</v>
      </c>
      <c r="D12" s="794">
        <f>+bal!E14-bal!G14+bal!E26-bal!G26</f>
        <v>0.30300000000000005</v>
      </c>
      <c r="E12" s="794"/>
      <c r="F12" s="955">
        <v>-0.51500000000000001</v>
      </c>
      <c r="G12" s="794"/>
      <c r="H12" s="794">
        <f>+bal!I14-bal!K14+bal!I26-bal!K26</f>
        <v>3.2000000000000139E-2</v>
      </c>
      <c r="I12" s="794"/>
      <c r="J12" s="794">
        <f>+bal!K14-bal!M14+bal!K26-bal!M26</f>
        <v>-0.58800000000000019</v>
      </c>
      <c r="K12" s="794"/>
      <c r="L12" s="955">
        <f>+bal!M14-bal!O14+bal!M26-bal!O26</f>
        <v>-0.74599999999999977</v>
      </c>
      <c r="M12" s="955"/>
      <c r="N12" s="793">
        <f>+bal!O14-bal!Q14+bal!O26-bal!Q26</f>
        <v>-0.60600000000000021</v>
      </c>
      <c r="O12" s="793"/>
      <c r="P12" s="793">
        <f>+bal!Q14-bal!S14+bal!Q26-bal!S26</f>
        <v>-1.8160000000000003</v>
      </c>
      <c r="Q12" s="793"/>
      <c r="R12" s="793">
        <f>+bal!S14-bal!U14+bal!S26-bal!U26</f>
        <v>-1.6509999999999998</v>
      </c>
      <c r="S12" s="793"/>
      <c r="T12" s="793">
        <v>1.3360000000000001</v>
      </c>
      <c r="U12" s="793"/>
      <c r="V12" s="955">
        <v>-2.9860000000000002</v>
      </c>
      <c r="W12" s="955"/>
      <c r="X12" s="955">
        <v>-8.4109999999999996</v>
      </c>
      <c r="Y12" s="318"/>
      <c r="Z12" s="955">
        <v>-22.324000000000002</v>
      </c>
      <c r="AA12" s="318"/>
      <c r="AB12" s="955">
        <v>-6.6349999999999998</v>
      </c>
      <c r="AC12" s="318"/>
      <c r="AD12" s="955">
        <v>-20.507000000000001</v>
      </c>
      <c r="AE12" s="318"/>
      <c r="AF12" s="955">
        <v>5.6470000000000002</v>
      </c>
      <c r="AG12" s="318"/>
      <c r="AH12" s="956">
        <v>32.500999999999998</v>
      </c>
      <c r="AI12" s="1029"/>
      <c r="AJ12" s="956">
        <v>19.489000000000001</v>
      </c>
      <c r="AK12" s="1029"/>
      <c r="AL12" s="956">
        <v>-4.2110000000000003</v>
      </c>
      <c r="AM12" s="1029"/>
      <c r="AN12" s="955">
        <v>10.231</v>
      </c>
      <c r="AP12" s="955">
        <v>-9.5980000000000008</v>
      </c>
      <c r="AQ12" s="318"/>
      <c r="AR12" s="958">
        <v>-34.414999999999999</v>
      </c>
      <c r="AS12" s="318"/>
      <c r="AT12" s="958">
        <v>-8.4269999999999996</v>
      </c>
      <c r="AU12" s="318"/>
      <c r="AV12" s="1660">
        <v>-2.0699999999999998</v>
      </c>
      <c r="AW12" s="318"/>
      <c r="AX12" s="318">
        <f>+bal!AY14-bal!BA14+bal!AY26-bal!BA26</f>
        <v>0</v>
      </c>
      <c r="AY12" s="318"/>
      <c r="AZ12" s="318">
        <f>+bal!BA14-bal!BC14+bal!BA26-bal!BC26</f>
        <v>0</v>
      </c>
      <c r="BA12" s="318"/>
      <c r="BB12" s="318">
        <f>+bal!BC14-bal!BE14+bal!BC26-bal!BE26</f>
        <v>0</v>
      </c>
      <c r="BC12" s="318"/>
      <c r="BD12" s="318">
        <f>+bal!BE14-bal!BG14+bal!BE26-bal!BG26</f>
        <v>0</v>
      </c>
      <c r="BE12" s="318"/>
      <c r="BF12" s="318">
        <f>+bal!BG14-bal!BI14+bal!BG26-bal!BI26</f>
        <v>0</v>
      </c>
      <c r="BG12" s="1030"/>
      <c r="BH12" s="1031"/>
      <c r="BI12" s="890"/>
      <c r="BJ12" s="1031"/>
      <c r="BK12" s="890"/>
      <c r="BL12" s="1031"/>
      <c r="BM12" s="794"/>
      <c r="BN12" s="1031"/>
      <c r="BO12" s="794">
        <f>+bal!G14-bal!I14+bal!G26-bal!I26</f>
        <v>-0.43500000000000005</v>
      </c>
      <c r="BP12" s="1031">
        <f>+BO12-J12</f>
        <v>0.15300000000000014</v>
      </c>
      <c r="BQ12" s="794"/>
      <c r="BR12" s="1031"/>
    </row>
    <row r="13" spans="1:73">
      <c r="A13" s="137"/>
      <c r="B13" s="137" t="s">
        <v>44</v>
      </c>
      <c r="C13" s="137"/>
      <c r="D13" s="801">
        <v>0</v>
      </c>
      <c r="E13" s="803"/>
      <c r="F13" s="801">
        <v>0</v>
      </c>
      <c r="G13" s="803"/>
      <c r="H13" s="801">
        <v>0</v>
      </c>
      <c r="I13" s="803"/>
      <c r="J13" s="801">
        <v>1.4950000000000001</v>
      </c>
      <c r="K13" s="803"/>
      <c r="L13" s="956">
        <v>1.1240000000000001</v>
      </c>
      <c r="M13" s="956"/>
      <c r="N13" s="956">
        <v>2.617</v>
      </c>
      <c r="O13" s="956"/>
      <c r="P13" s="956">
        <v>8.1839999999999993</v>
      </c>
      <c r="Q13" s="956"/>
      <c r="R13" s="956">
        <v>22.548999999999999</v>
      </c>
      <c r="S13" s="956"/>
      <c r="T13" s="956">
        <v>15.125999999999999</v>
      </c>
      <c r="U13" s="956"/>
      <c r="V13" s="956">
        <v>27.297000000000001</v>
      </c>
      <c r="W13" s="956"/>
      <c r="X13" s="956">
        <f>21.461+0.438+1.177</f>
        <v>23.075999999999997</v>
      </c>
      <c r="Y13" s="956"/>
      <c r="Z13" s="956">
        <f>15.237+6.004+2.365-2.365</f>
        <v>21.241</v>
      </c>
      <c r="AA13" s="956"/>
      <c r="AB13" s="956">
        <f>4.909+12.171-0.209+0.209</f>
        <v>17.079999999999998</v>
      </c>
      <c r="AC13" s="956"/>
      <c r="AD13" s="956">
        <f>2.769+9.821-0.1+0.1</f>
        <v>12.59</v>
      </c>
      <c r="AE13" s="956"/>
      <c r="AF13" s="956">
        <f>7.402-3.194</f>
        <v>4.2080000000000002</v>
      </c>
      <c r="AG13" s="956"/>
      <c r="AH13" s="956">
        <f>10.548-2.655</f>
        <v>7.8930000000000007</v>
      </c>
      <c r="AI13" s="956"/>
      <c r="AJ13" s="956">
        <f>15.198-2.643</f>
        <v>12.555</v>
      </c>
      <c r="AK13" s="956"/>
      <c r="AL13" s="956">
        <f>26.453-7.952</f>
        <v>18.500999999999998</v>
      </c>
      <c r="AM13" s="956"/>
      <c r="AN13" s="956">
        <f>27.145-2.483</f>
        <v>24.661999999999999</v>
      </c>
      <c r="AO13" s="1032"/>
      <c r="AP13" s="956">
        <f>26.487-1.981</f>
        <v>24.505999999999997</v>
      </c>
      <c r="AQ13" s="956"/>
      <c r="AR13" s="956">
        <f>30.062-3.084</f>
        <v>26.978000000000002</v>
      </c>
      <c r="AS13" s="956"/>
      <c r="AT13" s="956">
        <f>21.249-0.604</f>
        <v>20.645</v>
      </c>
      <c r="AU13" s="956"/>
      <c r="AV13" s="956">
        <f>20.677</f>
        <v>20.677</v>
      </c>
      <c r="AW13" s="956"/>
      <c r="AX13" s="956">
        <v>0</v>
      </c>
      <c r="AY13" s="956"/>
      <c r="AZ13" s="956">
        <v>0</v>
      </c>
      <c r="BA13" s="956"/>
      <c r="BB13" s="956">
        <v>0</v>
      </c>
      <c r="BC13" s="956"/>
      <c r="BD13" s="956">
        <v>0</v>
      </c>
      <c r="BE13" s="956"/>
      <c r="BF13" s="956">
        <v>0</v>
      </c>
      <c r="BG13" s="631"/>
      <c r="BH13" s="1033"/>
      <c r="BI13" s="631"/>
      <c r="BJ13" s="1033"/>
      <c r="BK13" s="137"/>
      <c r="BL13" s="1033"/>
      <c r="BM13" s="137"/>
      <c r="BN13" s="1033"/>
      <c r="BO13" s="137"/>
      <c r="BP13" s="1033"/>
      <c r="BQ13" s="137"/>
      <c r="BR13" s="1033"/>
      <c r="BS13" s="137"/>
      <c r="BT13" s="137"/>
      <c r="BU13" s="137"/>
    </row>
    <row r="14" spans="1:73">
      <c r="A14" s="137"/>
      <c r="B14" s="137" t="s">
        <v>47</v>
      </c>
      <c r="C14" s="137"/>
      <c r="D14" s="956">
        <v>-6.2218000000000002E-2</v>
      </c>
      <c r="E14" s="803"/>
      <c r="F14" s="956">
        <v>-7.7609999999999998E-2</v>
      </c>
      <c r="G14" s="803"/>
      <c r="H14" s="801">
        <v>0.12971199999999999</v>
      </c>
      <c r="I14" s="803"/>
      <c r="J14" s="801">
        <v>0.216978</v>
      </c>
      <c r="K14" s="803"/>
      <c r="L14" s="956">
        <v>0.23849799999999999</v>
      </c>
      <c r="M14" s="956"/>
      <c r="N14" s="956">
        <v>0.40697100000000003</v>
      </c>
      <c r="O14" s="956"/>
      <c r="P14" s="956">
        <v>0.88287300000000002</v>
      </c>
      <c r="Q14" s="956"/>
      <c r="R14" s="956">
        <v>1.481689</v>
      </c>
      <c r="S14" s="956"/>
      <c r="T14" s="956">
        <v>1.8740000000000001</v>
      </c>
      <c r="U14" s="956"/>
      <c r="V14" s="956">
        <v>6.45</v>
      </c>
      <c r="W14" s="956"/>
      <c r="X14" s="956">
        <v>3.673</v>
      </c>
      <c r="Y14" s="1029"/>
      <c r="Z14" s="956">
        <v>6.867</v>
      </c>
      <c r="AA14" s="1029"/>
      <c r="AB14" s="956">
        <v>9.5079999999999991</v>
      </c>
      <c r="AC14" s="1029"/>
      <c r="AD14" s="956">
        <v>-12.877000000000001</v>
      </c>
      <c r="AE14" s="1029"/>
      <c r="AF14" s="956">
        <v>-17.960999999999999</v>
      </c>
      <c r="AG14" s="1029"/>
      <c r="AH14" s="956">
        <v>-16.623999999999999</v>
      </c>
      <c r="AI14" s="1029"/>
      <c r="AJ14" s="956">
        <v>-19.073</v>
      </c>
      <c r="AK14" s="1029"/>
      <c r="AL14" s="956">
        <v>-16.812000000000001</v>
      </c>
      <c r="AM14" s="1029"/>
      <c r="AN14" s="956">
        <v>-18.863</v>
      </c>
      <c r="AO14" s="1032"/>
      <c r="AP14" s="956">
        <v>-20.016999999999999</v>
      </c>
      <c r="AQ14" s="1029"/>
      <c r="AR14" s="1203">
        <v>-21.741</v>
      </c>
      <c r="AS14" s="1029"/>
      <c r="AT14" s="1203">
        <v>-18.811</v>
      </c>
      <c r="AU14" s="1029"/>
      <c r="AV14" s="1660">
        <v>-19.692</v>
      </c>
      <c r="AW14" s="1029"/>
      <c r="AX14" s="1029">
        <f>+(bal!BA39-bal!AY39)+(bal!BA42-bal!AY42)-(AX39)</f>
        <v>0.59999999999999432</v>
      </c>
      <c r="AY14" s="1029"/>
      <c r="AZ14" s="1029">
        <f>+(bal!BC39-bal!BA39)+(bal!BC42-bal!BA42)-(AZ39)</f>
        <v>0.59999999999999432</v>
      </c>
      <c r="BA14" s="1029"/>
      <c r="BB14" s="1029">
        <f>+(bal!BE39-bal!BC39)+(bal!BE42-bal!BC42)-(BB39)</f>
        <v>0.59999999999999432</v>
      </c>
      <c r="BC14" s="1029"/>
      <c r="BD14" s="1029">
        <f>+(bal!BG39-bal!BE39)+(bal!BG42-bal!BE42)-(BD39)</f>
        <v>0.59999999999999432</v>
      </c>
      <c r="BE14" s="1029"/>
      <c r="BF14" s="1029">
        <f>+(bal!BI39-bal!BG39)+(bal!BI42-bal!BG42)-(BF39)</f>
        <v>0.59999999999999432</v>
      </c>
      <c r="BG14" s="631"/>
      <c r="BH14" s="1033"/>
      <c r="BI14" s="631"/>
      <c r="BJ14" s="1033"/>
      <c r="BK14" s="137"/>
      <c r="BL14" s="1033"/>
      <c r="BM14" s="137"/>
      <c r="BN14" s="1033"/>
      <c r="BO14" s="137"/>
      <c r="BP14" s="1033"/>
      <c r="BQ14" s="137"/>
      <c r="BR14" s="1033"/>
      <c r="BS14" s="137"/>
      <c r="BT14" s="137"/>
      <c r="BU14" s="137"/>
    </row>
    <row r="15" spans="1:73">
      <c r="B15" s="26" t="s">
        <v>634</v>
      </c>
      <c r="D15" s="796">
        <v>8.8845999999999994E-2</v>
      </c>
      <c r="F15" s="796">
        <v>0.200103</v>
      </c>
      <c r="G15" s="137"/>
      <c r="H15" s="796">
        <f>0.317206+0.000001</f>
        <v>0.31720699999999996</v>
      </c>
      <c r="J15" s="796">
        <v>0.19502700000000001</v>
      </c>
      <c r="L15" s="796">
        <f>0.354498-0.000306</f>
        <v>0.35419200000000001</v>
      </c>
      <c r="N15" s="796">
        <f>0.070156+0.39397-0.000002</f>
        <v>0.46412399999999998</v>
      </c>
      <c r="P15" s="959">
        <f>0.044644+1.445078</f>
        <v>1.489722</v>
      </c>
      <c r="Q15" s="955"/>
      <c r="R15" s="959">
        <v>1.3146960000000001</v>
      </c>
      <c r="S15" s="955"/>
      <c r="T15" s="1034">
        <f>3.746+0.0000560000000859873</f>
        <v>3.746056000000086</v>
      </c>
      <c r="U15" s="955"/>
      <c r="V15" s="959">
        <v>0.311</v>
      </c>
      <c r="W15" s="955"/>
      <c r="X15" s="959">
        <v>0.753</v>
      </c>
      <c r="Y15" s="955"/>
      <c r="Z15" s="959">
        <f>0.826+6.752</f>
        <v>7.5779999999999994</v>
      </c>
      <c r="AA15" s="979"/>
      <c r="AB15" s="959">
        <f>-6.833-0.908</f>
        <v>-7.7410000000000005</v>
      </c>
      <c r="AC15" s="959"/>
      <c r="AD15" s="959">
        <f>13.691+0.761</f>
        <v>14.452</v>
      </c>
      <c r="AE15" s="959"/>
      <c r="AF15" s="959">
        <f>15.026+1.372</f>
        <v>16.398</v>
      </c>
      <c r="AG15" s="959"/>
      <c r="AH15" s="978">
        <f>1.868+1.217</f>
        <v>3.085</v>
      </c>
      <c r="AI15" s="978"/>
      <c r="AJ15" s="978">
        <v>2.9489999999999998</v>
      </c>
      <c r="AK15" s="978"/>
      <c r="AL15" s="978">
        <v>2.7650000000000001</v>
      </c>
      <c r="AM15" s="978"/>
      <c r="AN15" s="959">
        <v>1.736</v>
      </c>
      <c r="AO15" s="120"/>
      <c r="AP15" s="959">
        <f>10.085+30.1</f>
        <v>40.185000000000002</v>
      </c>
      <c r="AQ15" s="979"/>
      <c r="AR15" s="959">
        <f>23.744+112.455</f>
        <v>136.19900000000001</v>
      </c>
      <c r="AS15" s="979"/>
      <c r="AT15" s="959">
        <v>10.523</v>
      </c>
      <c r="AU15" s="979"/>
      <c r="AV15" s="978">
        <f>7.042</f>
        <v>7.0419999999999998</v>
      </c>
      <c r="AW15" s="979"/>
      <c r="AX15" s="959">
        <v>0</v>
      </c>
      <c r="AY15" s="979"/>
      <c r="AZ15" s="959">
        <v>0</v>
      </c>
      <c r="BA15" s="979"/>
      <c r="BB15" s="959">
        <v>0</v>
      </c>
      <c r="BC15" s="979"/>
      <c r="BD15" s="959">
        <v>0</v>
      </c>
      <c r="BE15" s="979"/>
      <c r="BF15" s="959">
        <v>0</v>
      </c>
      <c r="BG15" s="551"/>
      <c r="BH15" s="543"/>
      <c r="BI15" s="551"/>
      <c r="BJ15" s="543"/>
      <c r="BL15" s="543"/>
      <c r="BN15" s="543"/>
      <c r="BP15" s="543"/>
      <c r="BR15" s="543"/>
    </row>
    <row r="16" spans="1:73">
      <c r="A16" s="26" t="s">
        <v>635</v>
      </c>
      <c r="D16" s="798">
        <f>SUM(D10:D15)</f>
        <v>3.7750439999999981</v>
      </c>
      <c r="F16" s="798">
        <f>SUM(F10:F15)</f>
        <v>3.4342419999999958</v>
      </c>
      <c r="G16" s="798"/>
      <c r="H16" s="798">
        <f>SUM(H10:H15)</f>
        <v>5.3630809999999967</v>
      </c>
      <c r="I16" s="798"/>
      <c r="J16" s="798">
        <f>SUM(J10:J15)</f>
        <v>12.865912</v>
      </c>
      <c r="K16" s="798"/>
      <c r="L16" s="798">
        <f>SUM(L10:L15)</f>
        <v>19.767915000000002</v>
      </c>
      <c r="M16" s="798"/>
      <c r="N16" s="798">
        <f>SUM(N10:N15)</f>
        <v>37.238459999999989</v>
      </c>
      <c r="O16" s="798"/>
      <c r="P16" s="798">
        <f>SUM(P10:P15)</f>
        <v>61.334499999999977</v>
      </c>
      <c r="Q16" s="798"/>
      <c r="R16" s="798">
        <f>SUM(R10:R15)</f>
        <v>106.59655600000004</v>
      </c>
      <c r="S16" s="798"/>
      <c r="T16" s="798">
        <f>SUM(T10:T15)</f>
        <v>145.41201600000005</v>
      </c>
      <c r="U16" s="798"/>
      <c r="V16" s="882">
        <f>SUM(V10:V15)</f>
        <v>208.36400000000015</v>
      </c>
      <c r="W16" s="882"/>
      <c r="X16" s="882">
        <f>SUM(X10:X15)</f>
        <v>261.92400000000004</v>
      </c>
      <c r="Y16" s="882"/>
      <c r="Z16" s="882">
        <f>SUM(Z10:Z15)</f>
        <v>249.4020000000001</v>
      </c>
      <c r="AA16" s="882"/>
      <c r="AB16" s="882">
        <f>SUM(AB10:AB15)</f>
        <v>193.06599999999986</v>
      </c>
      <c r="AC16" s="882"/>
      <c r="AD16" s="882">
        <f>SUM(AD10:AD15)</f>
        <v>72.092999999999918</v>
      </c>
      <c r="AE16" s="882"/>
      <c r="AF16" s="882">
        <f>SUM(AF10:AF15)</f>
        <v>174.31000000000009</v>
      </c>
      <c r="AG16" s="882"/>
      <c r="AH16" s="883">
        <f>SUM(AH10:AH15)</f>
        <v>236.36200000000002</v>
      </c>
      <c r="AI16" s="883"/>
      <c r="AJ16" s="883">
        <f>SUM(AJ10:AJ15)</f>
        <v>259.79800000000017</v>
      </c>
      <c r="AK16" s="883"/>
      <c r="AL16" s="883">
        <f>SUM(AL10:AL15)</f>
        <v>290.14475999999968</v>
      </c>
      <c r="AM16" s="883"/>
      <c r="AN16" s="882">
        <f>SUM(AN10:AN15)</f>
        <v>272.41799999999989</v>
      </c>
      <c r="AP16" s="882">
        <f>SUM(AP10:AP15)</f>
        <v>223.98600000000002</v>
      </c>
      <c r="AQ16" s="882"/>
      <c r="AR16" s="882">
        <f>SUM(AR10:AR15)</f>
        <v>227.767</v>
      </c>
      <c r="AS16" s="882"/>
      <c r="AT16" s="882">
        <f>SUM(AT10:AT15)</f>
        <v>204.41000000000003</v>
      </c>
      <c r="AU16" s="882"/>
      <c r="AV16" s="883">
        <f>SUM(AV10:AV15)</f>
        <v>203.267</v>
      </c>
      <c r="AW16" s="882"/>
      <c r="AX16" s="882">
        <f>SUM(AX10:AX15)</f>
        <v>198.51736522025291</v>
      </c>
      <c r="AY16" s="882"/>
      <c r="AZ16" s="882">
        <f>SUM(AZ10:AZ15)</f>
        <v>216.24810521502806</v>
      </c>
      <c r="BA16" s="882"/>
      <c r="BB16" s="882">
        <f>SUM(BB10:BB15)</f>
        <v>224.58460052799776</v>
      </c>
      <c r="BC16" s="882"/>
      <c r="BD16" s="882">
        <f>SUM(BD10:BD15)</f>
        <v>232.54071216157692</v>
      </c>
      <c r="BE16" s="882"/>
      <c r="BF16" s="882">
        <f>SUM(BF10:BF15)</f>
        <v>238.88794047165439</v>
      </c>
      <c r="BG16" s="551"/>
      <c r="BH16" s="543"/>
      <c r="BI16" s="551"/>
      <c r="BJ16" s="543"/>
      <c r="BL16" s="543"/>
      <c r="BN16" s="543"/>
      <c r="BP16" s="543"/>
      <c r="BR16" s="543"/>
      <c r="BU16" s="866"/>
    </row>
    <row r="17" spans="1:72">
      <c r="F17" s="137"/>
      <c r="G17" s="137"/>
      <c r="V17" s="122"/>
      <c r="W17" s="122"/>
      <c r="X17" s="122"/>
      <c r="Y17" s="122"/>
      <c r="Z17" s="122"/>
      <c r="AA17" s="122"/>
      <c r="AB17" s="122"/>
      <c r="AC17" s="122"/>
      <c r="AD17" s="122"/>
      <c r="AE17" s="122"/>
      <c r="AF17" s="122"/>
      <c r="AG17" s="122"/>
      <c r="AH17" s="220"/>
      <c r="AI17" s="220"/>
      <c r="AJ17" s="220"/>
      <c r="AK17" s="220"/>
      <c r="AL17" s="220"/>
      <c r="AM17" s="220"/>
      <c r="AN17" s="122"/>
      <c r="AP17" s="122"/>
      <c r="AQ17" s="122"/>
      <c r="AR17" s="122"/>
      <c r="AS17" s="122"/>
      <c r="AT17" s="122"/>
      <c r="AU17" s="122"/>
      <c r="AV17" s="220"/>
      <c r="AW17" s="122"/>
      <c r="AX17" s="122"/>
      <c r="AY17" s="122"/>
      <c r="AZ17" s="122"/>
      <c r="BA17" s="122"/>
      <c r="BB17" s="122"/>
      <c r="BC17" s="122"/>
      <c r="BD17" s="122"/>
      <c r="BE17" s="122"/>
      <c r="BF17" s="122"/>
      <c r="BG17" s="551"/>
      <c r="BH17" s="543"/>
      <c r="BI17" s="551"/>
      <c r="BJ17" s="543"/>
      <c r="BL17" s="543"/>
      <c r="BN17" s="543"/>
      <c r="BP17" s="543"/>
      <c r="BR17" s="543"/>
      <c r="BT17" s="866"/>
    </row>
    <row r="18" spans="1:72">
      <c r="A18" s="26" t="s">
        <v>636</v>
      </c>
      <c r="D18" s="793">
        <v>1.0468580000000001</v>
      </c>
      <c r="E18" s="793"/>
      <c r="F18" s="793">
        <v>2.9263089999999998</v>
      </c>
      <c r="G18" s="793"/>
      <c r="H18" s="793">
        <f>2.010618-0.0345</f>
        <v>1.976118</v>
      </c>
      <c r="I18" s="793"/>
      <c r="J18" s="793">
        <v>5.0458090000000002</v>
      </c>
      <c r="K18" s="793"/>
      <c r="L18" s="793">
        <v>15.169791</v>
      </c>
      <c r="M18" s="793"/>
      <c r="N18" s="793">
        <v>40.468992999999998</v>
      </c>
      <c r="O18" s="793"/>
      <c r="P18" s="793">
        <v>37.436495999999998</v>
      </c>
      <c r="Q18" s="793"/>
      <c r="R18" s="793">
        <v>64.741870000000006</v>
      </c>
      <c r="S18" s="793"/>
      <c r="T18" s="793">
        <v>52.3</v>
      </c>
      <c r="U18" s="793"/>
      <c r="V18" s="801">
        <v>93.064999999999998</v>
      </c>
      <c r="W18" s="801"/>
      <c r="X18" s="801">
        <v>147.63499999999999</v>
      </c>
      <c r="Y18" s="803"/>
      <c r="Z18" s="801">
        <v>218.31100000000001</v>
      </c>
      <c r="AA18" s="803"/>
      <c r="AB18" s="801">
        <v>202.22300000000001</v>
      </c>
      <c r="AC18" s="803"/>
      <c r="AD18" s="801">
        <v>104.61499999999999</v>
      </c>
      <c r="AE18" s="803"/>
      <c r="AF18" s="801">
        <v>67.92</v>
      </c>
      <c r="AG18" s="803"/>
      <c r="AH18" s="801">
        <v>73.045000000000002</v>
      </c>
      <c r="AI18" s="801"/>
      <c r="AJ18" s="801">
        <v>131.75700000000001</v>
      </c>
      <c r="AK18" s="801"/>
      <c r="AL18" s="801">
        <v>164.69</v>
      </c>
      <c r="AM18" s="801"/>
      <c r="AN18" s="801">
        <v>138.51</v>
      </c>
      <c r="AO18" s="122"/>
      <c r="AP18" s="801">
        <v>119.81699999999999</v>
      </c>
      <c r="AQ18" s="801"/>
      <c r="AR18" s="801">
        <v>84.840999999999994</v>
      </c>
      <c r="AS18" s="801"/>
      <c r="AT18" s="801">
        <v>47.835999999999999</v>
      </c>
      <c r="AU18" s="801"/>
      <c r="AV18" s="801">
        <v>48.53</v>
      </c>
      <c r="AW18" s="801"/>
      <c r="AX18" s="801">
        <v>75</v>
      </c>
      <c r="AY18" s="801"/>
      <c r="AZ18" s="801">
        <v>75</v>
      </c>
      <c r="BA18" s="801"/>
      <c r="BB18" s="801">
        <v>75</v>
      </c>
      <c r="BC18" s="801"/>
      <c r="BD18" s="801">
        <v>75</v>
      </c>
      <c r="BE18" s="801"/>
      <c r="BF18" s="801">
        <v>75</v>
      </c>
      <c r="BG18" s="551"/>
      <c r="BH18" s="543"/>
      <c r="BI18" s="551"/>
      <c r="BJ18" s="543"/>
      <c r="BL18" s="543"/>
      <c r="BN18" s="543"/>
      <c r="BP18" s="543"/>
      <c r="BR18" s="543"/>
    </row>
    <row r="19" spans="1:72">
      <c r="A19" s="26" t="s">
        <v>275</v>
      </c>
      <c r="D19" s="793"/>
      <c r="E19" s="793"/>
      <c r="F19" s="793"/>
      <c r="G19" s="793"/>
      <c r="H19" s="793"/>
      <c r="I19" s="793"/>
      <c r="J19" s="793"/>
      <c r="K19" s="793"/>
      <c r="L19" s="793"/>
      <c r="M19" s="793"/>
      <c r="N19" s="793"/>
      <c r="O19" s="793"/>
      <c r="P19" s="793"/>
      <c r="Q19" s="793"/>
      <c r="R19" s="793"/>
      <c r="S19" s="793"/>
      <c r="T19" s="793">
        <v>87.635999999999996</v>
      </c>
      <c r="U19" s="793"/>
      <c r="V19" s="793">
        <v>1.3069999999999999</v>
      </c>
      <c r="W19" s="793"/>
      <c r="X19" s="793">
        <v>0</v>
      </c>
      <c r="Y19" s="793"/>
      <c r="Z19" s="793">
        <f>7.527+0.811</f>
        <v>8.338000000000001</v>
      </c>
      <c r="AA19" s="793"/>
      <c r="AB19" s="793">
        <f>32.896+6.361</f>
        <v>39.256999999999998</v>
      </c>
      <c r="AC19" s="793"/>
      <c r="AD19" s="793"/>
      <c r="AE19" s="793"/>
      <c r="AF19" s="793"/>
      <c r="AG19" s="793"/>
      <c r="AH19" s="801"/>
      <c r="AI19" s="801"/>
      <c r="AJ19" s="801">
        <v>213.56100000000001</v>
      </c>
      <c r="AK19" s="801"/>
      <c r="AL19" s="801"/>
      <c r="AM19" s="801"/>
      <c r="AN19" s="801"/>
      <c r="AO19" s="122"/>
      <c r="AP19" s="801"/>
      <c r="AQ19" s="801"/>
      <c r="AR19" s="801"/>
      <c r="AS19" s="801"/>
      <c r="AT19" s="801"/>
      <c r="AU19" s="801"/>
      <c r="AV19" s="801"/>
      <c r="AW19" s="801"/>
      <c r="AX19" s="801"/>
      <c r="AY19" s="801"/>
      <c r="AZ19" s="801"/>
      <c r="BA19" s="801"/>
      <c r="BB19" s="801"/>
      <c r="BC19" s="801"/>
      <c r="BD19" s="801"/>
      <c r="BE19" s="801"/>
      <c r="BF19" s="801"/>
      <c r="BG19" s="551"/>
      <c r="BH19" s="543"/>
      <c r="BI19" s="551"/>
      <c r="BJ19" s="543"/>
      <c r="BL19" s="543"/>
      <c r="BN19" s="543"/>
      <c r="BP19" s="543"/>
      <c r="BR19" s="543"/>
    </row>
    <row r="20" spans="1:72">
      <c r="F20" s="137"/>
      <c r="G20" s="137"/>
      <c r="AD20" s="890"/>
      <c r="AF20" s="890"/>
      <c r="AH20" s="137"/>
      <c r="AI20" s="137"/>
      <c r="AJ20" s="137"/>
      <c r="AK20" s="137"/>
      <c r="AL20" s="137"/>
      <c r="AM20" s="137"/>
      <c r="AN20" s="137"/>
      <c r="AO20" s="122"/>
      <c r="AP20" s="137"/>
      <c r="AQ20" s="137"/>
      <c r="AR20" s="137"/>
      <c r="AS20" s="137"/>
      <c r="AT20" s="137"/>
      <c r="AU20" s="137"/>
      <c r="AW20" s="137"/>
      <c r="AX20" s="137"/>
      <c r="AY20" s="137"/>
      <c r="AZ20" s="137"/>
      <c r="BA20" s="137"/>
      <c r="BB20" s="137"/>
      <c r="BC20" s="137"/>
      <c r="BD20" s="137"/>
      <c r="BE20" s="137"/>
      <c r="BF20" s="137"/>
      <c r="BG20" s="551"/>
      <c r="BH20" s="543"/>
      <c r="BI20" s="551"/>
      <c r="BJ20" s="543"/>
      <c r="BL20" s="543"/>
      <c r="BN20" s="543"/>
      <c r="BP20" s="543"/>
      <c r="BR20" s="543"/>
    </row>
    <row r="21" spans="1:72">
      <c r="A21" s="26" t="s">
        <v>637</v>
      </c>
      <c r="F21" s="137"/>
      <c r="G21" s="137"/>
      <c r="AH21" s="137"/>
      <c r="AI21" s="137"/>
      <c r="AJ21" s="137"/>
      <c r="AK21" s="137"/>
      <c r="AL21" s="137"/>
      <c r="AM21" s="137"/>
      <c r="AN21" s="137"/>
      <c r="AO21" s="122"/>
      <c r="AP21" s="137"/>
      <c r="AQ21" s="137"/>
      <c r="AR21" s="137"/>
      <c r="AS21" s="137"/>
      <c r="AT21" s="137"/>
      <c r="AU21" s="137"/>
      <c r="AW21" s="137"/>
      <c r="AX21" s="137"/>
      <c r="AY21" s="137"/>
      <c r="AZ21" s="137"/>
      <c r="BA21" s="137"/>
      <c r="BB21" s="137"/>
      <c r="BC21" s="137"/>
      <c r="BD21" s="137"/>
      <c r="BE21" s="137"/>
      <c r="BF21" s="137"/>
      <c r="BG21" s="551"/>
      <c r="BH21" s="543"/>
      <c r="BI21" s="551"/>
      <c r="BJ21" s="543"/>
      <c r="BL21" s="543"/>
      <c r="BN21" s="543"/>
      <c r="BP21" s="543"/>
      <c r="BR21" s="543"/>
    </row>
    <row r="22" spans="1:72">
      <c r="B22" s="26" t="s">
        <v>638</v>
      </c>
      <c r="D22" s="800">
        <v>0.139681</v>
      </c>
      <c r="F22" s="800">
        <v>1.724081</v>
      </c>
      <c r="G22" s="798"/>
      <c r="H22" s="798">
        <f>bal!K12-bal!I12</f>
        <v>1.6801100000000009</v>
      </c>
      <c r="I22" s="798"/>
      <c r="J22" s="798">
        <f>+bal!M12-bal!K12</f>
        <v>0.579680999999999</v>
      </c>
      <c r="K22" s="798"/>
      <c r="L22" s="798">
        <f>bal!O12-bal!M12</f>
        <v>4.7296469999999999</v>
      </c>
      <c r="M22" s="798"/>
      <c r="N22" s="798">
        <f>bal!Q12-bal!O12</f>
        <v>9.5593620000000019</v>
      </c>
      <c r="O22" s="798"/>
      <c r="P22" s="798">
        <f>bal!S12-bal!Q12</f>
        <v>4.510904</v>
      </c>
      <c r="Q22" s="798"/>
      <c r="R22" s="798">
        <f>bal!U12-bal!S12</f>
        <v>16.002438000000001</v>
      </c>
      <c r="S22" s="798"/>
      <c r="T22" s="800">
        <v>4.6580000000000004</v>
      </c>
      <c r="U22" s="798"/>
      <c r="V22" s="844">
        <v>18.28</v>
      </c>
      <c r="W22" s="882"/>
      <c r="X22" s="844">
        <v>22.198</v>
      </c>
      <c r="Y22" s="882"/>
      <c r="Z22" s="844">
        <v>14.696</v>
      </c>
      <c r="AA22" s="882"/>
      <c r="AB22" s="844">
        <v>32.387999999999998</v>
      </c>
      <c r="AC22" s="882"/>
      <c r="AD22" s="844">
        <v>-11.847</v>
      </c>
      <c r="AE22" s="882"/>
      <c r="AF22" s="844">
        <v>6.1029999999999998</v>
      </c>
      <c r="AG22" s="882"/>
      <c r="AH22" s="848">
        <v>21.297999999999998</v>
      </c>
      <c r="AI22" s="883"/>
      <c r="AJ22" s="848">
        <v>20.812000000000001</v>
      </c>
      <c r="AK22" s="883"/>
      <c r="AL22" s="848">
        <v>12.379</v>
      </c>
      <c r="AM22" s="883"/>
      <c r="AN22" s="848">
        <v>31.295999999999999</v>
      </c>
      <c r="AO22" s="122"/>
      <c r="AP22" s="848">
        <v>-2.9860000000000002</v>
      </c>
      <c r="AQ22" s="883"/>
      <c r="AR22" s="1200">
        <v>6.7190000000000003</v>
      </c>
      <c r="AS22" s="883"/>
      <c r="AT22" s="1200">
        <v>-1.472</v>
      </c>
      <c r="AU22" s="883"/>
      <c r="AV22" s="1659">
        <v>1.363</v>
      </c>
      <c r="AW22" s="883"/>
      <c r="AX22" s="883">
        <f>bal!BA12-bal!AY12</f>
        <v>-39.242952953294122</v>
      </c>
      <c r="AY22" s="883"/>
      <c r="AZ22" s="883">
        <f>bal!BC12-bal!BA12</f>
        <v>-3.4773416449655485</v>
      </c>
      <c r="BA22" s="883"/>
      <c r="BB22" s="883">
        <f>bal!BE12-bal!BC12</f>
        <v>-0.36612012748364009</v>
      </c>
      <c r="BC22" s="883"/>
      <c r="BD22" s="883">
        <f>bal!BG12-bal!BE12</f>
        <v>-0.20398007876354995</v>
      </c>
      <c r="BE22" s="883"/>
      <c r="BF22" s="883">
        <f>bal!BI12-bal!BG12</f>
        <v>-3.6618988090936E-2</v>
      </c>
      <c r="BG22" s="551"/>
      <c r="BH22" s="543"/>
      <c r="BI22" s="551"/>
      <c r="BJ22" s="543"/>
      <c r="BL22" s="543"/>
      <c r="BN22" s="543"/>
      <c r="BO22" s="1030">
        <f>bal!I12-bal!G12</f>
        <v>1.0699879999999995</v>
      </c>
      <c r="BP22" s="1031">
        <f>+BO22-F22</f>
        <v>-0.65409300000000048</v>
      </c>
      <c r="BQ22" s="890">
        <f>bal!G12-bal!E12</f>
        <v>0.21947700000000037</v>
      </c>
      <c r="BR22" s="1031">
        <f>+BQ22-D22</f>
        <v>7.9796000000000367E-2</v>
      </c>
    </row>
    <row r="23" spans="1:72">
      <c r="B23" s="26" t="s">
        <v>623</v>
      </c>
      <c r="D23" s="955">
        <v>-1.8658999999999999E-2</v>
      </c>
      <c r="E23" s="794"/>
      <c r="F23" s="955">
        <v>-0.113063</v>
      </c>
      <c r="G23" s="794"/>
      <c r="H23" s="794">
        <f>bal!K11-bal!I11</f>
        <v>0.13144400000000001</v>
      </c>
      <c r="I23" s="794"/>
      <c r="J23" s="794">
        <f>bal!M11-bal!K11</f>
        <v>0.25418300000000005</v>
      </c>
      <c r="K23" s="794"/>
      <c r="L23" s="955">
        <f>bal!O11-bal!M11</f>
        <v>0.55758299999999994</v>
      </c>
      <c r="M23" s="955"/>
      <c r="N23" s="793">
        <f>bal!Q11-bal!O11</f>
        <v>1.292249</v>
      </c>
      <c r="O23" s="793"/>
      <c r="P23" s="793">
        <f>bal!S11-bal!Q11</f>
        <v>-0.91543999999999981</v>
      </c>
      <c r="Q23" s="793"/>
      <c r="R23" s="793">
        <f>bal!U11-bal!S11</f>
        <v>0.142598</v>
      </c>
      <c r="S23" s="793"/>
      <c r="T23" s="793">
        <v>1.9530000000000001</v>
      </c>
      <c r="U23" s="793"/>
      <c r="V23" s="955">
        <v>-1.069</v>
      </c>
      <c r="W23" s="955"/>
      <c r="X23" s="955">
        <v>7.1470000000000002</v>
      </c>
      <c r="Y23" s="318"/>
      <c r="Z23" s="955">
        <v>2.0249999999999999</v>
      </c>
      <c r="AA23" s="318"/>
      <c r="AB23" s="955">
        <v>18.77</v>
      </c>
      <c r="AC23" s="318"/>
      <c r="AD23" s="955">
        <v>-3.766</v>
      </c>
      <c r="AE23" s="318"/>
      <c r="AF23" s="955">
        <v>-4.2370000000000001</v>
      </c>
      <c r="AG23" s="318"/>
      <c r="AH23" s="956">
        <v>-7.6999999999999999E-2</v>
      </c>
      <c r="AI23" s="1029"/>
      <c r="AJ23" s="956">
        <v>0</v>
      </c>
      <c r="AK23" s="1029"/>
      <c r="AL23" s="956">
        <v>0</v>
      </c>
      <c r="AM23" s="1029"/>
      <c r="AN23" s="956">
        <v>0</v>
      </c>
      <c r="AO23" s="122"/>
      <c r="AP23" s="956">
        <v>0</v>
      </c>
      <c r="AQ23" s="1029"/>
      <c r="AR23" s="1203">
        <v>0</v>
      </c>
      <c r="AS23" s="1029"/>
      <c r="AT23" s="1203">
        <v>0</v>
      </c>
      <c r="AU23" s="1029"/>
      <c r="AV23" s="1660">
        <v>0</v>
      </c>
      <c r="AW23" s="1029"/>
      <c r="AX23" s="1029">
        <f>bal!BA11-bal!AY11</f>
        <v>0</v>
      </c>
      <c r="AY23" s="1029"/>
      <c r="AZ23" s="1029">
        <f>bal!BC11-bal!BA11</f>
        <v>0</v>
      </c>
      <c r="BA23" s="1029"/>
      <c r="BB23" s="1029">
        <f>bal!BE11-bal!BC11</f>
        <v>0</v>
      </c>
      <c r="BC23" s="1029"/>
      <c r="BD23" s="1029">
        <f>bal!BG11-bal!BE11</f>
        <v>0</v>
      </c>
      <c r="BE23" s="1029"/>
      <c r="BF23" s="1029">
        <f>bal!BI11-bal!BG11</f>
        <v>0</v>
      </c>
      <c r="BG23" s="1035"/>
      <c r="BH23" s="1031"/>
      <c r="BI23" s="1030"/>
      <c r="BJ23" s="1031"/>
      <c r="BK23" s="1030"/>
      <c r="BL23" s="1031"/>
      <c r="BM23" s="1030"/>
      <c r="BN23" s="1031"/>
      <c r="BO23" s="794">
        <f>bal!I11-bal!G11</f>
        <v>0.19196899999999995</v>
      </c>
      <c r="BP23" s="1031">
        <f>+BO23-F23</f>
        <v>0.30503199999999997</v>
      </c>
      <c r="BQ23" s="890">
        <f>+bal!G11-bal!E11</f>
        <v>-0.52830200000000005</v>
      </c>
      <c r="BR23" s="1031">
        <f>+BQ23-D23</f>
        <v>-0.50964300000000007</v>
      </c>
      <c r="BT23" s="866"/>
    </row>
    <row r="24" spans="1:72">
      <c r="B24" s="26" t="s">
        <v>625</v>
      </c>
      <c r="D24" s="794">
        <f>bal!G13-bal!E13</f>
        <v>6.950400000000001E-2</v>
      </c>
      <c r="E24" s="794"/>
      <c r="F24" s="955">
        <v>6.4529000000000003E-2</v>
      </c>
      <c r="G24" s="794"/>
      <c r="H24" s="794">
        <f>+bal!K13-bal!I13</f>
        <v>0.19370100000000001</v>
      </c>
      <c r="I24" s="794"/>
      <c r="J24" s="794">
        <f>bal!M13-bal!K13</f>
        <v>-0.15625999999999995</v>
      </c>
      <c r="K24" s="794"/>
      <c r="L24" s="955">
        <f>bal!O13-bal!M13</f>
        <v>0.15781000000000001</v>
      </c>
      <c r="M24" s="955"/>
      <c r="N24" s="793">
        <f>bal!Q13-bal!O13</f>
        <v>1.5856539999999999</v>
      </c>
      <c r="O24" s="793"/>
      <c r="P24" s="793">
        <f>bal!S13-bal!Q13</f>
        <v>1.542449</v>
      </c>
      <c r="Q24" s="793"/>
      <c r="R24" s="793">
        <f>bal!U13-bal!S13</f>
        <v>2.4257280000000003</v>
      </c>
      <c r="S24" s="793"/>
      <c r="T24" s="793">
        <v>1.2809999999999999</v>
      </c>
      <c r="U24" s="793"/>
      <c r="V24" s="955">
        <v>2.734</v>
      </c>
      <c r="W24" s="955"/>
      <c r="X24" s="955">
        <v>5.9550000000000001</v>
      </c>
      <c r="Y24" s="318"/>
      <c r="Z24" s="955">
        <v>3.6760000000000002</v>
      </c>
      <c r="AA24" s="318"/>
      <c r="AB24" s="955">
        <v>3.9580000000000002</v>
      </c>
      <c r="AC24" s="318"/>
      <c r="AD24" s="955">
        <v>-4.2240000000000002</v>
      </c>
      <c r="AE24" s="318"/>
      <c r="AF24" s="955">
        <v>2.4889999999999999</v>
      </c>
      <c r="AG24" s="318"/>
      <c r="AH24" s="956">
        <v>2.77</v>
      </c>
      <c r="AI24" s="1029"/>
      <c r="AJ24" s="956">
        <v>3.4910000000000001</v>
      </c>
      <c r="AK24" s="1029"/>
      <c r="AL24" s="956">
        <v>3.956</v>
      </c>
      <c r="AM24" s="1029"/>
      <c r="AN24" s="956">
        <v>2.7669999999999999</v>
      </c>
      <c r="AP24" s="956">
        <v>-5.2999999999999999E-2</v>
      </c>
      <c r="AQ24" s="1029"/>
      <c r="AR24" s="1203">
        <v>-0.35799999999999998</v>
      </c>
      <c r="AS24" s="1029"/>
      <c r="AT24" s="1203">
        <v>7.5650000000000004</v>
      </c>
      <c r="AU24" s="1029"/>
      <c r="AV24" s="1660">
        <v>4.5839999999999996</v>
      </c>
      <c r="AW24" s="1029"/>
      <c r="AX24" s="1029">
        <f>bal!BA13-bal!AY13</f>
        <v>-12.461738129462191</v>
      </c>
      <c r="AY24" s="1029"/>
      <c r="AZ24" s="1029">
        <f>bal!BC13-bal!BA13</f>
        <v>-0.86192418566066209</v>
      </c>
      <c r="BA24" s="1029"/>
      <c r="BB24" s="1029">
        <f>bal!BE13-bal!BC13</f>
        <v>-9.07497234826522E-2</v>
      </c>
      <c r="BC24" s="1029"/>
      <c r="BD24" s="1029">
        <f>bal!BG13-bal!BE13</f>
        <v>-5.0560278865269481E-2</v>
      </c>
      <c r="BE24" s="1029"/>
      <c r="BF24" s="1029">
        <f>bal!BI13-bal!BG13</f>
        <v>-9.0767013174257727E-3</v>
      </c>
      <c r="BG24" s="1035"/>
      <c r="BI24" s="551"/>
      <c r="BJ24" s="543"/>
      <c r="BL24" s="543"/>
      <c r="BN24" s="543"/>
      <c r="BO24" s="794">
        <f>bal!I13-bal!G13</f>
        <v>9.6456999999999959E-2</v>
      </c>
      <c r="BP24" s="1031">
        <f>+BO24-F24</f>
        <v>3.1927999999999956E-2</v>
      </c>
      <c r="BQ24" s="794"/>
      <c r="BR24" s="1031"/>
      <c r="BT24" s="1036"/>
    </row>
    <row r="25" spans="1:72">
      <c r="B25" s="26" t="s">
        <v>62</v>
      </c>
      <c r="D25" s="955">
        <v>4.7421999999999999E-2</v>
      </c>
      <c r="E25" s="794"/>
      <c r="F25" s="955">
        <v>6.5990999999999994E-2</v>
      </c>
      <c r="G25" s="794"/>
      <c r="H25" s="955">
        <v>4.018E-2</v>
      </c>
      <c r="I25" s="794"/>
      <c r="J25" s="955">
        <v>4.6418000000000001E-2</v>
      </c>
      <c r="K25" s="794"/>
      <c r="L25" s="955">
        <v>0.12526999999999999</v>
      </c>
      <c r="M25" s="955"/>
      <c r="N25" s="793">
        <v>0.109821</v>
      </c>
      <c r="O25" s="793"/>
      <c r="P25" s="793">
        <v>0.29230499999999998</v>
      </c>
      <c r="Q25" s="793"/>
      <c r="R25" s="793">
        <v>-0.73507900000000004</v>
      </c>
      <c r="S25" s="793"/>
      <c r="T25" s="793">
        <v>0</v>
      </c>
      <c r="U25" s="793"/>
      <c r="V25" s="955">
        <v>0</v>
      </c>
      <c r="W25" s="955"/>
      <c r="X25" s="955">
        <v>0</v>
      </c>
      <c r="Y25" s="318"/>
      <c r="Z25" s="955">
        <v>0</v>
      </c>
      <c r="AA25" s="318"/>
      <c r="AB25" s="955">
        <v>0</v>
      </c>
      <c r="AC25" s="318"/>
      <c r="AD25" s="955">
        <v>-12.266999999999999</v>
      </c>
      <c r="AE25" s="318"/>
      <c r="AF25" s="955">
        <v>-11.394</v>
      </c>
      <c r="AG25" s="318"/>
      <c r="AH25" s="956">
        <v>6.2530000000000001</v>
      </c>
      <c r="AI25" s="1029"/>
      <c r="AJ25" s="956">
        <v>0</v>
      </c>
      <c r="AK25" s="1029"/>
      <c r="AL25" s="956">
        <v>0</v>
      </c>
      <c r="AM25" s="1029"/>
      <c r="AN25" s="956">
        <v>0</v>
      </c>
      <c r="AP25" s="956">
        <v>0</v>
      </c>
      <c r="AQ25" s="1029"/>
      <c r="AR25" s="1203">
        <v>28.562000000000001</v>
      </c>
      <c r="AS25" s="1029"/>
      <c r="AT25" s="1203">
        <v>-26.748999999999999</v>
      </c>
      <c r="AU25" s="1029"/>
      <c r="AV25" s="1660">
        <v>0.311</v>
      </c>
      <c r="AW25" s="1029"/>
      <c r="AX25" s="1029">
        <f>bal!BA29-bal!AY29</f>
        <v>0</v>
      </c>
      <c r="AY25" s="1029"/>
      <c r="AZ25" s="1029">
        <f>bal!BC29-bal!BA29</f>
        <v>0</v>
      </c>
      <c r="BA25" s="1029"/>
      <c r="BB25" s="1029">
        <f>bal!BE29-bal!BC29</f>
        <v>0</v>
      </c>
      <c r="BC25" s="1029"/>
      <c r="BD25" s="1029">
        <f>bal!BG29-bal!BE29</f>
        <v>0</v>
      </c>
      <c r="BE25" s="1029"/>
      <c r="BF25" s="1029">
        <f>bal!BI29-bal!BG29</f>
        <v>0</v>
      </c>
      <c r="BG25" s="1030">
        <f>bal!Q29-bal!O29</f>
        <v>4.8336000000000046E-2</v>
      </c>
      <c r="BH25" s="1031">
        <f>+N25-BG25</f>
        <v>6.1484999999999956E-2</v>
      </c>
      <c r="BI25" s="1030">
        <f>(bal!O29-bal!M29)</f>
        <v>-4.6711999999999976E-2</v>
      </c>
      <c r="BJ25" s="1031">
        <f>+L25-BI25</f>
        <v>0.17198199999999997</v>
      </c>
      <c r="BK25" s="1030">
        <f>(bal!M29-bal!K29)</f>
        <v>3.6220999999999948E-2</v>
      </c>
      <c r="BL25" s="1031">
        <f>+J25-BK25</f>
        <v>1.0197000000000053E-2</v>
      </c>
      <c r="BM25" s="318">
        <f>(bal!K29-bal!I29)</f>
        <v>-3.9709999999999468E-3</v>
      </c>
      <c r="BN25" s="1031">
        <f>+BM25-H25</f>
        <v>-4.4150999999999947E-2</v>
      </c>
      <c r="BO25" s="794">
        <f>(bal!I29-bal!G29)</f>
        <v>9.6132999999999913E-2</v>
      </c>
      <c r="BP25" s="1031">
        <f>+BO25-F25</f>
        <v>3.0141999999999919E-2</v>
      </c>
      <c r="BQ25" s="890">
        <f>+(bal!G29-bal!E29)</f>
        <v>0.32177700000000004</v>
      </c>
      <c r="BR25" s="1031">
        <f>+BQ25-D25</f>
        <v>0.27435500000000002</v>
      </c>
    </row>
    <row r="26" spans="1:72">
      <c r="A26" s="26" t="s">
        <v>639</v>
      </c>
      <c r="D26" s="1037"/>
      <c r="E26" s="1037"/>
      <c r="F26" s="727"/>
      <c r="G26" s="137"/>
      <c r="H26" s="1037"/>
      <c r="I26" s="137"/>
      <c r="J26" s="1037"/>
      <c r="K26" s="1037"/>
      <c r="L26" s="955"/>
      <c r="M26" s="955"/>
      <c r="N26" s="793"/>
      <c r="O26" s="793"/>
      <c r="P26" s="793"/>
      <c r="Q26" s="793"/>
      <c r="R26" s="793"/>
      <c r="S26" s="793"/>
      <c r="T26" s="793"/>
      <c r="U26" s="793"/>
      <c r="V26" s="318"/>
      <c r="W26" s="955"/>
      <c r="X26" s="318"/>
      <c r="Y26" s="318"/>
      <c r="Z26" s="318"/>
      <c r="AA26" s="318"/>
      <c r="AB26" s="318"/>
      <c r="AC26" s="318"/>
      <c r="AD26" s="318"/>
      <c r="AE26" s="318"/>
      <c r="AF26" s="318"/>
      <c r="AG26" s="318"/>
      <c r="AH26" s="956"/>
      <c r="AI26" s="1029"/>
      <c r="AJ26" s="956"/>
      <c r="AK26" s="1029"/>
      <c r="AL26" s="1029"/>
      <c r="AM26" s="1029"/>
      <c r="AN26" s="318"/>
      <c r="AP26" s="318"/>
      <c r="AQ26" s="318"/>
      <c r="AR26" s="318"/>
      <c r="AS26" s="318"/>
      <c r="AT26" s="318"/>
      <c r="AU26" s="318"/>
      <c r="AV26" s="1029"/>
      <c r="AW26" s="318"/>
      <c r="AX26" s="318"/>
      <c r="AY26" s="318"/>
      <c r="AZ26" s="318"/>
      <c r="BA26" s="318"/>
      <c r="BB26" s="318"/>
      <c r="BC26" s="318"/>
      <c r="BD26" s="318"/>
      <c r="BE26" s="318"/>
      <c r="BF26" s="318"/>
      <c r="BG26" s="551"/>
      <c r="BH26" s="543"/>
      <c r="BI26" s="551"/>
      <c r="BJ26" s="543"/>
      <c r="BL26" s="543"/>
      <c r="BN26" s="543"/>
      <c r="BP26" s="543"/>
      <c r="BR26" s="543"/>
    </row>
    <row r="27" spans="1:72">
      <c r="B27" s="26" t="s">
        <v>52</v>
      </c>
      <c r="D27" s="794">
        <f>bal!E37-bal!G37</f>
        <v>1.238356</v>
      </c>
      <c r="E27" s="794"/>
      <c r="F27" s="955">
        <v>-1.2669859999999999</v>
      </c>
      <c r="G27" s="794"/>
      <c r="H27" s="794">
        <f>bal!I37-bal!K37</f>
        <v>-0.21827500000000022</v>
      </c>
      <c r="I27" s="794"/>
      <c r="J27" s="794">
        <f>bal!K37-bal!M37</f>
        <v>-0.47485799999999978</v>
      </c>
      <c r="K27" s="794"/>
      <c r="L27" s="955">
        <f>bal!M37-bal!O37</f>
        <v>-1.9875609999999999</v>
      </c>
      <c r="M27" s="955"/>
      <c r="N27" s="793">
        <f>bal!O37-bal!Q37</f>
        <v>-7.7690779999999995</v>
      </c>
      <c r="O27" s="793"/>
      <c r="P27" s="793">
        <f>bal!Q37-bal!S37</f>
        <v>-4.3023750000000014</v>
      </c>
      <c r="Q27" s="793"/>
      <c r="R27" s="793">
        <f>bal!S37-bal!U37</f>
        <v>-10.434334</v>
      </c>
      <c r="S27" s="793"/>
      <c r="T27" s="793">
        <v>3.1749999999999998</v>
      </c>
      <c r="U27" s="793"/>
      <c r="V27" s="318">
        <f>bal!W37-bal!Y37</f>
        <v>-8.929000000000002</v>
      </c>
      <c r="W27" s="955"/>
      <c r="X27" s="318">
        <f>bal!Y37-bal!AA37</f>
        <v>-10.708999999999996</v>
      </c>
      <c r="Y27" s="318"/>
      <c r="Z27" s="318">
        <f>bal!AA37-bal!AC37</f>
        <v>-8.2620000000000005</v>
      </c>
      <c r="AA27" s="318"/>
      <c r="AB27" s="955">
        <v>-32.436999999999998</v>
      </c>
      <c r="AC27" s="955"/>
      <c r="AD27" s="955">
        <v>22.488</v>
      </c>
      <c r="AE27" s="955"/>
      <c r="AF27" s="955">
        <v>-22.677</v>
      </c>
      <c r="AG27" s="318"/>
      <c r="AH27" s="956">
        <v>-27.446000000000002</v>
      </c>
      <c r="AI27" s="1029"/>
      <c r="AJ27" s="956">
        <v>14.571</v>
      </c>
      <c r="AK27" s="1029"/>
      <c r="AL27" s="956">
        <v>-28.992000000000001</v>
      </c>
      <c r="AM27" s="1029"/>
      <c r="AN27" s="955">
        <v>-1.867</v>
      </c>
      <c r="AP27" s="955">
        <v>-13.28</v>
      </c>
      <c r="AQ27" s="318"/>
      <c r="AR27" s="958">
        <v>12.101000000000001</v>
      </c>
      <c r="AS27" s="318"/>
      <c r="AT27" s="958">
        <v>13.015000000000001</v>
      </c>
      <c r="AU27" s="318"/>
      <c r="AV27" s="1660">
        <v>-1.95</v>
      </c>
      <c r="AW27" s="318"/>
      <c r="AX27" s="318">
        <f>bal!AY37-bal!BA37</f>
        <v>20.847010022243055</v>
      </c>
      <c r="AY27" s="318"/>
      <c r="AZ27" s="318">
        <f>bal!BA37-bal!BC37</f>
        <v>1.7416114698028622</v>
      </c>
      <c r="BA27" s="318"/>
      <c r="BB27" s="318">
        <f>bal!BC37-bal!BE37</f>
        <v>0.18336967673980098</v>
      </c>
      <c r="BC27" s="318"/>
      <c r="BD27" s="318">
        <f>bal!BE37-bal!BG37</f>
        <v>0.1021625370921555</v>
      </c>
      <c r="BE27" s="318"/>
      <c r="BF27" s="318">
        <f>bal!BG37-bal!BI37</f>
        <v>1.8340461244022777E-2</v>
      </c>
      <c r="BG27" s="551"/>
      <c r="BH27" s="543"/>
      <c r="BI27" s="551"/>
      <c r="BJ27" s="543"/>
      <c r="BK27" s="1030"/>
      <c r="BL27" s="1031"/>
      <c r="BM27" s="1030"/>
      <c r="BN27" s="1031"/>
      <c r="BO27" s="794">
        <f>bal!G37-bal!I37</f>
        <v>-1.2669160000000002</v>
      </c>
      <c r="BP27" s="1031">
        <f>+BO27-F27</f>
        <v>6.999999999979245E-5</v>
      </c>
      <c r="BQ27" s="794"/>
      <c r="BR27" s="1031"/>
    </row>
    <row r="28" spans="1:72">
      <c r="B28" s="26" t="s">
        <v>647</v>
      </c>
      <c r="D28" s="955">
        <v>0.222688</v>
      </c>
      <c r="E28" s="794"/>
      <c r="F28" s="955">
        <v>-0.22209100000000001</v>
      </c>
      <c r="G28" s="794"/>
      <c r="H28" s="794">
        <f>bal!I38-bal!K38</f>
        <v>-7.9349000000000114E-2</v>
      </c>
      <c r="I28" s="794"/>
      <c r="J28" s="794">
        <f>bal!K38-bal!M38</f>
        <v>-1.1389800000000001</v>
      </c>
      <c r="K28" s="794"/>
      <c r="L28" s="955">
        <f>bal!M38-bal!O38</f>
        <v>-0.91374900000000014</v>
      </c>
      <c r="M28" s="955"/>
      <c r="N28" s="793">
        <f>bal!O38-bal!Q38</f>
        <v>-6.7062480000000004</v>
      </c>
      <c r="O28" s="793"/>
      <c r="P28" s="793">
        <f>bal!Q38-bal!S38</f>
        <v>-5.2858049999999981</v>
      </c>
      <c r="Q28" s="793"/>
      <c r="R28" s="793">
        <v>-9.612266</v>
      </c>
      <c r="S28" s="793"/>
      <c r="T28" s="793">
        <v>-11.035</v>
      </c>
      <c r="U28" s="793"/>
      <c r="V28" s="955">
        <v>-26.271999999999998</v>
      </c>
      <c r="W28" s="955"/>
      <c r="X28" s="955">
        <v>-31.073</v>
      </c>
      <c r="Y28" s="318"/>
      <c r="Z28" s="318">
        <v>-54.091999999999999</v>
      </c>
      <c r="AA28" s="318"/>
      <c r="AB28" s="955">
        <v>-38.469000000000001</v>
      </c>
      <c r="AC28" s="955"/>
      <c r="AD28" s="955">
        <v>-17.837</v>
      </c>
      <c r="AE28" s="955"/>
      <c r="AF28" s="955">
        <v>-11.343999999999999</v>
      </c>
      <c r="AG28" s="318"/>
      <c r="AH28" s="956">
        <v>-6.0620000000000003</v>
      </c>
      <c r="AI28" s="1029"/>
      <c r="AJ28" s="956">
        <v>-37.831000000000003</v>
      </c>
      <c r="AK28" s="1029"/>
      <c r="AL28" s="956">
        <v>-66.683000000000007</v>
      </c>
      <c r="AM28" s="1029"/>
      <c r="AN28" s="955">
        <f>5.54+4.74376</f>
        <v>10.283760000000001</v>
      </c>
      <c r="AO28" s="220"/>
      <c r="AP28" s="955">
        <v>-44.177999999999997</v>
      </c>
      <c r="AQ28" s="318"/>
      <c r="AR28" s="958">
        <v>-16.248000000000001</v>
      </c>
      <c r="AS28" s="318"/>
      <c r="AT28" s="958">
        <v>-18.658999999999999</v>
      </c>
      <c r="AU28" s="318"/>
      <c r="AV28" s="1660">
        <v>32.085999999999999</v>
      </c>
      <c r="AW28" s="318"/>
      <c r="AX28" s="318">
        <f>bal!AY38-bal!BA38+bal!AY44-bal!BA44</f>
        <v>-35.009643653471954</v>
      </c>
      <c r="AY28" s="318"/>
      <c r="AZ28" s="318">
        <f>bal!BA38-bal!BC38+bal!BA44-bal!BC44</f>
        <v>12.862540906184933</v>
      </c>
      <c r="BA28" s="318"/>
      <c r="BB28" s="318">
        <f>bal!BC38-bal!BE38+bal!BC44-bal!BE44</f>
        <v>1.6162313890087603</v>
      </c>
      <c r="BC28" s="318"/>
      <c r="BD28" s="318">
        <f>bal!BE38-bal!BG38+bal!BE44-bal!BG44</f>
        <v>1.8860475974936719</v>
      </c>
      <c r="BE28" s="318"/>
      <c r="BF28" s="318">
        <f>bal!BG38-bal!BI38+bal!BG44-bal!BI44</f>
        <v>1.2438929302270765</v>
      </c>
      <c r="BG28" s="1030"/>
      <c r="BH28" s="1031"/>
      <c r="BI28" s="1030"/>
      <c r="BJ28" s="1031"/>
      <c r="BK28" s="1030"/>
      <c r="BL28" s="1031"/>
      <c r="BM28" s="1030"/>
      <c r="BN28" s="1031"/>
      <c r="BO28" s="794">
        <f>bal!G38-bal!I38</f>
        <v>6.2050000000000161E-3</v>
      </c>
      <c r="BP28" s="1031">
        <f>+BO28-F28</f>
        <v>0.22829600000000003</v>
      </c>
      <c r="BQ28" s="794">
        <f>bal!E38-bal!G38</f>
        <v>0.35727200000000003</v>
      </c>
      <c r="BR28" s="1031">
        <f>+BQ28-D28</f>
        <v>0.13458400000000004</v>
      </c>
    </row>
    <row r="29" spans="1:72">
      <c r="H29" s="794"/>
      <c r="R29" s="320"/>
      <c r="T29" s="320"/>
      <c r="V29" s="318"/>
      <c r="W29" s="318"/>
      <c r="X29" s="318"/>
      <c r="Y29" s="318"/>
      <c r="Z29" s="318"/>
      <c r="AA29" s="318"/>
      <c r="AB29" s="318"/>
      <c r="AC29" s="318"/>
      <c r="AD29" s="318"/>
      <c r="AE29" s="318"/>
      <c r="AF29" s="318"/>
      <c r="AG29" s="318"/>
      <c r="AH29" s="1029"/>
      <c r="AI29" s="1029"/>
      <c r="AJ29" s="1029"/>
      <c r="AK29" s="1029"/>
      <c r="AL29" s="1029"/>
      <c r="AM29" s="1029"/>
      <c r="AN29" s="318"/>
      <c r="AO29" s="220"/>
      <c r="AP29" s="318"/>
      <c r="AQ29" s="318"/>
      <c r="AR29" s="318"/>
      <c r="AS29" s="318"/>
      <c r="AT29" s="318"/>
      <c r="AU29" s="318"/>
      <c r="AV29" s="1029"/>
      <c r="AW29" s="318"/>
      <c r="AX29" s="318"/>
      <c r="AY29" s="318"/>
      <c r="AZ29" s="318"/>
      <c r="BA29" s="318"/>
      <c r="BB29" s="318"/>
      <c r="BC29" s="318"/>
      <c r="BD29" s="318"/>
      <c r="BE29" s="318"/>
      <c r="BF29" s="318"/>
      <c r="BG29" s="551"/>
      <c r="BH29" s="543"/>
      <c r="BI29" s="551"/>
      <c r="BJ29" s="543"/>
      <c r="BL29" s="543"/>
      <c r="BN29" s="543"/>
      <c r="BP29" s="543"/>
      <c r="BR29" s="543"/>
    </row>
    <row r="30" spans="1:72">
      <c r="A30" s="26" t="s">
        <v>640</v>
      </c>
      <c r="D30" s="798">
        <f>SUM(D22:D28)</f>
        <v>1.6989920000000001</v>
      </c>
      <c r="F30" s="798">
        <f>SUM(F22:F28)</f>
        <v>0.25246100000000005</v>
      </c>
      <c r="G30" s="798"/>
      <c r="H30" s="798">
        <f>SUM(H22:H28)</f>
        <v>1.7478110000000004</v>
      </c>
      <c r="I30" s="798"/>
      <c r="J30" s="798">
        <f>SUM(J22:J28)</f>
        <v>-0.88981600000000083</v>
      </c>
      <c r="K30" s="798"/>
      <c r="L30" s="798">
        <f>SUM(L22:L28)</f>
        <v>2.6690000000000009</v>
      </c>
      <c r="M30" s="798"/>
      <c r="N30" s="798">
        <f>SUM(N22:N28)</f>
        <v>-1.928239999999998</v>
      </c>
      <c r="O30" s="798"/>
      <c r="P30" s="798">
        <f>SUM(P22:P28)</f>
        <v>-4.1579619999999995</v>
      </c>
      <c r="Q30" s="798"/>
      <c r="R30" s="798">
        <f>SUM(R22:R28)</f>
        <v>-2.2109149999999982</v>
      </c>
      <c r="S30" s="798"/>
      <c r="T30" s="798">
        <f>SUM(T22:T28)</f>
        <v>3.2000000000000028E-2</v>
      </c>
      <c r="U30" s="798"/>
      <c r="V30" s="318">
        <f>SUM(V22:V28)</f>
        <v>-15.256</v>
      </c>
      <c r="W30" s="318"/>
      <c r="X30" s="318">
        <f>SUM(X22:X28)</f>
        <v>-6.4819999999999993</v>
      </c>
      <c r="Y30" s="318"/>
      <c r="Z30" s="318">
        <f>SUM(Z22:Z28)</f>
        <v>-41.957000000000001</v>
      </c>
      <c r="AA30" s="318"/>
      <c r="AB30" s="318">
        <f>SUM(AB22:AB28)</f>
        <v>-15.79</v>
      </c>
      <c r="AC30" s="318"/>
      <c r="AD30" s="318">
        <f>SUM(AD22:AD28)</f>
        <v>-27.452999999999999</v>
      </c>
      <c r="AE30" s="318"/>
      <c r="AF30" s="318">
        <f>SUM(AF22:AF28)</f>
        <v>-41.06</v>
      </c>
      <c r="AG30" s="318"/>
      <c r="AH30" s="1029">
        <f>SUM(AH22:AH28)</f>
        <v>-3.2640000000000056</v>
      </c>
      <c r="AI30" s="1029"/>
      <c r="AJ30" s="1029">
        <f>SUM(AJ22:AJ28)</f>
        <v>1.0429999999999993</v>
      </c>
      <c r="AK30" s="1029"/>
      <c r="AL30" s="1029">
        <f>SUM(AL22:AL28)</f>
        <v>-79.34</v>
      </c>
      <c r="AM30" s="1029"/>
      <c r="AN30" s="318">
        <f>SUM(AN22:AN28)</f>
        <v>42.479760000000006</v>
      </c>
      <c r="AO30" s="220"/>
      <c r="AP30" s="318">
        <f>SUM(AP22:AP28)</f>
        <v>-60.497</v>
      </c>
      <c r="AQ30" s="318"/>
      <c r="AR30" s="318">
        <f>SUM(AR22:AR28)</f>
        <v>30.776</v>
      </c>
      <c r="AS30" s="318"/>
      <c r="AT30" s="318">
        <f>SUM(AT22:AT28)</f>
        <v>-26.299999999999997</v>
      </c>
      <c r="AU30" s="318"/>
      <c r="AV30" s="1029">
        <f>SUM(AV22:AV28)</f>
        <v>36.393999999999998</v>
      </c>
      <c r="AW30" s="318"/>
      <c r="AX30" s="318">
        <f>SUM(AX22:AX28)</f>
        <v>-65.867324713985212</v>
      </c>
      <c r="AY30" s="318"/>
      <c r="AZ30" s="318">
        <f>SUM(AZ22:AZ28)</f>
        <v>10.264886545361584</v>
      </c>
      <c r="BA30" s="318"/>
      <c r="BB30" s="318">
        <f>SUM(BB22:BB28)</f>
        <v>1.342731214782269</v>
      </c>
      <c r="BC30" s="318"/>
      <c r="BD30" s="318">
        <f>SUM(BD22:BD28)</f>
        <v>1.733669776957008</v>
      </c>
      <c r="BE30" s="318"/>
      <c r="BF30" s="318">
        <f>SUM(BF22:BF28)</f>
        <v>1.2165377020627375</v>
      </c>
      <c r="BG30" s="551"/>
      <c r="BH30" s="543"/>
      <c r="BI30" s="551"/>
      <c r="BJ30" s="543"/>
      <c r="BL30" s="543"/>
      <c r="BN30" s="543"/>
      <c r="BP30" s="1031">
        <f>+SUM(BP22:BP28)</f>
        <v>-5.8625000000000843E-2</v>
      </c>
      <c r="BR30" s="1031"/>
      <c r="BS30" s="866"/>
    </row>
    <row r="31" spans="1:72">
      <c r="V31" s="318"/>
      <c r="W31" s="318"/>
      <c r="X31" s="318"/>
      <c r="Y31" s="318"/>
      <c r="Z31" s="318"/>
      <c r="AA31" s="318"/>
      <c r="AB31" s="318"/>
      <c r="AC31" s="318"/>
      <c r="AD31" s="318"/>
      <c r="AE31" s="318"/>
      <c r="AF31" s="318"/>
      <c r="AG31" s="318"/>
      <c r="AH31" s="1029"/>
      <c r="AI31" s="1029"/>
      <c r="AJ31" s="1029"/>
      <c r="AK31" s="1029"/>
      <c r="AL31" s="1029"/>
      <c r="AM31" s="1029"/>
      <c r="AN31" s="318"/>
      <c r="AP31" s="318"/>
      <c r="AQ31" s="318"/>
      <c r="AR31" s="318"/>
      <c r="AS31" s="318"/>
      <c r="AT31" s="318"/>
      <c r="AU31" s="318"/>
      <c r="AV31" s="1029"/>
      <c r="AW31" s="318"/>
      <c r="AX31" s="318"/>
      <c r="AY31" s="318"/>
      <c r="AZ31" s="318"/>
      <c r="BA31" s="318"/>
      <c r="BB31" s="318"/>
      <c r="BC31" s="318"/>
      <c r="BD31" s="318"/>
      <c r="BE31" s="318"/>
      <c r="BF31" s="318"/>
      <c r="BG31" s="551"/>
      <c r="BH31" s="543"/>
      <c r="BI31" s="551"/>
      <c r="BJ31" s="543"/>
      <c r="BL31" s="543"/>
      <c r="BN31" s="543"/>
      <c r="BP31" s="543"/>
      <c r="BR31" s="543"/>
    </row>
    <row r="32" spans="1:72">
      <c r="A32" s="26" t="s">
        <v>642</v>
      </c>
      <c r="D32" s="798">
        <f>D30+D18</f>
        <v>2.7458499999999999</v>
      </c>
      <c r="F32" s="798">
        <f>F30+F18</f>
        <v>3.1787700000000001</v>
      </c>
      <c r="G32" s="798"/>
      <c r="H32" s="798">
        <f>H30+H18</f>
        <v>3.7239290000000005</v>
      </c>
      <c r="I32" s="798"/>
      <c r="J32" s="798">
        <f>J30+J18</f>
        <v>4.1559929999999996</v>
      </c>
      <c r="K32" s="798"/>
      <c r="L32" s="798">
        <f>L30+L18</f>
        <v>17.838791000000001</v>
      </c>
      <c r="M32" s="798"/>
      <c r="N32" s="798">
        <f>N30+N18</f>
        <v>38.540753000000002</v>
      </c>
      <c r="O32" s="798"/>
      <c r="P32" s="798">
        <f>P30+P18</f>
        <v>33.278534000000001</v>
      </c>
      <c r="Q32" s="798"/>
      <c r="R32" s="798">
        <f>R30+R18</f>
        <v>62.530955000000006</v>
      </c>
      <c r="S32" s="798"/>
      <c r="T32" s="798">
        <f>T30+T19+T18</f>
        <v>139.96799999999999</v>
      </c>
      <c r="U32" s="798"/>
      <c r="V32" s="318">
        <f>V30+V19+V18</f>
        <v>79.116</v>
      </c>
      <c r="W32" s="318"/>
      <c r="X32" s="318">
        <f>X30+X19+X18</f>
        <v>141.15299999999999</v>
      </c>
      <c r="Y32" s="318"/>
      <c r="Z32" s="318">
        <f>Z30+Z19+Z18</f>
        <v>184.69200000000001</v>
      </c>
      <c r="AA32" s="318"/>
      <c r="AB32" s="318">
        <f>AB30+AB19+AB18</f>
        <v>225.69</v>
      </c>
      <c r="AC32" s="318"/>
      <c r="AD32" s="318">
        <f>AD30+AD19+AD18</f>
        <v>77.161999999999992</v>
      </c>
      <c r="AE32" s="318"/>
      <c r="AF32" s="318">
        <f>AF30+AF19+AF18</f>
        <v>26.86</v>
      </c>
      <c r="AG32" s="318"/>
      <c r="AH32" s="1029">
        <f>AH30+AH19+AH18</f>
        <v>69.780999999999992</v>
      </c>
      <c r="AI32" s="1029"/>
      <c r="AJ32" s="1029">
        <f>AJ30+AJ19+AJ18</f>
        <v>346.36099999999999</v>
      </c>
      <c r="AK32" s="1029"/>
      <c r="AL32" s="1029">
        <f>AL30+AL19+AL18</f>
        <v>85.35</v>
      </c>
      <c r="AM32" s="1029"/>
      <c r="AN32" s="318">
        <f>AN30+AN19+AN18</f>
        <v>180.98975999999999</v>
      </c>
      <c r="AP32" s="318">
        <f>AP30+AP19+AP18</f>
        <v>59.319999999999993</v>
      </c>
      <c r="AQ32" s="318"/>
      <c r="AR32" s="318">
        <f>AR30+AR19+AR18</f>
        <v>115.61699999999999</v>
      </c>
      <c r="AS32" s="318"/>
      <c r="AT32" s="318">
        <f>AT30+AT19+AT18</f>
        <v>21.536000000000001</v>
      </c>
      <c r="AU32" s="318"/>
      <c r="AV32" s="1029">
        <f>AV30+AV19+AV18</f>
        <v>84.924000000000007</v>
      </c>
      <c r="AW32" s="318"/>
      <c r="AX32" s="318">
        <f>AX30+AX19+AX18</f>
        <v>9.1326752860147877</v>
      </c>
      <c r="AY32" s="318"/>
      <c r="AZ32" s="318">
        <f>AZ30+AZ19+AZ18</f>
        <v>85.264886545361577</v>
      </c>
      <c r="BA32" s="318"/>
      <c r="BB32" s="318">
        <f>BB30+BB19+BB18</f>
        <v>76.342731214782276</v>
      </c>
      <c r="BC32" s="318"/>
      <c r="BD32" s="318">
        <f>BD30+BD19+BD18</f>
        <v>76.733669776957015</v>
      </c>
      <c r="BE32" s="318"/>
      <c r="BF32" s="318">
        <f>BF30+BF19+BF18</f>
        <v>76.216537702062737</v>
      </c>
      <c r="BG32" s="551"/>
      <c r="BH32" s="543"/>
      <c r="BI32" s="551"/>
      <c r="BJ32" s="543"/>
      <c r="BL32" s="543"/>
      <c r="BN32" s="543"/>
      <c r="BP32" s="543"/>
      <c r="BR32" s="543"/>
    </row>
    <row r="33" spans="1:73">
      <c r="AH33" s="137"/>
      <c r="AI33" s="137"/>
      <c r="AJ33" s="137"/>
      <c r="AK33" s="137"/>
      <c r="AL33" s="137"/>
      <c r="AM33" s="137"/>
      <c r="BG33" s="551"/>
      <c r="BH33" s="543"/>
      <c r="BI33" s="551"/>
      <c r="BJ33" s="543"/>
      <c r="BL33" s="543"/>
      <c r="BN33" s="543"/>
      <c r="BP33" s="543"/>
      <c r="BR33" s="543"/>
    </row>
    <row r="34" spans="1:73">
      <c r="A34" s="1066" t="s">
        <v>641</v>
      </c>
      <c r="B34" s="988"/>
      <c r="C34" s="988"/>
      <c r="D34" s="983">
        <f>D16-D32</f>
        <v>1.0291939999999982</v>
      </c>
      <c r="E34" s="988"/>
      <c r="F34" s="983">
        <f>F16-F32</f>
        <v>0.2554719999999957</v>
      </c>
      <c r="G34" s="983"/>
      <c r="H34" s="983">
        <f>H16-H32</f>
        <v>1.6391519999999962</v>
      </c>
      <c r="I34" s="983"/>
      <c r="J34" s="983">
        <f>J16-J32</f>
        <v>8.7099189999999993</v>
      </c>
      <c r="K34" s="983"/>
      <c r="L34" s="983">
        <f>L16-L32</f>
        <v>1.9291240000000016</v>
      </c>
      <c r="M34" s="983"/>
      <c r="N34" s="984">
        <f>N16-N32</f>
        <v>-1.302293000000013</v>
      </c>
      <c r="O34" s="983"/>
      <c r="P34" s="983">
        <f>P16-P32</f>
        <v>28.055965999999977</v>
      </c>
      <c r="Q34" s="983"/>
      <c r="R34" s="983">
        <f>R16-R32</f>
        <v>44.065601000000029</v>
      </c>
      <c r="S34" s="983"/>
      <c r="T34" s="983">
        <f>T16-T32</f>
        <v>5.4440160000000617</v>
      </c>
      <c r="U34" s="983"/>
      <c r="V34" s="1038">
        <f>V16-V32</f>
        <v>129.24800000000016</v>
      </c>
      <c r="W34" s="1038"/>
      <c r="X34" s="1038">
        <f>X16-X32</f>
        <v>120.77100000000004</v>
      </c>
      <c r="Y34" s="1038"/>
      <c r="Z34" s="1038">
        <f>Z16-Z32</f>
        <v>64.710000000000093</v>
      </c>
      <c r="AA34" s="1038"/>
      <c r="AB34" s="1038">
        <f>AB16-AB32</f>
        <v>-32.624000000000137</v>
      </c>
      <c r="AC34" s="1038"/>
      <c r="AD34" s="1038">
        <f>AD16-AD32</f>
        <v>-5.0690000000000737</v>
      </c>
      <c r="AE34" s="1038"/>
      <c r="AF34" s="1038">
        <f>AF16-AF32</f>
        <v>147.4500000000001</v>
      </c>
      <c r="AG34" s="1038"/>
      <c r="AH34" s="1039">
        <f>AH16-AH32</f>
        <v>166.58100000000002</v>
      </c>
      <c r="AI34" s="1039"/>
      <c r="AJ34" s="1039">
        <f>AJ16-AJ32</f>
        <v>-86.562999999999818</v>
      </c>
      <c r="AK34" s="1039"/>
      <c r="AL34" s="1039">
        <f>AL16-AL32</f>
        <v>204.79475999999968</v>
      </c>
      <c r="AM34" s="1039"/>
      <c r="AN34" s="1038">
        <f>AN16-AN32</f>
        <v>91.428239999999903</v>
      </c>
      <c r="AO34" s="988"/>
      <c r="AP34" s="1038">
        <f>AP16-AP32</f>
        <v>164.66600000000003</v>
      </c>
      <c r="AQ34" s="988"/>
      <c r="AR34" s="1038">
        <f>AR16-AR32</f>
        <v>112.15</v>
      </c>
      <c r="AS34" s="988"/>
      <c r="AT34" s="1038">
        <f>AT16-AT32</f>
        <v>182.87400000000002</v>
      </c>
      <c r="AU34" s="988"/>
      <c r="AV34" s="1039">
        <f>AV16-AV32</f>
        <v>118.34299999999999</v>
      </c>
      <c r="AW34" s="988"/>
      <c r="AX34" s="1038">
        <f>AX16-AX32</f>
        <v>189.38468993423811</v>
      </c>
      <c r="AY34" s="988"/>
      <c r="AZ34" s="1038">
        <f>AZ16-AZ32</f>
        <v>130.98321866966648</v>
      </c>
      <c r="BA34" s="988"/>
      <c r="BB34" s="1038">
        <f>BB16-BB32</f>
        <v>148.24186931321549</v>
      </c>
      <c r="BC34" s="988"/>
      <c r="BD34" s="1038">
        <f>BD16-BD32</f>
        <v>155.8070423846199</v>
      </c>
      <c r="BE34" s="988"/>
      <c r="BF34" s="1038">
        <f>BF16-BF32</f>
        <v>162.67140276959165</v>
      </c>
      <c r="BG34" s="551"/>
      <c r="BH34" s="543"/>
      <c r="BI34" s="551"/>
      <c r="BJ34" s="543"/>
      <c r="BL34" s="543"/>
      <c r="BN34" s="543"/>
      <c r="BP34" s="543"/>
      <c r="BR34" s="543"/>
    </row>
    <row r="35" spans="1:73">
      <c r="V35" s="798"/>
      <c r="AB35" s="929"/>
      <c r="AD35" s="929"/>
      <c r="AH35" s="137"/>
      <c r="AI35" s="137"/>
      <c r="AJ35" s="137"/>
      <c r="AK35" s="137"/>
      <c r="AL35" s="137"/>
      <c r="AM35" s="137"/>
      <c r="BG35" s="551"/>
      <c r="BH35" s="543"/>
      <c r="BI35" s="551"/>
      <c r="BJ35" s="543"/>
      <c r="BL35" s="543"/>
      <c r="BN35" s="543"/>
      <c r="BP35" s="543"/>
      <c r="BR35" s="543"/>
    </row>
    <row r="36" spans="1:73">
      <c r="D36" s="1041"/>
      <c r="E36" s="1041"/>
      <c r="F36" s="1042"/>
      <c r="G36" s="1041"/>
      <c r="H36" s="91"/>
      <c r="I36" s="91"/>
      <c r="J36" s="91"/>
      <c r="K36" s="1041"/>
      <c r="L36" s="91"/>
      <c r="M36" s="91"/>
      <c r="N36" s="1041"/>
      <c r="O36" s="91"/>
      <c r="P36" s="1041"/>
      <c r="Q36" s="91"/>
      <c r="R36" s="91" t="s">
        <v>643</v>
      </c>
      <c r="S36" s="1041"/>
      <c r="T36" s="1041"/>
      <c r="U36" s="1041"/>
      <c r="V36" s="1041"/>
      <c r="W36" s="1041"/>
      <c r="X36" s="1041"/>
      <c r="Y36" s="1041"/>
      <c r="Z36" s="1041"/>
      <c r="AA36" s="1041"/>
      <c r="AB36" s="1041"/>
      <c r="AC36" s="1041"/>
      <c r="AD36" s="1041"/>
      <c r="AE36" s="1041"/>
      <c r="AF36" s="1041"/>
      <c r="AG36" s="1041"/>
      <c r="AH36" s="1043"/>
      <c r="AI36" s="1043"/>
      <c r="AJ36" s="1043"/>
      <c r="AK36" s="1043"/>
      <c r="AL36" s="1043"/>
      <c r="AM36" s="1043"/>
      <c r="AN36" s="1041"/>
      <c r="AO36" s="120"/>
      <c r="AP36" s="1041"/>
      <c r="AQ36" s="1041"/>
      <c r="AR36" s="1041"/>
      <c r="AS36" s="1041"/>
      <c r="AT36" s="1041"/>
      <c r="AU36" s="1041"/>
      <c r="AV36" s="1043"/>
      <c r="AW36" s="1041"/>
      <c r="AX36" s="1041"/>
      <c r="AY36" s="1041"/>
      <c r="AZ36" s="1041"/>
      <c r="BA36" s="1041"/>
      <c r="BB36" s="1041"/>
      <c r="BC36" s="1041"/>
      <c r="BD36" s="1041"/>
      <c r="BE36" s="1041"/>
      <c r="BF36" s="1041"/>
      <c r="BG36" s="551"/>
      <c r="BH36" s="543"/>
      <c r="BI36" s="551"/>
      <c r="BJ36" s="543"/>
      <c r="BL36" s="543"/>
      <c r="BN36" s="543"/>
      <c r="BP36" s="543"/>
      <c r="BR36" s="543"/>
    </row>
    <row r="37" spans="1:73">
      <c r="AH37" s="137"/>
      <c r="AI37" s="137"/>
      <c r="AJ37" s="137"/>
      <c r="AK37" s="137"/>
      <c r="AL37" s="137"/>
      <c r="AM37" s="137"/>
      <c r="BG37" s="551"/>
      <c r="BH37" s="543"/>
      <c r="BI37" s="551"/>
      <c r="BJ37" s="543"/>
      <c r="BL37" s="543"/>
      <c r="BN37" s="543"/>
      <c r="BP37" s="543"/>
      <c r="BR37" s="543"/>
    </row>
    <row r="38" spans="1:73">
      <c r="A38" s="26" t="s">
        <v>278</v>
      </c>
      <c r="D38" s="794">
        <f>(bal!G47-bal!E47)+(bal!G48-bal!E48)</f>
        <v>2.9318999999999804E-2</v>
      </c>
      <c r="E38" s="794"/>
      <c r="F38" s="794">
        <f>(bal!I47-bal!G47)+(bal!I48-bal!G48)</f>
        <v>0.46908800000000028</v>
      </c>
      <c r="G38" s="794"/>
      <c r="H38" s="794">
        <f>(bal!K47-bal!I47)+(bal!K48-bal!I48)</f>
        <v>0.66527099999999961</v>
      </c>
      <c r="I38" s="794"/>
      <c r="J38" s="793">
        <v>2.2130399999999999</v>
      </c>
      <c r="K38" s="794"/>
      <c r="L38" s="793">
        <v>1.7486630000000001</v>
      </c>
      <c r="M38" s="794"/>
      <c r="N38" s="955">
        <v>1.5431440000000001</v>
      </c>
      <c r="O38" s="794"/>
      <c r="P38" s="801">
        <v>7.7028359999999996</v>
      </c>
      <c r="Q38" s="803"/>
      <c r="R38" s="801">
        <v>7.2472219999999998</v>
      </c>
      <c r="S38" s="803"/>
      <c r="T38" s="801">
        <v>15.231</v>
      </c>
      <c r="U38" s="803"/>
      <c r="V38" s="956">
        <f>22.684-4.992</f>
        <v>17.692</v>
      </c>
      <c r="W38" s="1029"/>
      <c r="X38" s="956">
        <v>28.466999999999999</v>
      </c>
      <c r="Y38" s="1029"/>
      <c r="Z38" s="956">
        <f>6.402-200.148</f>
        <v>-193.74600000000001</v>
      </c>
      <c r="AA38" s="956"/>
      <c r="AB38" s="956">
        <f>3.533-0.694</f>
        <v>2.839</v>
      </c>
      <c r="AC38" s="956"/>
      <c r="AD38" s="956">
        <f>0.306-0.311</f>
        <v>-5.0000000000000044E-3</v>
      </c>
      <c r="AE38" s="956"/>
      <c r="AF38" s="956">
        <f>4.857-0.93+3.194</f>
        <v>7.1210000000000004</v>
      </c>
      <c r="AG38" s="956"/>
      <c r="AH38" s="956">
        <f>3.648+2.655-19.208</f>
        <v>-12.904999999999998</v>
      </c>
      <c r="AI38" s="956"/>
      <c r="AJ38" s="956">
        <f>4.549+2.643-183.29</f>
        <v>-176.09799999999998</v>
      </c>
      <c r="AK38" s="956"/>
      <c r="AL38" s="956">
        <f>16.531+7.952-111.521</f>
        <v>-87.038000000000011</v>
      </c>
      <c r="AM38" s="956"/>
      <c r="AN38" s="956">
        <f>12.395+2.483-251.646</f>
        <v>-236.76799999999997</v>
      </c>
      <c r="AP38" s="956">
        <f>6.268+1.981-18.124</f>
        <v>-9.8749999999999982</v>
      </c>
      <c r="AQ38" s="956"/>
      <c r="AR38" s="956">
        <f>+-302.849+10.613+3.084</f>
        <v>-289.15199999999999</v>
      </c>
      <c r="AS38" s="956"/>
      <c r="AT38" s="956">
        <f>-101.878+4.359+0.604</f>
        <v>-96.915000000000006</v>
      </c>
      <c r="AU38" s="956"/>
      <c r="AV38" s="956">
        <f>-27.398+2.127-6.74</f>
        <v>-32.011000000000003</v>
      </c>
      <c r="AW38" s="956"/>
      <c r="AX38" s="956">
        <f>-3*20</f>
        <v>-60</v>
      </c>
      <c r="AY38" s="956"/>
      <c r="AZ38" s="956">
        <v>-60</v>
      </c>
      <c r="BA38" s="956"/>
      <c r="BB38" s="956">
        <v>-60</v>
      </c>
      <c r="BC38" s="956"/>
      <c r="BD38" s="956">
        <v>-60</v>
      </c>
      <c r="BE38" s="956"/>
      <c r="BF38" s="956">
        <v>-60</v>
      </c>
      <c r="BG38" s="1030">
        <f>(bal!Q47-bal!O47)+(bal!Q48-bal!O48)</f>
        <v>4.2302999999999988</v>
      </c>
      <c r="BH38" s="1031">
        <f>+N38-BG38</f>
        <v>-2.687155999999999</v>
      </c>
      <c r="BI38" s="890">
        <f>(bal!O47-bal!M47)+(bal!O48-bal!M48)</f>
        <v>2.8726629999999989</v>
      </c>
      <c r="BJ38" s="1031">
        <f>+L38-BI38</f>
        <v>-1.1239999999999988</v>
      </c>
      <c r="BK38" s="890">
        <f>(bal!M47-bal!K47)+(bal!M48-bal!K48)</f>
        <v>3.7080400000000009</v>
      </c>
      <c r="BL38" s="1031">
        <f>+J38-BK38</f>
        <v>-1.495000000000001</v>
      </c>
      <c r="BN38" s="543"/>
      <c r="BP38" s="543"/>
      <c r="BR38" s="543"/>
    </row>
    <row r="39" spans="1:73">
      <c r="A39" s="26" t="s">
        <v>284</v>
      </c>
      <c r="D39" s="955">
        <f>-0.103895-0.549969-0.110699</f>
        <v>-0.76456299999999999</v>
      </c>
      <c r="E39" s="794"/>
      <c r="F39" s="955">
        <f>0.029103-0.288311-0.115006</f>
        <v>-0.37421399999999999</v>
      </c>
      <c r="G39" s="794"/>
      <c r="H39" s="955">
        <f>-0.284919-0.265872-0.088374</f>
        <v>-0.63916499999999998</v>
      </c>
      <c r="I39" s="794"/>
      <c r="J39" s="955">
        <f>-0.072-0.077404</f>
        <v>-0.14940399999999998</v>
      </c>
      <c r="K39" s="794"/>
      <c r="L39" s="955">
        <f>-0.072-0.089772</f>
        <v>-0.161772</v>
      </c>
      <c r="M39" s="794"/>
      <c r="N39" s="1044">
        <v>-7.1999999999999995E-2</v>
      </c>
      <c r="O39" s="982"/>
      <c r="P39" s="1044">
        <v>-6.6000000000000003E-2</v>
      </c>
      <c r="Q39" s="982"/>
      <c r="R39" s="1044">
        <v>-5.1555</v>
      </c>
      <c r="S39" s="982"/>
      <c r="T39" s="1044">
        <v>-0.34399999999999997</v>
      </c>
      <c r="U39" s="982"/>
      <c r="V39" s="955">
        <v>-1.278</v>
      </c>
      <c r="W39" s="318"/>
      <c r="X39" s="955">
        <v>-10.417999999999999</v>
      </c>
      <c r="Y39" s="318"/>
      <c r="Z39" s="955">
        <v>0</v>
      </c>
      <c r="AA39" s="955"/>
      <c r="AB39" s="955">
        <v>0</v>
      </c>
      <c r="AC39" s="955"/>
      <c r="AD39" s="955">
        <v>0</v>
      </c>
      <c r="AE39" s="955"/>
      <c r="AF39" s="955">
        <v>0</v>
      </c>
      <c r="AG39" s="955"/>
      <c r="AH39" s="956">
        <v>0</v>
      </c>
      <c r="AI39" s="956"/>
      <c r="AJ39" s="956">
        <v>0</v>
      </c>
      <c r="AK39" s="956"/>
      <c r="AL39" s="956">
        <v>0</v>
      </c>
      <c r="AM39" s="956"/>
      <c r="AN39" s="955">
        <v>0</v>
      </c>
      <c r="AP39" s="955">
        <v>0</v>
      </c>
      <c r="AQ39" s="955"/>
      <c r="AR39" s="955">
        <f>124-31.5</f>
        <v>92.5</v>
      </c>
      <c r="AS39" s="955"/>
      <c r="AT39" s="955">
        <v>-7.5</v>
      </c>
      <c r="AU39" s="955"/>
      <c r="AV39" s="956">
        <v>-16.25</v>
      </c>
      <c r="AW39" s="955"/>
      <c r="AX39" s="955">
        <f>bal!BA43-bal!AY43</f>
        <v>0</v>
      </c>
      <c r="AY39" s="955"/>
      <c r="AZ39" s="955">
        <f>bal!BC43-bal!BA43</f>
        <v>0</v>
      </c>
      <c r="BA39" s="955"/>
      <c r="BB39" s="955">
        <f>bal!BE43-bal!BC43</f>
        <v>0</v>
      </c>
      <c r="BC39" s="955"/>
      <c r="BD39" s="955">
        <f>bal!BG43-bal!BE43</f>
        <v>0</v>
      </c>
      <c r="BE39" s="955"/>
      <c r="BF39" s="955">
        <f>bal!BI43-bal!BG43</f>
        <v>0</v>
      </c>
      <c r="BG39" s="1030">
        <f>(bal!Q39-bal!O39)+(bal!Q42-bal!O42)</f>
        <v>0.3349710000000003</v>
      </c>
      <c r="BH39" s="1031">
        <f>+N39-BG39</f>
        <v>-0.4069710000000003</v>
      </c>
      <c r="BI39" s="890">
        <f>(bal!O39-bal!M39)+(bal!O42-bal!M42)</f>
        <v>7.6725999999999628E-2</v>
      </c>
      <c r="BJ39" s="1031">
        <f>+L39-BI39</f>
        <v>-0.23849799999999963</v>
      </c>
      <c r="BK39" s="890">
        <f>(bal!M39-bal!K39)+(bal!M42-bal!K42)</f>
        <v>6.7573999999999856E-2</v>
      </c>
      <c r="BL39" s="1031">
        <f>+J39-BK39</f>
        <v>-0.21697799999999984</v>
      </c>
      <c r="BM39" s="1036">
        <f>(bal!K39-bal!I39)+(bal!K42-bal!I42)</f>
        <v>-0.50945299999999982</v>
      </c>
      <c r="BN39" s="1031">
        <f>+BM39-H39</f>
        <v>0.12971200000000016</v>
      </c>
      <c r="BO39" s="794">
        <f>(bal!I39-bal!G39)+(bal!I42-bal!G42)</f>
        <v>0.91641899999999987</v>
      </c>
      <c r="BP39" s="1031">
        <f>+BO39-F39</f>
        <v>1.2906329999999999</v>
      </c>
      <c r="BQ39" s="794">
        <f>+(bal!G39-bal!E39)+(bal!G42-bal!E42)</f>
        <v>-0.47978300000000007</v>
      </c>
      <c r="BR39" s="1031">
        <f>+BQ39-D39</f>
        <v>0.28477999999999992</v>
      </c>
    </row>
    <row r="40" spans="1:73">
      <c r="A40" s="137" t="s">
        <v>279</v>
      </c>
      <c r="B40" s="137"/>
      <c r="C40" s="137"/>
      <c r="D40" s="801">
        <v>0</v>
      </c>
      <c r="E40" s="137"/>
      <c r="F40" s="956">
        <v>-6.2535999999999994E-2</v>
      </c>
      <c r="G40" s="137"/>
      <c r="H40" s="956">
        <v>-0.15351799999999999</v>
      </c>
      <c r="I40" s="137"/>
      <c r="J40" s="956">
        <v>-0.23269500000000001</v>
      </c>
      <c r="K40" s="137"/>
      <c r="L40" s="801">
        <v>0</v>
      </c>
      <c r="M40" s="137"/>
      <c r="N40" s="1045">
        <v>-8.1250000000000003E-2</v>
      </c>
      <c r="O40" s="1046"/>
      <c r="P40" s="1045">
        <v>-7.8079999999999997E-2</v>
      </c>
      <c r="Q40" s="1046"/>
      <c r="R40" s="1045">
        <v>-9.7625000000000003E-2</v>
      </c>
      <c r="S40" s="1046"/>
      <c r="T40" s="1045">
        <v>0</v>
      </c>
      <c r="U40" s="1046"/>
      <c r="V40" s="956">
        <v>0</v>
      </c>
      <c r="W40" s="1029"/>
      <c r="X40" s="956">
        <v>0</v>
      </c>
      <c r="Y40" s="1029"/>
      <c r="Z40" s="956">
        <v>0</v>
      </c>
      <c r="AA40" s="956"/>
      <c r="AB40" s="956">
        <v>0</v>
      </c>
      <c r="AC40" s="956"/>
      <c r="AD40" s="956">
        <v>-0.629</v>
      </c>
      <c r="AE40" s="956"/>
      <c r="AF40" s="956">
        <v>0</v>
      </c>
      <c r="AG40" s="956"/>
      <c r="AH40" s="956">
        <v>0</v>
      </c>
      <c r="AI40" s="956"/>
      <c r="AJ40" s="956">
        <v>-0.41399999999999998</v>
      </c>
      <c r="AK40" s="956"/>
      <c r="AL40" s="956">
        <v>0</v>
      </c>
      <c r="AM40" s="956"/>
      <c r="AN40" s="956">
        <v>0</v>
      </c>
      <c r="AO40" s="137"/>
      <c r="AP40" s="956">
        <v>0</v>
      </c>
      <c r="AQ40" s="956"/>
      <c r="AR40" s="956">
        <v>0</v>
      </c>
      <c r="AS40" s="956"/>
      <c r="AT40" s="956">
        <v>0</v>
      </c>
      <c r="AU40" s="956"/>
      <c r="AV40" s="956">
        <v>0</v>
      </c>
      <c r="AW40" s="956"/>
      <c r="AX40" s="956">
        <v>0</v>
      </c>
      <c r="AY40" s="956"/>
      <c r="AZ40" s="956">
        <v>0</v>
      </c>
      <c r="BA40" s="956"/>
      <c r="BB40" s="956">
        <v>0</v>
      </c>
      <c r="BC40" s="956"/>
      <c r="BD40" s="956">
        <v>0</v>
      </c>
      <c r="BE40" s="956"/>
      <c r="BF40" s="956">
        <v>0</v>
      </c>
      <c r="BG40" s="631"/>
      <c r="BH40" s="1033"/>
      <c r="BI40" s="631"/>
      <c r="BJ40" s="1033"/>
      <c r="BK40" s="137"/>
      <c r="BL40" s="1033"/>
      <c r="BM40" s="137"/>
      <c r="BN40" s="1033"/>
      <c r="BO40" s="137"/>
      <c r="BP40" s="1033"/>
      <c r="BQ40" s="137"/>
      <c r="BR40" s="1033"/>
      <c r="BS40" s="137"/>
      <c r="BT40" s="137"/>
      <c r="BU40" s="137"/>
    </row>
    <row r="41" spans="1:73">
      <c r="A41" s="26" t="s">
        <v>277</v>
      </c>
      <c r="D41" s="794">
        <f>+bal!E17-bal!G17</f>
        <v>0</v>
      </c>
      <c r="F41" s="793">
        <v>0</v>
      </c>
      <c r="H41" s="794">
        <f>+bal!I17-bal!K17</f>
        <v>0.60000000000000009</v>
      </c>
      <c r="J41" s="794">
        <f>+bal!K17-bal!M17</f>
        <v>1</v>
      </c>
      <c r="L41" s="794">
        <f>+bal!M17-bal!O17</f>
        <v>0</v>
      </c>
      <c r="N41" s="982">
        <f>+bal!O17-bal!Q17</f>
        <v>0</v>
      </c>
      <c r="O41" s="982"/>
      <c r="P41" s="982">
        <f>+bal!Q17-bal!S17</f>
        <v>0</v>
      </c>
      <c r="Q41" s="982"/>
      <c r="R41" s="982">
        <f>+bal!S17-bal!U17</f>
        <v>0</v>
      </c>
      <c r="S41" s="982"/>
      <c r="T41" s="982">
        <f>+bal!U17-bal!W17</f>
        <v>0</v>
      </c>
      <c r="U41" s="982"/>
      <c r="V41" s="318">
        <f>+bal!W17-bal!Y17</f>
        <v>0</v>
      </c>
      <c r="W41" s="318"/>
      <c r="X41" s="955">
        <v>0</v>
      </c>
      <c r="Y41" s="318"/>
      <c r="Z41" s="318">
        <f>+bal!AA17-bal!AC17</f>
        <v>0</v>
      </c>
      <c r="AA41" s="318"/>
      <c r="AB41" s="318">
        <f>+bal!AC17-bal!AE17</f>
        <v>0</v>
      </c>
      <c r="AC41" s="318"/>
      <c r="AD41" s="318">
        <f>+bal!AE17-bal!AG17</f>
        <v>0</v>
      </c>
      <c r="AE41" s="318"/>
      <c r="AF41" s="318">
        <f>+bal!AG17-bal!AI17</f>
        <v>0</v>
      </c>
      <c r="AG41" s="318"/>
      <c r="AH41" s="956">
        <v>0</v>
      </c>
      <c r="AI41" s="1029"/>
      <c r="AJ41" s="956">
        <v>0</v>
      </c>
      <c r="AK41" s="1029"/>
      <c r="AL41" s="956">
        <v>0</v>
      </c>
      <c r="AM41" s="1029"/>
      <c r="AN41" s="955">
        <v>0</v>
      </c>
      <c r="AP41" s="955">
        <v>0</v>
      </c>
      <c r="AQ41" s="318"/>
      <c r="AR41" s="958">
        <v>0</v>
      </c>
      <c r="AS41" s="318"/>
      <c r="AT41" s="958">
        <v>0</v>
      </c>
      <c r="AU41" s="318"/>
      <c r="AV41" s="1660">
        <v>0</v>
      </c>
      <c r="AW41" s="318"/>
      <c r="AX41" s="318">
        <f>+bal!AY17-bal!BA17</f>
        <v>0</v>
      </c>
      <c r="AY41" s="318"/>
      <c r="AZ41" s="318">
        <f>+bal!BA17-bal!BC17</f>
        <v>0</v>
      </c>
      <c r="BA41" s="318"/>
      <c r="BB41" s="318">
        <f>+bal!BC17-bal!BE17</f>
        <v>0</v>
      </c>
      <c r="BC41" s="318"/>
      <c r="BD41" s="318">
        <f>+bal!BE17-bal!BG17</f>
        <v>0</v>
      </c>
      <c r="BE41" s="318"/>
      <c r="BF41" s="318">
        <f>+bal!BG17-bal!BI17</f>
        <v>0</v>
      </c>
      <c r="BG41" s="551"/>
      <c r="BH41" s="543"/>
      <c r="BI41" s="551"/>
      <c r="BJ41" s="543"/>
      <c r="BL41" s="543"/>
      <c r="BN41" s="543"/>
      <c r="BP41" s="543"/>
      <c r="BR41" s="543"/>
    </row>
    <row r="42" spans="1:73">
      <c r="A42" s="26" t="s">
        <v>283</v>
      </c>
      <c r="D42" s="793">
        <v>0</v>
      </c>
      <c r="F42" s="955">
        <v>0</v>
      </c>
      <c r="H42" s="955">
        <v>0</v>
      </c>
      <c r="J42" s="955">
        <v>0</v>
      </c>
      <c r="L42" s="955">
        <v>-14.019861000000001</v>
      </c>
      <c r="N42" s="1044">
        <f>-30.131458+29.977045</f>
        <v>-0.15441299999999814</v>
      </c>
      <c r="O42" s="982"/>
      <c r="P42" s="1044">
        <f>-56.396476+30.2445</f>
        <v>-26.151976000000001</v>
      </c>
      <c r="Q42" s="982"/>
      <c r="R42" s="1044">
        <f>84.23516-134.918633</f>
        <v>-50.683473000000006</v>
      </c>
      <c r="S42" s="982"/>
      <c r="T42" s="1044">
        <f>153.447-166.855</f>
        <v>-13.407999999999987</v>
      </c>
      <c r="U42" s="982"/>
      <c r="V42" s="955">
        <f>257.299-404.211</f>
        <v>-146.91200000000003</v>
      </c>
      <c r="W42" s="318"/>
      <c r="X42" s="955">
        <f>207.026-357.237</f>
        <v>-150.21100000000001</v>
      </c>
      <c r="Y42" s="318"/>
      <c r="Z42" s="955">
        <f>325.894-162.69</f>
        <v>163.20400000000001</v>
      </c>
      <c r="AA42" s="955"/>
      <c r="AB42" s="955">
        <f>-1213.435+1191.302</f>
        <v>-22.133000000000038</v>
      </c>
      <c r="AC42" s="955"/>
      <c r="AD42" s="955">
        <f>-569.358+587.809</f>
        <v>18.451000000000022</v>
      </c>
      <c r="AE42" s="955"/>
      <c r="AF42" s="955">
        <f>-590.223+446.146</f>
        <v>-144.07699999999994</v>
      </c>
      <c r="AG42" s="955"/>
      <c r="AH42" s="956">
        <f>431.953-579.488</f>
        <v>-147.53500000000008</v>
      </c>
      <c r="AI42" s="956"/>
      <c r="AJ42" s="956">
        <f>937.987-592.962</f>
        <v>345.02499999999998</v>
      </c>
      <c r="AK42" s="956"/>
      <c r="AL42" s="956">
        <f>-298.46+214.783</f>
        <v>-83.676999999999992</v>
      </c>
      <c r="AM42" s="956"/>
      <c r="AN42" s="955">
        <f>-96.374+252.768</f>
        <v>156.39400000000001</v>
      </c>
      <c r="AP42" s="955">
        <f>-128.696+118.062</f>
        <v>-10.634</v>
      </c>
      <c r="AQ42" s="955"/>
      <c r="AR42" s="955">
        <f>-52.669+129-0.501</f>
        <v>75.83</v>
      </c>
      <c r="AS42" s="955"/>
      <c r="AT42" s="955">
        <f>-50.717+50.508</f>
        <v>-0.20899999999999608</v>
      </c>
      <c r="AU42" s="955"/>
      <c r="AV42" s="1660">
        <f>-39.794+30.045</f>
        <v>-9.7489999999999952</v>
      </c>
      <c r="AW42" s="955"/>
      <c r="AX42" s="955">
        <v>0</v>
      </c>
      <c r="AY42" s="955"/>
      <c r="AZ42" s="955">
        <v>0</v>
      </c>
      <c r="BA42" s="955"/>
      <c r="BB42" s="955">
        <v>0</v>
      </c>
      <c r="BC42" s="955"/>
      <c r="BD42" s="955">
        <v>0</v>
      </c>
      <c r="BE42" s="955"/>
      <c r="BF42" s="955">
        <v>0</v>
      </c>
      <c r="BG42" s="551"/>
      <c r="BH42" s="543"/>
      <c r="BI42" s="551"/>
      <c r="BJ42" s="543"/>
      <c r="BL42" s="543"/>
      <c r="BN42" s="543"/>
      <c r="BP42" s="543"/>
      <c r="BR42" s="543"/>
    </row>
    <row r="43" spans="1:73">
      <c r="A43" s="26" t="s">
        <v>379</v>
      </c>
      <c r="D43" s="793"/>
      <c r="F43" s="955"/>
      <c r="H43" s="955"/>
      <c r="J43" s="955"/>
      <c r="L43" s="955"/>
      <c r="N43" s="1044"/>
      <c r="O43" s="982"/>
      <c r="P43" s="1044"/>
      <c r="Q43" s="982"/>
      <c r="R43" s="1044"/>
      <c r="S43" s="982"/>
      <c r="T43" s="1044"/>
      <c r="U43" s="982"/>
      <c r="V43" s="955"/>
      <c r="W43" s="318"/>
      <c r="X43" s="955"/>
      <c r="Y43" s="318"/>
      <c r="Z43" s="955"/>
      <c r="AA43" s="955"/>
      <c r="AB43" s="955">
        <v>13.426</v>
      </c>
      <c r="AC43" s="955"/>
      <c r="AD43" s="955"/>
      <c r="AE43" s="955"/>
      <c r="AF43" s="955"/>
      <c r="AG43" s="955"/>
      <c r="AH43" s="956"/>
      <c r="AI43" s="956"/>
      <c r="AJ43" s="956"/>
      <c r="AK43" s="956"/>
      <c r="AL43" s="956"/>
      <c r="AM43" s="956"/>
      <c r="AN43" s="955"/>
      <c r="AP43" s="955"/>
      <c r="AQ43" s="955"/>
      <c r="AR43" s="955">
        <f>9</f>
        <v>9</v>
      </c>
      <c r="AS43" s="955"/>
      <c r="AT43" s="955">
        <v>16.216999999999999</v>
      </c>
      <c r="AU43" s="955"/>
      <c r="AV43" s="956">
        <v>0</v>
      </c>
      <c r="AW43" s="955"/>
      <c r="AX43" s="955"/>
      <c r="AY43" s="955"/>
      <c r="AZ43" s="955"/>
      <c r="BA43" s="955"/>
      <c r="BB43" s="955"/>
      <c r="BC43" s="955"/>
      <c r="BD43" s="955"/>
      <c r="BE43" s="955"/>
      <c r="BF43" s="955"/>
      <c r="BG43" s="551"/>
      <c r="BH43" s="543"/>
      <c r="BI43" s="551"/>
      <c r="BJ43" s="543"/>
      <c r="BL43" s="543"/>
      <c r="BN43" s="543"/>
      <c r="BP43" s="543"/>
      <c r="BR43" s="543"/>
    </row>
    <row r="44" spans="1:73">
      <c r="A44" s="26" t="s">
        <v>380</v>
      </c>
      <c r="D44" s="793"/>
      <c r="F44" s="955"/>
      <c r="H44" s="955"/>
      <c r="J44" s="955"/>
      <c r="L44" s="955"/>
      <c r="N44" s="1044"/>
      <c r="O44" s="982"/>
      <c r="P44" s="1044"/>
      <c r="Q44" s="982"/>
      <c r="R44" s="1044"/>
      <c r="S44" s="982"/>
      <c r="T44" s="1044"/>
      <c r="U44" s="982"/>
      <c r="V44" s="955"/>
      <c r="W44" s="318"/>
      <c r="X44" s="955"/>
      <c r="Y44" s="318"/>
      <c r="Z44" s="955"/>
      <c r="AA44" s="955"/>
      <c r="AB44" s="955">
        <v>15.09</v>
      </c>
      <c r="AC44" s="955"/>
      <c r="AD44" s="955"/>
      <c r="AE44" s="955"/>
      <c r="AF44" s="955"/>
      <c r="AG44" s="955"/>
      <c r="AH44" s="956"/>
      <c r="AI44" s="956"/>
      <c r="AJ44" s="956"/>
      <c r="AK44" s="956"/>
      <c r="AL44" s="956"/>
      <c r="AM44" s="956"/>
      <c r="AN44" s="955"/>
      <c r="AP44" s="955"/>
      <c r="AQ44" s="955"/>
      <c r="AR44" s="955"/>
      <c r="AS44" s="955"/>
      <c r="AT44" s="955"/>
      <c r="AU44" s="955"/>
      <c r="AV44" s="956"/>
      <c r="AW44" s="955"/>
      <c r="AX44" s="955"/>
      <c r="AY44" s="955"/>
      <c r="AZ44" s="955"/>
      <c r="BA44" s="955"/>
      <c r="BB44" s="955"/>
      <c r="BC44" s="955"/>
      <c r="BD44" s="955"/>
      <c r="BE44" s="955"/>
      <c r="BF44" s="955"/>
      <c r="BG44" s="551"/>
      <c r="BH44" s="543"/>
      <c r="BI44" s="551"/>
      <c r="BJ44" s="543"/>
      <c r="BL44" s="543"/>
      <c r="BN44" s="543"/>
      <c r="BP44" s="543"/>
      <c r="BR44" s="543"/>
    </row>
    <row r="45" spans="1:73">
      <c r="AH45" s="137"/>
      <c r="AI45" s="137"/>
      <c r="AJ45" s="137"/>
      <c r="AK45" s="137"/>
      <c r="AL45" s="137"/>
      <c r="AM45" s="137"/>
      <c r="BG45" s="1030"/>
      <c r="BH45" s="1047"/>
      <c r="BI45" s="1030"/>
      <c r="BJ45" s="1047"/>
      <c r="BK45" s="1030"/>
      <c r="BL45" s="1047"/>
      <c r="BM45" s="1030"/>
      <c r="BN45" s="1047"/>
      <c r="BO45" s="1030"/>
      <c r="BP45" s="1047"/>
      <c r="BQ45" s="1030"/>
      <c r="BR45" s="1047"/>
    </row>
    <row r="46" spans="1:73">
      <c r="A46" s="26" t="s">
        <v>404</v>
      </c>
      <c r="D46" s="888">
        <f>SUM(D38:D42)</f>
        <v>-0.73524400000000023</v>
      </c>
      <c r="E46" s="692"/>
      <c r="F46" s="888">
        <f>SUM(F38:F42)</f>
        <v>3.2338000000000297E-2</v>
      </c>
      <c r="G46" s="888"/>
      <c r="H46" s="888">
        <f>SUM(H38:H42)</f>
        <v>0.47258799999999973</v>
      </c>
      <c r="I46" s="888"/>
      <c r="J46" s="888">
        <f>SUM(J38:J42)</f>
        <v>2.8309409999999997</v>
      </c>
      <c r="K46" s="888"/>
      <c r="L46" s="888">
        <f>SUM(L38:L42)</f>
        <v>-12.432970000000001</v>
      </c>
      <c r="M46" s="888"/>
      <c r="N46" s="888">
        <f>SUM(N38:N42)</f>
        <v>1.2354810000000018</v>
      </c>
      <c r="O46" s="888"/>
      <c r="P46" s="888">
        <f>SUM(P38:P42)</f>
        <v>-18.593220000000002</v>
      </c>
      <c r="Q46" s="888"/>
      <c r="R46" s="888">
        <f>SUM(R38:R42)</f>
        <v>-48.68937600000001</v>
      </c>
      <c r="S46" s="888"/>
      <c r="T46" s="888">
        <f>SUM(T38:T42)</f>
        <v>1.4790000000000134</v>
      </c>
      <c r="U46" s="888"/>
      <c r="V46" s="1040">
        <f>SUM(V38:V42)</f>
        <v>-130.49800000000005</v>
      </c>
      <c r="W46" s="1040"/>
      <c r="X46" s="1040">
        <f>SUM(X38:X42)</f>
        <v>-132.16200000000001</v>
      </c>
      <c r="Y46" s="1040"/>
      <c r="Z46" s="1040">
        <f>SUM(Z38:Z42)</f>
        <v>-30.542000000000002</v>
      </c>
      <c r="AA46" s="1040"/>
      <c r="AB46" s="1040">
        <f>SUM(AB38:AB44)</f>
        <v>9.2219999999999605</v>
      </c>
      <c r="AC46" s="1040"/>
      <c r="AD46" s="1040">
        <f>SUM(AD38:AD42)</f>
        <v>17.817000000000021</v>
      </c>
      <c r="AE46" s="1040"/>
      <c r="AF46" s="1040">
        <f>SUM(AF38:AF42)</f>
        <v>-136.95599999999993</v>
      </c>
      <c r="AG46" s="1040"/>
      <c r="AH46" s="851">
        <f>SUM(AH38:AH42)</f>
        <v>-160.44000000000008</v>
      </c>
      <c r="AI46" s="851"/>
      <c r="AJ46" s="851">
        <f>SUM(AJ38:AJ42)</f>
        <v>168.51300000000001</v>
      </c>
      <c r="AK46" s="851"/>
      <c r="AL46" s="851">
        <f>SUM(AL38:AL42)</f>
        <v>-170.715</v>
      </c>
      <c r="AM46" s="851"/>
      <c r="AN46" s="1040">
        <f>SUM(AN38:AN42)</f>
        <v>-80.373999999999967</v>
      </c>
      <c r="AP46" s="1040">
        <f>SUM(AP38:AP42)</f>
        <v>-20.509</v>
      </c>
      <c r="AQ46" s="1040"/>
      <c r="AR46" s="1040">
        <f>SUM(AR38:AR43)</f>
        <v>-111.82199999999999</v>
      </c>
      <c r="AS46" s="1040"/>
      <c r="AT46" s="1040">
        <f>SUM(AT38:AT43)</f>
        <v>-88.406999999999996</v>
      </c>
      <c r="AU46" s="1040"/>
      <c r="AV46" s="851">
        <f>SUM(AV38:AV43)</f>
        <v>-58.01</v>
      </c>
      <c r="AW46" s="1040"/>
      <c r="AX46" s="1040">
        <f>SUM(AX38:AX42)</f>
        <v>-60</v>
      </c>
      <c r="AY46" s="1040"/>
      <c r="AZ46" s="1040">
        <f>SUM(AZ38:AZ42)</f>
        <v>-60</v>
      </c>
      <c r="BA46" s="1040"/>
      <c r="BB46" s="1040">
        <f>SUM(BB38:BB42)</f>
        <v>-60</v>
      </c>
      <c r="BC46" s="1040"/>
      <c r="BD46" s="1040">
        <f>SUM(BD38:BD42)</f>
        <v>-60</v>
      </c>
      <c r="BE46" s="1040"/>
      <c r="BF46" s="1040">
        <f>SUM(BF38:BF42)</f>
        <v>-60</v>
      </c>
      <c r="BG46" s="1048"/>
      <c r="BH46" s="543"/>
      <c r="BI46" s="1048"/>
      <c r="BJ46" s="543"/>
      <c r="BL46" s="543"/>
      <c r="BN46" s="543"/>
      <c r="BP46" s="543"/>
      <c r="BR46" s="543"/>
    </row>
    <row r="47" spans="1:73">
      <c r="X47" s="798"/>
      <c r="AH47" s="137"/>
      <c r="AI47" s="137"/>
      <c r="AJ47" s="137"/>
      <c r="AK47" s="137"/>
      <c r="AL47" s="137"/>
      <c r="AM47" s="137"/>
      <c r="BG47" s="551"/>
      <c r="BH47" s="543"/>
      <c r="BI47" s="551"/>
      <c r="BJ47" s="543"/>
      <c r="BL47" s="543"/>
      <c r="BN47" s="543"/>
      <c r="BP47" s="543"/>
      <c r="BR47" s="543"/>
    </row>
    <row r="48" spans="1:73">
      <c r="A48" s="26" t="s">
        <v>181</v>
      </c>
      <c r="X48" s="798"/>
      <c r="AH48" s="850">
        <v>-28.489000000000001</v>
      </c>
      <c r="AI48" s="851"/>
      <c r="AJ48" s="850">
        <v>-34.152000000000001</v>
      </c>
      <c r="AK48" s="851"/>
      <c r="AL48" s="850">
        <v>-34.927999999999997</v>
      </c>
      <c r="AM48" s="851"/>
      <c r="AN48" s="907">
        <v>-38.255000000000003</v>
      </c>
      <c r="AP48" s="907">
        <v>-45.773000000000003</v>
      </c>
      <c r="AQ48" s="1040"/>
      <c r="AR48" s="1201">
        <v>-43.728999999999999</v>
      </c>
      <c r="AS48" s="1040"/>
      <c r="AT48" s="1201">
        <v>-42.253999999999998</v>
      </c>
      <c r="AU48" s="1040"/>
      <c r="AV48" s="1665">
        <v>-42.515999999999998</v>
      </c>
      <c r="AW48" s="1040"/>
      <c r="AX48" s="1040">
        <f>-'yrP&amp;L'!Z73*'yrP&amp;L'!Z57</f>
        <v>-41.018053333333334</v>
      </c>
      <c r="AY48" s="1040"/>
      <c r="AZ48" s="1040">
        <f>-'yrP&amp;L'!AA73*'yrP&amp;L'!AA57</f>
        <v>-42.458704820512821</v>
      </c>
      <c r="BA48" s="1040"/>
      <c r="BB48" s="1040">
        <f>-'yrP&amp;L'!AB73*'yrP&amp;L'!AB57</f>
        <v>-44.941432445421249</v>
      </c>
      <c r="BC48" s="1040"/>
      <c r="BD48" s="1040">
        <f>-'yrP&amp;L'!AC73*'yrP&amp;L'!AC57</f>
        <v>-47.625415689963383</v>
      </c>
      <c r="BE48" s="1040"/>
      <c r="BF48" s="1040">
        <f>-'yrP&amp;L'!AE73*'yrP&amp;L'!AE57</f>
        <v>0</v>
      </c>
      <c r="BG48" s="551"/>
      <c r="BH48" s="543"/>
      <c r="BI48" s="551"/>
      <c r="BJ48" s="543"/>
      <c r="BL48" s="543"/>
      <c r="BN48" s="543"/>
      <c r="BP48" s="543"/>
      <c r="BR48" s="543"/>
    </row>
    <row r="49" spans="1:70">
      <c r="X49" s="798"/>
      <c r="AH49" s="137"/>
      <c r="AI49" s="137"/>
      <c r="AJ49" s="1029"/>
      <c r="AK49" s="137"/>
      <c r="AL49" s="137"/>
      <c r="AM49" s="137"/>
      <c r="BG49" s="551"/>
      <c r="BH49" s="543"/>
      <c r="BI49" s="551"/>
      <c r="BJ49" s="543"/>
      <c r="BL49" s="543"/>
      <c r="BN49" s="543"/>
      <c r="BP49" s="543"/>
      <c r="BR49" s="543"/>
    </row>
    <row r="50" spans="1:70">
      <c r="A50" s="26" t="s">
        <v>644</v>
      </c>
      <c r="D50" s="794">
        <f>bal!E9</f>
        <v>0.805979</v>
      </c>
      <c r="E50" s="794"/>
      <c r="F50" s="793">
        <v>0.54436600000000002</v>
      </c>
      <c r="G50" s="794"/>
      <c r="H50" s="824">
        <f>+F52</f>
        <v>0.83217599999999603</v>
      </c>
      <c r="I50" s="794"/>
      <c r="J50" s="794">
        <f>+H52</f>
        <v>2.9439159999999918</v>
      </c>
      <c r="K50" s="794"/>
      <c r="L50" s="794">
        <f>+J52</f>
        <v>14.484775999999989</v>
      </c>
      <c r="M50" s="794"/>
      <c r="N50" s="794">
        <f>+L52</f>
        <v>3.9809299999999901</v>
      </c>
      <c r="O50" s="794"/>
      <c r="P50" s="794">
        <f>N52</f>
        <v>3.9141179999999789</v>
      </c>
      <c r="Q50" s="794"/>
      <c r="R50" s="794">
        <f>P52</f>
        <v>13.376863999999953</v>
      </c>
      <c r="S50" s="794"/>
      <c r="T50" s="794">
        <f>R52</f>
        <v>8.7530889999999726</v>
      </c>
      <c r="U50" s="794"/>
      <c r="V50" s="794">
        <f>T52</f>
        <v>15.676105000000048</v>
      </c>
      <c r="W50" s="794"/>
      <c r="X50" s="794">
        <f>V52</f>
        <v>14.426000000000162</v>
      </c>
      <c r="Y50" s="794"/>
      <c r="Z50" s="794">
        <f>X52</f>
        <v>3.0350000000001991</v>
      </c>
      <c r="AA50" s="794"/>
      <c r="AB50" s="794">
        <f>Z52</f>
        <v>37.203000000000287</v>
      </c>
      <c r="AC50" s="794"/>
      <c r="AD50" s="794">
        <f>AB52</f>
        <v>13.801000000000109</v>
      </c>
      <c r="AE50" s="794"/>
      <c r="AF50" s="794">
        <f>AD52</f>
        <v>26.549000000000056</v>
      </c>
      <c r="AG50" s="794"/>
      <c r="AH50" s="318">
        <f>AF52</f>
        <v>37.043000000000227</v>
      </c>
      <c r="AI50" s="794"/>
      <c r="AJ50" s="318">
        <f>AH52</f>
        <v>14.69500000000016</v>
      </c>
      <c r="AK50" s="794"/>
      <c r="AL50" s="794">
        <f>AJ52</f>
        <v>62.49300000000035</v>
      </c>
      <c r="AM50" s="794"/>
      <c r="AN50" s="794">
        <f>AL52</f>
        <v>61.644760000000034</v>
      </c>
      <c r="AP50" s="794">
        <f>AN52</f>
        <v>34.443999999999967</v>
      </c>
      <c r="AQ50" s="794"/>
      <c r="AR50" s="794">
        <f>AP52</f>
        <v>133.351</v>
      </c>
      <c r="AS50" s="794"/>
      <c r="AT50" s="794">
        <f>AR52</f>
        <v>89.950000000000017</v>
      </c>
      <c r="AU50" s="794"/>
      <c r="AV50" s="803">
        <f>AT52</f>
        <v>142.13400000000004</v>
      </c>
      <c r="AW50" s="794"/>
      <c r="AX50" s="794">
        <f>AV52</f>
        <v>160.07000000000005</v>
      </c>
      <c r="AY50" s="794"/>
      <c r="AZ50" s="794">
        <f>AX52</f>
        <v>248.43663660090482</v>
      </c>
      <c r="BA50" s="794"/>
      <c r="BB50" s="794">
        <f>AZ52</f>
        <v>276.96115045005848</v>
      </c>
      <c r="BC50" s="794"/>
      <c r="BD50" s="794">
        <f>BB52</f>
        <v>320.26158731785273</v>
      </c>
      <c r="BE50" s="794"/>
      <c r="BF50" s="794">
        <f>BD52</f>
        <v>368.44321401250926</v>
      </c>
      <c r="BG50" s="551"/>
      <c r="BH50" s="543"/>
      <c r="BI50" s="551"/>
      <c r="BJ50" s="543"/>
      <c r="BL50" s="543"/>
      <c r="BN50" s="543"/>
      <c r="BP50" s="543"/>
      <c r="BR50" s="543"/>
    </row>
    <row r="51" spans="1:70">
      <c r="B51" s="26" t="s">
        <v>646</v>
      </c>
      <c r="D51" s="794">
        <f>D46+D34</f>
        <v>0.29394999999999794</v>
      </c>
      <c r="E51" s="794"/>
      <c r="F51" s="794">
        <f>F46+F34</f>
        <v>0.28780999999999601</v>
      </c>
      <c r="G51" s="794"/>
      <c r="H51" s="794">
        <f>H46+H34</f>
        <v>2.1117399999999957</v>
      </c>
      <c r="I51" s="794"/>
      <c r="J51" s="794">
        <f>J46+J34</f>
        <v>11.540859999999999</v>
      </c>
      <c r="K51" s="794"/>
      <c r="L51" s="794">
        <f>L46+L34</f>
        <v>-10.503845999999999</v>
      </c>
      <c r="M51" s="794"/>
      <c r="N51" s="794">
        <f>N46+N34</f>
        <v>-6.6812000000011196E-2</v>
      </c>
      <c r="O51" s="794"/>
      <c r="P51" s="794">
        <f>P46+P34</f>
        <v>9.4627459999999743</v>
      </c>
      <c r="Q51" s="794"/>
      <c r="R51" s="794">
        <f>R46+R34</f>
        <v>-4.6237749999999807</v>
      </c>
      <c r="S51" s="794"/>
      <c r="T51" s="794">
        <f>T46+T34</f>
        <v>6.9230160000000751</v>
      </c>
      <c r="U51" s="794"/>
      <c r="V51" s="318">
        <f>V46+V34</f>
        <v>-1.2499999999998863</v>
      </c>
      <c r="W51" s="318"/>
      <c r="X51" s="318">
        <f>X46+X34</f>
        <v>-11.390999999999963</v>
      </c>
      <c r="Y51" s="318"/>
      <c r="Z51" s="318">
        <f>Z46+Z34</f>
        <v>34.168000000000092</v>
      </c>
      <c r="AA51" s="318"/>
      <c r="AB51" s="318">
        <f>AB46+AB34</f>
        <v>-23.402000000000179</v>
      </c>
      <c r="AC51" s="318"/>
      <c r="AD51" s="318">
        <f>AD46+AD34</f>
        <v>12.747999999999948</v>
      </c>
      <c r="AE51" s="318"/>
      <c r="AF51" s="318">
        <f>AF46+AF34</f>
        <v>10.49400000000017</v>
      </c>
      <c r="AG51" s="318"/>
      <c r="AH51" s="318">
        <f>AH46+AH34+AH48</f>
        <v>-22.348000000000066</v>
      </c>
      <c r="AI51" s="318"/>
      <c r="AJ51" s="318">
        <f>AJ46+AJ34+AJ48</f>
        <v>47.798000000000187</v>
      </c>
      <c r="AK51" s="318"/>
      <c r="AL51" s="318">
        <f>AL46+AL34+AL48</f>
        <v>-0.84824000000031674</v>
      </c>
      <c r="AM51" s="318"/>
      <c r="AN51" s="318">
        <f>AN46+AN34+AN48</f>
        <v>-27.200760000000066</v>
      </c>
      <c r="AP51" s="318">
        <f>AP46+AP34+AP48+0.523</f>
        <v>98.907000000000039</v>
      </c>
      <c r="AQ51" s="318"/>
      <c r="AR51" s="318">
        <f>AR46+AR34+AR48</f>
        <v>-43.400999999999982</v>
      </c>
      <c r="AS51" s="318"/>
      <c r="AT51" s="318">
        <f>AT46+AT34+AT48-0.029</f>
        <v>52.184000000000026</v>
      </c>
      <c r="AU51" s="318"/>
      <c r="AV51" s="1666">
        <f>AV46+AV34+AV48+0.119</f>
        <v>17.935999999999993</v>
      </c>
      <c r="AW51" s="318"/>
      <c r="AX51" s="318">
        <f>AX46+AX34+AX48</f>
        <v>88.366636600904769</v>
      </c>
      <c r="AY51" s="318"/>
      <c r="AZ51" s="318">
        <f>AZ46+AZ34+AZ48</f>
        <v>28.524513849153664</v>
      </c>
      <c r="BA51" s="318"/>
      <c r="BB51" s="318">
        <f>BB46+BB34+BB48</f>
        <v>43.30043686779424</v>
      </c>
      <c r="BC51" s="318"/>
      <c r="BD51" s="318">
        <f>BD46+BD34+BD48</f>
        <v>48.181626694656522</v>
      </c>
      <c r="BE51" s="318"/>
      <c r="BF51" s="318">
        <f>BF46+BF34+BF48</f>
        <v>102.67140276959165</v>
      </c>
      <c r="BG51" s="551"/>
      <c r="BH51" s="543"/>
      <c r="BI51" s="551"/>
      <c r="BJ51" s="543"/>
      <c r="BL51" s="543"/>
      <c r="BN51" s="543"/>
      <c r="BP51" s="543"/>
      <c r="BR51" s="543"/>
    </row>
    <row r="52" spans="1:70">
      <c r="A52" s="26" t="s">
        <v>645</v>
      </c>
      <c r="D52" s="794">
        <f>D50+D51</f>
        <v>1.0999289999999979</v>
      </c>
      <c r="E52" s="794"/>
      <c r="F52" s="794">
        <f>F50+F51</f>
        <v>0.83217599999999603</v>
      </c>
      <c r="G52" s="794"/>
      <c r="H52" s="794">
        <f>H50+H51</f>
        <v>2.9439159999999918</v>
      </c>
      <c r="I52" s="794"/>
      <c r="J52" s="794">
        <f>J50+J51</f>
        <v>14.484775999999989</v>
      </c>
      <c r="K52" s="794"/>
      <c r="L52" s="794">
        <f>L50+L51</f>
        <v>3.9809299999999901</v>
      </c>
      <c r="M52" s="794"/>
      <c r="N52" s="794">
        <f>N50+N51</f>
        <v>3.9141179999999789</v>
      </c>
      <c r="O52" s="794"/>
      <c r="P52" s="794">
        <f>P50+P51</f>
        <v>13.376863999999953</v>
      </c>
      <c r="Q52" s="794"/>
      <c r="R52" s="794">
        <f>R50+R51</f>
        <v>8.7530889999999726</v>
      </c>
      <c r="S52" s="794"/>
      <c r="T52" s="794">
        <f>T50+T51</f>
        <v>15.676105000000048</v>
      </c>
      <c r="U52" s="794"/>
      <c r="V52" s="1049">
        <f>V50+V51-0.000105</f>
        <v>14.426000000000162</v>
      </c>
      <c r="W52" s="318"/>
      <c r="X52" s="318">
        <f>X50+X51</f>
        <v>3.0350000000001991</v>
      </c>
      <c r="Y52" s="318"/>
      <c r="Z52" s="318">
        <f>Z50+Z51</f>
        <v>37.203000000000287</v>
      </c>
      <c r="AA52" s="318"/>
      <c r="AB52" s="318">
        <f>AB50+AB51</f>
        <v>13.801000000000109</v>
      </c>
      <c r="AC52" s="318"/>
      <c r="AD52" s="318">
        <f>AD50+AD51</f>
        <v>26.549000000000056</v>
      </c>
      <c r="AE52" s="318"/>
      <c r="AF52" s="318">
        <f>AF50+AF51</f>
        <v>37.043000000000227</v>
      </c>
      <c r="AG52" s="318"/>
      <c r="AH52" s="318">
        <f>AH50+AH51</f>
        <v>14.69500000000016</v>
      </c>
      <c r="AI52" s="318"/>
      <c r="AJ52" s="318">
        <f>AJ50+AJ51</f>
        <v>62.49300000000035</v>
      </c>
      <c r="AK52" s="318"/>
      <c r="AL52" s="318">
        <f>AL50+AL51</f>
        <v>61.644760000000034</v>
      </c>
      <c r="AM52" s="318"/>
      <c r="AN52" s="318">
        <f>AN50+AN51</f>
        <v>34.443999999999967</v>
      </c>
      <c r="AP52" s="318">
        <f>AP50+AP51</f>
        <v>133.351</v>
      </c>
      <c r="AQ52" s="318"/>
      <c r="AR52" s="318">
        <f>AR50+AR51</f>
        <v>89.950000000000017</v>
      </c>
      <c r="AS52" s="318"/>
      <c r="AT52" s="318">
        <f>AT50+AT51</f>
        <v>142.13400000000004</v>
      </c>
      <c r="AU52" s="318"/>
      <c r="AV52" s="1029">
        <f>AV50+AV51</f>
        <v>160.07000000000005</v>
      </c>
      <c r="AW52" s="318"/>
      <c r="AX52" s="318">
        <f>AX50+AX51</f>
        <v>248.43663660090482</v>
      </c>
      <c r="AY52" s="318"/>
      <c r="AZ52" s="318">
        <f>AZ50+AZ51</f>
        <v>276.96115045005848</v>
      </c>
      <c r="BA52" s="318"/>
      <c r="BB52" s="318">
        <f>BB50+BB51</f>
        <v>320.26158731785273</v>
      </c>
      <c r="BC52" s="318"/>
      <c r="BD52" s="318">
        <f>BD50+BD51</f>
        <v>368.44321401250926</v>
      </c>
      <c r="BE52" s="318"/>
      <c r="BF52" s="318">
        <f>BF50+BF51</f>
        <v>471.11461678210094</v>
      </c>
      <c r="BG52" s="551"/>
      <c r="BH52" s="543"/>
      <c r="BI52" s="551"/>
      <c r="BJ52" s="543"/>
      <c r="BL52" s="543"/>
      <c r="BN52" s="543"/>
      <c r="BP52" s="543"/>
      <c r="BR52" s="543"/>
    </row>
    <row r="53" spans="1:70">
      <c r="A53" s="261"/>
      <c r="B53" s="261" t="s">
        <v>518</v>
      </c>
      <c r="C53" s="261"/>
      <c r="D53" s="261"/>
      <c r="E53" s="261"/>
      <c r="F53" s="261"/>
      <c r="G53" s="261"/>
      <c r="H53" s="261"/>
      <c r="I53" s="261"/>
      <c r="J53" s="261"/>
      <c r="K53" s="261"/>
      <c r="L53" s="261"/>
      <c r="M53" s="261"/>
      <c r="N53" s="806">
        <f>N52+bal!Q10</f>
        <v>18.135637999999979</v>
      </c>
      <c r="O53" s="261"/>
      <c r="P53" s="806">
        <f>P52+bal!S10</f>
        <v>53.805538999999953</v>
      </c>
      <c r="Q53" s="261"/>
      <c r="R53" s="806">
        <f>R52+bal!U10</f>
        <v>99.94826399999998</v>
      </c>
      <c r="S53" s="261"/>
      <c r="T53" s="806">
        <f>T52+bal!W10</f>
        <v>120.12910500000005</v>
      </c>
      <c r="U53" s="261"/>
      <c r="V53" s="806">
        <f>V52+bal!Y10</f>
        <v>265.62500000000017</v>
      </c>
      <c r="W53" s="261"/>
      <c r="X53" s="806">
        <f>X52+bal!AA10</f>
        <v>404.48000000000019</v>
      </c>
      <c r="Y53" s="261"/>
      <c r="Z53" s="806">
        <f>Z52+bal!AC10</f>
        <v>275.53900000000033</v>
      </c>
      <c r="AA53" s="261"/>
      <c r="AB53" s="806">
        <f>AB52+bal!AE10</f>
        <v>274.2700000000001</v>
      </c>
      <c r="AC53" s="261"/>
      <c r="AD53" s="806">
        <f>AD52+bal!AG10</f>
        <v>268.70200000000006</v>
      </c>
      <c r="AE53" s="261"/>
      <c r="AF53" s="806">
        <f>AF52+bal!AI10</f>
        <v>423.54300000000023</v>
      </c>
      <c r="AG53" s="261"/>
      <c r="BG53" s="551"/>
      <c r="BH53" s="543"/>
      <c r="BI53" s="551"/>
      <c r="BJ53" s="543"/>
      <c r="BL53" s="543"/>
      <c r="BN53" s="543"/>
      <c r="BP53" s="543"/>
      <c r="BR53" s="543"/>
    </row>
    <row r="54" spans="1:70">
      <c r="A54" s="26" t="s">
        <v>405</v>
      </c>
      <c r="D54" s="798">
        <f>-D46+D51</f>
        <v>1.0291939999999982</v>
      </c>
      <c r="F54" s="798">
        <f>-F46+F51</f>
        <v>0.2554719999999957</v>
      </c>
      <c r="H54" s="798">
        <f>-H46+H51</f>
        <v>1.6391519999999959</v>
      </c>
      <c r="J54" s="798">
        <f>-J46+J51</f>
        <v>8.7099189999999993</v>
      </c>
      <c r="L54" s="798">
        <f>-L46+L51</f>
        <v>1.9291240000000016</v>
      </c>
      <c r="N54" s="798">
        <f>-N46+N51</f>
        <v>-1.302293000000013</v>
      </c>
      <c r="P54" s="798">
        <f>-P46+P51</f>
        <v>28.055965999999977</v>
      </c>
      <c r="R54" s="798">
        <f>-R46+R51</f>
        <v>44.065601000000029</v>
      </c>
      <c r="T54" s="798">
        <f>-T46+T51</f>
        <v>5.4440160000000617</v>
      </c>
      <c r="V54" s="882">
        <f>-V46+V51</f>
        <v>129.24800000000016</v>
      </c>
      <c r="W54" s="882"/>
      <c r="X54" s="882">
        <f>-X46+X51</f>
        <v>120.77100000000004</v>
      </c>
      <c r="Y54" s="882"/>
      <c r="Z54" s="882">
        <f>-Z46+Z51</f>
        <v>64.710000000000093</v>
      </c>
      <c r="AA54" s="882"/>
      <c r="AB54" s="882">
        <f>-AB46+AB51</f>
        <v>-32.624000000000137</v>
      </c>
      <c r="AC54" s="882"/>
      <c r="AD54" s="882">
        <f>-AD46+AD51</f>
        <v>-5.0690000000000737</v>
      </c>
      <c r="AE54" s="882"/>
      <c r="AF54" s="882">
        <f>-AF46+AF51</f>
        <v>147.4500000000001</v>
      </c>
      <c r="AG54" s="882"/>
      <c r="AH54" s="882">
        <f>-AH46+AH51</f>
        <v>138.09200000000001</v>
      </c>
      <c r="AI54" s="882"/>
      <c r="AJ54" s="882">
        <f>-AJ46+AJ51</f>
        <v>-120.71499999999982</v>
      </c>
      <c r="AK54" s="882"/>
      <c r="AL54" s="882">
        <f>-AL46+AL51</f>
        <v>169.86675999999969</v>
      </c>
      <c r="AM54" s="882"/>
      <c r="AN54" s="882">
        <f>-AN46+AN51</f>
        <v>53.1732399999999</v>
      </c>
      <c r="AP54" s="882">
        <f>-AP46+AP51</f>
        <v>119.41600000000004</v>
      </c>
      <c r="AQ54" s="882"/>
      <c r="AR54" s="882">
        <f>-AR46+AR51</f>
        <v>68.421000000000006</v>
      </c>
      <c r="AS54" s="882"/>
      <c r="AT54" s="882">
        <f>-AT46+AT51</f>
        <v>140.59100000000001</v>
      </c>
      <c r="AU54" s="882"/>
      <c r="AV54" s="883">
        <f>-AV46+AV51</f>
        <v>75.945999999999998</v>
      </c>
      <c r="AW54" s="882"/>
      <c r="AX54" s="882">
        <f>-AX46+AX51</f>
        <v>148.36663660090477</v>
      </c>
      <c r="AY54" s="882"/>
      <c r="AZ54" s="882">
        <f>-AZ46+AZ51</f>
        <v>88.524513849153664</v>
      </c>
      <c r="BA54" s="882"/>
      <c r="BB54" s="882">
        <f>-BB46+BB51</f>
        <v>103.30043686779425</v>
      </c>
      <c r="BC54" s="882"/>
      <c r="BD54" s="882">
        <f>-BD46+BD51</f>
        <v>108.18162669465653</v>
      </c>
      <c r="BE54" s="882"/>
      <c r="BF54" s="882">
        <f>-BF46+BF51</f>
        <v>162.67140276959165</v>
      </c>
      <c r="BG54" s="551"/>
      <c r="BH54" s="543"/>
      <c r="BI54" s="551"/>
      <c r="BJ54" s="543"/>
      <c r="BL54" s="543"/>
      <c r="BN54" s="543"/>
      <c r="BP54" s="543"/>
      <c r="BR54" s="543"/>
    </row>
    <row r="55" spans="1:70">
      <c r="F55" s="980"/>
      <c r="BG55" s="551"/>
      <c r="BH55" s="543"/>
      <c r="BI55" s="551"/>
      <c r="BJ55" s="543"/>
      <c r="BL55" s="543"/>
      <c r="BN55" s="543"/>
      <c r="BP55" s="543"/>
      <c r="BR55" s="543"/>
    </row>
    <row r="56" spans="1:70">
      <c r="F56" s="1050"/>
      <c r="H56" s="1051"/>
      <c r="J56" s="794"/>
      <c r="AN56" s="318"/>
      <c r="BG56" s="122"/>
      <c r="BH56" s="122"/>
      <c r="BI56" s="122"/>
      <c r="BJ56" s="122"/>
      <c r="BK56" s="122"/>
      <c r="BL56" s="122"/>
      <c r="BM56" s="122"/>
      <c r="BN56" s="122"/>
      <c r="BO56" s="122"/>
      <c r="BP56" s="122"/>
      <c r="BQ56" s="122"/>
      <c r="BR56" s="122"/>
    </row>
    <row r="57" spans="1:70">
      <c r="A57" s="675" t="s">
        <v>700</v>
      </c>
      <c r="N57" s="1051"/>
      <c r="BG57" s="183"/>
      <c r="BH57" s="183"/>
      <c r="BI57" s="183"/>
      <c r="BJ57" s="183"/>
      <c r="BK57" s="183"/>
      <c r="BL57" s="183"/>
      <c r="BM57" s="183"/>
      <c r="BN57" s="183"/>
      <c r="BO57" s="183"/>
      <c r="BP57" s="183"/>
      <c r="BQ57" s="183"/>
      <c r="BR57" s="183"/>
    </row>
    <row r="58" spans="1:70">
      <c r="BG58" s="122"/>
      <c r="BH58" s="122"/>
      <c r="BI58" s="122"/>
      <c r="BJ58" s="122"/>
      <c r="BK58" s="122"/>
      <c r="BL58" s="122"/>
      <c r="BM58" s="122"/>
      <c r="BN58" s="122"/>
      <c r="BO58" s="122"/>
      <c r="BP58" s="122"/>
      <c r="BQ58" s="122"/>
      <c r="BR58" s="122"/>
    </row>
    <row r="59" spans="1:70">
      <c r="C59" s="46"/>
      <c r="D59" s="122"/>
      <c r="E59" s="122"/>
      <c r="F59" s="122"/>
      <c r="G59" s="122"/>
      <c r="H59" s="122"/>
      <c r="I59" s="122"/>
      <c r="J59" s="122"/>
      <c r="K59" s="122"/>
      <c r="L59" s="122"/>
      <c r="M59" s="122"/>
      <c r="N59" s="122"/>
      <c r="O59" s="122"/>
      <c r="P59" s="122"/>
      <c r="Q59" s="122"/>
      <c r="R59" s="122"/>
      <c r="S59" s="122"/>
      <c r="T59" s="122"/>
      <c r="U59" s="122"/>
      <c r="V59" s="122"/>
      <c r="W59" s="122"/>
      <c r="X59" s="122"/>
      <c r="Y59" s="122"/>
      <c r="Z59" s="122"/>
      <c r="AA59" s="122"/>
      <c r="AB59" s="122"/>
      <c r="AC59" s="122"/>
      <c r="AD59" s="122"/>
      <c r="AE59" s="122"/>
      <c r="AF59" s="122"/>
      <c r="AG59" s="122"/>
      <c r="AH59" s="122"/>
      <c r="AI59" s="122"/>
      <c r="AJ59" s="122"/>
      <c r="AK59" s="122"/>
      <c r="AL59" s="122"/>
      <c r="AM59" s="122"/>
      <c r="AN59" s="122"/>
      <c r="AP59" s="122"/>
      <c r="AQ59" s="122"/>
      <c r="AR59" s="122"/>
      <c r="AS59" s="122"/>
      <c r="AT59" s="122"/>
      <c r="AU59" s="122"/>
      <c r="AV59" s="220"/>
      <c r="AW59" s="122"/>
      <c r="AX59" s="122"/>
      <c r="AY59" s="122"/>
      <c r="AZ59" s="122"/>
      <c r="BA59" s="122"/>
      <c r="BB59" s="122"/>
      <c r="BC59" s="122"/>
      <c r="BD59" s="122"/>
      <c r="BE59" s="122"/>
      <c r="BF59" s="122"/>
      <c r="BG59" s="122"/>
      <c r="BH59" s="122"/>
      <c r="BI59" s="122"/>
      <c r="BJ59" s="122"/>
      <c r="BK59" s="122"/>
      <c r="BL59" s="122"/>
      <c r="BM59" s="122"/>
      <c r="BN59" s="122"/>
      <c r="BO59" s="122"/>
      <c r="BP59" s="122"/>
      <c r="BQ59" s="122"/>
      <c r="BR59" s="122"/>
    </row>
    <row r="60" spans="1:70" hidden="1" outlineLevel="1">
      <c r="C60" s="122" t="s">
        <v>236</v>
      </c>
      <c r="D60" s="888">
        <f>+D30</f>
        <v>1.6989920000000001</v>
      </c>
      <c r="E60" s="122"/>
      <c r="F60" s="888">
        <f>+F30</f>
        <v>0.25246100000000005</v>
      </c>
      <c r="G60" s="122"/>
      <c r="H60" s="888">
        <f>+H30</f>
        <v>1.7478110000000004</v>
      </c>
      <c r="I60" s="122"/>
      <c r="J60" s="888">
        <f>+J30</f>
        <v>-0.88981600000000083</v>
      </c>
      <c r="K60" s="122"/>
      <c r="L60" s="888">
        <f>+L30</f>
        <v>2.6690000000000009</v>
      </c>
      <c r="M60" s="122"/>
      <c r="N60" s="888">
        <f>+N30</f>
        <v>-1.928239999999998</v>
      </c>
      <c r="O60" s="122"/>
      <c r="P60" s="888">
        <f>+P30</f>
        <v>-4.1579619999999995</v>
      </c>
      <c r="Q60" s="122"/>
      <c r="R60" s="888">
        <f>+R30</f>
        <v>-2.2109149999999982</v>
      </c>
      <c r="S60" s="122"/>
      <c r="T60" s="888"/>
      <c r="U60" s="122"/>
      <c r="V60" s="888"/>
      <c r="W60" s="122"/>
      <c r="X60" s="888"/>
      <c r="Y60" s="122"/>
      <c r="Z60" s="888"/>
      <c r="AA60" s="888"/>
      <c r="AB60" s="888"/>
      <c r="AC60" s="888"/>
      <c r="AD60" s="888"/>
      <c r="AE60" s="888"/>
      <c r="AF60" s="888"/>
      <c r="AG60" s="888"/>
      <c r="AH60" s="888"/>
      <c r="AI60" s="888"/>
      <c r="AJ60" s="888"/>
      <c r="AK60" s="888"/>
      <c r="AL60" s="888"/>
      <c r="AM60" s="888"/>
      <c r="AN60" s="888"/>
      <c r="AP60" s="888"/>
      <c r="AQ60" s="888"/>
      <c r="AR60" s="888"/>
      <c r="AS60" s="888"/>
      <c r="AT60" s="888"/>
      <c r="AU60" s="888"/>
      <c r="AV60" s="1667"/>
      <c r="AW60" s="888"/>
      <c r="AX60" s="888"/>
      <c r="AY60" s="888"/>
      <c r="AZ60" s="888"/>
      <c r="BA60" s="888"/>
      <c r="BB60" s="888"/>
      <c r="BC60" s="888"/>
      <c r="BD60" s="888"/>
      <c r="BE60" s="888"/>
      <c r="BF60" s="888"/>
    </row>
    <row r="61" spans="1:70" hidden="1" outlineLevel="1">
      <c r="C61" s="122" t="s">
        <v>4</v>
      </c>
      <c r="D61" s="794">
        <f>+'yrP&amp;L'!C7-'yrP&amp;L'!B7</f>
        <v>1.0717400000000055</v>
      </c>
      <c r="E61" s="122"/>
      <c r="F61" s="794">
        <f>+'yrP&amp;L'!D7-'yrP&amp;L'!C7</f>
        <v>3.7294169999999909</v>
      </c>
      <c r="G61" s="122"/>
      <c r="H61" s="794">
        <f>+'yrP&amp;L'!E7-'yrP&amp;L'!D7</f>
        <v>11.266547000000003</v>
      </c>
      <c r="I61" s="122"/>
      <c r="J61" s="794">
        <f>+'yrP&amp;L'!F7-'yrP&amp;L'!E7</f>
        <v>31.40244100000001</v>
      </c>
      <c r="K61" s="122"/>
      <c r="L61" s="794">
        <f>+'yrP&amp;L'!G7-'yrP&amp;L'!F7</f>
        <v>48.260688000000002</v>
      </c>
      <c r="M61" s="122"/>
      <c r="N61" s="794">
        <f>+'yrP&amp;L'!H7-'yrP&amp;L'!G7</f>
        <v>104.44361499999994</v>
      </c>
      <c r="O61" s="122"/>
      <c r="P61" s="794">
        <f>+'yrP&amp;L'!I7-'yrP&amp;L'!H7</f>
        <v>118.63944400000003</v>
      </c>
      <c r="Q61" s="122"/>
      <c r="R61" s="794">
        <f>+'yrP&amp;L'!J7-'yrP&amp;L'!I7</f>
        <v>153.02280500000006</v>
      </c>
      <c r="S61" s="122"/>
      <c r="T61" s="889"/>
      <c r="U61" s="122"/>
      <c r="V61" s="889"/>
      <c r="W61" s="122"/>
      <c r="X61" s="889"/>
      <c r="Y61" s="122"/>
      <c r="Z61" s="889"/>
      <c r="AA61" s="889"/>
      <c r="AB61" s="889"/>
      <c r="AC61" s="889"/>
      <c r="AD61" s="889"/>
      <c r="AE61" s="889"/>
      <c r="AF61" s="889"/>
      <c r="AG61" s="889"/>
      <c r="AH61" s="889"/>
      <c r="AI61" s="889"/>
      <c r="AJ61" s="889"/>
      <c r="AK61" s="889"/>
      <c r="AL61" s="889"/>
      <c r="AM61" s="889"/>
      <c r="AN61" s="889"/>
      <c r="AP61" s="889"/>
      <c r="AQ61" s="889"/>
      <c r="AR61" s="889"/>
      <c r="AS61" s="889"/>
      <c r="AT61" s="889"/>
      <c r="AU61" s="889"/>
      <c r="AV61" s="1668"/>
      <c r="AW61" s="889"/>
      <c r="AX61" s="889"/>
      <c r="AY61" s="889"/>
      <c r="AZ61" s="889"/>
      <c r="BA61" s="889"/>
      <c r="BB61" s="889"/>
      <c r="BC61" s="889"/>
      <c r="BD61" s="889"/>
      <c r="BE61" s="889"/>
      <c r="BF61" s="889"/>
      <c r="BG61" s="1020"/>
      <c r="BH61" s="1020"/>
      <c r="BI61" s="1020"/>
      <c r="BJ61" s="1020"/>
      <c r="BK61" s="1020"/>
      <c r="BL61" s="1020"/>
      <c r="BM61" s="1020"/>
      <c r="BN61" s="1020"/>
      <c r="BO61" s="1020"/>
      <c r="BP61" s="1020"/>
      <c r="BQ61" s="1020"/>
      <c r="BR61" s="1020"/>
    </row>
    <row r="62" spans="1:70" hidden="1" outlineLevel="1">
      <c r="C62" s="122" t="s">
        <v>5</v>
      </c>
      <c r="D62" s="721">
        <f>+D60/D61</f>
        <v>1.5852650829492148</v>
      </c>
      <c r="E62" s="122"/>
      <c r="F62" s="1052">
        <f>+F60/F61</f>
        <v>6.7694494876813366E-2</v>
      </c>
      <c r="G62" s="1052"/>
      <c r="H62" s="1052">
        <f>+H60/H61</f>
        <v>0.15513280155845444</v>
      </c>
      <c r="I62" s="122"/>
      <c r="J62" s="1052">
        <f>+J60/J61</f>
        <v>-2.8335886372654932E-2</v>
      </c>
      <c r="K62" s="122"/>
      <c r="L62" s="1052">
        <f>+L60/L61</f>
        <v>5.5303811665511293E-2</v>
      </c>
      <c r="M62" s="1052"/>
      <c r="N62" s="1052">
        <f>+N60/N61</f>
        <v>-1.846201895635266E-2</v>
      </c>
      <c r="O62" s="1052"/>
      <c r="P62" s="1052">
        <f>+P60/P61</f>
        <v>-3.5047045567745572E-2</v>
      </c>
      <c r="Q62" s="1052"/>
      <c r="R62" s="1052">
        <f>+R60/R61</f>
        <v>-1.4448271288714105E-2</v>
      </c>
      <c r="S62" s="1052"/>
      <c r="T62" s="1052"/>
      <c r="U62" s="1052"/>
      <c r="V62" s="1052"/>
      <c r="W62" s="1052"/>
      <c r="X62" s="1052"/>
      <c r="Y62" s="1052"/>
      <c r="Z62" s="1052"/>
      <c r="AA62" s="1052"/>
      <c r="AB62" s="1052"/>
      <c r="AC62" s="1052"/>
      <c r="AD62" s="1052"/>
      <c r="AE62" s="1052"/>
      <c r="AF62" s="1052"/>
      <c r="AG62" s="1052"/>
      <c r="AH62" s="1052"/>
      <c r="AI62" s="1052"/>
      <c r="AJ62" s="1052"/>
      <c r="AK62" s="1052"/>
      <c r="AL62" s="1052"/>
      <c r="AM62" s="1052"/>
      <c r="AN62" s="1052"/>
      <c r="AP62" s="1052"/>
      <c r="AQ62" s="1052"/>
      <c r="AR62" s="1052"/>
      <c r="AS62" s="1052"/>
      <c r="AT62" s="1052"/>
      <c r="AU62" s="1052"/>
      <c r="AV62" s="1669"/>
      <c r="AW62" s="1052"/>
      <c r="AX62" s="1052"/>
      <c r="AY62" s="1052"/>
      <c r="AZ62" s="1052"/>
      <c r="BA62" s="1052"/>
      <c r="BB62" s="1052"/>
      <c r="BC62" s="1052"/>
      <c r="BD62" s="1052"/>
      <c r="BE62" s="1052"/>
      <c r="BF62" s="1052"/>
    </row>
    <row r="63" spans="1:70" hidden="1" outlineLevel="1">
      <c r="C63" s="122"/>
      <c r="D63" s="122"/>
      <c r="E63" s="122"/>
      <c r="F63" s="122"/>
      <c r="G63" s="122"/>
      <c r="H63" s="122"/>
      <c r="I63" s="122"/>
      <c r="J63" s="122"/>
      <c r="K63" s="122"/>
      <c r="L63" s="122"/>
      <c r="M63" s="122"/>
      <c r="N63" s="122"/>
      <c r="O63" s="122"/>
      <c r="P63" s="122"/>
      <c r="Q63" s="122"/>
      <c r="R63" s="122"/>
      <c r="S63" s="122"/>
      <c r="T63" s="122"/>
      <c r="U63" s="122"/>
      <c r="V63" s="122"/>
      <c r="W63" s="122"/>
      <c r="X63" s="122"/>
      <c r="Y63" s="122"/>
      <c r="Z63" s="122"/>
      <c r="AA63" s="122"/>
      <c r="AB63" s="122"/>
      <c r="AC63" s="122"/>
      <c r="AD63" s="122"/>
      <c r="AE63" s="122"/>
      <c r="AF63" s="122"/>
      <c r="AG63" s="122"/>
      <c r="AH63" s="122"/>
      <c r="AI63" s="122"/>
      <c r="AJ63" s="122"/>
      <c r="AK63" s="122"/>
      <c r="AL63" s="122"/>
      <c r="AM63" s="122"/>
      <c r="AN63" s="122"/>
      <c r="AP63" s="122"/>
      <c r="AQ63" s="122"/>
      <c r="AR63" s="122"/>
      <c r="AS63" s="122"/>
      <c r="AT63" s="122"/>
      <c r="AU63" s="122"/>
      <c r="AV63" s="220"/>
      <c r="AW63" s="122"/>
      <c r="AX63" s="122"/>
      <c r="AY63" s="122"/>
      <c r="AZ63" s="122"/>
      <c r="BA63" s="122"/>
      <c r="BB63" s="122"/>
      <c r="BC63" s="122"/>
      <c r="BD63" s="122"/>
      <c r="BE63" s="122"/>
      <c r="BF63" s="122"/>
    </row>
    <row r="64" spans="1:70" hidden="1" outlineLevel="1">
      <c r="C64" s="220" t="s">
        <v>6</v>
      </c>
      <c r="D64" s="1053">
        <f>+yrSales!C19+yrSales!C31</f>
        <v>2</v>
      </c>
      <c r="E64" s="122"/>
      <c r="F64" s="1053">
        <f>+yrSales!D19+yrSales!D31</f>
        <v>10</v>
      </c>
      <c r="G64" s="1053"/>
      <c r="H64" s="1053">
        <f>+yrSales!E19+yrSales!E31</f>
        <v>8</v>
      </c>
      <c r="I64" s="1053"/>
      <c r="J64" s="1053">
        <f>+yrSales!F19+yrSales!F31</f>
        <v>21</v>
      </c>
      <c r="K64" s="1053"/>
      <c r="L64" s="1053">
        <f>+yrSales!G19+yrSales!G31</f>
        <v>38</v>
      </c>
      <c r="M64" s="1053"/>
      <c r="N64" s="1053">
        <f>+yrSales!H19+yrSales!H31</f>
        <v>50</v>
      </c>
      <c r="O64" s="1053"/>
      <c r="P64" s="1053">
        <f>+yrSales!I19+yrSales!I31</f>
        <v>61</v>
      </c>
      <c r="Q64" s="1053"/>
      <c r="R64" s="1053">
        <f>+yrSales!J19+yrSales!J31</f>
        <v>67</v>
      </c>
      <c r="S64" s="1053"/>
      <c r="T64" s="707"/>
      <c r="U64" s="707"/>
      <c r="V64" s="707"/>
      <c r="W64" s="707"/>
      <c r="X64" s="707"/>
      <c r="Y64" s="707"/>
      <c r="Z64" s="707"/>
      <c r="AA64" s="707"/>
      <c r="AB64" s="707"/>
      <c r="AC64" s="707"/>
      <c r="AD64" s="707"/>
      <c r="AE64" s="707"/>
      <c r="AF64" s="707"/>
      <c r="AG64" s="707"/>
      <c r="AH64" s="707"/>
      <c r="AI64" s="707"/>
      <c r="AJ64" s="707"/>
      <c r="AK64" s="707"/>
      <c r="AL64" s="707"/>
      <c r="AM64" s="707"/>
      <c r="AN64" s="707"/>
      <c r="AP64" s="707"/>
      <c r="AQ64" s="707"/>
      <c r="AR64" s="707"/>
      <c r="AS64" s="707"/>
      <c r="AT64" s="707"/>
      <c r="AU64" s="707"/>
      <c r="AV64" s="1670"/>
      <c r="AW64" s="707"/>
      <c r="AX64" s="707"/>
      <c r="AY64" s="707"/>
      <c r="AZ64" s="707"/>
      <c r="BA64" s="707"/>
      <c r="BB64" s="707"/>
      <c r="BC64" s="707"/>
      <c r="BD64" s="707"/>
      <c r="BE64" s="707"/>
      <c r="BF64" s="707"/>
    </row>
    <row r="65" spans="1:73" hidden="1" outlineLevel="1">
      <c r="C65" s="220" t="s">
        <v>7</v>
      </c>
      <c r="D65" s="1054">
        <v>0.35</v>
      </c>
      <c r="E65" s="122"/>
      <c r="F65" s="1054">
        <v>0.35</v>
      </c>
      <c r="G65" s="122"/>
      <c r="H65" s="1054">
        <v>0.35</v>
      </c>
      <c r="I65" s="122"/>
      <c r="J65" s="1054">
        <v>0.35</v>
      </c>
      <c r="K65" s="122"/>
      <c r="L65" s="1054">
        <v>0.35</v>
      </c>
      <c r="M65" s="122"/>
      <c r="N65" s="1054">
        <v>0.35</v>
      </c>
      <c r="O65" s="122"/>
      <c r="P65" s="1054">
        <v>0.35</v>
      </c>
      <c r="Q65" s="122"/>
      <c r="R65" s="1054">
        <v>0.35</v>
      </c>
      <c r="S65" s="122"/>
      <c r="T65" s="1054"/>
      <c r="U65" s="122"/>
      <c r="V65" s="1054"/>
      <c r="W65" s="122"/>
      <c r="X65" s="1054"/>
      <c r="Y65" s="122"/>
      <c r="Z65" s="1054"/>
      <c r="AA65" s="1054"/>
      <c r="AB65" s="1054"/>
      <c r="AC65" s="1054"/>
      <c r="AD65" s="1054"/>
      <c r="AE65" s="1054"/>
      <c r="AF65" s="1054"/>
      <c r="AG65" s="1054"/>
      <c r="AH65" s="1054"/>
      <c r="AI65" s="1054"/>
      <c r="AJ65" s="1054"/>
      <c r="AK65" s="1054"/>
      <c r="AL65" s="1054"/>
      <c r="AM65" s="1054"/>
      <c r="AN65" s="1054"/>
      <c r="AP65" s="1054"/>
      <c r="AQ65" s="1054"/>
      <c r="AR65" s="1054"/>
      <c r="AS65" s="1054"/>
      <c r="AT65" s="1054"/>
      <c r="AU65" s="1054"/>
      <c r="AV65" s="1671"/>
      <c r="AW65" s="1054"/>
      <c r="AX65" s="1054"/>
      <c r="AY65" s="1054"/>
      <c r="AZ65" s="1054"/>
      <c r="BA65" s="1054"/>
      <c r="BB65" s="1054"/>
      <c r="BC65" s="1054"/>
      <c r="BD65" s="1054"/>
      <c r="BE65" s="1054"/>
      <c r="BF65" s="1054"/>
    </row>
    <row r="66" spans="1:73" hidden="1" outlineLevel="1">
      <c r="C66" s="122"/>
      <c r="D66" s="122"/>
      <c r="E66" s="122"/>
      <c r="F66" s="122"/>
      <c r="G66" s="122"/>
      <c r="H66" s="122"/>
      <c r="I66" s="122"/>
      <c r="J66" s="122"/>
      <c r="K66" s="122"/>
      <c r="L66" s="122"/>
      <c r="M66" s="122"/>
      <c r="N66" s="122"/>
      <c r="O66" s="122"/>
      <c r="P66" s="122"/>
      <c r="Q66" s="122"/>
      <c r="R66" s="122"/>
      <c r="S66" s="122"/>
      <c r="T66" s="122"/>
      <c r="U66" s="122"/>
      <c r="V66" s="122"/>
      <c r="W66" s="122"/>
      <c r="X66" s="122"/>
      <c r="Y66" s="122"/>
      <c r="Z66" s="122"/>
      <c r="AA66" s="122"/>
      <c r="AB66" s="122"/>
      <c r="AC66" s="122"/>
      <c r="AD66" s="122"/>
      <c r="AE66" s="122"/>
      <c r="AF66" s="122"/>
      <c r="AG66" s="122"/>
      <c r="AH66" s="122"/>
      <c r="AI66" s="122"/>
      <c r="AJ66" s="122"/>
      <c r="AK66" s="122"/>
      <c r="AL66" s="122"/>
      <c r="AM66" s="122"/>
      <c r="AN66" s="122"/>
      <c r="AP66" s="122"/>
      <c r="AQ66" s="122"/>
      <c r="AR66" s="122"/>
      <c r="AS66" s="122"/>
      <c r="AT66" s="122"/>
      <c r="AU66" s="122"/>
      <c r="AV66" s="220"/>
      <c r="AW66" s="122"/>
      <c r="AX66" s="122"/>
      <c r="AY66" s="122"/>
      <c r="AZ66" s="122"/>
      <c r="BA66" s="122"/>
      <c r="BB66" s="122"/>
      <c r="BC66" s="122"/>
      <c r="BD66" s="122"/>
      <c r="BE66" s="122"/>
      <c r="BF66" s="122"/>
    </row>
    <row r="67" spans="1:73" hidden="1" outlineLevel="1">
      <c r="C67" s="220" t="s">
        <v>8</v>
      </c>
      <c r="D67" s="889">
        <f>+D18</f>
        <v>1.0468580000000001</v>
      </c>
      <c r="E67" s="122"/>
      <c r="F67" s="889">
        <f>+F18</f>
        <v>2.9263089999999998</v>
      </c>
      <c r="G67" s="122"/>
      <c r="H67" s="889">
        <f>+H18</f>
        <v>1.976118</v>
      </c>
      <c r="I67" s="122"/>
      <c r="J67" s="889">
        <f>+J18</f>
        <v>5.0458090000000002</v>
      </c>
      <c r="K67" s="122"/>
      <c r="L67" s="889">
        <f>+L18</f>
        <v>15.169791</v>
      </c>
      <c r="M67" s="122"/>
      <c r="N67" s="889">
        <f>+N18</f>
        <v>40.468992999999998</v>
      </c>
      <c r="O67" s="122"/>
      <c r="P67" s="889">
        <f>+P18</f>
        <v>37.436495999999998</v>
      </c>
      <c r="Q67" s="122"/>
      <c r="R67" s="889">
        <f>+R18</f>
        <v>64.741870000000006</v>
      </c>
      <c r="S67" s="122"/>
      <c r="T67" s="889"/>
      <c r="U67" s="122"/>
      <c r="V67" s="889"/>
      <c r="W67" s="122"/>
      <c r="X67" s="889"/>
      <c r="Y67" s="122"/>
      <c r="Z67" s="889"/>
      <c r="AA67" s="889"/>
      <c r="AB67" s="889"/>
      <c r="AC67" s="889"/>
      <c r="AD67" s="889"/>
      <c r="AE67" s="889"/>
      <c r="AF67" s="889"/>
      <c r="AG67" s="889"/>
      <c r="AH67" s="889"/>
      <c r="AI67" s="889"/>
      <c r="AJ67" s="889"/>
      <c r="AK67" s="889"/>
      <c r="AL67" s="889"/>
      <c r="AM67" s="889"/>
      <c r="AN67" s="889"/>
      <c r="AP67" s="889"/>
      <c r="AQ67" s="889"/>
      <c r="AR67" s="889"/>
      <c r="AS67" s="889"/>
      <c r="AT67" s="889"/>
      <c r="AU67" s="889"/>
      <c r="AV67" s="1668"/>
      <c r="AW67" s="889"/>
      <c r="AX67" s="889"/>
      <c r="AY67" s="889"/>
      <c r="AZ67" s="889"/>
      <c r="BA67" s="889"/>
      <c r="BB67" s="889"/>
      <c r="BC67" s="889"/>
      <c r="BD67" s="889"/>
      <c r="BE67" s="889"/>
      <c r="BF67" s="889"/>
    </row>
    <row r="68" spans="1:73" hidden="1" outlineLevel="1">
      <c r="C68" s="1055" t="s">
        <v>9</v>
      </c>
      <c r="D68" s="889">
        <f>+D64*D65</f>
        <v>0.7</v>
      </c>
      <c r="E68" s="122"/>
      <c r="F68" s="889">
        <f>+F64*F65</f>
        <v>3.5</v>
      </c>
      <c r="G68" s="122"/>
      <c r="H68" s="889">
        <f>+H64*H65</f>
        <v>2.8</v>
      </c>
      <c r="I68" s="122"/>
      <c r="J68" s="889">
        <f>+J64*J65</f>
        <v>7.35</v>
      </c>
      <c r="K68" s="122"/>
      <c r="L68" s="889">
        <f>+L64*L65</f>
        <v>13.299999999999999</v>
      </c>
      <c r="M68" s="122"/>
      <c r="N68" s="889">
        <f>+N64*N65</f>
        <v>17.5</v>
      </c>
      <c r="O68" s="122"/>
      <c r="P68" s="889">
        <f>+P64*P65</f>
        <v>21.349999999999998</v>
      </c>
      <c r="Q68" s="122"/>
      <c r="R68" s="889">
        <f>+R64*R65</f>
        <v>23.45</v>
      </c>
      <c r="S68" s="122"/>
      <c r="T68" s="889"/>
      <c r="U68" s="122"/>
      <c r="V68" s="889"/>
      <c r="W68" s="122"/>
      <c r="X68" s="889"/>
      <c r="Y68" s="122"/>
      <c r="Z68" s="889"/>
      <c r="AA68" s="889"/>
      <c r="AB68" s="889"/>
      <c r="AC68" s="889"/>
      <c r="AD68" s="889"/>
      <c r="AE68" s="889"/>
      <c r="AF68" s="889"/>
      <c r="AG68" s="889"/>
      <c r="AH68" s="889"/>
      <c r="AI68" s="889"/>
      <c r="AJ68" s="889"/>
      <c r="AK68" s="889"/>
      <c r="AL68" s="889"/>
      <c r="AM68" s="889"/>
      <c r="AN68" s="889"/>
      <c r="AP68" s="889"/>
      <c r="AQ68" s="889"/>
      <c r="AR68" s="889"/>
      <c r="AS68" s="889"/>
      <c r="AT68" s="889"/>
      <c r="AU68" s="889"/>
      <c r="AV68" s="1668"/>
      <c r="AW68" s="889"/>
      <c r="AX68" s="889"/>
      <c r="AY68" s="889"/>
      <c r="AZ68" s="889"/>
      <c r="BA68" s="889"/>
      <c r="BB68" s="889"/>
      <c r="BC68" s="889"/>
      <c r="BD68" s="889"/>
      <c r="BE68" s="889"/>
      <c r="BF68" s="889"/>
    </row>
    <row r="69" spans="1:73" hidden="1" outlineLevel="1">
      <c r="C69" s="1055" t="s">
        <v>10</v>
      </c>
      <c r="D69" s="796">
        <v>0</v>
      </c>
      <c r="E69" s="122"/>
      <c r="F69" s="796">
        <v>0</v>
      </c>
      <c r="G69" s="122"/>
      <c r="H69" s="796">
        <v>0</v>
      </c>
      <c r="I69" s="122"/>
      <c r="J69" s="796">
        <v>0</v>
      </c>
      <c r="K69" s="122"/>
      <c r="L69" s="796">
        <v>0</v>
      </c>
      <c r="M69" s="122"/>
      <c r="N69" s="796">
        <v>0</v>
      </c>
      <c r="O69" s="122"/>
      <c r="P69" s="796">
        <v>0</v>
      </c>
      <c r="Q69" s="122"/>
      <c r="R69" s="796">
        <v>0</v>
      </c>
      <c r="S69" s="122"/>
      <c r="T69" s="1056"/>
      <c r="U69" s="122"/>
      <c r="V69" s="1056"/>
      <c r="W69" s="122"/>
      <c r="X69" s="1056"/>
      <c r="Y69" s="122"/>
      <c r="Z69" s="1056"/>
      <c r="AA69" s="1056"/>
      <c r="AB69" s="1056"/>
      <c r="AC69" s="1056"/>
      <c r="AD69" s="1056"/>
      <c r="AE69" s="1056"/>
      <c r="AF69" s="1056"/>
      <c r="AG69" s="1056"/>
      <c r="AH69" s="1056"/>
      <c r="AI69" s="1056"/>
      <c r="AJ69" s="1056"/>
      <c r="AK69" s="1056"/>
      <c r="AL69" s="1056"/>
      <c r="AM69" s="1056"/>
      <c r="AN69" s="1056"/>
      <c r="AP69" s="1056"/>
      <c r="AQ69" s="1056"/>
      <c r="AR69" s="1056"/>
      <c r="AS69" s="1056"/>
      <c r="AT69" s="1056"/>
      <c r="AU69" s="1056"/>
      <c r="AV69" s="1662"/>
      <c r="AW69" s="1056"/>
      <c r="AX69" s="1056"/>
      <c r="AY69" s="1056"/>
      <c r="AZ69" s="1056"/>
      <c r="BA69" s="1056"/>
      <c r="BB69" s="1056"/>
      <c r="BC69" s="1056"/>
      <c r="BD69" s="1056"/>
      <c r="BE69" s="1056"/>
      <c r="BF69" s="1056"/>
    </row>
    <row r="70" spans="1:73" hidden="1" outlineLevel="1">
      <c r="C70" s="220" t="s">
        <v>14</v>
      </c>
      <c r="D70" s="889">
        <f>+D67-D68-D69</f>
        <v>0.34685800000000011</v>
      </c>
      <c r="E70" s="122"/>
      <c r="F70" s="889">
        <f>+F67-F68-F69</f>
        <v>-0.57369100000000017</v>
      </c>
      <c r="G70" s="122"/>
      <c r="H70" s="889">
        <f>+H67-H68-H69</f>
        <v>-0.82388199999999978</v>
      </c>
      <c r="I70" s="122"/>
      <c r="J70" s="889">
        <f>+J67-J68-J69</f>
        <v>-2.3041909999999994</v>
      </c>
      <c r="K70" s="122"/>
      <c r="L70" s="889">
        <f>+L67-L68-L69</f>
        <v>1.8697910000000011</v>
      </c>
      <c r="M70" s="122"/>
      <c r="N70" s="889">
        <f>+N67-N68-N69</f>
        <v>22.968992999999998</v>
      </c>
      <c r="O70" s="122"/>
      <c r="P70" s="889">
        <f>+P67-P68-P69</f>
        <v>16.086496</v>
      </c>
      <c r="Q70" s="122"/>
      <c r="R70" s="889">
        <f>+R67-R68-R69</f>
        <v>41.291870000000003</v>
      </c>
      <c r="S70" s="122"/>
      <c r="T70" s="889"/>
      <c r="U70" s="122"/>
      <c r="V70" s="889"/>
      <c r="W70" s="122"/>
      <c r="X70" s="889"/>
      <c r="Y70" s="122"/>
      <c r="Z70" s="889"/>
      <c r="AA70" s="889"/>
      <c r="AB70" s="889"/>
      <c r="AC70" s="889"/>
      <c r="AD70" s="889"/>
      <c r="AE70" s="889"/>
      <c r="AF70" s="889"/>
      <c r="AG70" s="889"/>
      <c r="AH70" s="889"/>
      <c r="AI70" s="889"/>
      <c r="AJ70" s="889"/>
      <c r="AK70" s="889"/>
      <c r="AL70" s="889"/>
      <c r="AM70" s="889"/>
      <c r="AN70" s="889"/>
      <c r="AP70" s="889"/>
      <c r="AQ70" s="889"/>
      <c r="AR70" s="889"/>
      <c r="AS70" s="889"/>
      <c r="AT70" s="889"/>
      <c r="AU70" s="889"/>
      <c r="AV70" s="1668"/>
      <c r="AW70" s="889"/>
      <c r="AX70" s="889"/>
      <c r="AY70" s="889"/>
      <c r="AZ70" s="889"/>
      <c r="BA70" s="889"/>
      <c r="BB70" s="889"/>
      <c r="BC70" s="889"/>
      <c r="BD70" s="889"/>
      <c r="BE70" s="889"/>
      <c r="BF70" s="889"/>
    </row>
    <row r="71" spans="1:73" hidden="1" outlineLevel="1">
      <c r="C71" s="1057" t="s">
        <v>13</v>
      </c>
      <c r="D71" s="721">
        <f>+D70/D67</f>
        <v>0.33133242521908424</v>
      </c>
      <c r="E71" s="122"/>
      <c r="F71" s="721">
        <f>+F70/F67</f>
        <v>-0.19604594046630081</v>
      </c>
      <c r="G71" s="122"/>
      <c r="H71" s="721">
        <f>+H70/H67</f>
        <v>-0.41691943497301265</v>
      </c>
      <c r="I71" s="122"/>
      <c r="J71" s="721">
        <f>+J70/J67</f>
        <v>-0.45665442350275237</v>
      </c>
      <c r="K71" s="122"/>
      <c r="L71" s="721">
        <f>+L70/L67</f>
        <v>0.12325753202532592</v>
      </c>
      <c r="M71" s="122"/>
      <c r="N71" s="721">
        <f>+N70/N67</f>
        <v>0.56757016415011852</v>
      </c>
      <c r="O71" s="122"/>
      <c r="P71" s="721">
        <f>+P70/P67</f>
        <v>0.42970089935767497</v>
      </c>
      <c r="Q71" s="122"/>
      <c r="R71" s="721">
        <f>+R70/R67</f>
        <v>0.63779235910238607</v>
      </c>
      <c r="S71" s="122"/>
      <c r="T71" s="721"/>
      <c r="U71" s="122"/>
      <c r="V71" s="721"/>
      <c r="W71" s="122"/>
      <c r="X71" s="721"/>
      <c r="Y71" s="122"/>
      <c r="Z71" s="721"/>
      <c r="AA71" s="721"/>
      <c r="AB71" s="721"/>
      <c r="AC71" s="721"/>
      <c r="AD71" s="721"/>
      <c r="AE71" s="721"/>
      <c r="AF71" s="721"/>
      <c r="AG71" s="721"/>
      <c r="AH71" s="721"/>
      <c r="AI71" s="721"/>
      <c r="AJ71" s="721"/>
      <c r="AK71" s="721"/>
      <c r="AL71" s="721"/>
      <c r="AM71" s="721"/>
      <c r="AN71" s="721"/>
      <c r="AP71" s="721"/>
      <c r="AQ71" s="721"/>
      <c r="AR71" s="721"/>
      <c r="AS71" s="721"/>
      <c r="AT71" s="721"/>
      <c r="AU71" s="721"/>
      <c r="AV71" s="310"/>
      <c r="AW71" s="721"/>
      <c r="AX71" s="721"/>
      <c r="AY71" s="721"/>
      <c r="AZ71" s="721"/>
      <c r="BA71" s="721"/>
      <c r="BB71" s="721"/>
      <c r="BC71" s="721"/>
      <c r="BD71" s="721"/>
      <c r="BE71" s="721"/>
      <c r="BF71" s="721"/>
    </row>
    <row r="72" spans="1:73" hidden="1" outlineLevel="1">
      <c r="T72" s="122"/>
      <c r="U72" s="122"/>
      <c r="V72" s="122"/>
      <c r="W72" s="122"/>
      <c r="X72" s="122"/>
      <c r="Y72" s="122"/>
      <c r="Z72" s="122"/>
      <c r="AA72" s="122"/>
      <c r="AB72" s="122"/>
      <c r="AC72" s="122"/>
      <c r="AD72" s="122"/>
      <c r="AE72" s="122"/>
      <c r="AF72" s="122"/>
      <c r="AG72" s="122"/>
      <c r="AH72" s="122"/>
      <c r="AI72" s="122"/>
      <c r="AJ72" s="122"/>
      <c r="AK72" s="122"/>
      <c r="AL72" s="122"/>
      <c r="AM72" s="122"/>
      <c r="AN72" s="122"/>
      <c r="AP72" s="122"/>
      <c r="AQ72" s="122"/>
      <c r="AR72" s="122"/>
      <c r="AS72" s="122"/>
      <c r="AT72" s="122"/>
      <c r="AU72" s="122"/>
      <c r="AV72" s="220"/>
      <c r="AW72" s="122"/>
      <c r="AX72" s="122"/>
      <c r="AY72" s="122"/>
      <c r="AZ72" s="122"/>
      <c r="BA72" s="122"/>
      <c r="BB72" s="122"/>
      <c r="BC72" s="122"/>
      <c r="BD72" s="122"/>
      <c r="BE72" s="122"/>
      <c r="BF72" s="122"/>
    </row>
    <row r="73" spans="1:73" hidden="1" outlineLevel="1">
      <c r="C73" s="26" t="s">
        <v>15</v>
      </c>
      <c r="T73" s="122"/>
      <c r="U73" s="122"/>
      <c r="V73" s="122"/>
      <c r="W73" s="122"/>
      <c r="X73" s="122"/>
      <c r="Y73" s="122"/>
      <c r="Z73" s="122"/>
      <c r="AA73" s="122"/>
      <c r="AB73" s="122"/>
      <c r="AC73" s="122"/>
      <c r="AD73" s="122"/>
      <c r="AE73" s="122"/>
      <c r="AF73" s="122"/>
      <c r="AG73" s="122"/>
      <c r="AH73" s="122"/>
      <c r="AI73" s="122"/>
      <c r="AJ73" s="122"/>
      <c r="AK73" s="122"/>
      <c r="AL73" s="122"/>
      <c r="AM73" s="122"/>
      <c r="AN73" s="122"/>
      <c r="AP73" s="122"/>
      <c r="AQ73" s="122"/>
      <c r="AR73" s="122"/>
      <c r="AS73" s="122"/>
      <c r="AT73" s="122"/>
      <c r="AU73" s="122"/>
      <c r="AV73" s="220"/>
      <c r="AW73" s="122"/>
      <c r="AX73" s="122"/>
      <c r="AY73" s="122"/>
      <c r="AZ73" s="122"/>
      <c r="BA73" s="122"/>
      <c r="BB73" s="122"/>
      <c r="BC73" s="122"/>
      <c r="BD73" s="122"/>
      <c r="BE73" s="122"/>
      <c r="BF73" s="122"/>
    </row>
    <row r="74" spans="1:73" hidden="1" outlineLevel="1">
      <c r="C74" s="26" t="s">
        <v>16</v>
      </c>
      <c r="D74" s="794"/>
      <c r="F74" s="794">
        <f>+F11-D11</f>
        <v>0.15437600000000007</v>
      </c>
      <c r="H74" s="794">
        <f>+H11-F11</f>
        <v>0.21794999999999987</v>
      </c>
      <c r="J74" s="794">
        <f>+J11-H11</f>
        <v>0.29365299999999994</v>
      </c>
      <c r="L74" s="794">
        <f>+L11-J11</f>
        <v>0.89973999999999998</v>
      </c>
      <c r="N74" s="794">
        <f>+N11-L11</f>
        <v>2.6702050000000006</v>
      </c>
      <c r="P74" s="794">
        <f>+P11-N11</f>
        <v>4.4291299999999998</v>
      </c>
      <c r="R74" s="794">
        <f>+R11-P11</f>
        <v>5.7363549999999979</v>
      </c>
      <c r="T74" s="889"/>
      <c r="U74" s="122"/>
      <c r="V74" s="889"/>
      <c r="W74" s="122"/>
      <c r="X74" s="889"/>
      <c r="Y74" s="122"/>
      <c r="Z74" s="889"/>
      <c r="AA74" s="889"/>
      <c r="AB74" s="889"/>
      <c r="AC74" s="889"/>
      <c r="AD74" s="889"/>
      <c r="AE74" s="889"/>
      <c r="AF74" s="889"/>
      <c r="AG74" s="889"/>
      <c r="AH74" s="889"/>
      <c r="AI74" s="889"/>
      <c r="AJ74" s="889"/>
      <c r="AK74" s="889"/>
      <c r="AL74" s="889"/>
      <c r="AM74" s="889"/>
      <c r="AN74" s="889"/>
      <c r="AP74" s="889"/>
      <c r="AQ74" s="889"/>
      <c r="AR74" s="889"/>
      <c r="AS74" s="889"/>
      <c r="AT74" s="889"/>
      <c r="AU74" s="889"/>
      <c r="AV74" s="1668"/>
      <c r="AW74" s="889"/>
      <c r="AX74" s="889"/>
      <c r="AY74" s="889"/>
      <c r="AZ74" s="889"/>
      <c r="BA74" s="889"/>
      <c r="BB74" s="889"/>
      <c r="BC74" s="889"/>
      <c r="BD74" s="889"/>
      <c r="BE74" s="889"/>
      <c r="BF74" s="889"/>
    </row>
    <row r="75" spans="1:73" collapsed="1">
      <c r="T75" s="122"/>
      <c r="U75" s="122"/>
      <c r="V75" s="122"/>
      <c r="W75" s="122"/>
      <c r="X75" s="122"/>
      <c r="Y75" s="122"/>
      <c r="Z75" s="122"/>
      <c r="AA75" s="122"/>
      <c r="AB75" s="122"/>
      <c r="AC75" s="122"/>
      <c r="AD75" s="122"/>
      <c r="AE75" s="122"/>
      <c r="AF75" s="122"/>
      <c r="AG75" s="122"/>
      <c r="AH75" s="122"/>
      <c r="AI75" s="122"/>
      <c r="AJ75" s="122"/>
      <c r="AK75" s="122"/>
      <c r="AL75" s="122"/>
      <c r="AM75" s="122"/>
      <c r="AN75" s="122"/>
      <c r="AP75" s="122"/>
      <c r="AQ75" s="122"/>
      <c r="AR75" s="122"/>
      <c r="AS75" s="122"/>
      <c r="AT75" s="122"/>
      <c r="AU75" s="122"/>
      <c r="AV75" s="220"/>
      <c r="AW75" s="122"/>
      <c r="AX75" s="122"/>
      <c r="AY75" s="122"/>
      <c r="AZ75" s="122"/>
      <c r="BA75" s="122"/>
      <c r="BB75" s="122"/>
      <c r="BC75" s="122"/>
      <c r="BD75" s="122"/>
      <c r="BE75" s="122"/>
      <c r="BF75" s="122"/>
    </row>
    <row r="77" spans="1:73" hidden="1" outlineLevel="1">
      <c r="A77" s="991"/>
      <c r="B77" s="991"/>
      <c r="C77" s="991"/>
      <c r="D77" s="991"/>
      <c r="E77" s="991"/>
      <c r="F77" s="991"/>
      <c r="G77" s="991"/>
      <c r="H77" s="991"/>
      <c r="I77" s="991"/>
      <c r="J77" s="991"/>
      <c r="K77" s="991"/>
      <c r="L77" s="1058" t="s">
        <v>170</v>
      </c>
      <c r="M77" s="1058"/>
      <c r="N77" s="1058" t="s">
        <v>169</v>
      </c>
      <c r="O77" s="991"/>
      <c r="P77" s="1058" t="s">
        <v>535</v>
      </c>
      <c r="Q77" s="991"/>
      <c r="R77" s="1058" t="s">
        <v>541</v>
      </c>
      <c r="S77" s="991"/>
      <c r="T77" s="1058" t="s">
        <v>273</v>
      </c>
      <c r="U77" s="991"/>
      <c r="V77" s="1058" t="s">
        <v>247</v>
      </c>
      <c r="W77" s="991"/>
      <c r="X77" s="1058" t="s">
        <v>282</v>
      </c>
      <c r="Y77" s="991"/>
      <c r="Z77" s="1059">
        <v>2006</v>
      </c>
      <c r="AA77" s="991"/>
      <c r="AB77" s="1059">
        <v>2007</v>
      </c>
      <c r="AC77" s="1058"/>
      <c r="AD77" s="1059">
        <v>2008</v>
      </c>
      <c r="AE77" s="1058"/>
      <c r="AF77" s="1059">
        <v>2009</v>
      </c>
      <c r="AG77" s="1058"/>
      <c r="AH77" s="1059" t="s">
        <v>332</v>
      </c>
      <c r="AI77" s="1058"/>
      <c r="AJ77" s="1059" t="s">
        <v>664</v>
      </c>
      <c r="AK77" s="1059"/>
      <c r="AL77" s="1059" t="s">
        <v>490</v>
      </c>
      <c r="AM77" s="1059"/>
      <c r="AN77" s="1059" t="s">
        <v>1</v>
      </c>
      <c r="AO77" s="1059"/>
      <c r="AP77" s="1059" t="s">
        <v>694</v>
      </c>
      <c r="AQ77" s="1059"/>
      <c r="AR77" s="1059" t="s">
        <v>428</v>
      </c>
      <c r="AS77" s="1059"/>
      <c r="AT77" s="1059" t="s">
        <v>206</v>
      </c>
      <c r="AU77" s="1059"/>
      <c r="AV77" s="1672" t="s">
        <v>207</v>
      </c>
      <c r="AW77" s="1059"/>
      <c r="AX77" s="1059" t="s">
        <v>207</v>
      </c>
      <c r="AY77" s="1059"/>
      <c r="AZ77" s="1059" t="s">
        <v>207</v>
      </c>
      <c r="BA77" s="1059"/>
      <c r="BB77" s="1059" t="s">
        <v>207</v>
      </c>
      <c r="BC77" s="1059"/>
      <c r="BD77" s="1059" t="s">
        <v>207</v>
      </c>
      <c r="BE77" s="1059"/>
      <c r="BF77" s="1059" t="s">
        <v>207</v>
      </c>
      <c r="BG77" s="989"/>
      <c r="BH77" s="989"/>
      <c r="BI77" s="989"/>
      <c r="BJ77" s="989"/>
      <c r="BK77" s="989"/>
      <c r="BL77" s="989"/>
      <c r="BM77" s="989"/>
      <c r="BN77" s="989"/>
      <c r="BO77" s="989"/>
      <c r="BP77" s="989"/>
      <c r="BQ77" s="989"/>
      <c r="BR77" s="989"/>
      <c r="BS77" s="989"/>
      <c r="BT77" s="989"/>
      <c r="BU77" s="989"/>
    </row>
    <row r="78" spans="1:73" hidden="1" outlineLevel="1">
      <c r="A78" s="932" t="s">
        <v>511</v>
      </c>
      <c r="B78" s="989"/>
      <c r="C78" s="989"/>
      <c r="D78" s="989"/>
      <c r="E78" s="989"/>
      <c r="F78" s="989"/>
      <c r="G78" s="989"/>
      <c r="H78" s="989"/>
      <c r="I78" s="989"/>
      <c r="J78" s="989"/>
      <c r="K78" s="989"/>
      <c r="L78" s="989"/>
      <c r="M78" s="989"/>
      <c r="N78" s="1060">
        <v>4.7409999999999997</v>
      </c>
      <c r="O78" s="989"/>
      <c r="P78" s="1060">
        <v>8.3880000000000017</v>
      </c>
      <c r="Q78" s="989"/>
      <c r="R78" s="1060">
        <v>13.685</v>
      </c>
      <c r="S78" s="989"/>
      <c r="T78" s="1060">
        <v>20.973999999999997</v>
      </c>
      <c r="U78" s="989"/>
      <c r="V78" s="1061">
        <f>+V80</f>
        <v>36.085999999999999</v>
      </c>
      <c r="W78" s="989"/>
      <c r="X78" s="1061">
        <f>+X80</f>
        <v>48.852000000000004</v>
      </c>
      <c r="Y78" s="989"/>
      <c r="Z78" s="1061">
        <f>+Z80</f>
        <v>69.403999999999996</v>
      </c>
      <c r="AA78" s="989"/>
      <c r="AB78" s="1061">
        <f>+AB80</f>
        <v>91.978999999999999</v>
      </c>
      <c r="AC78" s="1061"/>
      <c r="AD78" s="1061">
        <f>+AD80</f>
        <v>97.572000000000003</v>
      </c>
      <c r="AE78" s="1061"/>
      <c r="AF78" s="1061">
        <f>+AF80</f>
        <v>96.372</v>
      </c>
      <c r="AG78" s="1061"/>
      <c r="AH78" s="1061">
        <f>+AH80</f>
        <v>94.113</v>
      </c>
      <c r="AI78" s="1061"/>
      <c r="AJ78" s="1061">
        <f>+AJ80</f>
        <v>99.43</v>
      </c>
      <c r="AK78" s="1061"/>
      <c r="AL78" s="1061">
        <f>+AL80</f>
        <v>108.471</v>
      </c>
      <c r="AM78" s="1061"/>
      <c r="AN78" s="1061">
        <f>+AN80</f>
        <v>118.303</v>
      </c>
      <c r="AO78" s="989"/>
      <c r="AP78" s="1061">
        <f>+AP80</f>
        <v>122.26900000000001</v>
      </c>
      <c r="AQ78" s="1061"/>
      <c r="AR78" s="1061">
        <f>+AR80</f>
        <v>118.8</v>
      </c>
      <c r="AS78" s="1061"/>
      <c r="AT78" s="1061">
        <f>+AT80</f>
        <v>109.251</v>
      </c>
      <c r="AU78" s="1061"/>
      <c r="AV78" s="1673">
        <f>+AV80</f>
        <v>96.31</v>
      </c>
      <c r="AW78" s="1061"/>
      <c r="AX78" s="1061">
        <f>+AX80</f>
        <v>94</v>
      </c>
      <c r="AY78" s="1061"/>
      <c r="AZ78" s="1061">
        <f>+AZ80</f>
        <v>96</v>
      </c>
      <c r="BA78" s="1061"/>
      <c r="BB78" s="1061">
        <f>+BB80</f>
        <v>98</v>
      </c>
      <c r="BC78" s="1061"/>
      <c r="BD78" s="1061">
        <f>+BD80</f>
        <v>100</v>
      </c>
      <c r="BE78" s="1061"/>
      <c r="BF78" s="1061">
        <f>+BF80</f>
        <v>102</v>
      </c>
      <c r="BG78" s="989"/>
      <c r="BH78" s="989"/>
      <c r="BI78" s="989"/>
      <c r="BJ78" s="989"/>
      <c r="BK78" s="989"/>
      <c r="BL78" s="989"/>
      <c r="BM78" s="989"/>
      <c r="BN78" s="989"/>
      <c r="BO78" s="989"/>
      <c r="BP78" s="989"/>
      <c r="BQ78" s="989"/>
      <c r="BR78" s="989"/>
      <c r="BS78" s="989"/>
      <c r="BT78" s="989"/>
      <c r="BU78" s="989"/>
    </row>
    <row r="79" spans="1:73" hidden="1" outlineLevel="1">
      <c r="A79" s="932" t="s">
        <v>164</v>
      </c>
      <c r="B79" s="989"/>
      <c r="C79" s="989"/>
      <c r="D79" s="989"/>
      <c r="E79" s="989"/>
      <c r="F79" s="989"/>
      <c r="G79" s="989"/>
      <c r="H79" s="989"/>
      <c r="I79" s="989"/>
      <c r="J79" s="989"/>
      <c r="K79" s="989"/>
      <c r="L79" s="989"/>
      <c r="M79" s="989"/>
      <c r="N79" s="1060">
        <f>+N80-N78</f>
        <v>1.2367440000000007</v>
      </c>
      <c r="O79" s="989"/>
      <c r="P79" s="1060">
        <f>+P80-P78</f>
        <v>2.0188739999999985</v>
      </c>
      <c r="Q79" s="989"/>
      <c r="R79" s="1060">
        <f>+R80-R78</f>
        <v>2.4582289999999976</v>
      </c>
      <c r="S79" s="989"/>
      <c r="T79" s="1060">
        <f>+T80-T78</f>
        <v>2.1260000000000012</v>
      </c>
      <c r="U79" s="989"/>
      <c r="V79" s="1062">
        <v>0</v>
      </c>
      <c r="W79" s="989"/>
      <c r="X79" s="1063">
        <v>0</v>
      </c>
      <c r="Y79" s="1063"/>
      <c r="Z79" s="1063">
        <v>0</v>
      </c>
      <c r="AA79" s="1063"/>
      <c r="AB79" s="1063">
        <v>0</v>
      </c>
      <c r="AC79" s="1063"/>
      <c r="AD79" s="1063">
        <v>0</v>
      </c>
      <c r="AE79" s="1063"/>
      <c r="AF79" s="1063">
        <v>0</v>
      </c>
      <c r="AG79" s="1063"/>
      <c r="AH79" s="1063">
        <v>0</v>
      </c>
      <c r="AI79" s="1063"/>
      <c r="AJ79" s="1063">
        <v>0</v>
      </c>
      <c r="AK79" s="1063"/>
      <c r="AL79" s="1063">
        <v>0</v>
      </c>
      <c r="AM79" s="1063"/>
      <c r="AN79" s="1063">
        <v>0</v>
      </c>
      <c r="AO79" s="989"/>
      <c r="AP79" s="1063">
        <v>0</v>
      </c>
      <c r="AQ79" s="1063"/>
      <c r="AR79" s="1063">
        <v>2</v>
      </c>
      <c r="AS79" s="1063"/>
      <c r="AT79" s="1063">
        <v>4</v>
      </c>
      <c r="AU79" s="1063"/>
      <c r="AV79" s="1674">
        <v>6</v>
      </c>
      <c r="AW79" s="1063"/>
      <c r="AX79" s="1063">
        <v>6</v>
      </c>
      <c r="AY79" s="1063"/>
      <c r="AZ79" s="1063">
        <v>6</v>
      </c>
      <c r="BA79" s="1063"/>
      <c r="BB79" s="1063">
        <v>6</v>
      </c>
      <c r="BC79" s="1063"/>
      <c r="BD79" s="1063">
        <v>6</v>
      </c>
      <c r="BE79" s="1063"/>
      <c r="BF79" s="1063">
        <v>6</v>
      </c>
      <c r="BG79" s="989"/>
      <c r="BH79" s="989"/>
      <c r="BI79" s="989"/>
      <c r="BJ79" s="989"/>
      <c r="BK79" s="989"/>
      <c r="BL79" s="989"/>
      <c r="BM79" s="989"/>
      <c r="BN79" s="989"/>
      <c r="BO79" s="989"/>
      <c r="BP79" s="989"/>
      <c r="BQ79" s="989"/>
      <c r="BR79" s="989"/>
      <c r="BS79" s="989"/>
      <c r="BT79" s="989"/>
      <c r="BU79" s="989"/>
    </row>
    <row r="80" spans="1:73" hidden="1" outlineLevel="1">
      <c r="A80" s="932" t="s">
        <v>165</v>
      </c>
      <c r="B80" s="989"/>
      <c r="C80" s="989"/>
      <c r="D80" s="989"/>
      <c r="E80" s="989"/>
      <c r="F80" s="989"/>
      <c r="G80" s="989"/>
      <c r="H80" s="989"/>
      <c r="I80" s="989"/>
      <c r="J80" s="989"/>
      <c r="K80" s="989"/>
      <c r="L80" s="1061">
        <f>+L11</f>
        <v>3.3075389999999998</v>
      </c>
      <c r="M80" s="989"/>
      <c r="N80" s="1061">
        <f>+N11</f>
        <v>5.9777440000000004</v>
      </c>
      <c r="O80" s="989"/>
      <c r="P80" s="1061">
        <f>+P11</f>
        <v>10.406874</v>
      </c>
      <c r="Q80" s="989"/>
      <c r="R80" s="1061">
        <f>+R11</f>
        <v>16.143228999999998</v>
      </c>
      <c r="S80" s="989"/>
      <c r="T80" s="1061">
        <f>+T11</f>
        <v>23.099999999999998</v>
      </c>
      <c r="U80" s="989"/>
      <c r="V80" s="1061">
        <f>+V11</f>
        <v>36.085999999999999</v>
      </c>
      <c r="W80" s="989"/>
      <c r="X80" s="1061">
        <f>+X11</f>
        <v>48.852000000000004</v>
      </c>
      <c r="Y80" s="989"/>
      <c r="Z80" s="1061">
        <f>+Z11</f>
        <v>69.403999999999996</v>
      </c>
      <c r="AA80" s="989"/>
      <c r="AB80" s="1061">
        <f>+AB11</f>
        <v>91.978999999999999</v>
      </c>
      <c r="AC80" s="1061"/>
      <c r="AD80" s="1061">
        <f>+AD11</f>
        <v>97.572000000000003</v>
      </c>
      <c r="AE80" s="1061"/>
      <c r="AF80" s="1061">
        <f>+AF11</f>
        <v>96.372</v>
      </c>
      <c r="AG80" s="1061"/>
      <c r="AH80" s="1061">
        <f>+AH11</f>
        <v>94.113</v>
      </c>
      <c r="AI80" s="1061"/>
      <c r="AJ80" s="1061">
        <f>+AJ11</f>
        <v>99.43</v>
      </c>
      <c r="AK80" s="1061"/>
      <c r="AL80" s="1061">
        <f>+AL11</f>
        <v>108.471</v>
      </c>
      <c r="AM80" s="1061"/>
      <c r="AN80" s="1061">
        <f>+AN11</f>
        <v>118.303</v>
      </c>
      <c r="AO80" s="989"/>
      <c r="AP80" s="1061">
        <f>+AP11</f>
        <v>122.26900000000001</v>
      </c>
      <c r="AQ80" s="1061"/>
      <c r="AR80" s="1061">
        <f>+AR11</f>
        <v>118.8</v>
      </c>
      <c r="AS80" s="1061"/>
      <c r="AT80" s="1061">
        <f>+AT11</f>
        <v>109.251</v>
      </c>
      <c r="AU80" s="1061"/>
      <c r="AV80" s="1673">
        <f>+AV11</f>
        <v>96.31</v>
      </c>
      <c r="AW80" s="1061"/>
      <c r="AX80" s="1061">
        <f>+AX11</f>
        <v>94</v>
      </c>
      <c r="AY80" s="1061"/>
      <c r="AZ80" s="1061">
        <f>+AZ11</f>
        <v>96</v>
      </c>
      <c r="BA80" s="1061"/>
      <c r="BB80" s="1061">
        <f>+BB11</f>
        <v>98</v>
      </c>
      <c r="BC80" s="1061"/>
      <c r="BD80" s="1061">
        <f>+BD11</f>
        <v>100</v>
      </c>
      <c r="BE80" s="1061"/>
      <c r="BF80" s="1061">
        <f>+BF11</f>
        <v>102</v>
      </c>
      <c r="BG80" s="989"/>
      <c r="BH80" s="989"/>
      <c r="BI80" s="989"/>
      <c r="BJ80" s="989"/>
      <c r="BK80" s="989"/>
      <c r="BL80" s="989"/>
      <c r="BM80" s="989"/>
      <c r="BN80" s="989"/>
      <c r="BO80" s="989"/>
      <c r="BP80" s="989"/>
      <c r="BQ80" s="989"/>
      <c r="BR80" s="989"/>
      <c r="BS80" s="989"/>
      <c r="BT80" s="989"/>
      <c r="BU80" s="989"/>
    </row>
    <row r="81" spans="1:73" hidden="1" outlineLevel="1">
      <c r="A81" s="932" t="s">
        <v>166</v>
      </c>
      <c r="B81" s="989"/>
      <c r="C81" s="989"/>
      <c r="D81" s="989"/>
      <c r="E81" s="989"/>
      <c r="F81" s="989"/>
      <c r="G81" s="989"/>
      <c r="H81" s="989"/>
      <c r="I81" s="989"/>
      <c r="J81" s="989"/>
      <c r="K81" s="989"/>
      <c r="L81" s="1064">
        <f>+L78/L80</f>
        <v>0</v>
      </c>
      <c r="M81" s="1064"/>
      <c r="N81" s="1064">
        <f>+N78/N80</f>
        <v>0.79310857072500918</v>
      </c>
      <c r="O81" s="1064"/>
      <c r="P81" s="1064">
        <f>+P78/P80</f>
        <v>0.80600572275594007</v>
      </c>
      <c r="Q81" s="1064"/>
      <c r="R81" s="1064">
        <f>+R78/R80</f>
        <v>0.84772383517572614</v>
      </c>
      <c r="S81" s="1064"/>
      <c r="T81" s="1064">
        <f>+T78/T80</f>
        <v>0.90796536796536786</v>
      </c>
      <c r="U81" s="1064"/>
      <c r="V81" s="1064">
        <f>+V78/V80</f>
        <v>1</v>
      </c>
      <c r="W81" s="1064"/>
      <c r="X81" s="1064">
        <f>+X78/X80</f>
        <v>1</v>
      </c>
      <c r="Y81" s="1064"/>
      <c r="Z81" s="1064">
        <f>+Z78/Z80</f>
        <v>1</v>
      </c>
      <c r="AA81" s="1064"/>
      <c r="AB81" s="1064">
        <f>+AB78/AB80</f>
        <v>1</v>
      </c>
      <c r="AC81" s="1064"/>
      <c r="AD81" s="1064">
        <f>+AD78/AD80</f>
        <v>1</v>
      </c>
      <c r="AE81" s="1064"/>
      <c r="AF81" s="1064">
        <f>+AF78/AF80</f>
        <v>1</v>
      </c>
      <c r="AG81" s="1064"/>
      <c r="AH81" s="1064">
        <f>+AH78/AH80</f>
        <v>1</v>
      </c>
      <c r="AI81" s="1064"/>
      <c r="AJ81" s="1064">
        <f>+AJ78/AJ80</f>
        <v>1</v>
      </c>
      <c r="AK81" s="1064"/>
      <c r="AL81" s="1064">
        <f>+AL78/AL80</f>
        <v>1</v>
      </c>
      <c r="AM81" s="1064"/>
      <c r="AN81" s="1064">
        <f>+AN78/AN80</f>
        <v>1</v>
      </c>
      <c r="AO81" s="1064"/>
      <c r="AP81" s="1064">
        <f>+AP78/AP80</f>
        <v>1</v>
      </c>
      <c r="AQ81" s="1064"/>
      <c r="AR81" s="1064">
        <f>+AR78/AR80</f>
        <v>1</v>
      </c>
      <c r="AS81" s="1064"/>
      <c r="AT81" s="1064">
        <f>+AT78/AT80</f>
        <v>1</v>
      </c>
      <c r="AU81" s="1064"/>
      <c r="AV81" s="216">
        <f>+AV78/AV80</f>
        <v>1</v>
      </c>
      <c r="AW81" s="1064"/>
      <c r="AX81" s="1064">
        <f>+AX78/AX80</f>
        <v>1</v>
      </c>
      <c r="AY81" s="1064"/>
      <c r="AZ81" s="1064">
        <f>+AZ78/AZ80</f>
        <v>1</v>
      </c>
      <c r="BA81" s="1064"/>
      <c r="BB81" s="1064">
        <f>+BB78/BB80</f>
        <v>1</v>
      </c>
      <c r="BC81" s="1064"/>
      <c r="BD81" s="1064">
        <f>+BD78/BD80</f>
        <v>1</v>
      </c>
      <c r="BE81" s="1064"/>
      <c r="BF81" s="1064">
        <f>+BF78/BF80</f>
        <v>1</v>
      </c>
      <c r="BG81" s="989"/>
      <c r="BH81" s="989"/>
      <c r="BI81" s="989"/>
      <c r="BJ81" s="989"/>
      <c r="BK81" s="989"/>
      <c r="BL81" s="989"/>
      <c r="BM81" s="989"/>
      <c r="BN81" s="989"/>
      <c r="BO81" s="989"/>
      <c r="BP81" s="989"/>
      <c r="BQ81" s="989"/>
      <c r="BR81" s="989"/>
      <c r="BS81" s="989"/>
      <c r="BT81" s="989"/>
      <c r="BU81" s="989"/>
    </row>
    <row r="82" spans="1:73" hidden="1" outlineLevel="1">
      <c r="A82" s="932"/>
      <c r="B82" s="989"/>
      <c r="C82" s="989"/>
      <c r="D82" s="989"/>
      <c r="E82" s="989"/>
      <c r="F82" s="989"/>
      <c r="G82" s="989"/>
      <c r="H82" s="989"/>
      <c r="I82" s="989"/>
      <c r="J82" s="989"/>
      <c r="K82" s="989"/>
      <c r="L82" s="989"/>
      <c r="M82" s="989"/>
      <c r="N82" s="989"/>
      <c r="O82" s="989"/>
      <c r="P82" s="989"/>
      <c r="Q82" s="989"/>
      <c r="R82" s="989"/>
      <c r="S82" s="989"/>
      <c r="T82" s="989"/>
      <c r="U82" s="989"/>
      <c r="V82" s="989"/>
      <c r="W82" s="989"/>
      <c r="X82" s="989"/>
      <c r="Y82" s="989"/>
      <c r="Z82" s="989"/>
      <c r="AA82" s="989"/>
      <c r="AB82" s="989"/>
      <c r="AC82" s="989"/>
      <c r="AD82" s="989"/>
      <c r="AE82" s="989"/>
      <c r="AF82" s="989"/>
      <c r="AG82" s="989"/>
      <c r="AH82" s="989"/>
      <c r="AI82" s="989"/>
      <c r="AJ82" s="989"/>
      <c r="AK82" s="989"/>
      <c r="AL82" s="989"/>
      <c r="AM82" s="989"/>
      <c r="AN82" s="989"/>
      <c r="AO82" s="989"/>
      <c r="AP82" s="989"/>
      <c r="AQ82" s="989"/>
      <c r="AR82" s="989"/>
      <c r="AS82" s="989"/>
      <c r="AT82" s="989"/>
      <c r="AU82" s="989"/>
      <c r="AV82" s="215"/>
      <c r="AW82" s="989"/>
      <c r="AX82" s="989"/>
      <c r="AY82" s="989"/>
      <c r="AZ82" s="989"/>
      <c r="BA82" s="989"/>
      <c r="BB82" s="989"/>
      <c r="BC82" s="989"/>
      <c r="BD82" s="989"/>
      <c r="BE82" s="989"/>
      <c r="BF82" s="989"/>
      <c r="BG82" s="989"/>
      <c r="BH82" s="989"/>
      <c r="BI82" s="989"/>
      <c r="BJ82" s="989"/>
      <c r="BK82" s="989"/>
      <c r="BL82" s="989"/>
      <c r="BM82" s="989"/>
      <c r="BN82" s="989"/>
      <c r="BO82" s="989"/>
      <c r="BP82" s="989"/>
      <c r="BQ82" s="989"/>
      <c r="BR82" s="989"/>
      <c r="BS82" s="989"/>
      <c r="BT82" s="989"/>
      <c r="BU82" s="989"/>
    </row>
    <row r="83" spans="1:73" hidden="1" outlineLevel="1">
      <c r="A83" s="1065" t="s">
        <v>167</v>
      </c>
      <c r="B83" s="989"/>
      <c r="C83" s="989"/>
      <c r="D83" s="989"/>
      <c r="E83" s="989"/>
      <c r="F83" s="989"/>
      <c r="G83" s="989"/>
      <c r="H83" s="989"/>
      <c r="I83" s="989"/>
      <c r="J83" s="989"/>
      <c r="K83" s="989"/>
      <c r="L83" s="1060">
        <f>-L18*0.9</f>
        <v>-13.6528119</v>
      </c>
      <c r="M83" s="989"/>
      <c r="N83" s="1060">
        <f>-N18*0.9</f>
        <v>-36.422093699999998</v>
      </c>
      <c r="O83" s="989"/>
      <c r="P83" s="1060">
        <f>-P18*0.9</f>
        <v>-33.692846400000001</v>
      </c>
      <c r="Q83" s="989"/>
      <c r="R83" s="1060">
        <f>-R18*0.9</f>
        <v>-58.267683000000005</v>
      </c>
      <c r="S83" s="989"/>
      <c r="T83" s="1060">
        <f>-T18*0.9</f>
        <v>-47.07</v>
      </c>
      <c r="U83" s="989"/>
      <c r="V83" s="1060">
        <f>-V18*0.9</f>
        <v>-83.758499999999998</v>
      </c>
      <c r="W83" s="989"/>
      <c r="X83" s="1060">
        <f>-X18*0.9</f>
        <v>-132.8715</v>
      </c>
      <c r="Y83" s="989"/>
      <c r="Z83" s="1060">
        <f>-Z18*0.9</f>
        <v>-196.47990000000001</v>
      </c>
      <c r="AA83" s="989"/>
      <c r="AB83" s="1060">
        <f>-AB18*0.9</f>
        <v>-182.00070000000002</v>
      </c>
      <c r="AC83" s="1060"/>
      <c r="AD83" s="1060">
        <f>-AD18*0.9</f>
        <v>-94.153499999999994</v>
      </c>
      <c r="AE83" s="1060"/>
      <c r="AF83" s="1060">
        <f>-AF18*0.9</f>
        <v>-61.128</v>
      </c>
      <c r="AG83" s="1060"/>
      <c r="AH83" s="1060">
        <f>-AH18*0.9</f>
        <v>-65.740499999999997</v>
      </c>
      <c r="AI83" s="1060"/>
      <c r="AJ83" s="1060">
        <f>-AJ18*0.9</f>
        <v>-118.58130000000001</v>
      </c>
      <c r="AK83" s="1060"/>
      <c r="AL83" s="1060">
        <f>-AL18*0.9</f>
        <v>-148.221</v>
      </c>
      <c r="AM83" s="1060"/>
      <c r="AN83" s="1060">
        <f>-AN18*0.9</f>
        <v>-124.65899999999999</v>
      </c>
      <c r="AO83" s="989"/>
      <c r="AP83" s="1060">
        <f>-AP18*0.9</f>
        <v>-107.83529999999999</v>
      </c>
      <c r="AQ83" s="1060"/>
      <c r="AR83" s="1060">
        <f>-AR18*0.9</f>
        <v>-76.356899999999996</v>
      </c>
      <c r="AS83" s="1060"/>
      <c r="AT83" s="1060">
        <f>-AT18*0.9</f>
        <v>-43.052399999999999</v>
      </c>
      <c r="AU83" s="1060"/>
      <c r="AV83" s="1675">
        <f>-AV18*0.9</f>
        <v>-43.677</v>
      </c>
      <c r="AW83" s="1060"/>
      <c r="AX83" s="1060">
        <f>-AX18*0.9</f>
        <v>-67.5</v>
      </c>
      <c r="AY83" s="1060"/>
      <c r="AZ83" s="1060">
        <f>-AZ18*0.9</f>
        <v>-67.5</v>
      </c>
      <c r="BA83" s="1060"/>
      <c r="BB83" s="1060">
        <f>-BB18*0.9</f>
        <v>-67.5</v>
      </c>
      <c r="BC83" s="1060"/>
      <c r="BD83" s="1060">
        <f>-BD18*0.9</f>
        <v>-67.5</v>
      </c>
      <c r="BE83" s="1060"/>
      <c r="BF83" s="1060">
        <f>-BF18*0.9</f>
        <v>-67.5</v>
      </c>
      <c r="BG83" s="989"/>
      <c r="BH83" s="989"/>
      <c r="BI83" s="989"/>
      <c r="BJ83" s="989"/>
      <c r="BK83" s="989"/>
      <c r="BL83" s="989"/>
      <c r="BM83" s="989"/>
      <c r="BN83" s="989"/>
      <c r="BO83" s="989"/>
      <c r="BP83" s="989"/>
      <c r="BQ83" s="989"/>
      <c r="BR83" s="989"/>
      <c r="BS83" s="989"/>
      <c r="BT83" s="989"/>
      <c r="BU83" s="989"/>
    </row>
    <row r="84" spans="1:73" hidden="1" outlineLevel="1">
      <c r="A84" s="1065" t="s">
        <v>168</v>
      </c>
      <c r="B84" s="989"/>
      <c r="C84" s="989"/>
      <c r="D84" s="989"/>
      <c r="E84" s="989"/>
      <c r="F84" s="989"/>
      <c r="G84" s="989"/>
      <c r="H84" s="989"/>
      <c r="I84" s="989"/>
      <c r="J84" s="989"/>
      <c r="K84" s="989"/>
      <c r="L84" s="1060">
        <f>-L18*0.1</f>
        <v>-1.5169791000000001</v>
      </c>
      <c r="M84" s="989"/>
      <c r="N84" s="1060">
        <f>-N18*0.1</f>
        <v>-4.0468992999999998</v>
      </c>
      <c r="O84" s="989"/>
      <c r="P84" s="1060">
        <f>-P18*0.1</f>
        <v>-3.7436495999999999</v>
      </c>
      <c r="Q84" s="989"/>
      <c r="R84" s="1060">
        <f>-R18*0.1</f>
        <v>-6.4741870000000006</v>
      </c>
      <c r="S84" s="989"/>
      <c r="T84" s="1060">
        <f>-T18*0.1</f>
        <v>-5.23</v>
      </c>
      <c r="U84" s="989"/>
      <c r="V84" s="1060">
        <f>-V18*0.1</f>
        <v>-9.3064999999999998</v>
      </c>
      <c r="W84" s="989"/>
      <c r="X84" s="1060">
        <f>-X18*0.1</f>
        <v>-14.763500000000001</v>
      </c>
      <c r="Y84" s="989"/>
      <c r="Z84" s="1060">
        <f>-Z18*0.1</f>
        <v>-21.831100000000003</v>
      </c>
      <c r="AA84" s="989"/>
      <c r="AB84" s="1060">
        <f>-AB18*0.1</f>
        <v>-20.222300000000004</v>
      </c>
      <c r="AC84" s="1060"/>
      <c r="AD84" s="1060">
        <f>-AD18*0.1</f>
        <v>-10.461500000000001</v>
      </c>
      <c r="AE84" s="1060"/>
      <c r="AF84" s="1060">
        <f>-AF18*0.1</f>
        <v>-6.7920000000000007</v>
      </c>
      <c r="AG84" s="1060"/>
      <c r="AH84" s="1060">
        <f>-AH18*0.1</f>
        <v>-7.3045000000000009</v>
      </c>
      <c r="AI84" s="1060"/>
      <c r="AJ84" s="1060">
        <f>-AJ18*0.1</f>
        <v>-13.175700000000001</v>
      </c>
      <c r="AK84" s="1060"/>
      <c r="AL84" s="1060">
        <f>-AL18*0.1</f>
        <v>-16.469000000000001</v>
      </c>
      <c r="AM84" s="1060"/>
      <c r="AN84" s="1060">
        <f>-AN18*0.1</f>
        <v>-13.850999999999999</v>
      </c>
      <c r="AO84" s="989"/>
      <c r="AP84" s="1060">
        <f>-AP18*0.1</f>
        <v>-11.9817</v>
      </c>
      <c r="AQ84" s="1060"/>
      <c r="AR84" s="1060">
        <f>-AR18*0.1</f>
        <v>-8.4840999999999998</v>
      </c>
      <c r="AS84" s="1060"/>
      <c r="AT84" s="1060">
        <f>-AT18*0.1</f>
        <v>-4.7835999999999999</v>
      </c>
      <c r="AU84" s="1060"/>
      <c r="AV84" s="1675">
        <f>-AV18*0.1</f>
        <v>-4.8530000000000006</v>
      </c>
      <c r="AW84" s="1060"/>
      <c r="AX84" s="1060">
        <f>-AX18*0.1</f>
        <v>-7.5</v>
      </c>
      <c r="AY84" s="1060"/>
      <c r="AZ84" s="1060">
        <f>-AZ18*0.1</f>
        <v>-7.5</v>
      </c>
      <c r="BA84" s="1060"/>
      <c r="BB84" s="1060">
        <f>-BB18*0.1</f>
        <v>-7.5</v>
      </c>
      <c r="BC84" s="1060"/>
      <c r="BD84" s="1060">
        <f>-BD18*0.1</f>
        <v>-7.5</v>
      </c>
      <c r="BE84" s="1060"/>
      <c r="BF84" s="1060">
        <f>-BF18*0.1</f>
        <v>-7.5</v>
      </c>
      <c r="BG84" s="989"/>
      <c r="BH84" s="989"/>
      <c r="BI84" s="989"/>
      <c r="BJ84" s="989"/>
      <c r="BK84" s="989"/>
      <c r="BL84" s="989"/>
      <c r="BM84" s="989"/>
      <c r="BN84" s="989"/>
      <c r="BO84" s="989"/>
      <c r="BP84" s="989"/>
      <c r="BQ84" s="989"/>
      <c r="BR84" s="989"/>
      <c r="BS84" s="989"/>
      <c r="BT84" s="989"/>
      <c r="BU84" s="989"/>
    </row>
    <row r="85" spans="1:73" collapsed="1"/>
    <row r="93" spans="1:73" customFormat="1" outlineLevel="1"/>
  </sheetData>
  <phoneticPr fontId="0" type="noConversion"/>
  <dataValidations disablePrompts="1" count="1">
    <dataValidation type="custom" allowBlank="1" showInputMessage="1" showErrorMessage="1" sqref="A77:A84 B77:BF77">
      <formula1>-1</formula1>
    </dataValidation>
  </dataValidations>
  <printOptions horizontalCentered="1"/>
  <pageMargins left="0" right="0" top="0" bottom="0" header="0" footer="0"/>
  <pageSetup paperSize="5" scale="83" orientation="landscape" r:id="rId1"/>
  <headerFooter alignWithMargins="0">
    <oddFooter>&amp;R&amp;8&amp;D/&amp;T
&amp;F/&amp;A</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AQ190"/>
  <sheetViews>
    <sheetView view="pageBreakPreview" zoomScaleNormal="85" zoomScaleSheetLayoutView="85" workbookViewId="0">
      <pane xSplit="3" ySplit="8" topLeftCell="D9" activePane="bottomRight" state="frozen"/>
      <selection activeCell="E43" sqref="E43"/>
      <selection pane="topRight" activeCell="E43" sqref="E43"/>
      <selection pane="bottomLeft" activeCell="E43" sqref="E43"/>
      <selection pane="bottomRight" activeCell="D9" sqref="D9"/>
    </sheetView>
  </sheetViews>
  <sheetFormatPr defaultRowHeight="12.75" outlineLevelRow="1"/>
  <cols>
    <col min="1" max="1" width="2.85546875" customWidth="1"/>
    <col min="2" max="2" width="6.28515625" customWidth="1"/>
    <col min="3" max="3" width="1.7109375" customWidth="1"/>
    <col min="4" max="4" width="8.5703125" customWidth="1"/>
    <col min="5" max="5" width="1.7109375" customWidth="1"/>
    <col min="6" max="6" width="8.5703125" customWidth="1"/>
    <col min="7" max="7" width="1.7109375" customWidth="1"/>
    <col min="8" max="8" width="7.42578125" customWidth="1"/>
    <col min="9" max="9" width="1.7109375" customWidth="1"/>
    <col min="10" max="10" width="7.42578125" customWidth="1"/>
    <col min="11" max="11" width="1.7109375" customWidth="1"/>
    <col min="12" max="12" width="7.85546875" customWidth="1"/>
    <col min="13" max="13" width="1.7109375" customWidth="1"/>
    <col min="14" max="14" width="7.7109375" customWidth="1"/>
    <col min="15" max="15" width="1.7109375" customWidth="1"/>
    <col min="16" max="16" width="7.7109375" customWidth="1"/>
    <col min="17" max="17" width="1.7109375" customWidth="1"/>
    <col min="18" max="18" width="8.85546875" customWidth="1"/>
    <col min="19" max="19" width="1.7109375" customWidth="1"/>
    <col min="20" max="20" width="8.85546875" customWidth="1"/>
    <col min="21" max="21" width="1.7109375" customWidth="1"/>
    <col min="22" max="22" width="8.140625" customWidth="1"/>
    <col min="23" max="23" width="1.7109375" customWidth="1"/>
    <col min="24" max="24" width="8.140625" customWidth="1"/>
    <col min="25" max="25" width="1.7109375" customWidth="1"/>
    <col min="26" max="26" width="8.140625" customWidth="1"/>
    <col min="27" max="27" width="1.7109375" customWidth="1"/>
    <col min="28" max="28" width="8.140625" customWidth="1"/>
    <col min="29" max="29" width="2.42578125" customWidth="1"/>
    <col min="30" max="30" width="8.140625" customWidth="1"/>
    <col min="31" max="31" width="1.7109375" customWidth="1"/>
    <col min="32" max="32" width="8.140625" customWidth="1"/>
    <col min="33" max="33" width="1.7109375" customWidth="1"/>
    <col min="34" max="34" width="2.28515625" customWidth="1"/>
    <col min="35" max="35" width="8.28515625" customWidth="1"/>
    <col min="36" max="36" width="2" customWidth="1"/>
    <col min="37" max="37" width="2.85546875" customWidth="1"/>
    <col min="38" max="38" width="5.85546875" customWidth="1"/>
    <col min="39" max="39" width="1.7109375" customWidth="1"/>
    <col min="40" max="40" width="5.85546875" customWidth="1"/>
  </cols>
  <sheetData>
    <row r="1" spans="1:43">
      <c r="A1" s="259" t="str">
        <f>+sumry!A1</f>
        <v>Chico's</v>
      </c>
      <c r="B1" s="72"/>
      <c r="C1" s="28"/>
      <c r="D1" s="28"/>
      <c r="E1" s="42"/>
      <c r="F1" s="28"/>
      <c r="G1" s="28"/>
      <c r="H1" s="28"/>
      <c r="I1" s="42"/>
      <c r="J1" s="46"/>
      <c r="K1" s="46"/>
      <c r="L1" s="46"/>
      <c r="M1" s="47"/>
      <c r="N1" s="46"/>
      <c r="O1" s="47"/>
      <c r="P1" s="46"/>
      <c r="Q1" s="46"/>
      <c r="R1" s="47"/>
      <c r="S1" s="46"/>
      <c r="T1" s="46"/>
      <c r="U1" s="47"/>
      <c r="V1" s="47"/>
      <c r="W1" s="46"/>
      <c r="X1" s="46"/>
      <c r="Y1" s="46"/>
      <c r="Z1" s="46"/>
      <c r="AA1" s="46"/>
      <c r="AB1" s="47"/>
      <c r="AC1" s="46"/>
      <c r="AD1" s="46"/>
      <c r="AE1" s="46"/>
      <c r="AF1" s="46"/>
      <c r="AG1" s="46"/>
      <c r="AH1" s="46"/>
      <c r="AI1" s="46"/>
      <c r="AJ1" s="46"/>
      <c r="AK1" s="46"/>
      <c r="AL1" s="46"/>
      <c r="AM1" s="46"/>
      <c r="AN1" s="46"/>
      <c r="AO1" s="46"/>
      <c r="AP1" s="46"/>
      <c r="AQ1" s="46"/>
    </row>
    <row r="2" spans="1:43">
      <c r="A2" s="147" t="s">
        <v>711</v>
      </c>
      <c r="B2" s="73"/>
      <c r="C2" s="29"/>
      <c r="D2" s="29"/>
      <c r="E2" s="43"/>
      <c r="F2" s="29"/>
      <c r="G2" s="29"/>
      <c r="H2" s="29"/>
      <c r="I2" s="43"/>
      <c r="J2" s="29"/>
      <c r="K2" s="29"/>
      <c r="L2" s="29"/>
      <c r="M2" s="43"/>
      <c r="N2" s="29"/>
      <c r="O2" s="43"/>
      <c r="P2" s="29"/>
      <c r="Q2" s="29"/>
      <c r="R2" s="43"/>
      <c r="S2" s="29"/>
      <c r="T2" s="29"/>
      <c r="U2" s="43"/>
      <c r="V2" s="43"/>
      <c r="W2" s="29"/>
      <c r="X2" s="29"/>
      <c r="Y2" s="29"/>
      <c r="Z2" s="29"/>
      <c r="AA2" s="29"/>
      <c r="AB2" s="43"/>
      <c r="AC2" s="29"/>
      <c r="AD2" s="29"/>
      <c r="AE2" s="29"/>
      <c r="AF2" s="29"/>
      <c r="AG2" s="29"/>
      <c r="AH2" s="29"/>
      <c r="AI2" s="29"/>
      <c r="AJ2" s="29"/>
      <c r="AK2" s="29"/>
      <c r="AL2" s="29"/>
      <c r="AM2" s="29"/>
      <c r="AN2" s="29"/>
      <c r="AO2" s="46"/>
      <c r="AP2" s="46"/>
      <c r="AQ2" s="46"/>
    </row>
    <row r="3" spans="1:43" ht="12.75" customHeight="1">
      <c r="A3" s="57" t="s">
        <v>245</v>
      </c>
      <c r="B3" s="58"/>
      <c r="C3" s="57"/>
      <c r="D3" s="58"/>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57"/>
      <c r="AK3" s="57"/>
      <c r="AL3" s="57"/>
      <c r="AM3" s="57"/>
      <c r="AN3" s="57"/>
      <c r="AO3" s="57"/>
      <c r="AP3" s="57"/>
      <c r="AQ3" s="57"/>
    </row>
    <row r="4" spans="1:43">
      <c r="A4" s="66"/>
      <c r="B4" s="66"/>
      <c r="C4" s="66"/>
      <c r="D4" s="66"/>
      <c r="E4" s="66"/>
      <c r="F4" s="66"/>
      <c r="G4" s="66"/>
      <c r="H4" s="66"/>
      <c r="I4" s="66"/>
      <c r="J4" s="66"/>
      <c r="K4" s="66"/>
      <c r="L4" s="66"/>
      <c r="M4" s="66"/>
      <c r="N4" s="66"/>
      <c r="O4" s="66"/>
      <c r="P4" s="66"/>
      <c r="Q4" s="66"/>
      <c r="R4" s="66"/>
      <c r="S4" s="66"/>
      <c r="T4" s="66"/>
      <c r="U4" s="66"/>
      <c r="V4" s="66"/>
      <c r="W4" s="66"/>
      <c r="X4" s="66"/>
      <c r="Y4" s="66"/>
      <c r="Z4" s="66"/>
      <c r="AA4" s="66"/>
      <c r="AB4" s="66"/>
      <c r="AC4" s="66"/>
      <c r="AD4" s="66"/>
      <c r="AE4" s="66"/>
      <c r="AF4" s="66"/>
      <c r="AG4" s="66"/>
      <c r="AH4" s="66"/>
      <c r="AI4" s="66"/>
      <c r="AJ4" s="66"/>
      <c r="AK4" s="66"/>
      <c r="AL4" s="66"/>
      <c r="AM4" s="66"/>
      <c r="AN4" s="66"/>
      <c r="AO4" s="66"/>
      <c r="AP4" s="66"/>
      <c r="AQ4" s="66"/>
    </row>
    <row r="5" spans="1:43">
      <c r="A5" s="66"/>
      <c r="B5" s="66"/>
      <c r="C5" s="66"/>
      <c r="D5" s="65"/>
      <c r="E5" s="65"/>
      <c r="F5" s="65"/>
      <c r="G5" s="65" t="s">
        <v>76</v>
      </c>
      <c r="H5" s="65"/>
      <c r="I5" s="65"/>
      <c r="J5" s="65"/>
      <c r="K5" s="66"/>
      <c r="L5" s="65"/>
      <c r="M5" s="65"/>
      <c r="N5" s="65"/>
      <c r="O5" s="65" t="s">
        <v>77</v>
      </c>
      <c r="P5" s="65"/>
      <c r="Q5" s="66"/>
      <c r="R5" s="66"/>
      <c r="S5" s="66" t="s">
        <v>78</v>
      </c>
      <c r="T5" s="66"/>
      <c r="U5" s="66"/>
      <c r="V5" s="65"/>
      <c r="W5" s="65"/>
      <c r="X5" s="65" t="s">
        <v>79</v>
      </c>
      <c r="Y5" s="65"/>
      <c r="Z5" s="65"/>
      <c r="AA5" s="66"/>
      <c r="AB5" s="65"/>
      <c r="AC5" s="65"/>
      <c r="AD5" s="65" t="s">
        <v>37</v>
      </c>
      <c r="AE5" s="65"/>
      <c r="AF5" s="65"/>
      <c r="AG5" s="66"/>
      <c r="AH5" s="66"/>
      <c r="AI5" s="67"/>
      <c r="AJ5" s="197" t="s">
        <v>523</v>
      </c>
      <c r="AK5" s="197"/>
      <c r="AL5" s="176"/>
      <c r="AM5" s="66" t="s">
        <v>390</v>
      </c>
      <c r="AN5" s="176"/>
      <c r="AO5" s="66"/>
      <c r="AP5" s="66"/>
      <c r="AQ5" s="66"/>
    </row>
    <row r="6" spans="1:43">
      <c r="A6" s="66"/>
      <c r="B6" s="66"/>
      <c r="C6" s="66"/>
      <c r="D6" s="67"/>
      <c r="E6" s="67"/>
      <c r="F6" s="67"/>
      <c r="G6" s="66"/>
      <c r="H6" s="65"/>
      <c r="I6" s="65" t="s">
        <v>84</v>
      </c>
      <c r="J6" s="65"/>
      <c r="K6" s="66"/>
      <c r="L6" s="66" t="s">
        <v>64</v>
      </c>
      <c r="M6" s="66"/>
      <c r="N6" s="76"/>
      <c r="O6" s="76" t="s">
        <v>85</v>
      </c>
      <c r="P6" s="76"/>
      <c r="Q6" s="66"/>
      <c r="R6" s="65"/>
      <c r="S6" s="65" t="s">
        <v>124</v>
      </c>
      <c r="T6" s="65"/>
      <c r="U6" s="66"/>
      <c r="V6" s="66" t="s">
        <v>86</v>
      </c>
      <c r="W6" s="66"/>
      <c r="X6" s="66" t="s">
        <v>84</v>
      </c>
      <c r="Y6" s="66"/>
      <c r="Z6" s="66" t="s">
        <v>87</v>
      </c>
      <c r="AA6" s="66"/>
      <c r="AB6" s="66" t="s">
        <v>415</v>
      </c>
      <c r="AC6" s="66"/>
      <c r="AD6" s="66" t="s">
        <v>84</v>
      </c>
      <c r="AE6" s="66"/>
      <c r="AF6" s="66" t="s">
        <v>87</v>
      </c>
      <c r="AG6" s="66"/>
      <c r="AH6" s="66"/>
      <c r="AI6" s="65"/>
      <c r="AJ6" s="198" t="s">
        <v>524</v>
      </c>
      <c r="AK6" s="198"/>
      <c r="AL6" s="69"/>
      <c r="AM6" s="65" t="s">
        <v>391</v>
      </c>
      <c r="AN6" s="69"/>
      <c r="AO6" s="66"/>
      <c r="AP6" s="66"/>
      <c r="AQ6" s="66"/>
    </row>
    <row r="7" spans="1:43">
      <c r="A7" s="66"/>
      <c r="B7" s="66"/>
      <c r="C7" s="66"/>
      <c r="D7" s="66"/>
      <c r="E7" s="66"/>
      <c r="F7" s="66" t="s">
        <v>88</v>
      </c>
      <c r="G7" s="66"/>
      <c r="H7" s="66" t="s">
        <v>89</v>
      </c>
      <c r="I7" s="66"/>
      <c r="J7" s="66"/>
      <c r="K7" s="66"/>
      <c r="L7" s="66" t="s">
        <v>123</v>
      </c>
      <c r="M7" s="66"/>
      <c r="N7" s="66" t="s">
        <v>90</v>
      </c>
      <c r="O7" s="66"/>
      <c r="P7" s="66" t="s">
        <v>90</v>
      </c>
      <c r="Q7" s="66"/>
      <c r="R7" s="66"/>
      <c r="S7" s="66"/>
      <c r="T7" s="66" t="s">
        <v>91</v>
      </c>
      <c r="U7" s="66"/>
      <c r="V7" s="66" t="s">
        <v>92</v>
      </c>
      <c r="W7" s="66"/>
      <c r="X7" s="66" t="s">
        <v>93</v>
      </c>
      <c r="Y7" s="66"/>
      <c r="Z7" s="66" t="s">
        <v>576</v>
      </c>
      <c r="AA7" s="66"/>
      <c r="AB7" s="66" t="s">
        <v>89</v>
      </c>
      <c r="AC7" s="66"/>
      <c r="AD7" s="66" t="s">
        <v>93</v>
      </c>
      <c r="AE7" s="66"/>
      <c r="AF7" s="66" t="s">
        <v>576</v>
      </c>
      <c r="AG7" s="66"/>
      <c r="AH7" s="66"/>
      <c r="AI7" s="205"/>
      <c r="AJ7" s="206" t="s">
        <v>526</v>
      </c>
      <c r="AK7" s="199"/>
      <c r="AL7" s="68"/>
      <c r="AM7" s="66"/>
      <c r="AN7" s="66" t="s">
        <v>392</v>
      </c>
      <c r="AO7" s="66"/>
      <c r="AP7" s="66"/>
      <c r="AQ7" s="66"/>
    </row>
    <row r="8" spans="1:43">
      <c r="A8" s="66"/>
      <c r="B8" s="66"/>
      <c r="C8" s="66"/>
      <c r="D8" s="65" t="s">
        <v>64</v>
      </c>
      <c r="E8" s="66"/>
      <c r="F8" s="65" t="s">
        <v>94</v>
      </c>
      <c r="G8" s="66"/>
      <c r="H8" s="65" t="s">
        <v>95</v>
      </c>
      <c r="I8" s="66"/>
      <c r="J8" s="65" t="s">
        <v>96</v>
      </c>
      <c r="K8" s="66"/>
      <c r="L8" s="65" t="s">
        <v>97</v>
      </c>
      <c r="M8" s="66"/>
      <c r="N8" s="65" t="s">
        <v>612</v>
      </c>
      <c r="O8" s="66"/>
      <c r="P8" s="65" t="s">
        <v>95</v>
      </c>
      <c r="Q8" s="66"/>
      <c r="R8" s="65" t="s">
        <v>125</v>
      </c>
      <c r="S8" s="66"/>
      <c r="T8" s="65" t="s">
        <v>126</v>
      </c>
      <c r="U8" s="66"/>
      <c r="V8" s="65" t="s">
        <v>127</v>
      </c>
      <c r="W8" s="66"/>
      <c r="X8" s="65" t="s">
        <v>98</v>
      </c>
      <c r="Y8" s="66"/>
      <c r="Z8" s="65" t="s">
        <v>99</v>
      </c>
      <c r="AA8" s="66"/>
      <c r="AB8" s="65" t="s">
        <v>95</v>
      </c>
      <c r="AC8" s="66"/>
      <c r="AD8" s="65" t="s">
        <v>416</v>
      </c>
      <c r="AE8" s="66"/>
      <c r="AF8" s="65" t="s">
        <v>99</v>
      </c>
      <c r="AG8" s="66"/>
      <c r="AH8" s="66"/>
      <c r="AI8" s="65"/>
      <c r="AJ8" s="198" t="s">
        <v>525</v>
      </c>
      <c r="AK8" s="198"/>
      <c r="AL8" s="65" t="s">
        <v>393</v>
      </c>
      <c r="AM8" s="66"/>
      <c r="AN8" s="65" t="s">
        <v>394</v>
      </c>
      <c r="AO8" s="66"/>
      <c r="AP8" s="66"/>
      <c r="AQ8" s="66"/>
    </row>
    <row r="9" spans="1:43">
      <c r="A9" s="27"/>
      <c r="B9" s="27"/>
      <c r="C9" s="27"/>
      <c r="D9" s="27"/>
      <c r="E9" s="27"/>
      <c r="F9" s="27"/>
      <c r="G9" s="27"/>
      <c r="H9" s="27"/>
      <c r="I9" s="27"/>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row>
    <row r="10" spans="1:43" hidden="1" outlineLevel="1">
      <c r="A10" s="27"/>
      <c r="B10" s="74">
        <v>1994</v>
      </c>
      <c r="C10" s="2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row>
    <row r="11" spans="1:43" hidden="1" outlineLevel="1">
      <c r="A11" s="27" t="str">
        <f>'qtrP&amp;L'!A10</f>
        <v>1Q</v>
      </c>
      <c r="B11" s="27" t="str">
        <f>'qtrP&amp;L'!B10</f>
        <v>Apr</v>
      </c>
      <c r="C11" s="27"/>
      <c r="D11" s="34">
        <f>'qtrP&amp;L'!D10</f>
        <v>13.92159</v>
      </c>
      <c r="E11" s="27"/>
      <c r="F11" s="34">
        <f>'qtrP&amp;L'!D20</f>
        <v>4.8706820000000004</v>
      </c>
      <c r="G11" s="27"/>
      <c r="H11" s="34">
        <f>work!D10</f>
        <v>6.5586169999999999</v>
      </c>
      <c r="I11" s="27"/>
      <c r="J11" s="154">
        <f>+(H11+7.016279)/2</f>
        <v>6.7874479999999995</v>
      </c>
      <c r="K11" s="27"/>
      <c r="L11" s="41">
        <f>+'qtrP&amp;L'!E10</f>
        <v>29.078859566465098</v>
      </c>
      <c r="M11" s="124" t="s">
        <v>576</v>
      </c>
      <c r="N11" s="27"/>
      <c r="O11" s="27"/>
      <c r="P11" s="27"/>
      <c r="Q11" s="27"/>
      <c r="R11" s="27"/>
      <c r="S11" s="27"/>
      <c r="T11" s="27"/>
      <c r="U11" s="27"/>
      <c r="V11" s="27">
        <f>qtrSales!J12</f>
        <v>0</v>
      </c>
      <c r="W11" s="27"/>
      <c r="X11" s="36"/>
      <c r="Y11" s="27"/>
      <c r="Z11" s="27"/>
      <c r="AA11" s="27"/>
      <c r="AB11" s="125">
        <f>qtrSales!P12</f>
        <v>0</v>
      </c>
      <c r="AC11" s="27"/>
      <c r="AD11" s="34"/>
      <c r="AE11" s="27"/>
      <c r="AF11" s="27"/>
      <c r="AG11" s="27"/>
      <c r="AH11" s="27"/>
      <c r="AI11" s="27"/>
      <c r="AJ11" s="27"/>
      <c r="AK11" s="27"/>
      <c r="AL11" s="27"/>
      <c r="AM11" s="27"/>
      <c r="AN11" s="27"/>
      <c r="AO11" s="27"/>
      <c r="AP11" s="27"/>
      <c r="AQ11" s="27"/>
    </row>
    <row r="12" spans="1:43" hidden="1" outlineLevel="1">
      <c r="A12" s="27" t="str">
        <f>'qtrP&amp;L'!A11</f>
        <v>2Q</v>
      </c>
      <c r="B12" s="27" t="str">
        <f>'qtrP&amp;L'!B11</f>
        <v>Jul</v>
      </c>
      <c r="C12" s="27"/>
      <c r="D12" s="35">
        <f>'qtrP&amp;L'!D11</f>
        <v>15.980499</v>
      </c>
      <c r="E12" s="27"/>
      <c r="F12" s="35">
        <f>'qtrP&amp;L'!D21</f>
        <v>5.7125760000000003</v>
      </c>
      <c r="G12" s="27"/>
      <c r="H12" s="35">
        <f>work!D11</f>
        <v>5.4657039999999997</v>
      </c>
      <c r="I12" s="27"/>
      <c r="J12" s="35">
        <f>AVERAGE(H11:H12)</f>
        <v>6.0121605000000002</v>
      </c>
      <c r="K12" s="27"/>
      <c r="L12" s="41">
        <f>+'qtrP&amp;L'!E11</f>
        <v>46.033357985211978</v>
      </c>
      <c r="M12" s="27"/>
      <c r="N12" s="27"/>
      <c r="O12" s="27"/>
      <c r="P12" s="27"/>
      <c r="Q12" s="27"/>
      <c r="R12" s="27"/>
      <c r="S12" s="27"/>
      <c r="T12" s="27"/>
      <c r="U12" s="27"/>
      <c r="V12" s="27">
        <f>qtrSales!J13</f>
        <v>0</v>
      </c>
      <c r="W12" s="27"/>
      <c r="X12" s="38"/>
      <c r="Y12" s="27"/>
      <c r="Z12" s="27"/>
      <c r="AA12" s="27"/>
      <c r="AB12" s="125">
        <f>qtrSales!P13</f>
        <v>0</v>
      </c>
      <c r="AC12" s="27"/>
      <c r="AD12" s="35"/>
      <c r="AE12" s="27"/>
      <c r="AF12" s="27"/>
      <c r="AG12" s="27"/>
      <c r="AH12" s="27"/>
      <c r="AI12" s="27"/>
      <c r="AJ12" s="27"/>
      <c r="AK12" s="27"/>
      <c r="AL12" s="27"/>
      <c r="AM12" s="27"/>
      <c r="AN12" s="27"/>
      <c r="AO12" s="27"/>
      <c r="AP12" s="27"/>
      <c r="AQ12" s="27"/>
    </row>
    <row r="13" spans="1:43" hidden="1" outlineLevel="1">
      <c r="A13" s="27" t="str">
        <f>'qtrP&amp;L'!A12</f>
        <v>3Q</v>
      </c>
      <c r="B13" s="27" t="str">
        <f>'qtrP&amp;L'!B12</f>
        <v>Oct</v>
      </c>
      <c r="C13" s="27"/>
      <c r="D13" s="35">
        <f>'qtrP&amp;L'!D12</f>
        <v>15.275766000000001</v>
      </c>
      <c r="E13" s="27"/>
      <c r="F13" s="35">
        <f>'qtrP&amp;L'!D22</f>
        <v>5.7272179999999997</v>
      </c>
      <c r="G13" s="27"/>
      <c r="H13" s="35">
        <f>work!D12</f>
        <v>5.6531419999999999</v>
      </c>
      <c r="I13" s="27"/>
      <c r="J13" s="35">
        <f>AVERAGE(H12:H13)</f>
        <v>5.5594229999999998</v>
      </c>
      <c r="K13" s="27"/>
      <c r="L13" s="41">
        <f>+'qtrP&amp;L'!E12</f>
        <v>27.748213412697464</v>
      </c>
      <c r="M13" s="27"/>
      <c r="N13" s="27"/>
      <c r="O13" s="27"/>
      <c r="P13" s="27"/>
      <c r="Q13" s="27"/>
      <c r="R13" s="27"/>
      <c r="S13" s="27"/>
      <c r="T13" s="27"/>
      <c r="U13" s="27"/>
      <c r="V13" s="27">
        <f>qtrSales!J14</f>
        <v>0</v>
      </c>
      <c r="W13" s="27"/>
      <c r="X13" s="38"/>
      <c r="Y13" s="27"/>
      <c r="Z13" s="27"/>
      <c r="AA13" s="27"/>
      <c r="AB13" s="125">
        <f>qtrSales!P14</f>
        <v>0</v>
      </c>
      <c r="AC13" s="27"/>
      <c r="AD13" s="35"/>
      <c r="AE13" s="27"/>
      <c r="AF13" s="27"/>
      <c r="AG13" s="27"/>
      <c r="AH13" s="27"/>
      <c r="AI13" s="27"/>
      <c r="AJ13" s="27"/>
      <c r="AK13" s="27"/>
      <c r="AL13" s="27"/>
      <c r="AM13" s="27"/>
      <c r="AN13" s="27"/>
      <c r="AO13" s="27"/>
      <c r="AP13" s="27"/>
      <c r="AQ13" s="27"/>
    </row>
    <row r="14" spans="1:43" hidden="1" outlineLevel="1">
      <c r="A14" s="27" t="str">
        <f>'qtrP&amp;L'!A13</f>
        <v>4Q</v>
      </c>
      <c r="B14" s="27" t="str">
        <f>'qtrP&amp;L'!B13</f>
        <v>Jan</v>
      </c>
      <c r="C14" s="27"/>
      <c r="D14" s="37">
        <f>'qtrP&amp;L'!D13</f>
        <v>14.093593</v>
      </c>
      <c r="E14" s="27"/>
      <c r="F14" s="37">
        <f>'qtrP&amp;L'!D23</f>
        <v>6.1079670000000004</v>
      </c>
      <c r="G14" s="27"/>
      <c r="H14" s="89">
        <f>work!D13</f>
        <v>6.5558969999999999</v>
      </c>
      <c r="I14" s="27"/>
      <c r="J14" s="37">
        <f>AVERAGE(H13:H14)</f>
        <v>6.1045195000000003</v>
      </c>
      <c r="K14" s="27"/>
      <c r="L14" s="79">
        <f>+'qtrP&amp;L'!E13</f>
        <v>7.1823528369426848</v>
      </c>
      <c r="M14" s="27"/>
      <c r="N14" s="27"/>
      <c r="O14" s="27"/>
      <c r="P14" s="27"/>
      <c r="Q14" s="27"/>
      <c r="R14" s="27"/>
      <c r="S14" s="27"/>
      <c r="T14" s="27"/>
      <c r="U14" s="27"/>
      <c r="V14" s="27">
        <f>qtrSales!J15</f>
        <v>121</v>
      </c>
      <c r="W14" s="27"/>
      <c r="X14" s="38">
        <f>H14/V14</f>
        <v>5.4180966942148759E-2</v>
      </c>
      <c r="Y14" s="27"/>
      <c r="Z14" s="27"/>
      <c r="AA14" s="27"/>
      <c r="AB14" s="125">
        <f>+yrSales!B65</f>
        <v>0.19275899999999999</v>
      </c>
      <c r="AC14" s="27"/>
      <c r="AD14" s="35">
        <f>H14/AB14</f>
        <v>34.010847742517861</v>
      </c>
      <c r="AE14" s="27"/>
      <c r="AF14" s="27"/>
      <c r="AG14" s="27"/>
      <c r="AH14" s="27"/>
      <c r="AI14" s="27"/>
      <c r="AJ14" s="27"/>
      <c r="AK14" s="27"/>
      <c r="AL14" s="27"/>
      <c r="AM14" s="27"/>
      <c r="AN14" s="27"/>
      <c r="AO14" s="27"/>
      <c r="AP14" s="27"/>
      <c r="AQ14" s="27"/>
    </row>
    <row r="15" spans="1:43" hidden="1" outlineLevel="1">
      <c r="A15" s="27"/>
      <c r="B15" s="27" t="str">
        <f>'qtrP&amp;L'!B14</f>
        <v>Year</v>
      </c>
      <c r="C15" s="27"/>
      <c r="D15" s="34">
        <f>SUM(D11:D14)</f>
        <v>59.271447999999999</v>
      </c>
      <c r="E15" s="27"/>
      <c r="F15" s="34">
        <f>'qtrP&amp;L'!D24</f>
        <v>22.418443000000003</v>
      </c>
      <c r="G15" s="27"/>
      <c r="H15" s="27"/>
      <c r="I15" s="27"/>
      <c r="J15" s="34">
        <f>AVERAGE(J11:J14)</f>
        <v>6.1158877500000006</v>
      </c>
      <c r="K15" s="27"/>
      <c r="L15" s="41">
        <f>+'qtrP&amp;L'!E14</f>
        <v>26.553015995146055</v>
      </c>
      <c r="M15" s="27"/>
      <c r="N15" s="27"/>
      <c r="O15" s="27"/>
      <c r="P15" s="27"/>
      <c r="Q15" s="27"/>
      <c r="R15" s="77"/>
      <c r="S15" s="78"/>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row>
    <row r="16" spans="1:43" hidden="1" outlineLevel="1">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row>
    <row r="17" spans="1:43" hidden="1" outlineLevel="1">
      <c r="A17" s="27"/>
      <c r="B17" s="71">
        <f>B10+1</f>
        <v>1995</v>
      </c>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row>
    <row r="18" spans="1:43" hidden="1" outlineLevel="1">
      <c r="A18" s="27" t="str">
        <f>$A$11</f>
        <v>1Q</v>
      </c>
      <c r="B18" s="27" t="str">
        <f>$B$11</f>
        <v>Apr</v>
      </c>
      <c r="C18" s="27"/>
      <c r="D18" s="34">
        <f>'qtrP&amp;L'!H10</f>
        <v>14.659974</v>
      </c>
      <c r="E18" s="27"/>
      <c r="F18" s="34">
        <f>'qtrP&amp;L'!H20</f>
        <v>6.8648230000000003</v>
      </c>
      <c r="G18" s="27"/>
      <c r="H18" s="34">
        <f>work!F10</f>
        <v>4.4832109999999998</v>
      </c>
      <c r="I18" s="27"/>
      <c r="J18" s="34">
        <f>AVERAGE(H18,H14)</f>
        <v>5.5195539999999994</v>
      </c>
      <c r="K18" s="27"/>
      <c r="L18" s="41">
        <f>(D18/D11-1)*100</f>
        <v>5.3038769278509035</v>
      </c>
      <c r="M18" s="27" t="s">
        <v>576</v>
      </c>
      <c r="N18" s="41">
        <f>(H18/H11-1)*100</f>
        <v>-31.64395786489743</v>
      </c>
      <c r="O18" s="27" t="s">
        <v>576</v>
      </c>
      <c r="P18" s="41">
        <f>(H18/H14-1)*100</f>
        <v>-31.61559737744507</v>
      </c>
      <c r="Q18" s="27" t="s">
        <v>576</v>
      </c>
      <c r="R18" s="38">
        <f>F18/J18</f>
        <v>1.2437278446773057</v>
      </c>
      <c r="S18" s="27" t="s">
        <v>100</v>
      </c>
      <c r="T18" s="38">
        <f>F19/H18</f>
        <v>1.415467842133685</v>
      </c>
      <c r="U18" s="27" t="s">
        <v>100</v>
      </c>
      <c r="V18" s="27">
        <f>qtrSales!J19</f>
        <v>125</v>
      </c>
      <c r="W18" s="27"/>
      <c r="X18" s="36">
        <f>H18/V18</f>
        <v>3.5865688E-2</v>
      </c>
      <c r="Y18" s="27"/>
      <c r="Z18" s="80"/>
      <c r="AA18" s="124" t="s">
        <v>576</v>
      </c>
      <c r="AB18" s="126">
        <f>+AB14+((V18-V14)*(yrSales!$C$78/1000000))</f>
        <v>0.19925899999999999</v>
      </c>
      <c r="AC18" s="27"/>
      <c r="AD18" s="131">
        <f>H18/AB18</f>
        <v>22.499415333811772</v>
      </c>
      <c r="AE18" s="27"/>
      <c r="AF18" s="130"/>
      <c r="AG18" s="124" t="s">
        <v>576</v>
      </c>
      <c r="AH18" s="124"/>
      <c r="AI18" s="124"/>
      <c r="AJ18" s="124"/>
      <c r="AK18" s="124"/>
      <c r="AL18" s="27"/>
      <c r="AM18" s="27"/>
      <c r="AN18" s="27"/>
      <c r="AO18" s="27"/>
      <c r="AP18" s="27"/>
      <c r="AQ18" s="27"/>
    </row>
    <row r="19" spans="1:43" hidden="1" outlineLevel="1">
      <c r="A19" s="27" t="str">
        <f>$A$12</f>
        <v>2Q</v>
      </c>
      <c r="B19" s="27" t="str">
        <f>$B$12</f>
        <v>Jul</v>
      </c>
      <c r="C19" s="27"/>
      <c r="D19" s="35">
        <f>'qtrP&amp;L'!H11</f>
        <v>15.527196</v>
      </c>
      <c r="E19" s="27"/>
      <c r="F19" s="35">
        <f>'qtrP&amp;L'!H21</f>
        <v>6.3458410000000001</v>
      </c>
      <c r="G19" s="27"/>
      <c r="H19" s="35">
        <f>work!F11</f>
        <v>6.2501720000000001</v>
      </c>
      <c r="I19" s="27"/>
      <c r="J19" s="35">
        <f>AVERAGE(H18:H19)</f>
        <v>5.3666914999999999</v>
      </c>
      <c r="K19" s="27"/>
      <c r="L19" s="41">
        <f>(D19/D12-1)*100</f>
        <v>-2.8366010347987247</v>
      </c>
      <c r="M19" s="27"/>
      <c r="N19" s="41">
        <f>(H19/H12-1)*100</f>
        <v>14.352551839616634</v>
      </c>
      <c r="O19" s="27"/>
      <c r="P19" s="41">
        <f>(H19/H18-1)*100</f>
        <v>39.412844945285876</v>
      </c>
      <c r="Q19" s="27"/>
      <c r="R19" s="38">
        <f>F19/J19</f>
        <v>1.1824493731379939</v>
      </c>
      <c r="S19" s="27"/>
      <c r="T19" s="38">
        <f>F20/H19</f>
        <v>1.0444579765164863</v>
      </c>
      <c r="U19" s="27"/>
      <c r="V19" s="27">
        <f>qtrSales!J20</f>
        <v>123</v>
      </c>
      <c r="W19" s="27"/>
      <c r="X19" s="38">
        <f>H19/V19</f>
        <v>5.0814406504065039E-2</v>
      </c>
      <c r="Y19" s="27"/>
      <c r="Z19" s="80"/>
      <c r="AA19" s="27"/>
      <c r="AB19" s="126">
        <f>+AB18+((V19-V18)*(yrSales!$C$78/1000000))</f>
        <v>0.19600899999999999</v>
      </c>
      <c r="AC19" s="27"/>
      <c r="AD19" s="132">
        <f>H19/AB19</f>
        <v>31.887168446346852</v>
      </c>
      <c r="AE19" s="27"/>
      <c r="AF19" s="130"/>
      <c r="AG19" s="27"/>
      <c r="AH19" s="27"/>
      <c r="AI19" s="27"/>
      <c r="AJ19" s="27"/>
      <c r="AK19" s="27"/>
      <c r="AL19" s="27"/>
      <c r="AM19" s="27"/>
      <c r="AN19" s="27"/>
      <c r="AO19" s="27"/>
      <c r="AP19" s="27"/>
      <c r="AQ19" s="27"/>
    </row>
    <row r="20" spans="1:43" hidden="1" outlineLevel="1">
      <c r="A20" s="27" t="str">
        <f>$A$13</f>
        <v>3Q</v>
      </c>
      <c r="B20" s="27" t="str">
        <f>$B$13</f>
        <v>Oct</v>
      </c>
      <c r="C20" s="27"/>
      <c r="D20" s="35">
        <f>'qtrP&amp;L'!H12</f>
        <v>15.269083</v>
      </c>
      <c r="E20" s="27"/>
      <c r="F20" s="35">
        <f>'qtrP&amp;L'!H22</f>
        <v>6.5280420000000001</v>
      </c>
      <c r="G20" s="27"/>
      <c r="H20" s="35">
        <f>work!F12</f>
        <v>8.2505810000000004</v>
      </c>
      <c r="I20" s="27"/>
      <c r="J20" s="35">
        <f>AVERAGE(H19:H20)</f>
        <v>7.2503764999999998</v>
      </c>
      <c r="K20" s="27"/>
      <c r="L20" s="41">
        <f>(D20/D13-1)*100</f>
        <v>-4.3749033600026799E-2</v>
      </c>
      <c r="M20" s="27"/>
      <c r="N20" s="41">
        <f>(H20/H13-1)*100</f>
        <v>45.946820369981879</v>
      </c>
      <c r="O20" s="27"/>
      <c r="P20" s="41">
        <f>(H20/H19-1)*100</f>
        <v>32.00566320414864</v>
      </c>
      <c r="Q20" s="27"/>
      <c r="R20" s="38">
        <f>F20/J20</f>
        <v>0.9003728289144709</v>
      </c>
      <c r="S20" s="27"/>
      <c r="T20" s="38">
        <f>F21/H20</f>
        <v>0.77286920763519562</v>
      </c>
      <c r="U20" s="27"/>
      <c r="V20" s="27">
        <f>qtrSales!J21</f>
        <v>122</v>
      </c>
      <c r="W20" s="27"/>
      <c r="X20" s="38">
        <f>H20/V20</f>
        <v>6.7627713114754101E-2</v>
      </c>
      <c r="Y20" s="27"/>
      <c r="Z20" s="80"/>
      <c r="AA20" s="27"/>
      <c r="AB20" s="126">
        <f>+AB19+((V20-V19)*(yrSales!$C$78/1000000))</f>
        <v>0.194384</v>
      </c>
      <c r="AC20" s="27"/>
      <c r="AD20" s="132">
        <f>H20/AB20</f>
        <v>42.44475368343074</v>
      </c>
      <c r="AE20" s="27"/>
      <c r="AF20" s="130"/>
      <c r="AG20" s="27"/>
      <c r="AH20" s="27"/>
      <c r="AI20" s="27"/>
      <c r="AJ20" s="27"/>
      <c r="AK20" s="27"/>
      <c r="AL20" s="27"/>
      <c r="AM20" s="27"/>
      <c r="AN20" s="27"/>
      <c r="AO20" s="27"/>
      <c r="AP20" s="27"/>
      <c r="AQ20" s="27"/>
    </row>
    <row r="21" spans="1:43" hidden="1" outlineLevel="1">
      <c r="A21" s="27" t="str">
        <f>$A$14</f>
        <v>4Q</v>
      </c>
      <c r="B21" s="27" t="str">
        <f>$B$14</f>
        <v>Jan</v>
      </c>
      <c r="C21" s="27"/>
      <c r="D21" s="37">
        <f>'qtrP&amp;L'!H13</f>
        <v>14.886934999999999</v>
      </c>
      <c r="E21" s="27"/>
      <c r="F21" s="37">
        <f>'qtrP&amp;L'!H23</f>
        <v>6.37662</v>
      </c>
      <c r="G21" s="27"/>
      <c r="H21" s="89">
        <f>work!F13</f>
        <v>6.7753740000000002</v>
      </c>
      <c r="I21" s="27"/>
      <c r="J21" s="37">
        <f>AVERAGE(H20:H21)</f>
        <v>7.5129774999999999</v>
      </c>
      <c r="K21" s="27"/>
      <c r="L21" s="79">
        <f>(D21/D14-1)*100</f>
        <v>5.6290968527330065</v>
      </c>
      <c r="M21" s="27"/>
      <c r="N21" s="80">
        <f>(H21/H14-1)*100</f>
        <v>3.3477798690247917</v>
      </c>
      <c r="O21" s="27"/>
      <c r="P21" s="80">
        <f>(H21/H20-1)*100</f>
        <v>-17.880037781581681</v>
      </c>
      <c r="Q21" s="27"/>
      <c r="R21" s="38">
        <f>F21/J21</f>
        <v>0.84874738410969552</v>
      </c>
      <c r="S21" s="27"/>
      <c r="T21" s="38">
        <f>F25/H21</f>
        <v>1.0980803421331429</v>
      </c>
      <c r="U21" s="27"/>
      <c r="V21" s="27">
        <f>qtrSales!J22</f>
        <v>123</v>
      </c>
      <c r="W21" s="27"/>
      <c r="X21" s="38">
        <f>H21/V21</f>
        <v>5.5084341463414635E-2</v>
      </c>
      <c r="Y21" s="27"/>
      <c r="Z21" s="80">
        <f>(X21/X14-1)*100</f>
        <v>1.6673281638373894</v>
      </c>
      <c r="AA21" s="27"/>
      <c r="AB21" s="125">
        <f>yrSales!C65</f>
        <v>0.19770299999999999</v>
      </c>
      <c r="AC21" s="27"/>
      <c r="AD21" s="132">
        <f>H21/AB21</f>
        <v>34.270466305518887</v>
      </c>
      <c r="AE21" s="27"/>
      <c r="AF21" s="80">
        <f>(AD21/AD14-1)*100</f>
        <v>0.76334046409689549</v>
      </c>
      <c r="AG21" s="27"/>
      <c r="AH21" s="27"/>
      <c r="AI21" s="27"/>
      <c r="AJ21" s="27"/>
      <c r="AK21" s="27"/>
      <c r="AL21" s="27"/>
      <c r="AM21" s="27"/>
      <c r="AN21" s="27"/>
      <c r="AO21" s="27"/>
      <c r="AP21" s="27"/>
      <c r="AQ21" s="27"/>
    </row>
    <row r="22" spans="1:43" hidden="1" outlineLevel="1">
      <c r="A22" s="27"/>
      <c r="B22" s="27" t="str">
        <f>$B$15</f>
        <v>Year</v>
      </c>
      <c r="C22" s="27"/>
      <c r="D22" s="34">
        <f>SUM(D18:D21)</f>
        <v>60.343188000000005</v>
      </c>
      <c r="E22" s="27"/>
      <c r="F22" s="34">
        <f>SUM(F18:F21)</f>
        <v>26.115326</v>
      </c>
      <c r="G22" s="27"/>
      <c r="H22" s="27"/>
      <c r="I22" s="27"/>
      <c r="J22" s="34">
        <f>AVERAGE(J18:J21)</f>
        <v>6.4123998750000002</v>
      </c>
      <c r="K22" s="27"/>
      <c r="L22" s="41">
        <f>(D22/D15-1)*100</f>
        <v>1.808189332577137</v>
      </c>
      <c r="M22" s="27"/>
      <c r="N22" s="80"/>
      <c r="O22" s="27"/>
      <c r="P22" s="27"/>
      <c r="Q22" s="27"/>
      <c r="R22" s="81">
        <f>F22/J22</f>
        <v>4.0726290482625274</v>
      </c>
      <c r="S22" s="78" t="s">
        <v>100</v>
      </c>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row>
    <row r="23" spans="1:43" hidden="1" outlineLevel="1">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row>
    <row r="24" spans="1:43" hidden="1" outlineLevel="1">
      <c r="A24" s="27"/>
      <c r="B24" s="71">
        <f>B17+1</f>
        <v>1996</v>
      </c>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c r="AP24" s="27"/>
      <c r="AQ24" s="27"/>
    </row>
    <row r="25" spans="1:43" hidden="1" outlineLevel="1">
      <c r="A25" s="27" t="str">
        <f>$A$11</f>
        <v>1Q</v>
      </c>
      <c r="B25" s="27" t="str">
        <f>$B$11</f>
        <v>Apr</v>
      </c>
      <c r="C25" s="27"/>
      <c r="D25" s="34">
        <f>'qtrP&amp;L'!L10</f>
        <v>17.302551999999999</v>
      </c>
      <c r="E25" s="27"/>
      <c r="F25" s="34">
        <f>'qtrP&amp;L'!L20</f>
        <v>7.4399050000000004</v>
      </c>
      <c r="G25" s="27"/>
      <c r="H25" s="34">
        <f>work!J10</f>
        <v>6.1163550000000004</v>
      </c>
      <c r="I25" s="27"/>
      <c r="J25" s="34">
        <f>AVERAGE(H25,H21)</f>
        <v>6.4458645000000008</v>
      </c>
      <c r="K25" s="27"/>
      <c r="L25" s="41">
        <f>(D25/D18-1)*100</f>
        <v>18.025802774275036</v>
      </c>
      <c r="M25" s="27" t="s">
        <v>576</v>
      </c>
      <c r="N25" s="41">
        <f>(H25/H18-1)*100</f>
        <v>36.427997700755114</v>
      </c>
      <c r="O25" s="27" t="s">
        <v>576</v>
      </c>
      <c r="P25" s="41">
        <f>(H25/H21-1)*100</f>
        <v>-9.7266807706851246</v>
      </c>
      <c r="Q25" s="27" t="s">
        <v>576</v>
      </c>
      <c r="R25" s="38">
        <f>F25/J25</f>
        <v>1.1542136822764424</v>
      </c>
      <c r="S25" s="27" t="s">
        <v>100</v>
      </c>
      <c r="T25" s="38">
        <f>F26/H25</f>
        <v>0.97981036090939766</v>
      </c>
      <c r="U25" s="27" t="s">
        <v>100</v>
      </c>
      <c r="V25" s="27">
        <f>qtrSales!J26</f>
        <v>122</v>
      </c>
      <c r="W25" s="27"/>
      <c r="X25" s="36">
        <f>H25/V25</f>
        <v>5.0134057377049186E-2</v>
      </c>
      <c r="Y25" s="27"/>
      <c r="Z25" s="80">
        <f>(X25/X18-1)*100</f>
        <v>39.782784529462219</v>
      </c>
      <c r="AA25" s="124" t="s">
        <v>576</v>
      </c>
      <c r="AB25" s="126">
        <f>+AB21+((V25-V21)*(yrSales!$D$78/1000000))</f>
        <v>0.196078</v>
      </c>
      <c r="AC25" s="27"/>
      <c r="AD25" s="131">
        <f>H25/AB25</f>
        <v>31.193479125654079</v>
      </c>
      <c r="AE25" s="27"/>
      <c r="AF25" s="80">
        <f>(AD25/AD18-1)*100</f>
        <v>38.641287619492061</v>
      </c>
      <c r="AG25" s="124" t="s">
        <v>576</v>
      </c>
      <c r="AH25" s="124"/>
      <c r="AI25" s="124"/>
      <c r="AJ25" s="124"/>
      <c r="AK25" s="124"/>
      <c r="AL25" s="75"/>
      <c r="AM25" s="27"/>
      <c r="AN25" s="75"/>
      <c r="AO25" s="27"/>
      <c r="AP25" s="27"/>
      <c r="AQ25" s="27"/>
    </row>
    <row r="26" spans="1:43" hidden="1" outlineLevel="1">
      <c r="A26" s="27" t="str">
        <f>$A$12</f>
        <v>2Q</v>
      </c>
      <c r="B26" s="27" t="str">
        <f>$B$12</f>
        <v>Jul</v>
      </c>
      <c r="C26" s="27"/>
      <c r="D26" s="35">
        <f>'qtrP&amp;L'!L11</f>
        <v>16.073288999999999</v>
      </c>
      <c r="E26" s="27"/>
      <c r="F26" s="35">
        <f>'qtrP&amp;L'!L21</f>
        <v>5.9928679999999996</v>
      </c>
      <c r="G26" s="27"/>
      <c r="H26" s="35">
        <f>work!J11</f>
        <v>6.9945370000000002</v>
      </c>
      <c r="I26" s="27"/>
      <c r="J26" s="35">
        <f>AVERAGE(H25:H26)</f>
        <v>6.5554459999999999</v>
      </c>
      <c r="K26" s="27"/>
      <c r="L26" s="41">
        <f>(D26/D19-1)*100</f>
        <v>3.5170097678936862</v>
      </c>
      <c r="M26" s="27"/>
      <c r="N26" s="41">
        <f>(H26/H19-1)*100</f>
        <v>11.909512250222875</v>
      </c>
      <c r="O26" s="27"/>
      <c r="P26" s="41">
        <f>(H26/H25-1)*100</f>
        <v>14.357930499455973</v>
      </c>
      <c r="Q26" s="27"/>
      <c r="R26" s="38">
        <f>F26/J26</f>
        <v>0.9141815827634</v>
      </c>
      <c r="S26" s="27"/>
      <c r="T26" s="38">
        <f>F27/H26</f>
        <v>0.90912364892772746</v>
      </c>
      <c r="U26" s="27"/>
      <c r="V26" s="27">
        <f>qtrSales!J27</f>
        <v>123</v>
      </c>
      <c r="W26" s="27"/>
      <c r="X26" s="38">
        <f>H26/V26</f>
        <v>5.6866154471544715E-2</v>
      </c>
      <c r="Y26" s="27"/>
      <c r="Z26" s="80">
        <f>(X26/X19-1)*100</f>
        <v>11.909512250222875</v>
      </c>
      <c r="AA26" s="27"/>
      <c r="AB26" s="126">
        <f>+AB25+((V26-V25)*(yrSales!$D$78/1000000))</f>
        <v>0.19770299999999999</v>
      </c>
      <c r="AC26" s="27"/>
      <c r="AD26" s="132">
        <f>H26/AB26</f>
        <v>35.379012963890283</v>
      </c>
      <c r="AE26" s="27"/>
      <c r="AF26" s="80">
        <f>(AD26/AD19-1)*100</f>
        <v>10.950625871402742</v>
      </c>
      <c r="AG26" s="27"/>
      <c r="AH26" s="27"/>
      <c r="AI26" s="27"/>
      <c r="AJ26" s="27"/>
      <c r="AK26" s="27"/>
      <c r="AL26" s="75"/>
      <c r="AM26" s="27"/>
      <c r="AN26" s="75"/>
      <c r="AO26" s="27"/>
      <c r="AP26" s="27"/>
      <c r="AQ26" s="27"/>
    </row>
    <row r="27" spans="1:43" hidden="1" outlineLevel="1">
      <c r="A27" s="27" t="str">
        <f>$A$13</f>
        <v>3Q</v>
      </c>
      <c r="B27" s="27" t="str">
        <f>$B$13</f>
        <v>Oct</v>
      </c>
      <c r="C27" s="27"/>
      <c r="D27" s="35">
        <f>'qtrP&amp;L'!L12</f>
        <v>15.727262</v>
      </c>
      <c r="E27" s="27"/>
      <c r="F27" s="35">
        <f>'qtrP&amp;L'!L22</f>
        <v>6.3588990000000001</v>
      </c>
      <c r="G27" s="27"/>
      <c r="H27" s="35">
        <f>work!J12</f>
        <v>9.0553629999999998</v>
      </c>
      <c r="I27" s="27"/>
      <c r="J27" s="35">
        <f>AVERAGE(H26:H27)</f>
        <v>8.0249500000000005</v>
      </c>
      <c r="K27" s="27"/>
      <c r="L27" s="41">
        <f>(D27/D20-1)*100</f>
        <v>3.000697553350129</v>
      </c>
      <c r="M27" s="27"/>
      <c r="N27" s="41">
        <f>(H27/H20-1)*100</f>
        <v>9.7542463979203298</v>
      </c>
      <c r="O27" s="27"/>
      <c r="P27" s="41">
        <f>(H27/H26-1)*100</f>
        <v>29.463365480803084</v>
      </c>
      <c r="Q27" s="27"/>
      <c r="R27" s="38">
        <f>F27/J27</f>
        <v>0.79239110524053102</v>
      </c>
      <c r="S27" s="27"/>
      <c r="T27" s="38">
        <f>F28/H27</f>
        <v>0.7642767054175521</v>
      </c>
      <c r="U27" s="27"/>
      <c r="V27" s="27">
        <f>qtrSales!J28</f>
        <v>130</v>
      </c>
      <c r="W27" s="27"/>
      <c r="X27" s="38">
        <f>H27/V27</f>
        <v>6.9656638461538467E-2</v>
      </c>
      <c r="Y27" s="27"/>
      <c r="Z27" s="80">
        <f>(X27/X20-1)*100</f>
        <v>3.0001389272790835</v>
      </c>
      <c r="AA27" s="27"/>
      <c r="AB27" s="126">
        <f>+AB26+((V27-V26)*(yrSales!$D$78/1000000))</f>
        <v>0.20907799999999999</v>
      </c>
      <c r="AC27" s="27"/>
      <c r="AD27" s="132">
        <f>H27/AB27</f>
        <v>43.31093180535494</v>
      </c>
      <c r="AE27" s="27"/>
      <c r="AF27" s="80">
        <f>(AD27/AD20-1)*100</f>
        <v>2.0407189269714854</v>
      </c>
      <c r="AG27" s="27"/>
      <c r="AH27" s="27"/>
      <c r="AI27" s="27"/>
      <c r="AJ27" s="27"/>
      <c r="AK27" s="27"/>
      <c r="AL27" s="75"/>
      <c r="AM27" s="27"/>
      <c r="AN27" s="75"/>
      <c r="AO27" s="27"/>
      <c r="AP27" s="27"/>
      <c r="AQ27" s="27"/>
    </row>
    <row r="28" spans="1:43" hidden="1" outlineLevel="1">
      <c r="A28" s="27" t="str">
        <f>$A$14</f>
        <v>4Q</v>
      </c>
      <c r="B28" s="27" t="str">
        <f>$B$14</f>
        <v>Jan</v>
      </c>
      <c r="C28" s="27"/>
      <c r="D28" s="37">
        <f>'qtrP&amp;L'!L13</f>
        <v>14.969502</v>
      </c>
      <c r="E28" s="27"/>
      <c r="F28" s="37">
        <f>'qtrP&amp;L'!L23</f>
        <v>6.9208030000000003</v>
      </c>
      <c r="G28" s="27"/>
      <c r="H28" s="89">
        <f>work!J13</f>
        <v>7.8453619999999997</v>
      </c>
      <c r="I28" s="27"/>
      <c r="J28" s="37">
        <f>AVERAGE(H27:H28)</f>
        <v>8.4503625000000007</v>
      </c>
      <c r="K28" s="27"/>
      <c r="L28" s="79">
        <f>(D28/D21-1)*100</f>
        <v>0.5546272620925663</v>
      </c>
      <c r="M28" s="27"/>
      <c r="N28" s="80">
        <f>(H28/H21-1)*100</f>
        <v>15.792309029730301</v>
      </c>
      <c r="O28" s="27"/>
      <c r="P28" s="80">
        <f>(H28/H27-1)*100</f>
        <v>-13.36225836556746</v>
      </c>
      <c r="Q28" s="27"/>
      <c r="R28" s="38">
        <f>F28/J28</f>
        <v>0.81899480643581857</v>
      </c>
      <c r="S28" s="27"/>
      <c r="T28" s="38">
        <f>F32/H28</f>
        <v>1.0345424468622353</v>
      </c>
      <c r="U28" s="27"/>
      <c r="V28" s="27">
        <f>qtrSales!J29</f>
        <v>133</v>
      </c>
      <c r="W28" s="27"/>
      <c r="X28" s="38">
        <f>H28/V28</f>
        <v>5.8987684210526317E-2</v>
      </c>
      <c r="Y28" s="27"/>
      <c r="Z28" s="80">
        <f>(X28/X21-1)*100</f>
        <v>7.0861203808784134</v>
      </c>
      <c r="AA28" s="27"/>
      <c r="AB28" s="160">
        <f>+yrSales!D65</f>
        <v>0.212121</v>
      </c>
      <c r="AC28" s="27"/>
      <c r="AD28" s="132">
        <f>H28/AB28</f>
        <v>36.985314985314986</v>
      </c>
      <c r="AE28" s="27"/>
      <c r="AF28" s="80">
        <f>(AD28/AD21-1)*100</f>
        <v>7.9218317474685218</v>
      </c>
      <c r="AG28" s="27"/>
      <c r="AH28" s="27"/>
      <c r="AI28" s="27"/>
      <c r="AJ28" s="27"/>
      <c r="AK28" s="27"/>
      <c r="AL28" s="75"/>
      <c r="AM28" s="27"/>
      <c r="AN28" s="75"/>
      <c r="AO28" s="27"/>
      <c r="AP28" s="27"/>
      <c r="AQ28" s="27"/>
    </row>
    <row r="29" spans="1:43" hidden="1" outlineLevel="1">
      <c r="A29" s="27"/>
      <c r="B29" s="27" t="str">
        <f>$B$15</f>
        <v>Year</v>
      </c>
      <c r="C29" s="27"/>
      <c r="D29" s="34">
        <f>SUM(D25:D28)</f>
        <v>64.072604999999996</v>
      </c>
      <c r="E29" s="27"/>
      <c r="F29" s="34">
        <f>SUM(F25:F28)</f>
        <v>26.712475000000001</v>
      </c>
      <c r="G29" s="27"/>
      <c r="H29" s="27"/>
      <c r="I29" s="27"/>
      <c r="J29" s="34">
        <f>AVERAGE(J25:J28)</f>
        <v>7.36915575</v>
      </c>
      <c r="K29" s="27"/>
      <c r="L29" s="41">
        <f>(D29/D22-1)*100</f>
        <v>6.1803446645874782</v>
      </c>
      <c r="M29" s="27"/>
      <c r="N29" s="80"/>
      <c r="O29" s="27"/>
      <c r="P29" s="27"/>
      <c r="Q29" s="27"/>
      <c r="R29" s="81">
        <f>F29/J29</f>
        <v>3.6249030290885087</v>
      </c>
      <c r="S29" s="78" t="s">
        <v>100</v>
      </c>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row>
    <row r="30" spans="1:43" hidden="1" outlineLevel="1">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row>
    <row r="31" spans="1:43" hidden="1" outlineLevel="1" collapsed="1">
      <c r="A31" s="27"/>
      <c r="B31" s="71">
        <f>B24+1</f>
        <v>1997</v>
      </c>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row>
    <row r="32" spans="1:43" hidden="1" outlineLevel="1">
      <c r="A32" s="27" t="str">
        <f>$A$11</f>
        <v>1Q</v>
      </c>
      <c r="B32" s="27" t="str">
        <f>$B$11</f>
        <v>Apr</v>
      </c>
      <c r="C32" s="27"/>
      <c r="D32" s="34">
        <f>'qtrP&amp;L'!P10</f>
        <v>18.719797</v>
      </c>
      <c r="E32" s="27"/>
      <c r="F32" s="34">
        <f>'qtrP&amp;L'!P20</f>
        <v>8.1163600000000002</v>
      </c>
      <c r="G32" s="27"/>
      <c r="H32" s="34">
        <f>work!N10</f>
        <v>6.6983819999999996</v>
      </c>
      <c r="I32" s="27"/>
      <c r="J32" s="34">
        <f>AVERAGE(H32,H28)</f>
        <v>7.2718720000000001</v>
      </c>
      <c r="K32" s="27"/>
      <c r="L32" s="41">
        <f>(D32/D25-1)*100</f>
        <v>8.1909593451879203</v>
      </c>
      <c r="M32" s="27" t="s">
        <v>576</v>
      </c>
      <c r="N32" s="41">
        <f>(H32/H25-1)*100</f>
        <v>9.5159126636697788</v>
      </c>
      <c r="O32" s="27" t="s">
        <v>576</v>
      </c>
      <c r="P32" s="41">
        <f>(H32/H28-1)*100</f>
        <v>-14.619848007013569</v>
      </c>
      <c r="Q32" s="27" t="s">
        <v>576</v>
      </c>
      <c r="R32" s="38">
        <f>F32/J32</f>
        <v>1.1161307569770205</v>
      </c>
      <c r="S32" s="27" t="s">
        <v>100</v>
      </c>
      <c r="T32" s="38">
        <f>F33/H32</f>
        <v>1.3678721219542274</v>
      </c>
      <c r="U32" s="27" t="s">
        <v>100</v>
      </c>
      <c r="V32" s="27">
        <f>qtrSales!J33</f>
        <v>135</v>
      </c>
      <c r="W32" s="27"/>
      <c r="X32" s="36">
        <f>H32/V32</f>
        <v>4.9617644444444442E-2</v>
      </c>
      <c r="Y32" s="27"/>
      <c r="Z32" s="80">
        <f>(X32/X25-1)*100</f>
        <v>-1.0300641113502818</v>
      </c>
      <c r="AA32" s="124" t="s">
        <v>576</v>
      </c>
      <c r="AB32" s="126">
        <f>+AB28+((V32-V28)*(yrSales!$D$78/1000000))</f>
        <v>0.21537100000000001</v>
      </c>
      <c r="AC32" s="27"/>
      <c r="AD32" s="131">
        <f>H32/AB32</f>
        <v>31.1015967795107</v>
      </c>
      <c r="AE32" s="27"/>
      <c r="AF32" s="80">
        <f>(AD32/AD25-1)*100</f>
        <v>-0.2945562621381792</v>
      </c>
      <c r="AG32" s="124" t="s">
        <v>576</v>
      </c>
      <c r="AH32" s="124"/>
      <c r="AI32" s="124"/>
      <c r="AJ32" s="124"/>
      <c r="AK32" s="124"/>
      <c r="AL32" s="75">
        <f>J32/(F32/(365/4))</f>
        <v>81.755654012389783</v>
      </c>
      <c r="AM32" s="27"/>
      <c r="AN32" s="75">
        <f>H32/(F33/(365/4))</f>
        <v>66.709452247359621</v>
      </c>
      <c r="AO32" s="27"/>
      <c r="AP32" s="27"/>
      <c r="AQ32" s="27"/>
    </row>
    <row r="33" spans="1:43" hidden="1" outlineLevel="1">
      <c r="A33" s="27" t="str">
        <f>$A$12</f>
        <v>2Q</v>
      </c>
      <c r="B33" s="27" t="str">
        <f>$B$12</f>
        <v>Jul</v>
      </c>
      <c r="C33" s="27"/>
      <c r="D33" s="35">
        <f>'qtrP&amp;L'!P11</f>
        <v>20.080573999999999</v>
      </c>
      <c r="E33" s="27"/>
      <c r="F33" s="35">
        <f>'qtrP&amp;L'!P21</f>
        <v>9.1625300000000003</v>
      </c>
      <c r="G33" s="27"/>
      <c r="H33" s="35">
        <f>work!N11</f>
        <v>6.1937959999999999</v>
      </c>
      <c r="I33" s="27"/>
      <c r="J33" s="35">
        <f>AVERAGE(H32:H33)</f>
        <v>6.4460889999999997</v>
      </c>
      <c r="K33" s="27"/>
      <c r="L33" s="41">
        <f>(D33/D26-1)*100</f>
        <v>24.931331726817074</v>
      </c>
      <c r="M33" s="27"/>
      <c r="N33" s="41">
        <f>(H33/H26-1)*100</f>
        <v>-11.448091560599371</v>
      </c>
      <c r="O33" s="27"/>
      <c r="P33" s="41">
        <f>(H33/H32-1)*100</f>
        <v>-7.5329534804076559</v>
      </c>
      <c r="Q33" s="27"/>
      <c r="R33" s="38">
        <f>F33/J33</f>
        <v>1.4214091676363763</v>
      </c>
      <c r="S33" s="27"/>
      <c r="T33" s="38">
        <f>F34/H33</f>
        <v>1.2979418437417054</v>
      </c>
      <c r="U33" s="27"/>
      <c r="V33" s="27">
        <f>qtrSales!J34</f>
        <v>136</v>
      </c>
      <c r="W33" s="27"/>
      <c r="X33" s="38">
        <f>H33/V33</f>
        <v>4.5542617647058824E-2</v>
      </c>
      <c r="Y33" s="27"/>
      <c r="Z33" s="80">
        <f>(X33/X26-1)*100</f>
        <v>-19.912612220247951</v>
      </c>
      <c r="AA33" s="27"/>
      <c r="AB33" s="126">
        <f>+AB32+((V33-V32)*(yrSales!$D$78/1000000))</f>
        <v>0.21699599999999999</v>
      </c>
      <c r="AC33" s="27"/>
      <c r="AD33" s="132">
        <f>H33/AB33</f>
        <v>28.543364854651699</v>
      </c>
      <c r="AE33" s="27"/>
      <c r="AF33" s="80">
        <f>(AD33/AD26-1)*100</f>
        <v>-19.321195071822416</v>
      </c>
      <c r="AG33" s="27"/>
      <c r="AH33" s="27"/>
      <c r="AI33" s="27"/>
      <c r="AJ33" s="27"/>
      <c r="AK33" s="27"/>
      <c r="AL33" s="75">
        <f>J33/(F33/(365/4))</f>
        <v>64.196856244945437</v>
      </c>
      <c r="AM33" s="27"/>
      <c r="AN33" s="75">
        <f>H33/(F34/(365/4))</f>
        <v>70.30361216874293</v>
      </c>
      <c r="AO33" s="27"/>
      <c r="AP33" s="27"/>
      <c r="AQ33" s="27"/>
    </row>
    <row r="34" spans="1:43" hidden="1" outlineLevel="1">
      <c r="A34" s="27" t="str">
        <f>$A$13</f>
        <v>3Q</v>
      </c>
      <c r="B34" s="27" t="str">
        <f>$B$13</f>
        <v>Oct</v>
      </c>
      <c r="C34" s="27"/>
      <c r="D34" s="35">
        <f>'qtrP&amp;L'!P12</f>
        <v>18.923373999999999</v>
      </c>
      <c r="E34" s="27"/>
      <c r="F34" s="35">
        <f>'qtrP&amp;L'!P22</f>
        <v>8.0391870000000001</v>
      </c>
      <c r="G34" s="27"/>
      <c r="H34" s="35">
        <f>work!N12</f>
        <v>8.5606810000000007</v>
      </c>
      <c r="I34" s="27"/>
      <c r="J34" s="35">
        <f>AVERAGE(H33:H34)</f>
        <v>7.3772385000000007</v>
      </c>
      <c r="K34" s="27"/>
      <c r="L34" s="41">
        <f>(D34/D27-1)*100</f>
        <v>20.322113283291145</v>
      </c>
      <c r="M34" s="27"/>
      <c r="N34" s="41">
        <f>(H34/H27-1)*100</f>
        <v>-5.4628621734987277</v>
      </c>
      <c r="O34" s="27"/>
      <c r="P34" s="41">
        <f>(H34/H33-1)*100</f>
        <v>38.213802973168654</v>
      </c>
      <c r="Q34" s="27"/>
      <c r="R34" s="38">
        <f>F34/J34</f>
        <v>1.0897284939344172</v>
      </c>
      <c r="S34" s="27"/>
      <c r="T34" s="38">
        <f>F35/H34</f>
        <v>0.92540359814832485</v>
      </c>
      <c r="U34" s="27"/>
      <c r="V34" s="27">
        <f>qtrSales!J35</f>
        <v>137</v>
      </c>
      <c r="W34" s="27"/>
      <c r="X34" s="38">
        <f>H34/V34</f>
        <v>6.2486722627737232E-2</v>
      </c>
      <c r="Y34" s="27"/>
      <c r="Z34" s="80">
        <f>(X34/X27-1)*100</f>
        <v>-10.293226879962303</v>
      </c>
      <c r="AA34" s="27"/>
      <c r="AB34" s="126">
        <f>+AB33+((V34-V33)*(yrSales!$D$78/1000000))</f>
        <v>0.21862099999999998</v>
      </c>
      <c r="AC34" s="27"/>
      <c r="AD34" s="132">
        <f>H34/AB34</f>
        <v>39.157633530173229</v>
      </c>
      <c r="AE34" s="27"/>
      <c r="AF34" s="80">
        <f>(AD34/AD27-1)*100</f>
        <v>-9.58949184895671</v>
      </c>
      <c r="AG34" s="27"/>
      <c r="AH34" s="27"/>
      <c r="AI34" s="27"/>
      <c r="AJ34" s="27"/>
      <c r="AK34" s="27"/>
      <c r="AL34" s="75">
        <f>J34/(F34/(365/4))</f>
        <v>83.736454087334963</v>
      </c>
      <c r="AM34" s="27"/>
      <c r="AN34" s="75">
        <f>H34/(F35/(365/4))</f>
        <v>98.605624813417194</v>
      </c>
      <c r="AO34" s="27"/>
      <c r="AP34" s="27"/>
      <c r="AQ34" s="27"/>
    </row>
    <row r="35" spans="1:43" hidden="1" outlineLevel="1">
      <c r="A35" s="27" t="str">
        <f>$A$14</f>
        <v>4Q</v>
      </c>
      <c r="B35" s="27" t="str">
        <f>$B$14</f>
        <v>Jan</v>
      </c>
      <c r="C35" s="27"/>
      <c r="D35" s="37">
        <f>'qtrP&amp;L'!P13</f>
        <v>17.615407000000001</v>
      </c>
      <c r="E35" s="27"/>
      <c r="F35" s="37">
        <f>'qtrP&amp;L'!P23</f>
        <v>7.922085</v>
      </c>
      <c r="G35" s="27"/>
      <c r="H35" s="89">
        <f>work!N13</f>
        <v>9.5254720000000006</v>
      </c>
      <c r="I35" s="27"/>
      <c r="J35" s="37">
        <f>AVERAGE(H34:H35)</f>
        <v>9.0430765000000015</v>
      </c>
      <c r="K35" s="27"/>
      <c r="L35" s="79">
        <f>(D35/D28-1)*100</f>
        <v>17.675304094952526</v>
      </c>
      <c r="M35" s="27"/>
      <c r="N35" s="80">
        <f>(H35/H28-1)*100</f>
        <v>21.415327935154572</v>
      </c>
      <c r="O35" s="27"/>
      <c r="P35" s="80">
        <f>(H35/H34-1)*100</f>
        <v>11.270026298141467</v>
      </c>
      <c r="Q35" s="27"/>
      <c r="R35" s="38">
        <f>F35/J35</f>
        <v>0.87603870209435897</v>
      </c>
      <c r="S35" s="27"/>
      <c r="T35" s="38">
        <f>F39/H35</f>
        <v>1.1305637137981193</v>
      </c>
      <c r="U35" s="27"/>
      <c r="V35" s="27">
        <f>qtrSales!J36</f>
        <v>141</v>
      </c>
      <c r="W35" s="27"/>
      <c r="X35" s="38">
        <f>H35/V35</f>
        <v>6.7556539007092201E-2</v>
      </c>
      <c r="Y35" s="27"/>
      <c r="Z35" s="80">
        <f>(X35/X28-1)*100</f>
        <v>14.526515002663508</v>
      </c>
      <c r="AA35" s="27"/>
      <c r="AB35" s="160">
        <f>+yrSales!E65</f>
        <v>0.22462499999999999</v>
      </c>
      <c r="AC35" s="27"/>
      <c r="AD35" s="132">
        <f>H35/AB35</f>
        <v>42.406107957707292</v>
      </c>
      <c r="AE35" s="27"/>
      <c r="AF35" s="80">
        <f>(AD35/AD28-1)*100</f>
        <v>14.656608912333535</v>
      </c>
      <c r="AG35" s="27"/>
      <c r="AH35" s="27"/>
      <c r="AI35" s="27"/>
      <c r="AJ35" s="27"/>
      <c r="AK35" s="27"/>
      <c r="AL35" s="75">
        <f>J35/(F35/(365/4))</f>
        <v>104.16206473737661</v>
      </c>
      <c r="AM35" s="27"/>
      <c r="AN35" s="75">
        <f>H35/(F39/(365/4))</f>
        <v>80.711948284140831</v>
      </c>
      <c r="AO35" s="27"/>
      <c r="AP35" s="27"/>
      <c r="AQ35" s="27"/>
    </row>
    <row r="36" spans="1:43" hidden="1" outlineLevel="1">
      <c r="A36" s="27"/>
      <c r="B36" s="27" t="str">
        <f>$B$15</f>
        <v>Year</v>
      </c>
      <c r="C36" s="27"/>
      <c r="D36" s="34">
        <f>SUM(D32:D35)</f>
        <v>75.339151999999999</v>
      </c>
      <c r="E36" s="27"/>
      <c r="F36" s="34">
        <f>SUM(F32:F35)</f>
        <v>33.240162000000005</v>
      </c>
      <c r="G36" s="27"/>
      <c r="H36" s="27"/>
      <c r="I36" s="27"/>
      <c r="J36" s="34">
        <f>AVERAGE(J32:J35)</f>
        <v>7.5345690000000003</v>
      </c>
      <c r="K36" s="27"/>
      <c r="L36" s="41">
        <f>(D36/D29-1)*100</f>
        <v>17.584031428096303</v>
      </c>
      <c r="M36" s="27"/>
      <c r="N36" s="80"/>
      <c r="O36" s="27"/>
      <c r="P36" s="27"/>
      <c r="Q36" s="27"/>
      <c r="R36" s="81">
        <f>F36/J36</f>
        <v>4.4116872511221281</v>
      </c>
      <c r="S36" s="78" t="s">
        <v>100</v>
      </c>
      <c r="T36" s="38"/>
      <c r="U36" s="27"/>
      <c r="V36" s="27"/>
      <c r="W36" s="27"/>
      <c r="X36" s="27"/>
      <c r="Y36" s="27"/>
      <c r="Z36" s="27"/>
      <c r="AA36" s="27"/>
      <c r="AB36" s="27"/>
      <c r="AC36" s="27"/>
      <c r="AD36" s="27"/>
      <c r="AE36" s="27"/>
      <c r="AF36" s="27"/>
      <c r="AG36" s="27"/>
      <c r="AH36" s="27"/>
      <c r="AI36" s="27"/>
      <c r="AJ36" s="27"/>
      <c r="AK36" s="27"/>
      <c r="AL36" s="27"/>
      <c r="AM36" s="27"/>
      <c r="AN36" s="27"/>
      <c r="AO36" s="27"/>
      <c r="AP36" s="27"/>
      <c r="AQ36" s="27"/>
    </row>
    <row r="37" spans="1:43" hidden="1" outlineLevel="1">
      <c r="A37" s="27"/>
      <c r="B37" s="27"/>
      <c r="C37" s="27"/>
      <c r="D37" s="27"/>
      <c r="E37" s="27"/>
      <c r="F37" s="27"/>
      <c r="G37" s="27"/>
      <c r="H37" s="27"/>
      <c r="I37" s="27"/>
      <c r="J37" s="27"/>
      <c r="K37" s="27"/>
      <c r="L37" s="27"/>
      <c r="M37" s="27"/>
      <c r="N37" s="27"/>
      <c r="O37" s="27"/>
      <c r="P37" s="27"/>
      <c r="Q37" s="27"/>
      <c r="R37" s="27"/>
      <c r="S37" s="27"/>
      <c r="T37" s="38"/>
      <c r="U37" s="27"/>
      <c r="V37" s="27"/>
      <c r="W37" s="27"/>
      <c r="X37" s="27"/>
      <c r="Y37" s="27"/>
      <c r="Z37" s="27"/>
      <c r="AA37" s="27"/>
      <c r="AB37" s="27"/>
      <c r="AC37" s="27"/>
      <c r="AD37" s="27"/>
      <c r="AE37" s="27"/>
      <c r="AF37" s="27"/>
      <c r="AG37" s="27"/>
      <c r="AH37" s="27"/>
      <c r="AI37" s="27"/>
      <c r="AJ37" s="27"/>
      <c r="AK37" s="27"/>
      <c r="AL37" s="27"/>
      <c r="AM37" s="27"/>
      <c r="AN37" s="27"/>
      <c r="AO37" s="27"/>
      <c r="AP37" s="27"/>
      <c r="AQ37" s="27"/>
    </row>
    <row r="38" spans="1:43" hidden="1" outlineLevel="1" collapsed="1">
      <c r="A38" s="27"/>
      <c r="B38" s="71">
        <f>B31+1</f>
        <v>1998</v>
      </c>
      <c r="C38" s="27"/>
      <c r="D38" s="27"/>
      <c r="E38" s="27"/>
      <c r="F38" s="27"/>
      <c r="G38" s="27"/>
      <c r="H38" s="27"/>
      <c r="I38" s="27"/>
      <c r="J38" s="27"/>
      <c r="K38" s="27"/>
      <c r="L38" s="27"/>
      <c r="M38" s="27"/>
      <c r="N38" s="27"/>
      <c r="O38" s="27"/>
      <c r="P38" s="27"/>
      <c r="Q38" s="27"/>
      <c r="R38" s="27"/>
      <c r="S38" s="27"/>
      <c r="T38" s="38"/>
      <c r="U38" s="27"/>
      <c r="V38" s="27"/>
      <c r="W38" s="27"/>
      <c r="X38" s="27"/>
      <c r="Y38" s="27"/>
      <c r="Z38" s="27"/>
      <c r="AA38" s="27"/>
      <c r="AB38" s="27"/>
      <c r="AC38" s="27"/>
      <c r="AD38" s="27"/>
      <c r="AE38" s="27"/>
      <c r="AF38" s="27"/>
      <c r="AG38" s="27"/>
      <c r="AH38" s="27"/>
      <c r="AI38" s="27"/>
      <c r="AJ38" s="27"/>
      <c r="AK38" s="27"/>
      <c r="AL38" s="27"/>
      <c r="AM38" s="27"/>
      <c r="AN38" s="27"/>
      <c r="AO38" s="27"/>
      <c r="AP38" s="27"/>
      <c r="AQ38" s="27"/>
    </row>
    <row r="39" spans="1:43" hidden="1" outlineLevel="1">
      <c r="A39" s="27" t="str">
        <f>$A$11</f>
        <v>1Q</v>
      </c>
      <c r="B39" s="27" t="str">
        <f>$B$11</f>
        <v>Apr</v>
      </c>
      <c r="C39" s="27"/>
      <c r="D39" s="34">
        <f>'qtrP&amp;L'!T10</f>
        <v>25.895907999999999</v>
      </c>
      <c r="E39" s="27"/>
      <c r="F39" s="34">
        <f>'qtrP&amp;L'!T20</f>
        <v>10.769152999999999</v>
      </c>
      <c r="G39" s="27"/>
      <c r="H39" s="34">
        <f>work!R10</f>
        <v>7.1369059999999998</v>
      </c>
      <c r="I39" s="27"/>
      <c r="J39" s="34">
        <f>AVERAGE(H39,H35)</f>
        <v>8.3311890000000002</v>
      </c>
      <c r="K39" s="27"/>
      <c r="L39" s="41">
        <f>(D39/D32-1)*100</f>
        <v>38.334341980311002</v>
      </c>
      <c r="M39" s="27" t="s">
        <v>576</v>
      </c>
      <c r="N39" s="41">
        <f>(H39/H32-1)*100</f>
        <v>6.5467153112497956</v>
      </c>
      <c r="O39" s="27" t="s">
        <v>576</v>
      </c>
      <c r="P39" s="41">
        <f>(H39/H35-1)*100</f>
        <v>-25.075565809232348</v>
      </c>
      <c r="Q39" s="27" t="s">
        <v>576</v>
      </c>
      <c r="R39" s="38">
        <f>F39/J39</f>
        <v>1.292630979803723</v>
      </c>
      <c r="S39" s="27" t="s">
        <v>100</v>
      </c>
      <c r="T39" s="38">
        <f>F40/H39</f>
        <v>1.5429754854554623</v>
      </c>
      <c r="U39" s="27" t="s">
        <v>100</v>
      </c>
      <c r="V39" s="27">
        <f>qtrSales!J40</f>
        <v>142</v>
      </c>
      <c r="W39" s="27"/>
      <c r="X39" s="36">
        <f>H39/V39</f>
        <v>5.02599014084507E-2</v>
      </c>
      <c r="Y39" s="27"/>
      <c r="Z39" s="80">
        <f>(X39/X32-1)*100</f>
        <v>1.294412443793802</v>
      </c>
      <c r="AA39" s="124" t="s">
        <v>576</v>
      </c>
      <c r="AB39" s="126">
        <f>+AB35+((V39-V35)*(yrSales!$D$78/1000000))</f>
        <v>0.22624999999999998</v>
      </c>
      <c r="AC39" s="27"/>
      <c r="AD39" s="131">
        <f>H39/AB39</f>
        <v>31.544335911602211</v>
      </c>
      <c r="AE39" s="27"/>
      <c r="AF39" s="80">
        <f>(AD39/AD32-1)*100</f>
        <v>1.4235254068472258</v>
      </c>
      <c r="AG39" s="124" t="s">
        <v>576</v>
      </c>
      <c r="AH39" s="124"/>
      <c r="AI39" s="200">
        <f>((F39+('yrP&amp;L'!$F$21/4))/J39)</f>
        <v>1.632692884533048</v>
      </c>
      <c r="AJ39" s="201" t="s">
        <v>100</v>
      </c>
      <c r="AK39" s="124"/>
      <c r="AL39" s="75">
        <f>J39/(F39/(365/4))</f>
        <v>70.59245943018918</v>
      </c>
      <c r="AM39" s="27"/>
      <c r="AN39" s="75">
        <f>H39/(F40/(365/4))</f>
        <v>59.138982349459965</v>
      </c>
      <c r="AO39" s="27"/>
      <c r="AP39" s="27"/>
      <c r="AQ39" s="27"/>
    </row>
    <row r="40" spans="1:43" hidden="1" outlineLevel="1">
      <c r="A40" s="27" t="str">
        <f>$A$12</f>
        <v>2Q</v>
      </c>
      <c r="B40" s="27" t="str">
        <f>$B$12</f>
        <v>Jul</v>
      </c>
      <c r="C40" s="27"/>
      <c r="D40" s="35">
        <f>'qtrP&amp;L'!T11</f>
        <v>27.358542</v>
      </c>
      <c r="E40" s="27"/>
      <c r="F40" s="35">
        <f>'qtrP&amp;L'!T21</f>
        <v>11.012071000000001</v>
      </c>
      <c r="G40" s="27"/>
      <c r="H40" s="35">
        <f>work!R11</f>
        <v>7.8482880000000002</v>
      </c>
      <c r="I40" s="27"/>
      <c r="J40" s="35">
        <f>AVERAGE(H39:H40)</f>
        <v>7.492597</v>
      </c>
      <c r="K40" s="27"/>
      <c r="L40" s="41">
        <f>(D40/D33-1)*100</f>
        <v>36.243824504219859</v>
      </c>
      <c r="M40" s="27"/>
      <c r="N40" s="41">
        <f>(H40/H33-1)*100</f>
        <v>26.71208415646884</v>
      </c>
      <c r="O40" s="27"/>
      <c r="P40" s="41">
        <f>(H40/H39-1)*100</f>
        <v>9.967652649481451</v>
      </c>
      <c r="Q40" s="27"/>
      <c r="R40" s="38">
        <f>F40/J40</f>
        <v>1.4697268517177691</v>
      </c>
      <c r="S40" s="27"/>
      <c r="T40" s="38">
        <f>F41/H40</f>
        <v>1.4067645071128887</v>
      </c>
      <c r="U40" s="27"/>
      <c r="V40" s="27">
        <f>qtrSales!J41</f>
        <v>150</v>
      </c>
      <c r="W40" s="27"/>
      <c r="X40" s="38">
        <f>H40/V40</f>
        <v>5.2321920000000001E-2</v>
      </c>
      <c r="Y40" s="27"/>
      <c r="Z40" s="80">
        <f>(X40/X33-1)*100</f>
        <v>14.885622968531731</v>
      </c>
      <c r="AA40" s="27"/>
      <c r="AB40" s="126">
        <f>+AB39+((V40-V39)*(yrSales!$D$78/1000000))</f>
        <v>0.23924999999999999</v>
      </c>
      <c r="AC40" s="27"/>
      <c r="AD40" s="132">
        <f>H40/AB40</f>
        <v>32.803711598746084</v>
      </c>
      <c r="AE40" s="27"/>
      <c r="AF40" s="80">
        <f>(AD40/AD33-1)*100</f>
        <v>14.925874247093462</v>
      </c>
      <c r="AG40" s="27"/>
      <c r="AH40" s="27"/>
      <c r="AI40" s="200">
        <f>((F40+('yrP&amp;L'!$F$21/4))/J40)</f>
        <v>1.8478494172314353</v>
      </c>
      <c r="AJ40" s="201"/>
      <c r="AK40" s="27"/>
      <c r="AL40" s="75">
        <f>J40/(F40/(365/4))</f>
        <v>62.086366519976117</v>
      </c>
      <c r="AM40" s="27"/>
      <c r="AN40" s="75">
        <f>H40/(F41/(365/4))</f>
        <v>64.865156562183202</v>
      </c>
      <c r="AO40" s="27"/>
      <c r="AP40" s="27"/>
      <c r="AQ40" s="27"/>
    </row>
    <row r="41" spans="1:43" hidden="1" outlineLevel="1">
      <c r="A41" s="27" t="str">
        <f>$A$13</f>
        <v>3Q</v>
      </c>
      <c r="B41" s="27" t="str">
        <f>$B$13</f>
        <v>Oct</v>
      </c>
      <c r="C41" s="27"/>
      <c r="D41" s="35">
        <f>'qtrP&amp;L'!T12</f>
        <v>26.754149000000002</v>
      </c>
      <c r="E41" s="27"/>
      <c r="F41" s="35">
        <f>'qtrP&amp;L'!T22</f>
        <v>11.040692999999999</v>
      </c>
      <c r="G41" s="27"/>
      <c r="H41" s="35">
        <f>work!R12</f>
        <v>8.9301340000000007</v>
      </c>
      <c r="I41" s="27"/>
      <c r="J41" s="35">
        <f>AVERAGE(H40:H41)</f>
        <v>8.3892109999999995</v>
      </c>
      <c r="K41" s="27"/>
      <c r="L41" s="41">
        <f>(D41/D34-1)*100</f>
        <v>41.381494653120555</v>
      </c>
      <c r="M41" s="27"/>
      <c r="N41" s="41">
        <f>(H41/H34-1)*100</f>
        <v>4.3156963797623016</v>
      </c>
      <c r="O41" s="27"/>
      <c r="P41" s="41">
        <f>(H41/H40-1)*100</f>
        <v>13.784483953697935</v>
      </c>
      <c r="Q41" s="27"/>
      <c r="R41" s="38">
        <f>F41/J41</f>
        <v>1.316058566175055</v>
      </c>
      <c r="S41" s="27"/>
      <c r="T41" s="38">
        <f>F42/H41</f>
        <v>1.2737220964433456</v>
      </c>
      <c r="U41" s="27"/>
      <c r="V41" s="27">
        <f>qtrSales!J42</f>
        <v>155</v>
      </c>
      <c r="W41" s="27"/>
      <c r="X41" s="38">
        <f>H41/V41</f>
        <v>5.7613767741935488E-2</v>
      </c>
      <c r="Y41" s="27"/>
      <c r="Z41" s="80">
        <f>(X41/X34-1)*100</f>
        <v>-7.7983844901455708</v>
      </c>
      <c r="AA41" s="27"/>
      <c r="AB41" s="126">
        <f>+AB40+((V41-V40)*(yrSales!$D$78/1000000))</f>
        <v>0.24737499999999998</v>
      </c>
      <c r="AC41" s="27"/>
      <c r="AD41" s="132">
        <f>H41/AB41</f>
        <v>36.099581606872164</v>
      </c>
      <c r="AE41" s="27"/>
      <c r="AF41" s="80">
        <f>(AD41/AD34-1)*100</f>
        <v>-7.8095932966548158</v>
      </c>
      <c r="AG41" s="27"/>
      <c r="AH41" s="27"/>
      <c r="AI41" s="200">
        <f>((F41+('yrP&amp;L'!$F$21/4))/J41)</f>
        <v>1.6537685129149808</v>
      </c>
      <c r="AJ41" s="201"/>
      <c r="AK41" s="27"/>
      <c r="AL41" s="75">
        <f>J41/(F41/(365/4))</f>
        <v>69.335820111110777</v>
      </c>
      <c r="AM41" s="27"/>
      <c r="AN41" s="75">
        <f>H41/(F42/(365/4))</f>
        <v>71.640431028715184</v>
      </c>
      <c r="AO41" s="27"/>
      <c r="AP41" s="27"/>
      <c r="AQ41" s="27"/>
    </row>
    <row r="42" spans="1:43" hidden="1" outlineLevel="1">
      <c r="A42" s="27" t="str">
        <f>$A$14</f>
        <v>4Q</v>
      </c>
      <c r="B42" s="27" t="str">
        <f>$B$14</f>
        <v>Jan</v>
      </c>
      <c r="C42" s="27"/>
      <c r="D42" s="37">
        <f>'qtrP&amp;L'!T13</f>
        <v>26.732994000000001</v>
      </c>
      <c r="E42" s="27"/>
      <c r="F42" s="37">
        <f>'qtrP&amp;L'!T23</f>
        <v>11.374509</v>
      </c>
      <c r="G42" s="27"/>
      <c r="H42" s="89">
        <f>work!R13</f>
        <v>10.105153</v>
      </c>
      <c r="I42" s="27"/>
      <c r="J42" s="37">
        <f>AVERAGE(H41:H42)</f>
        <v>9.5176435000000001</v>
      </c>
      <c r="K42" s="27"/>
      <c r="L42" s="79">
        <f>(D42/D35-1)*100</f>
        <v>51.759161738357797</v>
      </c>
      <c r="M42" s="27"/>
      <c r="N42" s="80">
        <f>(H42/H35-1)*100</f>
        <v>6.0855881997238459</v>
      </c>
      <c r="O42" s="27"/>
      <c r="P42" s="80">
        <f>(H42/H41-1)*100</f>
        <v>13.15791006047613</v>
      </c>
      <c r="Q42" s="27"/>
      <c r="R42" s="38">
        <f>F42/J42</f>
        <v>1.1950971897613101</v>
      </c>
      <c r="S42" s="27"/>
      <c r="T42" s="38">
        <f>F46/H42</f>
        <v>1.4745568919144521</v>
      </c>
      <c r="U42" s="27"/>
      <c r="V42" s="27">
        <f>qtrSales!J43</f>
        <v>162</v>
      </c>
      <c r="W42" s="27"/>
      <c r="X42" s="38">
        <f>H42/V42</f>
        <v>6.2377487654320989E-2</v>
      </c>
      <c r="Y42" s="27"/>
      <c r="Z42" s="80">
        <f>(X42/X35-1)*100</f>
        <v>-7.6662473076477555</v>
      </c>
      <c r="AA42" s="27"/>
      <c r="AB42" s="160">
        <f>+yrSales!F65</f>
        <v>0.25737499999999996</v>
      </c>
      <c r="AC42" s="27"/>
      <c r="AD42" s="132">
        <f>H42/AB42</f>
        <v>39.262372025254983</v>
      </c>
      <c r="AE42" s="27"/>
      <c r="AF42" s="80">
        <f>(AD42/AD35-1)*100</f>
        <v>-7.41340359645275</v>
      </c>
      <c r="AG42" s="27"/>
      <c r="AH42" s="27"/>
      <c r="AI42" s="200">
        <f>((F42+('yrP&amp;L'!$F$21/4))/J42)</f>
        <v>1.492767511201696</v>
      </c>
      <c r="AJ42" s="202"/>
      <c r="AK42" s="27"/>
      <c r="AL42" s="75">
        <f>J42/(F42/(365/4))</f>
        <v>76.35362276956306</v>
      </c>
      <c r="AM42" s="27"/>
      <c r="AN42" s="75">
        <f>H42/(F46/(365/4))</f>
        <v>61.882997190788601</v>
      </c>
      <c r="AO42" s="27"/>
      <c r="AP42" s="27"/>
      <c r="AQ42" s="27"/>
    </row>
    <row r="43" spans="1:43" hidden="1" outlineLevel="1">
      <c r="A43" s="27"/>
      <c r="B43" s="27" t="str">
        <f>$B$15</f>
        <v>Year</v>
      </c>
      <c r="C43" s="27"/>
      <c r="D43" s="34">
        <f>SUM(D39:D42)</f>
        <v>106.74159300000001</v>
      </c>
      <c r="E43" s="27"/>
      <c r="F43" s="34">
        <f>SUM(F39:F42)</f>
        <v>44.196426000000002</v>
      </c>
      <c r="G43" s="27"/>
      <c r="H43" s="27"/>
      <c r="I43" s="27"/>
      <c r="J43" s="34">
        <f>AVERAGE(J39:J42)</f>
        <v>8.432660125</v>
      </c>
      <c r="K43" s="27"/>
      <c r="L43" s="41">
        <f>(D43/D36-1)*100</f>
        <v>41.681436764778049</v>
      </c>
      <c r="M43" s="27"/>
      <c r="N43" s="80"/>
      <c r="O43" s="27"/>
      <c r="P43" s="27"/>
      <c r="Q43" s="27"/>
      <c r="R43" s="81">
        <f>F43/J43</f>
        <v>5.2411013066887957</v>
      </c>
      <c r="S43" s="78" t="s">
        <v>100</v>
      </c>
      <c r="T43" s="38"/>
      <c r="U43" s="27"/>
      <c r="V43" s="27"/>
      <c r="W43" s="27"/>
      <c r="X43" s="27"/>
      <c r="Y43" s="27"/>
      <c r="Z43" s="27"/>
      <c r="AA43" s="27"/>
      <c r="AB43" s="27"/>
      <c r="AC43" s="27"/>
      <c r="AD43" s="27"/>
      <c r="AE43" s="27"/>
      <c r="AF43" s="27"/>
      <c r="AG43" s="27"/>
      <c r="AH43" s="27"/>
      <c r="AI43" s="204">
        <f>((F43+('yrP&amp;L'!$F$21))/J43)</f>
        <v>6.5849809166831568</v>
      </c>
      <c r="AJ43" s="203"/>
      <c r="AK43" s="27"/>
      <c r="AL43" s="27"/>
      <c r="AM43" s="27"/>
      <c r="AN43" s="27"/>
      <c r="AO43" s="27"/>
      <c r="AP43" s="27"/>
      <c r="AQ43" s="27"/>
    </row>
    <row r="44" spans="1:43" hidden="1" outlineLevel="1">
      <c r="A44" s="27"/>
      <c r="B44" s="27"/>
      <c r="C44" s="27"/>
      <c r="D44" s="27"/>
      <c r="E44" s="27"/>
      <c r="F44" s="27"/>
      <c r="G44" s="27"/>
      <c r="H44" s="27"/>
      <c r="I44" s="27"/>
      <c r="J44" s="27"/>
      <c r="K44" s="27"/>
      <c r="L44" s="27"/>
      <c r="M44" s="27"/>
      <c r="N44" s="27"/>
      <c r="O44" s="27"/>
      <c r="P44" s="27"/>
      <c r="Q44" s="27"/>
      <c r="R44" s="27"/>
      <c r="S44" s="27"/>
      <c r="T44" s="38"/>
      <c r="U44" s="27"/>
      <c r="V44" s="27"/>
      <c r="W44" s="27"/>
      <c r="X44" s="27"/>
      <c r="Y44" s="27"/>
      <c r="Z44" s="27"/>
      <c r="AA44" s="27"/>
      <c r="AB44" s="27"/>
      <c r="AC44" s="27"/>
      <c r="AD44" s="27"/>
      <c r="AE44" s="27"/>
      <c r="AF44" s="27"/>
      <c r="AG44" s="27"/>
      <c r="AH44" s="27"/>
      <c r="AI44" s="27"/>
      <c r="AJ44" s="27"/>
      <c r="AK44" s="27"/>
      <c r="AL44" s="27"/>
      <c r="AM44" s="27"/>
      <c r="AN44" s="27"/>
      <c r="AO44" s="27"/>
      <c r="AP44" s="27"/>
      <c r="AQ44" s="27"/>
    </row>
    <row r="45" spans="1:43" hidden="1" outlineLevel="1" collapsed="1">
      <c r="A45" s="27"/>
      <c r="B45" s="71">
        <f>B38+1</f>
        <v>1999</v>
      </c>
      <c r="C45" s="27"/>
      <c r="D45" s="27"/>
      <c r="E45" s="27"/>
      <c r="F45" s="27"/>
      <c r="G45" s="27"/>
      <c r="H45" s="27"/>
      <c r="I45" s="27"/>
      <c r="J45" s="27"/>
      <c r="K45" s="27"/>
      <c r="L45" s="27"/>
      <c r="M45" s="27"/>
      <c r="N45" s="27"/>
      <c r="O45" s="27"/>
      <c r="P45" s="27"/>
      <c r="Q45" s="27"/>
      <c r="R45" s="27"/>
      <c r="S45" s="27"/>
      <c r="T45" s="38"/>
      <c r="U45" s="27"/>
      <c r="V45" s="27"/>
      <c r="W45" s="27"/>
      <c r="X45" s="27"/>
      <c r="Y45" s="27"/>
      <c r="Z45" s="27"/>
      <c r="AA45" s="27"/>
      <c r="AB45" s="126"/>
      <c r="AC45" s="27"/>
      <c r="AD45" s="27"/>
      <c r="AE45" s="27"/>
      <c r="AF45" s="27"/>
      <c r="AG45" s="27"/>
      <c r="AH45" s="27"/>
      <c r="AI45" s="27"/>
      <c r="AJ45" s="27"/>
      <c r="AK45" s="27"/>
      <c r="AL45" s="27"/>
      <c r="AM45" s="27"/>
      <c r="AN45" s="27"/>
      <c r="AO45" s="27"/>
      <c r="AP45" s="27"/>
      <c r="AQ45" s="27"/>
    </row>
    <row r="46" spans="1:43" hidden="1" outlineLevel="1">
      <c r="A46" s="27" t="str">
        <f>$A$11</f>
        <v>1Q</v>
      </c>
      <c r="B46" s="27" t="str">
        <f>$B$11</f>
        <v>Apr</v>
      </c>
      <c r="C46" s="27"/>
      <c r="D46" s="34">
        <f>'qtrP&amp;L'!X10</f>
        <v>36.424981000000002</v>
      </c>
      <c r="E46" s="27"/>
      <c r="F46" s="34">
        <f>'qtrP&amp;L'!X20</f>
        <v>14.900623</v>
      </c>
      <c r="G46" s="27"/>
      <c r="H46" s="34">
        <f>work!V10</f>
        <v>9.9798220000000004</v>
      </c>
      <c r="I46" s="27"/>
      <c r="J46" s="34">
        <f>AVERAGE(H46,H42)</f>
        <v>10.0424875</v>
      </c>
      <c r="K46" s="27"/>
      <c r="L46" s="41">
        <f>(D46/D39-1)*100</f>
        <v>40.659215347845709</v>
      </c>
      <c r="M46" s="27" t="s">
        <v>576</v>
      </c>
      <c r="N46" s="41">
        <f>(H46/H39-1)*100</f>
        <v>39.834012105525844</v>
      </c>
      <c r="O46" s="27" t="s">
        <v>576</v>
      </c>
      <c r="P46" s="41">
        <f>(H46/H42-1)*100</f>
        <v>-1.2402682077154004</v>
      </c>
      <c r="Q46" s="27" t="s">
        <v>576</v>
      </c>
      <c r="R46" s="38">
        <f>F46/J46</f>
        <v>1.4837581824224326</v>
      </c>
      <c r="S46" s="27" t="s">
        <v>100</v>
      </c>
      <c r="T46" s="38">
        <f>F47/H46</f>
        <v>1.5525676710466378</v>
      </c>
      <c r="U46" s="27" t="s">
        <v>100</v>
      </c>
      <c r="V46" s="27">
        <f>qtrSales!J47</f>
        <v>169</v>
      </c>
      <c r="W46" s="27"/>
      <c r="X46" s="36">
        <f>H46/V46</f>
        <v>5.9052201183431956E-2</v>
      </c>
      <c r="Y46" s="27"/>
      <c r="Z46" s="80">
        <f>(X46/X39-1)*100</f>
        <v>17.493666976240661</v>
      </c>
      <c r="AA46" s="124" t="s">
        <v>576</v>
      </c>
      <c r="AB46" s="126">
        <f>0.221/0.8</f>
        <v>0.27625</v>
      </c>
      <c r="AC46" s="27"/>
      <c r="AD46" s="131">
        <f>H46/AB46</f>
        <v>36.126052488687783</v>
      </c>
      <c r="AE46" s="27"/>
      <c r="AF46" s="80">
        <f>(AD46/AD39-1)*100</f>
        <v>14.524688647512107</v>
      </c>
      <c r="AG46" s="124" t="s">
        <v>576</v>
      </c>
      <c r="AH46" s="124"/>
      <c r="AI46" s="200">
        <f>((F46+('yrP&amp;L'!$G$21/4))/J46)</f>
        <v>1.8532632477760118</v>
      </c>
      <c r="AJ46" s="201" t="s">
        <v>100</v>
      </c>
      <c r="AK46" s="124"/>
      <c r="AL46" s="75">
        <f>J46/(F46/(365/4))</f>
        <v>61.499239620719216</v>
      </c>
      <c r="AM46" s="27"/>
      <c r="AN46" s="75">
        <f>H46/(F47/(365/4))</f>
        <v>58.773605622282041</v>
      </c>
      <c r="AO46" s="27"/>
      <c r="AP46" s="27"/>
      <c r="AQ46" s="27"/>
    </row>
    <row r="47" spans="1:43" hidden="1" outlineLevel="1">
      <c r="A47" s="27" t="str">
        <f>$A$12</f>
        <v>2Q</v>
      </c>
      <c r="B47" s="27" t="str">
        <f>$B$12</f>
        <v>Jul</v>
      </c>
      <c r="C47" s="27"/>
      <c r="D47" s="35">
        <f>'qtrP&amp;L'!X11</f>
        <v>36.771293</v>
      </c>
      <c r="E47" s="27"/>
      <c r="F47" s="35">
        <f>'qtrP&amp;L'!X21</f>
        <v>15.494349</v>
      </c>
      <c r="G47" s="27"/>
      <c r="H47" s="35">
        <f>work!V11</f>
        <v>12.433481</v>
      </c>
      <c r="I47" s="27"/>
      <c r="J47" s="35">
        <f>AVERAGE(H46:H47)</f>
        <v>11.2066515</v>
      </c>
      <c r="K47" s="27"/>
      <c r="L47" s="41">
        <f>(D47/D40-1)*100</f>
        <v>34.40516311139681</v>
      </c>
      <c r="M47" s="27"/>
      <c r="N47" s="41">
        <f>(H47/H40-1)*100</f>
        <v>58.422843300347793</v>
      </c>
      <c r="O47" s="27"/>
      <c r="P47" s="41">
        <f>(H47/H46-1)*100</f>
        <v>24.58620003442946</v>
      </c>
      <c r="Q47" s="27"/>
      <c r="R47" s="38">
        <f>F47/J47</f>
        <v>1.3826029122079866</v>
      </c>
      <c r="S47" s="27"/>
      <c r="T47" s="38">
        <f>F48/H47</f>
        <v>1.3351593170086478</v>
      </c>
      <c r="U47" s="27"/>
      <c r="V47" s="27">
        <f>qtrSales!J48</f>
        <v>177</v>
      </c>
      <c r="W47" s="27"/>
      <c r="X47" s="38">
        <f>H47/V47</f>
        <v>7.0245655367231638E-2</v>
      </c>
      <c r="Y47" s="27"/>
      <c r="Z47" s="80">
        <f>(X47/X40-1)*100</f>
        <v>34.256646864701509</v>
      </c>
      <c r="AA47" s="27"/>
      <c r="AB47" s="126">
        <f>0.234/0.8</f>
        <v>0.29249999999999998</v>
      </c>
      <c r="AC47" s="27"/>
      <c r="AD47" s="132">
        <f>H47/AB47</f>
        <v>42.507627350427356</v>
      </c>
      <c r="AE47" s="27"/>
      <c r="AF47" s="80">
        <f>(AD47/AD40-1)*100</f>
        <v>29.581761571310139</v>
      </c>
      <c r="AG47" s="27"/>
      <c r="AH47" s="27"/>
      <c r="AI47" s="200">
        <f>((F47+('yrP&amp;L'!$G$21/4))/J47)</f>
        <v>1.713723229458862</v>
      </c>
      <c r="AJ47" s="201"/>
      <c r="AK47" s="27"/>
      <c r="AL47" s="75">
        <f>J47/(F47/(365/4))</f>
        <v>65.998703745152511</v>
      </c>
      <c r="AM47" s="27"/>
      <c r="AN47" s="75">
        <f>H47/(F48/(365/4))</f>
        <v>68.343903860432704</v>
      </c>
      <c r="AO47" s="27"/>
      <c r="AP47" s="27"/>
      <c r="AQ47" s="27"/>
    </row>
    <row r="48" spans="1:43" hidden="1" outlineLevel="1">
      <c r="A48" s="27" t="str">
        <f>$A$13</f>
        <v>3Q</v>
      </c>
      <c r="B48" s="27" t="str">
        <f>$B$13</f>
        <v>Oct</v>
      </c>
      <c r="C48" s="27"/>
      <c r="D48" s="35">
        <f>'qtrP&amp;L'!X12</f>
        <v>40.008994999999999</v>
      </c>
      <c r="E48" s="27"/>
      <c r="F48" s="35">
        <f>'qtrP&amp;L'!X22</f>
        <v>16.600677999999998</v>
      </c>
      <c r="G48" s="27"/>
      <c r="H48" s="35">
        <f>work!V12</f>
        <v>15.151490000000001</v>
      </c>
      <c r="I48" s="27"/>
      <c r="J48" s="35">
        <f>AVERAGE(H47:H48)</f>
        <v>13.792485500000002</v>
      </c>
      <c r="K48" s="27"/>
      <c r="L48" s="41">
        <f>(D48/D41-1)*100</f>
        <v>49.543141888011455</v>
      </c>
      <c r="M48" s="27"/>
      <c r="N48" s="41">
        <f>(H48/H41-1)*100</f>
        <v>69.666994918553286</v>
      </c>
      <c r="O48" s="27"/>
      <c r="P48" s="41">
        <f>(H48/H47-1)*100</f>
        <v>21.86040256948154</v>
      </c>
      <c r="Q48" s="27"/>
      <c r="R48" s="38">
        <f>F48/J48</f>
        <v>1.2036030779223945</v>
      </c>
      <c r="S48" s="27"/>
      <c r="T48" s="38">
        <f>F49/H48</f>
        <v>1.1849844470741822</v>
      </c>
      <c r="U48" s="27"/>
      <c r="V48" s="27">
        <f>qtrSales!J49</f>
        <v>186</v>
      </c>
      <c r="W48" s="27"/>
      <c r="X48" s="38">
        <f>H48/V48</f>
        <v>8.1459623655913985E-2</v>
      </c>
      <c r="Y48" s="27"/>
      <c r="Z48" s="80">
        <f>(X48/X41-1)*100</f>
        <v>41.389162432127733</v>
      </c>
      <c r="AA48" s="27"/>
      <c r="AB48" s="126">
        <f>0.251/0.8</f>
        <v>0.31374999999999997</v>
      </c>
      <c r="AC48" s="27"/>
      <c r="AD48" s="132">
        <f>H48/AB48</f>
        <v>48.291601593625508</v>
      </c>
      <c r="AE48" s="27"/>
      <c r="AF48" s="80">
        <f>(AD48/AD41-1)*100</f>
        <v>33.773299977616333</v>
      </c>
      <c r="AG48" s="27"/>
      <c r="AH48" s="27"/>
      <c r="AI48" s="200">
        <f>((F48+('yrP&amp;L'!$G$21/4))/J48)</f>
        <v>1.4726445063146882</v>
      </c>
      <c r="AJ48" s="201"/>
      <c r="AK48" s="27"/>
      <c r="AL48" s="75">
        <f>J48/(F48/(365/4))</f>
        <v>75.81403011822772</v>
      </c>
      <c r="AM48" s="27"/>
      <c r="AN48" s="75">
        <f>H48/(F49/(365/4))</f>
        <v>77.00523008998411</v>
      </c>
      <c r="AO48" s="27"/>
      <c r="AP48" s="27"/>
      <c r="AQ48" s="27"/>
    </row>
    <row r="49" spans="1:43" hidden="1" outlineLevel="1">
      <c r="A49" s="27" t="str">
        <f>$A$14</f>
        <v>4Q</v>
      </c>
      <c r="B49" s="27" t="str">
        <f>$B$14</f>
        <v>Jan</v>
      </c>
      <c r="C49" s="27"/>
      <c r="D49" s="37">
        <f>'qtrP&amp;L'!X13</f>
        <v>41.797012000000002</v>
      </c>
      <c r="E49" s="27"/>
      <c r="F49" s="37">
        <f>'qtrP&amp;L'!X23</f>
        <v>17.954280000000001</v>
      </c>
      <c r="G49" s="27"/>
      <c r="H49" s="89">
        <f>work!V13</f>
        <v>14.8348</v>
      </c>
      <c r="I49" s="27"/>
      <c r="J49" s="37">
        <f>AVERAGE(H48:H49)</f>
        <v>14.993145</v>
      </c>
      <c r="K49" s="27"/>
      <c r="L49" s="79">
        <f>(D49/D42-1)*100</f>
        <v>56.34990977815653</v>
      </c>
      <c r="M49" s="27"/>
      <c r="N49" s="80">
        <f>(H49/H42-1)*100</f>
        <v>46.804308653218804</v>
      </c>
      <c r="O49" s="27"/>
      <c r="P49" s="41">
        <f>(H49/H48-1)*100</f>
        <v>-2.0901574696614023</v>
      </c>
      <c r="Q49" s="27"/>
      <c r="R49" s="38">
        <f>F49/J49</f>
        <v>1.1974992571605223</v>
      </c>
      <c r="S49" s="27"/>
      <c r="T49" s="38">
        <f>F53/H49</f>
        <v>1.5344995551001699</v>
      </c>
      <c r="U49" s="27"/>
      <c r="V49" s="27">
        <f>qtrSales!J50</f>
        <v>200</v>
      </c>
      <c r="W49" s="27"/>
      <c r="X49" s="38">
        <f>H49/V49</f>
        <v>7.4174000000000004E-2</v>
      </c>
      <c r="Y49" s="27"/>
      <c r="Z49" s="80">
        <f>(X49/X42-1)*100</f>
        <v>18.911490009107233</v>
      </c>
      <c r="AA49" s="27"/>
      <c r="AB49" s="125">
        <f>yrSales!G65</f>
        <v>0.34799999999999998</v>
      </c>
      <c r="AC49" s="27"/>
      <c r="AD49" s="132">
        <f>H49/AB49</f>
        <v>42.628735632183911</v>
      </c>
      <c r="AE49" s="27"/>
      <c r="AF49" s="80">
        <f>(AD49/AD42-1)*100</f>
        <v>8.5740199414430673</v>
      </c>
      <c r="AG49" s="27"/>
      <c r="AH49" s="27"/>
      <c r="AI49" s="200">
        <f>((F49+('yrP&amp;L'!$G$21/4))/J49)</f>
        <v>1.4449956963665729</v>
      </c>
      <c r="AJ49" s="202"/>
      <c r="AK49" s="27"/>
      <c r="AL49" s="75">
        <f>J49/(F49/(365/4))</f>
        <v>76.200464805606231</v>
      </c>
      <c r="AM49" s="27"/>
      <c r="AN49" s="75">
        <f>H49/(F53/(365/4))</f>
        <v>59.46564122271338</v>
      </c>
      <c r="AO49" s="27"/>
      <c r="AP49" s="27"/>
      <c r="AQ49" s="27"/>
    </row>
    <row r="50" spans="1:43" hidden="1" outlineLevel="1">
      <c r="A50" s="27"/>
      <c r="B50" s="27" t="str">
        <f>$B$15</f>
        <v>Year</v>
      </c>
      <c r="C50" s="27"/>
      <c r="D50" s="34">
        <f>SUM(D46:D49)</f>
        <v>155.00228100000001</v>
      </c>
      <c r="E50" s="27"/>
      <c r="F50" s="34">
        <f>SUM(F46:F49)</f>
        <v>64.949929999999995</v>
      </c>
      <c r="G50" s="27"/>
      <c r="H50" s="27"/>
      <c r="I50" s="27"/>
      <c r="J50" s="34">
        <f>AVERAGE(J46:J49)</f>
        <v>12.508692374999999</v>
      </c>
      <c r="K50" s="27"/>
      <c r="L50" s="41">
        <f>(D50/D43-1)*100</f>
        <v>45.212636090225857</v>
      </c>
      <c r="M50" s="27"/>
      <c r="N50" s="80"/>
      <c r="O50" s="27"/>
      <c r="P50" s="80"/>
      <c r="Q50" s="27"/>
      <c r="R50" s="81">
        <f>F50/J50</f>
        <v>5.1923836683208862</v>
      </c>
      <c r="S50" s="78" t="s">
        <v>100</v>
      </c>
      <c r="T50" s="38"/>
      <c r="U50" s="27"/>
      <c r="V50" s="27"/>
      <c r="W50" s="27"/>
      <c r="X50" s="27"/>
      <c r="Y50" s="27"/>
      <c r="Z50" s="27"/>
      <c r="AA50" s="27"/>
      <c r="AB50" s="27"/>
      <c r="AC50" s="27"/>
      <c r="AD50" s="27"/>
      <c r="AE50" s="27"/>
      <c r="AF50" s="27"/>
      <c r="AG50" s="27"/>
      <c r="AH50" s="27"/>
      <c r="AI50" s="204">
        <f>((F50+('yrP&amp;L'!$G$21))/J50)</f>
        <v>6.3789985082273644</v>
      </c>
      <c r="AJ50" s="203"/>
      <c r="AK50" s="27"/>
      <c r="AL50" s="27"/>
      <c r="AM50" s="27"/>
      <c r="AN50" s="27"/>
      <c r="AO50" s="27"/>
      <c r="AP50" s="27"/>
      <c r="AQ50" s="27"/>
    </row>
    <row r="51" spans="1:43" hidden="1" outlineLevel="1">
      <c r="A51" s="27"/>
      <c r="B51" s="27"/>
      <c r="C51" s="27"/>
      <c r="D51" s="27"/>
      <c r="E51" s="27"/>
      <c r="F51" s="27"/>
      <c r="G51" s="27"/>
      <c r="H51" s="27"/>
      <c r="I51" s="27"/>
      <c r="J51" s="27"/>
      <c r="K51" s="27"/>
      <c r="L51" s="27"/>
      <c r="M51" s="27"/>
      <c r="N51" s="27"/>
      <c r="O51" s="27"/>
      <c r="P51" s="27"/>
      <c r="Q51" s="27"/>
      <c r="R51" s="27"/>
      <c r="S51" s="27"/>
      <c r="T51" s="38"/>
      <c r="U51" s="27"/>
      <c r="V51" s="27"/>
      <c r="W51" s="27"/>
      <c r="X51" s="27"/>
      <c r="Y51" s="27"/>
      <c r="Z51" s="27"/>
      <c r="AA51" s="27"/>
      <c r="AB51" s="27"/>
      <c r="AC51" s="27"/>
      <c r="AD51" s="27"/>
      <c r="AE51" s="27"/>
      <c r="AF51" s="27"/>
      <c r="AG51" s="27"/>
      <c r="AH51" s="27"/>
      <c r="AI51" s="27"/>
      <c r="AJ51" s="27"/>
      <c r="AK51" s="27"/>
      <c r="AL51" s="27"/>
      <c r="AM51" s="27"/>
      <c r="AN51" s="27"/>
      <c r="AO51" s="27"/>
      <c r="AP51" s="27"/>
      <c r="AQ51" s="27"/>
    </row>
    <row r="52" spans="1:43" hidden="1" outlineLevel="1" collapsed="1">
      <c r="A52" s="27"/>
      <c r="B52" s="71">
        <f>B45+1</f>
        <v>2000</v>
      </c>
      <c r="C52" s="27"/>
      <c r="D52" s="27"/>
      <c r="E52" s="27"/>
      <c r="F52" s="27"/>
      <c r="G52" s="27"/>
      <c r="H52" s="27"/>
      <c r="I52" s="27"/>
      <c r="J52" s="27"/>
      <c r="K52" s="27"/>
      <c r="L52" s="27"/>
      <c r="M52" s="27"/>
      <c r="N52" s="27"/>
      <c r="O52" s="27"/>
      <c r="P52" s="27"/>
      <c r="Q52" s="27"/>
      <c r="R52" s="27"/>
      <c r="S52" s="27"/>
      <c r="T52" s="38"/>
      <c r="U52" s="27"/>
      <c r="V52" s="27"/>
      <c r="W52" s="27"/>
      <c r="X52" s="27"/>
      <c r="Y52" s="27"/>
      <c r="Z52" s="27"/>
      <c r="AA52" s="27"/>
      <c r="AB52" s="126"/>
      <c r="AC52" s="27"/>
      <c r="AD52" s="27"/>
      <c r="AE52" s="27"/>
      <c r="AF52" s="27"/>
      <c r="AG52" s="27"/>
      <c r="AH52" s="27"/>
      <c r="AI52" s="27"/>
      <c r="AJ52" s="27"/>
      <c r="AK52" s="27"/>
      <c r="AL52" s="27"/>
      <c r="AM52" s="27"/>
      <c r="AN52" s="27"/>
      <c r="AO52" s="27"/>
      <c r="AP52" s="27"/>
      <c r="AQ52" s="27"/>
    </row>
    <row r="53" spans="1:43" hidden="1" outlineLevel="1">
      <c r="A53" s="27" t="str">
        <f>$A$11</f>
        <v>1Q</v>
      </c>
      <c r="B53" s="27" t="str">
        <f>$B$11</f>
        <v>Apr</v>
      </c>
      <c r="C53" s="27"/>
      <c r="D53" s="34">
        <f>+'qtrP&amp;L'!AB10</f>
        <v>56.692813999999998</v>
      </c>
      <c r="E53" s="27"/>
      <c r="F53" s="34">
        <f>+'qtrP&amp;L'!AB20</f>
        <v>22.763994</v>
      </c>
      <c r="G53" s="27"/>
      <c r="H53" s="34">
        <f>work!Z10</f>
        <v>14.184416000000001</v>
      </c>
      <c r="I53" s="27"/>
      <c r="J53" s="34">
        <f>AVERAGE(H53,H49)</f>
        <v>14.509608</v>
      </c>
      <c r="K53" s="27"/>
      <c r="L53" s="41">
        <f>(D53/D46-1)*100</f>
        <v>55.642672812924722</v>
      </c>
      <c r="M53" s="27" t="s">
        <v>576</v>
      </c>
      <c r="N53" s="41">
        <f>(H53/H46-1)*100</f>
        <v>42.130951834611885</v>
      </c>
      <c r="O53" s="27" t="s">
        <v>576</v>
      </c>
      <c r="P53" s="41">
        <f>(H53/H49-1)*100</f>
        <v>-4.384177744223039</v>
      </c>
      <c r="Q53" s="27" t="s">
        <v>576</v>
      </c>
      <c r="R53" s="38">
        <f>F53/J53</f>
        <v>1.5688910410260566</v>
      </c>
      <c r="S53" s="27" t="s">
        <v>100</v>
      </c>
      <c r="T53" s="38">
        <f>F54/H53</f>
        <v>1.8078962151138263</v>
      </c>
      <c r="U53" s="27" t="s">
        <v>100</v>
      </c>
      <c r="V53" s="27">
        <f>qtrSales!J54</f>
        <v>207</v>
      </c>
      <c r="W53" s="27"/>
      <c r="X53" s="36">
        <f>H53/V53</f>
        <v>6.8523748792270536E-2</v>
      </c>
      <c r="Y53" s="27"/>
      <c r="Z53" s="80">
        <f>(X53/X46-1)*100</f>
        <v>16.039279517146898</v>
      </c>
      <c r="AA53" s="124" t="s">
        <v>576</v>
      </c>
      <c r="AB53" s="155">
        <f>0.302/0.8</f>
        <v>0.37749999999999995</v>
      </c>
      <c r="AC53" s="27"/>
      <c r="AD53" s="131">
        <f>H53/AB53</f>
        <v>37.574611920529811</v>
      </c>
      <c r="AE53" s="27"/>
      <c r="AF53" s="80">
        <f>(AD53/AD46-1)*100</f>
        <v>4.0097362763219735</v>
      </c>
      <c r="AG53" s="124" t="s">
        <v>576</v>
      </c>
      <c r="AH53" s="124"/>
      <c r="AI53" s="200">
        <f>((F53+('yrP&amp;L'!$H$21/4))/J53)</f>
        <v>1.9339077940630789</v>
      </c>
      <c r="AJ53" s="246" t="s">
        <v>100</v>
      </c>
      <c r="AK53" s="124"/>
      <c r="AL53" s="75">
        <f>J53/(F53/(365/4))</f>
        <v>58.162101518740513</v>
      </c>
      <c r="AM53" s="27"/>
      <c r="AN53" s="75">
        <f>H53/(F54/(365/4))</f>
        <v>50.473030054025998</v>
      </c>
      <c r="AO53" s="27"/>
      <c r="AP53" s="27"/>
      <c r="AQ53" s="27"/>
    </row>
    <row r="54" spans="1:43" hidden="1" outlineLevel="1">
      <c r="A54" s="27" t="str">
        <f>$A$12</f>
        <v>2Q</v>
      </c>
      <c r="B54" s="27" t="str">
        <f>$B$12</f>
        <v>Jul</v>
      </c>
      <c r="C54" s="27"/>
      <c r="D54" s="35">
        <f>+'qtrP&amp;L'!AB11</f>
        <v>60.638316000000003</v>
      </c>
      <c r="E54" s="27"/>
      <c r="F54" s="35">
        <f>+'qtrP&amp;L'!AB21</f>
        <v>25.643951999999999</v>
      </c>
      <c r="G54" s="27"/>
      <c r="H54" s="35">
        <f>work!Z11</f>
        <v>21.449961999999999</v>
      </c>
      <c r="I54" s="27"/>
      <c r="J54" s="35">
        <f>AVERAGE(H53:H54)</f>
        <v>17.817188999999999</v>
      </c>
      <c r="K54" s="27"/>
      <c r="L54" s="41">
        <f>(D54/D47-1)*100</f>
        <v>64.906673257315163</v>
      </c>
      <c r="M54" s="27"/>
      <c r="N54" s="41">
        <f>(H54/H47-1)*100</f>
        <v>72.517752671194799</v>
      </c>
      <c r="O54" s="27"/>
      <c r="P54" s="41">
        <f>(H54/H53-1)*100</f>
        <v>51.222031277142442</v>
      </c>
      <c r="Q54" s="27"/>
      <c r="R54" s="38">
        <f>F54/J54</f>
        <v>1.4392815836437498</v>
      </c>
      <c r="S54" s="27"/>
      <c r="T54" s="38">
        <f>F55/H54</f>
        <v>1.3203441106329235</v>
      </c>
      <c r="U54" s="27"/>
      <c r="V54" s="27">
        <f>qtrSales!J55</f>
        <v>216</v>
      </c>
      <c r="W54" s="27"/>
      <c r="X54" s="38">
        <f>H54/V54</f>
        <v>9.9305379629629625E-2</v>
      </c>
      <c r="Y54" s="27"/>
      <c r="Z54" s="80">
        <f>(X54/X47-1)*100</f>
        <v>41.368713994451298</v>
      </c>
      <c r="AA54" s="27"/>
      <c r="AB54" s="126">
        <f>0.32/0.8</f>
        <v>0.39999999999999997</v>
      </c>
      <c r="AC54" s="27"/>
      <c r="AD54" s="132">
        <f>H54/AB54</f>
        <v>53.624905000000005</v>
      </c>
      <c r="AE54" s="27"/>
      <c r="AF54" s="80">
        <f>(AD54/AD47-1)*100</f>
        <v>26.153606640811212</v>
      </c>
      <c r="AG54" s="27"/>
      <c r="AH54" s="27"/>
      <c r="AI54" s="200">
        <f>((F54+('yrP&amp;L'!$H$21/4))/J54)</f>
        <v>1.7365366669231606</v>
      </c>
      <c r="AJ54" s="201"/>
      <c r="AK54" s="27"/>
      <c r="AL54" s="75">
        <f>J54/(F54/(365/4))</f>
        <v>63.399685674423345</v>
      </c>
      <c r="AM54" s="27"/>
      <c r="AN54" s="75">
        <f>H54/(F55/(365/4))</f>
        <v>69.110771400539036</v>
      </c>
      <c r="AO54" s="27"/>
      <c r="AP54" s="27"/>
      <c r="AQ54" s="27"/>
    </row>
    <row r="55" spans="1:43" hidden="1" outlineLevel="1">
      <c r="A55" s="27" t="str">
        <f>$A$13</f>
        <v>3Q</v>
      </c>
      <c r="B55" s="27" t="str">
        <f>$B$13</f>
        <v>Oct</v>
      </c>
      <c r="C55" s="27"/>
      <c r="D55" s="35">
        <f>+'qtrP&amp;L'!AB12</f>
        <v>68.990472999999994</v>
      </c>
      <c r="E55" s="27"/>
      <c r="F55" s="35">
        <f>+'qtrP&amp;L'!AB22</f>
        <v>28.321331000000001</v>
      </c>
      <c r="G55" s="27"/>
      <c r="H55" s="35">
        <f>work!Z12</f>
        <v>26.730996999999999</v>
      </c>
      <c r="I55" s="27"/>
      <c r="J55" s="35">
        <f>AVERAGE(H54:H55)</f>
        <v>24.090479500000001</v>
      </c>
      <c r="K55" s="27"/>
      <c r="L55" s="41">
        <f>(D55/D48-1)*100</f>
        <v>72.437405638407057</v>
      </c>
      <c r="M55" s="27"/>
      <c r="N55" s="41">
        <f>(H55/H48-1)*100</f>
        <v>76.424873065289262</v>
      </c>
      <c r="O55" s="27"/>
      <c r="P55" s="41">
        <f>(H55/H54-1)*100</f>
        <v>24.62025340650953</v>
      </c>
      <c r="Q55" s="27"/>
      <c r="R55" s="38">
        <f>F55/J55</f>
        <v>1.1756233826728106</v>
      </c>
      <c r="S55" s="27"/>
      <c r="T55" s="38">
        <f>F56/H55</f>
        <v>1.1949161492180782</v>
      </c>
      <c r="U55" s="27"/>
      <c r="V55" s="27">
        <f>qtrSales!J56</f>
        <v>233</v>
      </c>
      <c r="W55" s="27"/>
      <c r="X55" s="38">
        <f>H55/V55</f>
        <v>0.11472530901287553</v>
      </c>
      <c r="Y55" s="27"/>
      <c r="Z55" s="80">
        <f>(X55/X48-1)*100</f>
        <v>40.837023133664395</v>
      </c>
      <c r="AA55" s="27"/>
      <c r="AB55" s="126">
        <f>0.355/0.8</f>
        <v>0.44374999999999998</v>
      </c>
      <c r="AC55" s="27"/>
      <c r="AD55" s="132">
        <f>H55/AB55</f>
        <v>60.238866478873241</v>
      </c>
      <c r="AE55" s="27"/>
      <c r="AF55" s="80">
        <f>(AD55/AD48-1)*100</f>
        <v>24.739839829260845</v>
      </c>
      <c r="AG55" s="27"/>
      <c r="AH55" s="27"/>
      <c r="AI55" s="200">
        <f>((F55+('yrP&amp;L'!$H$21/4))/J55)</f>
        <v>1.3954716426462164</v>
      </c>
      <c r="AJ55" s="201"/>
      <c r="AK55" s="27"/>
      <c r="AL55" s="75">
        <f>J55/(F55/(365/4))</f>
        <v>77.618394925542162</v>
      </c>
      <c r="AM55" s="27"/>
      <c r="AN55" s="75">
        <f>H55/(F56/(365/4))</f>
        <v>76.365191030108349</v>
      </c>
      <c r="AO55" s="27"/>
      <c r="AP55" s="27"/>
      <c r="AQ55" s="27"/>
    </row>
    <row r="56" spans="1:43" hidden="1" outlineLevel="1">
      <c r="A56" s="27" t="str">
        <f>$A$14</f>
        <v>4Q</v>
      </c>
      <c r="B56" s="27" t="str">
        <f>$B$14</f>
        <v>Jan</v>
      </c>
      <c r="C56" s="27"/>
      <c r="D56" s="37">
        <f>+'qtrP&amp;L'!AB13</f>
        <v>73.124292999999994</v>
      </c>
      <c r="E56" s="27"/>
      <c r="F56" s="37">
        <f>+'qtrP&amp;L'!AB23</f>
        <v>31.941299999999998</v>
      </c>
      <c r="G56" s="27"/>
      <c r="H56" s="89">
        <f>work!Z13</f>
        <v>24.394162000000001</v>
      </c>
      <c r="I56" s="27"/>
      <c r="J56" s="37">
        <f>AVERAGE(H55:H56)</f>
        <v>25.562579499999998</v>
      </c>
      <c r="K56" s="27"/>
      <c r="L56" s="79">
        <f>(D56/D49-1)*100</f>
        <v>74.951006067132226</v>
      </c>
      <c r="M56" s="27"/>
      <c r="N56" s="80">
        <f>(H56/H49-1)*100</f>
        <v>64.438765605198611</v>
      </c>
      <c r="O56" s="27"/>
      <c r="P56" s="41">
        <f>(H56/H55-1)*100</f>
        <v>-8.7420420570171622</v>
      </c>
      <c r="Q56" s="27"/>
      <c r="R56" s="38">
        <f>F56/J56</f>
        <v>1.2495335222331534</v>
      </c>
      <c r="S56" s="27"/>
      <c r="T56" s="38">
        <f>F60/H56</f>
        <v>1.5143498678085354</v>
      </c>
      <c r="U56" s="27"/>
      <c r="V56" s="27">
        <f>qtrSales!J57</f>
        <v>250</v>
      </c>
      <c r="W56" s="27"/>
      <c r="X56" s="38">
        <f>H56/V56</f>
        <v>9.7576648000000002E-2</v>
      </c>
      <c r="Y56" s="27"/>
      <c r="Z56" s="80">
        <f>(X56/X49-1)*100</f>
        <v>31.551012484158857</v>
      </c>
      <c r="AA56" s="27"/>
      <c r="AB56" s="125">
        <f>+yrSales!H65</f>
        <v>0.48049999999999998</v>
      </c>
      <c r="AC56" s="27"/>
      <c r="AD56" s="132">
        <f>H56/AB56</f>
        <v>50.768287200832468</v>
      </c>
      <c r="AE56" s="27"/>
      <c r="AF56" s="80">
        <f>(AD56/AD49-1)*100</f>
        <v>19.094048762974204</v>
      </c>
      <c r="AG56" s="27"/>
      <c r="AH56" s="27"/>
      <c r="AI56" s="200">
        <f>((F56+('yrP&amp;L'!$H$21/4))/J56)</f>
        <v>1.4567211419332702</v>
      </c>
      <c r="AJ56" s="202"/>
      <c r="AK56" s="27"/>
      <c r="AL56" s="75">
        <f>J56/(F56/(365/4))</f>
        <v>73.027252471721567</v>
      </c>
      <c r="AM56" s="27"/>
      <c r="AN56" s="75">
        <f>H56/(F60/(365/4))</f>
        <v>60.256881147320875</v>
      </c>
      <c r="AO56" s="27"/>
      <c r="AP56" s="27"/>
      <c r="AQ56" s="27"/>
    </row>
    <row r="57" spans="1:43" hidden="1" outlineLevel="1">
      <c r="A57" s="27"/>
      <c r="B57" s="27" t="str">
        <f>$B$15</f>
        <v>Year</v>
      </c>
      <c r="C57" s="27"/>
      <c r="D57" s="34">
        <f>SUM(D53:D56)</f>
        <v>259.44589599999995</v>
      </c>
      <c r="E57" s="27"/>
      <c r="F57" s="34">
        <f>SUM(F53:F56)</f>
        <v>108.67057699999999</v>
      </c>
      <c r="G57" s="27"/>
      <c r="H57" s="27"/>
      <c r="I57" s="27"/>
      <c r="J57" s="34">
        <f>AVERAGE(J53:J56)</f>
        <v>20.494964</v>
      </c>
      <c r="K57" s="27"/>
      <c r="L57" s="41">
        <f>(D57/D50-1)*100</f>
        <v>67.381985817357062</v>
      </c>
      <c r="M57" s="27"/>
      <c r="N57" s="80"/>
      <c r="O57" s="27"/>
      <c r="P57" s="80"/>
      <c r="Q57" s="27"/>
      <c r="R57" s="81">
        <f>F57/J57</f>
        <v>5.302306312906917</v>
      </c>
      <c r="S57" s="78" t="s">
        <v>100</v>
      </c>
      <c r="T57" s="38"/>
      <c r="U57" s="27"/>
      <c r="V57" s="27"/>
      <c r="W57" s="27"/>
      <c r="X57" s="27"/>
      <c r="Y57" s="27"/>
      <c r="Z57" s="27"/>
      <c r="AA57" s="27"/>
      <c r="AB57" s="27"/>
      <c r="AC57" s="27"/>
      <c r="AD57" s="27"/>
      <c r="AE57" s="27"/>
      <c r="AF57" s="27"/>
      <c r="AG57" s="27"/>
      <c r="AH57" s="27"/>
      <c r="AI57" s="244">
        <f>((F57+('yrP&amp;L'!$H$21))/J57)</f>
        <v>6.3359748765599191</v>
      </c>
      <c r="AJ57" s="245" t="s">
        <v>100</v>
      </c>
      <c r="AK57" s="27"/>
      <c r="AL57" s="27"/>
      <c r="AM57" s="27"/>
      <c r="AN57" s="27"/>
      <c r="AO57" s="27"/>
      <c r="AP57" s="27"/>
      <c r="AQ57" s="27"/>
    </row>
    <row r="58" spans="1:43" hidden="1" outlineLevel="1">
      <c r="A58" s="27"/>
      <c r="B58" s="27"/>
      <c r="C58" s="27"/>
      <c r="D58" s="27"/>
      <c r="E58" s="27"/>
      <c r="F58" s="27"/>
      <c r="G58" s="27"/>
      <c r="H58" s="27"/>
      <c r="I58" s="27"/>
      <c r="J58" s="27"/>
      <c r="K58" s="27"/>
      <c r="L58" s="27"/>
      <c r="M58" s="27"/>
      <c r="N58" s="27"/>
      <c r="O58" s="27"/>
      <c r="P58" s="27"/>
      <c r="Q58" s="27"/>
      <c r="R58" s="27"/>
      <c r="S58" s="27"/>
      <c r="T58" s="38"/>
      <c r="U58" s="27"/>
      <c r="V58" s="27"/>
      <c r="W58" s="27"/>
      <c r="X58" s="27"/>
      <c r="Y58" s="27"/>
      <c r="Z58" s="27"/>
      <c r="AA58" s="27"/>
      <c r="AB58" s="27"/>
      <c r="AC58" s="27"/>
      <c r="AD58" s="27"/>
      <c r="AE58" s="27"/>
      <c r="AF58" s="27"/>
      <c r="AG58" s="27"/>
      <c r="AH58" s="27"/>
      <c r="AI58" s="27"/>
      <c r="AJ58" s="27"/>
      <c r="AK58" s="27"/>
      <c r="AL58" s="27"/>
      <c r="AM58" s="27"/>
      <c r="AN58" s="27"/>
      <c r="AO58" s="27"/>
      <c r="AP58" s="27"/>
      <c r="AQ58" s="27"/>
    </row>
    <row r="59" spans="1:43" hidden="1" outlineLevel="1" collapsed="1">
      <c r="A59" s="27"/>
      <c r="B59" s="71" t="s">
        <v>535</v>
      </c>
      <c r="C59" s="27"/>
      <c r="D59" s="27"/>
      <c r="E59" s="27"/>
      <c r="F59" s="27"/>
      <c r="G59" s="27"/>
      <c r="H59" s="27"/>
      <c r="I59" s="27"/>
      <c r="J59" s="27"/>
      <c r="K59" s="27"/>
      <c r="L59" s="27"/>
      <c r="M59" s="27"/>
      <c r="N59" s="27"/>
      <c r="O59" s="27"/>
      <c r="P59" s="27"/>
      <c r="Q59" s="27"/>
      <c r="R59" s="27"/>
      <c r="S59" s="27"/>
      <c r="T59" s="38"/>
      <c r="U59" s="27"/>
      <c r="V59" s="27"/>
      <c r="W59" s="27"/>
      <c r="X59" s="27"/>
      <c r="Y59" s="27"/>
      <c r="Z59" s="27"/>
      <c r="AA59" s="27"/>
      <c r="AB59" s="125"/>
      <c r="AC59" s="27"/>
      <c r="AD59" s="27"/>
      <c r="AE59" s="27"/>
      <c r="AF59" s="27"/>
      <c r="AG59" s="27"/>
      <c r="AH59" s="27"/>
      <c r="AI59" s="27"/>
      <c r="AJ59" s="27"/>
      <c r="AK59" s="27"/>
      <c r="AL59" s="27"/>
      <c r="AM59" s="27"/>
      <c r="AN59" s="27"/>
      <c r="AO59" s="27"/>
      <c r="AP59" s="27"/>
      <c r="AQ59" s="27"/>
    </row>
    <row r="60" spans="1:43" hidden="1" outlineLevel="1">
      <c r="A60" s="27" t="str">
        <f>$A$11</f>
        <v>1Q</v>
      </c>
      <c r="B60" s="27" t="str">
        <f>$B$11</f>
        <v>Apr</v>
      </c>
      <c r="C60" s="27"/>
      <c r="D60" s="34">
        <f>+'qtrP&amp;L'!AF10</f>
        <v>93.233012000000002</v>
      </c>
      <c r="E60" s="27"/>
      <c r="F60" s="34">
        <f>+'qtrP&amp;L'!AF20</f>
        <v>36.941296000000001</v>
      </c>
      <c r="G60" s="27"/>
      <c r="H60" s="34">
        <f>+work!AD10</f>
        <v>28.057169999999999</v>
      </c>
      <c r="I60" s="27"/>
      <c r="J60" s="34">
        <f>AVERAGE(H60,H56)</f>
        <v>26.225666</v>
      </c>
      <c r="K60" s="27"/>
      <c r="L60" s="41">
        <f>(D60/D53-1)*100</f>
        <v>64.452962239623531</v>
      </c>
      <c r="M60" s="27" t="s">
        <v>576</v>
      </c>
      <c r="N60" s="41">
        <f>(H60/H53-1)*100</f>
        <v>97.802785817900428</v>
      </c>
      <c r="O60" s="27" t="s">
        <v>576</v>
      </c>
      <c r="P60" s="41">
        <f>(H60/H56-1)*100</f>
        <v>15.01592061248096</v>
      </c>
      <c r="Q60" s="27" t="s">
        <v>576</v>
      </c>
      <c r="R60" s="38">
        <f>F60/J60</f>
        <v>1.4085932460209019</v>
      </c>
      <c r="S60" s="27" t="s">
        <v>100</v>
      </c>
      <c r="T60" s="38">
        <f>F61/H60</f>
        <v>1.2762394781797308</v>
      </c>
      <c r="U60" s="27" t="s">
        <v>100</v>
      </c>
      <c r="V60" s="27">
        <f>qtrSales!J61</f>
        <v>263</v>
      </c>
      <c r="W60" s="27"/>
      <c r="X60" s="36">
        <f>H60/V60</f>
        <v>0.10668125475285171</v>
      </c>
      <c r="Y60" s="27"/>
      <c r="Z60" s="80">
        <f>(X60/X53-1)*100</f>
        <v>55.685082373784752</v>
      </c>
      <c r="AA60" s="124" t="s">
        <v>576</v>
      </c>
      <c r="AB60" s="126">
        <f>0.399/0.8</f>
        <v>0.49875000000000003</v>
      </c>
      <c r="AC60" s="27"/>
      <c r="AD60" s="131">
        <f>H60/AB60</f>
        <v>56.254977443609015</v>
      </c>
      <c r="AE60" s="27"/>
      <c r="AF60" s="80">
        <f>(AD60/AD53-1)*100</f>
        <v>49.715391771944617</v>
      </c>
      <c r="AG60" s="124" t="s">
        <v>576</v>
      </c>
      <c r="AH60" s="124"/>
      <c r="AI60" s="200">
        <f>((F60+('yrP&amp;L'!$I$21/4))/J60)</f>
        <v>1.7023703420915985</v>
      </c>
      <c r="AJ60" s="246" t="s">
        <v>100</v>
      </c>
      <c r="AK60" s="124"/>
      <c r="AL60" s="75">
        <f>J60/(F60/(365/4))</f>
        <v>64.780943865640225</v>
      </c>
      <c r="AM60" s="27"/>
      <c r="AN60" s="75">
        <f>H60/(F61/(365/4))</f>
        <v>71.499120314118187</v>
      </c>
      <c r="AO60" s="27"/>
      <c r="AP60" s="27"/>
      <c r="AQ60" s="27"/>
    </row>
    <row r="61" spans="1:43" hidden="1" outlineLevel="1">
      <c r="A61" s="27" t="str">
        <f>$A$12</f>
        <v>2Q</v>
      </c>
      <c r="B61" s="27" t="str">
        <f>$B$12</f>
        <v>Jul</v>
      </c>
      <c r="C61" s="27"/>
      <c r="D61" s="35">
        <f>+'qtrP&amp;L'!AF11</f>
        <v>89.492216999999997</v>
      </c>
      <c r="E61" s="27"/>
      <c r="F61" s="35">
        <f>+'qtrP&amp;L'!AF21</f>
        <v>35.807668</v>
      </c>
      <c r="G61" s="27"/>
      <c r="H61" s="35">
        <f>+work!AD11</f>
        <v>29.299357000000001</v>
      </c>
      <c r="I61" s="27"/>
      <c r="J61" s="35">
        <f>AVERAGE(H60:H61)</f>
        <v>28.6782635</v>
      </c>
      <c r="K61" s="27"/>
      <c r="L61" s="41">
        <f>(D61/D54-1)*100</f>
        <v>47.583611985530716</v>
      </c>
      <c r="M61" s="27"/>
      <c r="N61" s="41">
        <f>(H61/H54-1)*100</f>
        <v>36.593980912413748</v>
      </c>
      <c r="O61" s="27"/>
      <c r="P61" s="41">
        <f>(H61/H60-1)*100</f>
        <v>4.4273424582735865</v>
      </c>
      <c r="Q61" s="27"/>
      <c r="R61" s="38">
        <f>F61/J61</f>
        <v>1.2485995883258412</v>
      </c>
      <c r="S61" s="27"/>
      <c r="T61" s="38">
        <f>F62/H61</f>
        <v>1.3118320992505057</v>
      </c>
      <c r="U61" s="27"/>
      <c r="V61" s="27">
        <f>qtrSales!J62</f>
        <v>273</v>
      </c>
      <c r="W61" s="27"/>
      <c r="X61" s="38">
        <f>H61/V61</f>
        <v>0.10732365201465202</v>
      </c>
      <c r="Y61" s="27"/>
      <c r="Z61" s="80">
        <f>(X61/X54-1)*100</f>
        <v>8.0743585241075841</v>
      </c>
      <c r="AA61" s="27"/>
      <c r="AB61" s="126">
        <f>0.443/0.8</f>
        <v>0.55374999999999996</v>
      </c>
      <c r="AC61" s="27"/>
      <c r="AD61" s="132">
        <f>H61/AB61</f>
        <v>52.910802708803615</v>
      </c>
      <c r="AE61" s="27"/>
      <c r="AF61" s="170">
        <f>(AD61/AD54-1)*100</f>
        <v>-1.3316616434031703</v>
      </c>
      <c r="AG61" s="27"/>
      <c r="AH61" s="27"/>
      <c r="AI61" s="200">
        <f>((F61+('yrP&amp;L'!$I$21/4))/J61)</f>
        <v>1.5172525351822646</v>
      </c>
      <c r="AJ61" s="201"/>
      <c r="AK61" s="27"/>
      <c r="AL61" s="75">
        <f>J61/(F61/(365/4))</f>
        <v>73.08187576959773</v>
      </c>
      <c r="AM61" s="27"/>
      <c r="AN61" s="75">
        <f>H61/(F62/(365/4))</f>
        <v>69.559206587591675</v>
      </c>
      <c r="AO61" s="27"/>
      <c r="AP61" s="27"/>
      <c r="AQ61" s="27"/>
    </row>
    <row r="62" spans="1:43" hidden="1" outlineLevel="1">
      <c r="A62" s="27" t="str">
        <f>$A$13</f>
        <v>3Q</v>
      </c>
      <c r="B62" s="27" t="str">
        <f>$B$13</f>
        <v>Oct</v>
      </c>
      <c r="C62" s="27"/>
      <c r="D62" s="35">
        <f>+'qtrP&amp;L'!AF12</f>
        <v>93.978123999999994</v>
      </c>
      <c r="E62" s="27"/>
      <c r="F62" s="35">
        <f>+'qtrP&amp;L'!AF22</f>
        <v>38.435836999999999</v>
      </c>
      <c r="G62" s="27"/>
      <c r="H62" s="35">
        <f>+work!AD12</f>
        <v>30.788364000000001</v>
      </c>
      <c r="I62" s="27"/>
      <c r="J62" s="35">
        <f>AVERAGE(H61:H62)</f>
        <v>30.043860500000001</v>
      </c>
      <c r="K62" s="27"/>
      <c r="L62" s="41">
        <f>(D62/D55-1)*100</f>
        <v>36.218987801402669</v>
      </c>
      <c r="M62" s="27"/>
      <c r="N62" s="41">
        <f>(H62/H55-1)*100</f>
        <v>15.178509802683383</v>
      </c>
      <c r="O62" s="27"/>
      <c r="P62" s="41">
        <f>(H62/H61-1)*100</f>
        <v>5.082046681092689</v>
      </c>
      <c r="Q62" s="27"/>
      <c r="R62" s="38">
        <f>F62/J62</f>
        <v>1.2793241734030818</v>
      </c>
      <c r="S62" s="27"/>
      <c r="T62" s="38">
        <f>F63/H62</f>
        <v>1.3886018107360298</v>
      </c>
      <c r="U62" s="27"/>
      <c r="V62" s="27">
        <f>qtrSales!J63</f>
        <v>290</v>
      </c>
      <c r="W62" s="27"/>
      <c r="X62" s="169">
        <f>H62/V62</f>
        <v>0.1061667724137931</v>
      </c>
      <c r="Y62" s="27"/>
      <c r="Z62" s="80">
        <f>(X62/X55-1)*100</f>
        <v>-7.4600248826716236</v>
      </c>
      <c r="AA62" s="27"/>
      <c r="AB62" s="126">
        <f>0.492/0.8</f>
        <v>0.61499999999999999</v>
      </c>
      <c r="AC62" s="27"/>
      <c r="AD62" s="132">
        <f>H62/AB62</f>
        <v>50.06238048780488</v>
      </c>
      <c r="AE62" s="27"/>
      <c r="AF62" s="164">
        <f>(AD62/AD55-1)*100</f>
        <v>-16.893554918795527</v>
      </c>
      <c r="AG62" s="27"/>
      <c r="AH62" s="27"/>
      <c r="AI62" s="200">
        <f>((F62+('yrP&amp;L'!$I$21/4))/J62)</f>
        <v>1.5357659179651697</v>
      </c>
      <c r="AJ62" s="201"/>
      <c r="AK62" s="27"/>
      <c r="AL62" s="75">
        <f>J62/(F62/(365/4))</f>
        <v>71.32672226248124</v>
      </c>
      <c r="AM62" s="27"/>
      <c r="AN62" s="75">
        <f>H62/(F63/(365/4))</f>
        <v>65.71358275244711</v>
      </c>
      <c r="AO62" s="27"/>
      <c r="AP62" s="27"/>
      <c r="AQ62" s="27"/>
    </row>
    <row r="63" spans="1:43" hidden="1" outlineLevel="1">
      <c r="A63" s="27" t="str">
        <f>$A$14</f>
        <v>4Q</v>
      </c>
      <c r="B63" s="27" t="str">
        <f>$B$14</f>
        <v>Jan</v>
      </c>
      <c r="C63" s="27"/>
      <c r="D63" s="37">
        <f>+'qtrP&amp;L'!AF13</f>
        <v>101.381987</v>
      </c>
      <c r="E63" s="27"/>
      <c r="F63" s="37">
        <f>+'qtrP&amp;L'!AF23</f>
        <v>42.752777999999999</v>
      </c>
      <c r="G63" s="27"/>
      <c r="H63" s="35">
        <f>+bal!S12</f>
        <v>28.905066000000001</v>
      </c>
      <c r="I63" s="27"/>
      <c r="J63" s="37">
        <f>AVERAGE(H62:H63)</f>
        <v>29.846715000000003</v>
      </c>
      <c r="K63" s="27"/>
      <c r="L63" s="79">
        <f>(D63/D56-1)*100</f>
        <v>38.643373960552353</v>
      </c>
      <c r="M63" s="27"/>
      <c r="N63" s="80">
        <f>(H63/H56-1)*100</f>
        <v>18.491735850569491</v>
      </c>
      <c r="O63" s="27"/>
      <c r="P63" s="41">
        <f>(H63/H62-1)*100</f>
        <v>-6.1169148188581879</v>
      </c>
      <c r="Q63" s="27"/>
      <c r="R63" s="38">
        <f>F63/J63</f>
        <v>1.4324115065929364</v>
      </c>
      <c r="S63" s="27"/>
      <c r="T63" s="38">
        <f>F67/H63</f>
        <v>1.6948444608291153</v>
      </c>
      <c r="U63" s="27"/>
      <c r="V63" s="27">
        <f>qtrSales!J64</f>
        <v>311</v>
      </c>
      <c r="W63" s="27"/>
      <c r="X63" s="169">
        <f>H63/V63</f>
        <v>9.2942334405144697E-2</v>
      </c>
      <c r="Y63" s="144"/>
      <c r="Z63" s="170">
        <f>(X63/X56-1)*100</f>
        <v>-4.7494084802496062</v>
      </c>
      <c r="AA63" s="144"/>
      <c r="AB63" s="160">
        <f>+yrSales!I65</f>
        <v>0.66874999999999996</v>
      </c>
      <c r="AC63" s="144"/>
      <c r="AD63" s="171">
        <f>H63/AB63</f>
        <v>43.222528598130843</v>
      </c>
      <c r="AE63" s="144"/>
      <c r="AF63" s="170">
        <f>(AD63/AD56-1)*100</f>
        <v>-14.863134091665586</v>
      </c>
      <c r="AG63" s="27"/>
      <c r="AH63" s="27"/>
      <c r="AI63" s="200">
        <f>((F63+('yrP&amp;L'!$I$21/4))/J63)</f>
        <v>1.6905471171618047</v>
      </c>
      <c r="AJ63" s="202"/>
      <c r="AK63" s="27"/>
      <c r="AL63" s="75">
        <f>J63/(F63/(365/4))</f>
        <v>63.703760811753575</v>
      </c>
      <c r="AM63" s="27"/>
      <c r="AN63" s="75">
        <f>H63/(F67/(365/4))</f>
        <v>53.839748784593858</v>
      </c>
      <c r="AO63" s="27"/>
      <c r="AP63" s="27"/>
      <c r="AQ63" s="27"/>
    </row>
    <row r="64" spans="1:43" hidden="1" outlineLevel="1">
      <c r="A64" s="27"/>
      <c r="B64" s="27" t="str">
        <f>$B$15</f>
        <v>Year</v>
      </c>
      <c r="C64" s="27"/>
      <c r="D64" s="34">
        <f>SUM(D60:D63)</f>
        <v>378.08533999999997</v>
      </c>
      <c r="E64" s="27"/>
      <c r="F64" s="34">
        <f>SUM(F60:F63)</f>
        <v>153.937579</v>
      </c>
      <c r="G64" s="27"/>
      <c r="H64" s="27"/>
      <c r="I64" s="27"/>
      <c r="J64" s="34">
        <f>AVERAGE(J60:J63)</f>
        <v>28.69862625</v>
      </c>
      <c r="K64" s="27"/>
      <c r="L64" s="41">
        <f>(D64/D57-1)*100</f>
        <v>45.728009511470582</v>
      </c>
      <c r="M64" s="27"/>
      <c r="N64" s="80"/>
      <c r="O64" s="27"/>
      <c r="P64" s="80"/>
      <c r="Q64" s="27"/>
      <c r="R64" s="81">
        <f>F64/J64</f>
        <v>5.3639354601511631</v>
      </c>
      <c r="S64" s="78" t="s">
        <v>100</v>
      </c>
      <c r="T64" s="38"/>
      <c r="U64" s="27"/>
      <c r="V64" s="27"/>
      <c r="W64" s="27"/>
      <c r="X64" s="27"/>
      <c r="Y64" s="27"/>
      <c r="Z64" s="27"/>
      <c r="AA64" s="27"/>
      <c r="AB64" s="27"/>
      <c r="AC64" s="27"/>
      <c r="AD64" s="27"/>
      <c r="AE64" s="27"/>
      <c r="AF64" s="27"/>
      <c r="AG64" s="27"/>
      <c r="AH64" s="27"/>
      <c r="AI64" s="244">
        <f>((F64+('yrP&amp;L'!$I$21))/J64)</f>
        <v>6.4377847702727582</v>
      </c>
      <c r="AJ64" s="245" t="s">
        <v>100</v>
      </c>
      <c r="AK64" s="27"/>
      <c r="AL64" s="27"/>
      <c r="AM64" s="27"/>
      <c r="AN64" s="27"/>
      <c r="AO64" s="27"/>
      <c r="AP64" s="27"/>
      <c r="AQ64" s="27"/>
    </row>
    <row r="65" spans="1:43" hidden="1" outlineLevel="1">
      <c r="A65" s="27"/>
      <c r="B65" s="27"/>
      <c r="C65" s="27"/>
      <c r="D65" s="27"/>
      <c r="E65" s="27"/>
      <c r="F65" s="27"/>
      <c r="G65" s="27"/>
      <c r="H65" s="27"/>
      <c r="I65" s="27"/>
      <c r="J65" s="27"/>
      <c r="K65" s="27"/>
      <c r="L65" s="27"/>
      <c r="M65" s="27"/>
      <c r="N65" s="27"/>
      <c r="O65" s="27"/>
      <c r="P65" s="27"/>
      <c r="Q65" s="27"/>
      <c r="R65" s="27"/>
      <c r="S65" s="27"/>
      <c r="T65" s="38"/>
      <c r="U65" s="27"/>
      <c r="V65" s="27"/>
      <c r="W65" s="27"/>
      <c r="X65" s="27"/>
      <c r="Y65" s="27"/>
      <c r="Z65" s="27"/>
      <c r="AA65" s="27"/>
      <c r="AB65" s="27"/>
      <c r="AC65" s="27"/>
      <c r="AD65" s="27"/>
      <c r="AE65" s="27"/>
      <c r="AF65" s="27"/>
      <c r="AG65" s="27"/>
      <c r="AH65" s="27"/>
      <c r="AI65" s="27"/>
      <c r="AJ65" s="27"/>
      <c r="AK65" s="27"/>
      <c r="AL65" s="27"/>
      <c r="AM65" s="27"/>
      <c r="AN65" s="27"/>
      <c r="AO65" s="27"/>
      <c r="AP65" s="27"/>
      <c r="AQ65" s="27"/>
    </row>
    <row r="66" spans="1:43" hidden="1" outlineLevel="1">
      <c r="A66" s="27"/>
      <c r="B66" s="71" t="s">
        <v>541</v>
      </c>
      <c r="C66" s="27"/>
      <c r="D66" s="27"/>
      <c r="E66" s="27"/>
      <c r="F66" s="27"/>
      <c r="G66" s="27"/>
      <c r="H66" s="27"/>
      <c r="I66" s="27"/>
      <c r="J66" s="27"/>
      <c r="K66" s="27"/>
      <c r="L66" s="27"/>
      <c r="M66" s="27"/>
      <c r="N66" s="27"/>
      <c r="O66" s="27"/>
      <c r="P66" s="27"/>
      <c r="Q66" s="27"/>
      <c r="R66" s="27"/>
      <c r="S66" s="27"/>
      <c r="T66" s="38"/>
      <c r="U66" s="27"/>
      <c r="V66" s="27"/>
      <c r="W66" s="27"/>
      <c r="X66" s="27"/>
      <c r="Y66" s="27"/>
      <c r="Z66" s="27"/>
      <c r="AA66" s="27"/>
      <c r="AB66" s="125"/>
      <c r="AC66" s="27"/>
      <c r="AD66" s="27"/>
      <c r="AE66" s="27"/>
      <c r="AF66" s="27"/>
      <c r="AG66" s="27"/>
      <c r="AH66" s="27"/>
      <c r="AI66" s="27"/>
      <c r="AJ66" s="27"/>
      <c r="AK66" s="27"/>
      <c r="AL66" s="27"/>
      <c r="AM66" s="27"/>
      <c r="AN66" s="27"/>
      <c r="AO66" s="27"/>
      <c r="AP66" s="27"/>
      <c r="AQ66" s="27"/>
    </row>
    <row r="67" spans="1:43" hidden="1" outlineLevel="1">
      <c r="A67" s="27" t="str">
        <f>$A$11</f>
        <v>1Q</v>
      </c>
      <c r="B67" s="27" t="str">
        <f>$B$11</f>
        <v>Apr</v>
      </c>
      <c r="C67" s="27"/>
      <c r="D67" s="34">
        <f>+'qtrP&amp;L'!AJ10</f>
        <v>130.453641</v>
      </c>
      <c r="E67" s="27"/>
      <c r="F67" s="34">
        <f>+'qtrP&amp;L'!AJ20</f>
        <v>48.989590999999997</v>
      </c>
      <c r="G67" s="27"/>
      <c r="H67" s="34">
        <f>work!AH10</f>
        <v>36.246699</v>
      </c>
      <c r="I67" s="27"/>
      <c r="J67" s="34">
        <f>AVERAGE(H67,H63)</f>
        <v>32.575882499999999</v>
      </c>
      <c r="K67" s="27"/>
      <c r="L67" s="41">
        <f>(D67/D60-1)*100</f>
        <v>39.922156542577426</v>
      </c>
      <c r="M67" s="27" t="s">
        <v>576</v>
      </c>
      <c r="N67" s="41">
        <f>(H67/H60-1)*100</f>
        <v>29.188720744109254</v>
      </c>
      <c r="O67" s="27" t="s">
        <v>576</v>
      </c>
      <c r="P67" s="41">
        <f>(H67/H63-1)*100</f>
        <v>25.39912207777002</v>
      </c>
      <c r="Q67" s="27" t="s">
        <v>576</v>
      </c>
      <c r="R67" s="38">
        <f>F67/J67</f>
        <v>1.5038607472875063</v>
      </c>
      <c r="S67" s="27" t="s">
        <v>100</v>
      </c>
      <c r="T67" s="38">
        <f>F68/H67</f>
        <v>1.3681126659285581</v>
      </c>
      <c r="U67" s="27" t="s">
        <v>100</v>
      </c>
      <c r="V67" s="27">
        <f>qtrSales!J68</f>
        <v>324</v>
      </c>
      <c r="W67" s="27"/>
      <c r="X67" s="36">
        <f>H67/V67</f>
        <v>0.11187252777777777</v>
      </c>
      <c r="Y67" s="27"/>
      <c r="Z67" s="80">
        <f>(X67/X60-1)*100</f>
        <v>4.866152949693614</v>
      </c>
      <c r="AA67" s="124" t="s">
        <v>576</v>
      </c>
      <c r="AB67" s="126">
        <f>0.569/0.8</f>
        <v>0.71124999999999994</v>
      </c>
      <c r="AC67" s="27"/>
      <c r="AD67" s="131">
        <f>H67/AB67</f>
        <v>50.961966959578213</v>
      </c>
      <c r="AE67" s="27"/>
      <c r="AF67" s="164">
        <f>(AD67/AD60-1)*100</f>
        <v>-9.4089638367317985</v>
      </c>
      <c r="AG67" s="124" t="s">
        <v>576</v>
      </c>
      <c r="AH67" s="124"/>
      <c r="AI67" s="200">
        <f>((F67+('yrP&amp;L'!$J$21/4))/J67)</f>
        <v>1.8277506679980198</v>
      </c>
      <c r="AJ67" s="246" t="s">
        <v>100</v>
      </c>
      <c r="AK67" s="124"/>
      <c r="AL67" s="75">
        <f>J67/(F67/(365/4))</f>
        <v>60.677160544675708</v>
      </c>
      <c r="AM67" s="27"/>
      <c r="AN67" s="75">
        <f>H67/(F68/(365/4))</f>
        <v>66.697723274177349</v>
      </c>
      <c r="AO67" s="27"/>
      <c r="AP67" s="27"/>
      <c r="AQ67" s="27"/>
    </row>
    <row r="68" spans="1:43" hidden="1" outlineLevel="1">
      <c r="A68" s="27" t="str">
        <f>$A$12</f>
        <v>2Q</v>
      </c>
      <c r="B68" s="27" t="str">
        <f>$B$12</f>
        <v>Jul</v>
      </c>
      <c r="C68" s="27"/>
      <c r="D68" s="35">
        <f>+'qtrP&amp;L'!AJ11</f>
        <v>125.068123</v>
      </c>
      <c r="E68" s="27"/>
      <c r="F68" s="35">
        <f>+'qtrP&amp;L'!AJ21</f>
        <v>49.589568</v>
      </c>
      <c r="G68" s="27"/>
      <c r="H68" s="35">
        <f>work!AH11</f>
        <v>40.059294999999999</v>
      </c>
      <c r="I68" s="27"/>
      <c r="J68" s="35">
        <f>AVERAGE(H67:H68)</f>
        <v>38.152996999999999</v>
      </c>
      <c r="K68" s="27"/>
      <c r="L68" s="41">
        <f>(D68/D61-1)*100</f>
        <v>39.753072605185324</v>
      </c>
      <c r="M68" s="27"/>
      <c r="N68" s="41">
        <f>(H68/H61-1)*100</f>
        <v>36.724143809708856</v>
      </c>
      <c r="O68" s="27"/>
      <c r="P68" s="41">
        <f>(H68/H67-1)*100</f>
        <v>10.518464039994369</v>
      </c>
      <c r="Q68" s="27"/>
      <c r="R68" s="38">
        <f>F68/J68</f>
        <v>1.2997555080666403</v>
      </c>
      <c r="S68" s="27"/>
      <c r="T68" s="38">
        <f>F69/H68</f>
        <v>1.3701006720163198</v>
      </c>
      <c r="U68" s="27"/>
      <c r="V68" s="27">
        <f>qtrSales!J69</f>
        <v>336</v>
      </c>
      <c r="W68" s="27"/>
      <c r="X68" s="38">
        <f>H68/V68</f>
        <v>0.11922409226190475</v>
      </c>
      <c r="Y68" s="27"/>
      <c r="Z68" s="80">
        <f>(X68/X61-1)*100</f>
        <v>11.088366845388432</v>
      </c>
      <c r="AA68" s="27"/>
      <c r="AB68" s="126">
        <f>0.6/0.8</f>
        <v>0.74999999999999989</v>
      </c>
      <c r="AC68" s="27"/>
      <c r="AD68" s="132">
        <f>H68/AB68</f>
        <v>53.412393333333341</v>
      </c>
      <c r="AE68" s="27"/>
      <c r="AF68" s="170">
        <f>(AD68/AD61-1)*100</f>
        <v>0.94799284616837731</v>
      </c>
      <c r="AG68" s="27"/>
      <c r="AH68" s="27"/>
      <c r="AI68" s="200">
        <f>((F68+('yrP&amp;L'!$J$21/4))/J68)</f>
        <v>1.5762999693051638</v>
      </c>
      <c r="AJ68" s="201"/>
      <c r="AK68" s="27"/>
      <c r="AL68" s="75">
        <f>J68/(F68/(365/4))</f>
        <v>70.205511293221988</v>
      </c>
      <c r="AM68" s="27"/>
      <c r="AN68" s="75">
        <f>H68/(F69/(365/4))</f>
        <v>66.600945363898845</v>
      </c>
      <c r="AO68" s="27"/>
      <c r="AP68" s="27"/>
      <c r="AQ68" s="27"/>
    </row>
    <row r="69" spans="1:43" hidden="1" outlineLevel="1">
      <c r="A69" s="27" t="str">
        <f>$A$13</f>
        <v>3Q</v>
      </c>
      <c r="B69" s="27" t="str">
        <f>$B$13</f>
        <v>Oct</v>
      </c>
      <c r="C69" s="27"/>
      <c r="D69" s="35">
        <f>+'qtrP&amp;L'!AJ12</f>
        <v>137.260963</v>
      </c>
      <c r="E69" s="27"/>
      <c r="F69" s="35">
        <f>+'qtrP&amp;L'!AJ22</f>
        <v>54.885266999999999</v>
      </c>
      <c r="G69" s="27"/>
      <c r="H69" s="35">
        <f>work!AH12</f>
        <v>39.663646</v>
      </c>
      <c r="I69" s="27"/>
      <c r="J69" s="35">
        <f>AVERAGE(H68:H69)</f>
        <v>39.861470499999996</v>
      </c>
      <c r="K69" s="27"/>
      <c r="L69" s="41">
        <f>(D69/D62-1)*100</f>
        <v>46.056291781266047</v>
      </c>
      <c r="M69" s="27"/>
      <c r="N69" s="41">
        <f>(H69/H62-1)*100</f>
        <v>28.826741167539783</v>
      </c>
      <c r="O69" s="27"/>
      <c r="P69" s="41">
        <f>(H69/H68-1)*100</f>
        <v>-0.98765841984986835</v>
      </c>
      <c r="Q69" s="27"/>
      <c r="R69" s="38">
        <f>F69/J69</f>
        <v>1.3769002074321368</v>
      </c>
      <c r="S69" s="27"/>
      <c r="T69" s="38">
        <f>F70/H69</f>
        <v>1.4195789010420272</v>
      </c>
      <c r="U69" s="27"/>
      <c r="V69" s="27">
        <f>qtrSales!J70</f>
        <v>359</v>
      </c>
      <c r="W69" s="27"/>
      <c r="X69" s="38">
        <f>H69/V69</f>
        <v>0.11048369359331477</v>
      </c>
      <c r="Y69" s="27"/>
      <c r="Z69" s="80">
        <f>(X69/X62-1)*100</f>
        <v>4.0661697453663992</v>
      </c>
      <c r="AA69" s="27"/>
      <c r="AB69" s="126">
        <f>0.65/0.8</f>
        <v>0.8125</v>
      </c>
      <c r="AC69" s="27"/>
      <c r="AD69" s="132">
        <f>H69/AB69</f>
        <v>48.816795076923079</v>
      </c>
      <c r="AE69" s="27"/>
      <c r="AF69" s="164">
        <f>(AD69/AD62-1)*100</f>
        <v>-2.4880666854929623</v>
      </c>
      <c r="AG69" s="27"/>
      <c r="AH69" s="27"/>
      <c r="AI69" s="200">
        <f>((F69+('yrP&amp;L'!$J$21/4))/J69)</f>
        <v>1.6415918976195323</v>
      </c>
      <c r="AJ69" s="201"/>
      <c r="AK69" s="27"/>
      <c r="AL69" s="75">
        <f>J69/(F69/(365/4))</f>
        <v>66.272050441605757</v>
      </c>
      <c r="AM69" s="27"/>
      <c r="AN69" s="75">
        <f>H69/(F70/(365/4))</f>
        <v>64.279625410760104</v>
      </c>
      <c r="AO69" s="27"/>
      <c r="AP69" s="27"/>
      <c r="AQ69" s="27"/>
    </row>
    <row r="70" spans="1:43" hidden="1" outlineLevel="1">
      <c r="A70" s="27" t="str">
        <f>$A$14</f>
        <v>4Q</v>
      </c>
      <c r="B70" s="27" t="str">
        <f>$B$14</f>
        <v>Jan</v>
      </c>
      <c r="C70" s="27"/>
      <c r="D70" s="37">
        <f>+'qtrP&amp;L'!AJ13</f>
        <v>138.32541800000001</v>
      </c>
      <c r="E70" s="27"/>
      <c r="F70" s="37">
        <f>+'qtrP&amp;L'!AJ23</f>
        <v>56.305675000000001</v>
      </c>
      <c r="G70" s="27"/>
      <c r="H70" s="35">
        <f>+bal!U12</f>
        <v>44.907504000000003</v>
      </c>
      <c r="I70" s="27"/>
      <c r="J70" s="37">
        <f>AVERAGE(H69:H70)</f>
        <v>42.285575000000001</v>
      </c>
      <c r="K70" s="27"/>
      <c r="L70" s="79">
        <f>(D70/D63-1)*100</f>
        <v>36.439837187251037</v>
      </c>
      <c r="M70" s="27"/>
      <c r="N70" s="80">
        <f>(H70/H63-1)*100</f>
        <v>55.362053143210254</v>
      </c>
      <c r="O70" s="27"/>
      <c r="P70" s="41">
        <f>(H70/H69-1)*100</f>
        <v>13.220816865902862</v>
      </c>
      <c r="Q70" s="27"/>
      <c r="R70" s="38">
        <f>F70/J70</f>
        <v>1.3315575110424773</v>
      </c>
      <c r="S70" s="27"/>
      <c r="T70" s="38">
        <f>F74/H70</f>
        <v>1.4404989642710935</v>
      </c>
      <c r="U70" s="27"/>
      <c r="V70" s="27">
        <f>qtrSales!J71</f>
        <v>378</v>
      </c>
      <c r="W70" s="27"/>
      <c r="X70" s="38">
        <f>H70/V70</f>
        <v>0.11880292063492064</v>
      </c>
      <c r="Y70" s="27"/>
      <c r="Z70" s="80">
        <f>(X70/X63-1)*100</f>
        <v>27.824334728937551</v>
      </c>
      <c r="AA70" s="27"/>
      <c r="AB70" s="125">
        <f>+yrSales!J65</f>
        <v>0.86499999999999988</v>
      </c>
      <c r="AC70" s="27"/>
      <c r="AD70" s="132">
        <f>H70/AB70</f>
        <v>51.916189595375734</v>
      </c>
      <c r="AE70" s="27"/>
      <c r="AF70" s="80">
        <f>(AD70/AD63-1)*100</f>
        <v>20.113726057250723</v>
      </c>
      <c r="AG70" s="27"/>
      <c r="AH70" s="27"/>
      <c r="AI70" s="200">
        <f>((F70+('yrP&amp;L'!$J$21/4))/J70)</f>
        <v>1.5810752248254871</v>
      </c>
      <c r="AJ70" s="202"/>
      <c r="AK70" s="27"/>
      <c r="AL70" s="75">
        <f>J70/(F70/(365/4))</f>
        <v>68.528771189582571</v>
      </c>
      <c r="AM70" s="27"/>
      <c r="AN70" s="75">
        <f>H70/(F74/(365/4))</f>
        <v>63.346105941959756</v>
      </c>
      <c r="AO70" s="27"/>
      <c r="AP70" s="27"/>
      <c r="AQ70" s="27"/>
    </row>
    <row r="71" spans="1:43" hidden="1" outlineLevel="1">
      <c r="A71" s="27"/>
      <c r="B71" s="27" t="str">
        <f>$B$15</f>
        <v>Year</v>
      </c>
      <c r="C71" s="27"/>
      <c r="D71" s="34">
        <f>SUM(D67:D70)</f>
        <v>531.10814500000004</v>
      </c>
      <c r="E71" s="27"/>
      <c r="F71" s="34">
        <f>SUM(F67:F70)</f>
        <v>209.77010100000001</v>
      </c>
      <c r="G71" s="27"/>
      <c r="H71" s="27"/>
      <c r="I71" s="27"/>
      <c r="J71" s="34">
        <f>AVERAGE(J67:J70)</f>
        <v>38.218981249999999</v>
      </c>
      <c r="K71" s="27"/>
      <c r="L71" s="41">
        <f>(D71/D64-1)*100</f>
        <v>40.473086049832041</v>
      </c>
      <c r="M71" s="27"/>
      <c r="N71" s="80"/>
      <c r="O71" s="27"/>
      <c r="P71" s="80"/>
      <c r="Q71" s="27"/>
      <c r="R71" s="81">
        <f>F71/J71</f>
        <v>5.4886366443898869</v>
      </c>
      <c r="S71" s="78" t="s">
        <v>100</v>
      </c>
      <c r="T71" s="38"/>
      <c r="U71" s="27"/>
      <c r="V71" s="27"/>
      <c r="W71" s="27"/>
      <c r="X71" s="27"/>
      <c r="Y71" s="27"/>
      <c r="Z71" s="27"/>
      <c r="AA71" s="27"/>
      <c r="AB71" s="27"/>
      <c r="AC71" s="27"/>
      <c r="AD71" s="27"/>
      <c r="AE71" s="27"/>
      <c r="AF71" s="27"/>
      <c r="AG71" s="27"/>
      <c r="AH71" s="27"/>
      <c r="AI71" s="244">
        <f>((F71+('yrP&amp;L'!$J$21))/J71)</f>
        <v>6.592904697060705</v>
      </c>
      <c r="AJ71" s="245" t="s">
        <v>100</v>
      </c>
      <c r="AK71" s="27"/>
      <c r="AL71" s="27"/>
      <c r="AM71" s="27"/>
      <c r="AN71" s="27"/>
      <c r="AO71" s="27"/>
      <c r="AP71" s="27"/>
      <c r="AQ71" s="27"/>
    </row>
    <row r="72" spans="1:43" hidden="1" outlineLevel="1">
      <c r="A72" s="27"/>
      <c r="B72" s="27"/>
      <c r="C72" s="27"/>
      <c r="D72" s="27"/>
      <c r="E72" s="27"/>
      <c r="F72" s="27"/>
      <c r="G72" s="27"/>
      <c r="H72" s="27"/>
      <c r="I72" s="27"/>
      <c r="J72" s="27"/>
      <c r="K72" s="27"/>
      <c r="L72" s="27"/>
      <c r="M72" s="27"/>
      <c r="N72" s="27"/>
      <c r="O72" s="27"/>
      <c r="P72" s="27"/>
      <c r="Q72" s="27"/>
      <c r="R72" s="27"/>
      <c r="S72" s="27"/>
      <c r="T72" s="38"/>
      <c r="U72" s="27"/>
      <c r="V72" s="27"/>
      <c r="W72" s="27"/>
      <c r="X72" s="27"/>
      <c r="Y72" s="27"/>
      <c r="Z72" s="27"/>
      <c r="AA72" s="27"/>
      <c r="AB72" s="27"/>
      <c r="AC72" s="27"/>
      <c r="AD72" s="27"/>
      <c r="AE72" s="27"/>
      <c r="AF72" s="27"/>
      <c r="AG72" s="27"/>
      <c r="AH72" s="27"/>
      <c r="AI72" s="27"/>
      <c r="AJ72" s="27"/>
      <c r="AK72" s="27"/>
      <c r="AL72" s="27"/>
      <c r="AM72" s="27"/>
      <c r="AN72" s="27"/>
      <c r="AO72" s="27"/>
      <c r="AP72" s="27"/>
      <c r="AQ72" s="27"/>
    </row>
    <row r="73" spans="1:43" hidden="1" outlineLevel="1">
      <c r="A73" s="27"/>
      <c r="B73" s="71" t="s">
        <v>273</v>
      </c>
      <c r="C73" s="27"/>
      <c r="D73" s="27"/>
      <c r="E73" s="27"/>
      <c r="F73" s="27"/>
      <c r="G73" s="27"/>
      <c r="H73" s="27"/>
      <c r="I73" s="27"/>
      <c r="J73" s="27"/>
      <c r="K73" s="27"/>
      <c r="L73" s="27"/>
      <c r="M73" s="27"/>
      <c r="N73" s="27"/>
      <c r="O73" s="27"/>
      <c r="P73" s="27"/>
      <c r="Q73" s="27"/>
      <c r="R73" s="27"/>
      <c r="S73" s="27"/>
      <c r="T73" s="38"/>
      <c r="U73" s="27"/>
      <c r="V73" s="27"/>
      <c r="W73" s="27"/>
      <c r="X73" s="27"/>
      <c r="Y73" s="27"/>
      <c r="Z73" s="27"/>
      <c r="AA73" s="27"/>
      <c r="AB73" s="125"/>
      <c r="AC73" s="27"/>
      <c r="AD73" s="27"/>
      <c r="AE73" s="27"/>
      <c r="AF73" s="27"/>
      <c r="AG73" s="27"/>
      <c r="AH73" s="27"/>
      <c r="AI73" s="27"/>
      <c r="AJ73" s="27"/>
      <c r="AK73" s="27"/>
      <c r="AL73" s="27"/>
      <c r="AM73" s="27"/>
      <c r="AN73" s="27"/>
      <c r="AO73" s="27"/>
      <c r="AP73" s="27"/>
      <c r="AQ73" s="27"/>
    </row>
    <row r="74" spans="1:43" hidden="1" outlineLevel="1">
      <c r="A74" s="27" t="str">
        <f>$A$11</f>
        <v>1Q</v>
      </c>
      <c r="B74" s="27" t="str">
        <f>$B$11</f>
        <v>Apr</v>
      </c>
      <c r="C74" s="27"/>
      <c r="D74" s="34">
        <f>+'qtrP&amp;L'!AN10</f>
        <v>168.98459699999998</v>
      </c>
      <c r="E74" s="27"/>
      <c r="F74" s="34">
        <f>+'qtrP&amp;L'!AN20</f>
        <v>64.689212999999995</v>
      </c>
      <c r="G74" s="27"/>
      <c r="H74" s="34">
        <f>+work!AL10</f>
        <v>44.665457000000004</v>
      </c>
      <c r="I74" s="27"/>
      <c r="J74" s="34">
        <f>AVERAGE(H74,H70)</f>
        <v>44.786480500000003</v>
      </c>
      <c r="K74" s="27"/>
      <c r="L74" s="41">
        <f>(D74/D67-1)*100</f>
        <v>29.536129236898788</v>
      </c>
      <c r="M74" s="27" t="s">
        <v>576</v>
      </c>
      <c r="N74" s="41">
        <f>(H74/H67-1)*100</f>
        <v>23.22627503265884</v>
      </c>
      <c r="O74" s="27" t="s">
        <v>576</v>
      </c>
      <c r="P74" s="41">
        <f>(H74/H70-1)*100</f>
        <v>-0.53899009840314704</v>
      </c>
      <c r="Q74" s="27" t="s">
        <v>576</v>
      </c>
      <c r="R74" s="38">
        <f>F74/J74</f>
        <v>1.4443915279299517</v>
      </c>
      <c r="S74" s="27" t="s">
        <v>100</v>
      </c>
      <c r="T74" s="38">
        <f>F75/H74</f>
        <v>1.4739302006917783</v>
      </c>
      <c r="U74" s="27" t="s">
        <v>100</v>
      </c>
      <c r="V74" s="27">
        <f>qtrSales!J75</f>
        <v>406</v>
      </c>
      <c r="W74" s="27"/>
      <c r="X74" s="36">
        <f>H74/V74</f>
        <v>0.11001344088669951</v>
      </c>
      <c r="Y74" s="27"/>
      <c r="Z74" s="80">
        <f>(X74/X67-1)*100</f>
        <v>-1.6617903680259505</v>
      </c>
      <c r="AA74" s="124" t="s">
        <v>576</v>
      </c>
      <c r="AB74" s="126">
        <f>0.761/0.8</f>
        <v>0.95124999999999993</v>
      </c>
      <c r="AC74" s="27"/>
      <c r="AD74" s="131">
        <f>H74/AB74</f>
        <v>46.954488304862032</v>
      </c>
      <c r="AE74" s="27"/>
      <c r="AF74" s="164">
        <f>(AD74/AD67-1)*100</f>
        <v>-7.8636655800487727</v>
      </c>
      <c r="AG74" s="124" t="s">
        <v>576</v>
      </c>
      <c r="AH74" s="124"/>
      <c r="AI74" s="200">
        <f>((F74+('yrP&amp;L'!$K$21/4))/J74)</f>
        <v>1.7754065984265048</v>
      </c>
      <c r="AJ74" s="246" t="s">
        <v>100</v>
      </c>
      <c r="AK74" s="124"/>
      <c r="AL74" s="75">
        <f>J74/(F74/(365/4))</f>
        <v>63.17539132258419</v>
      </c>
      <c r="AM74" s="27"/>
      <c r="AN74" s="75">
        <f>H74/(F75/(365/4))</f>
        <v>61.909308837808254</v>
      </c>
      <c r="AO74" s="27"/>
      <c r="AP74" s="179">
        <f>+AB74*0.8</f>
        <v>0.76100000000000001</v>
      </c>
      <c r="AQ74" s="179">
        <f>+H74/AP74</f>
        <v>58.693110381077531</v>
      </c>
    </row>
    <row r="75" spans="1:43" hidden="1" outlineLevel="1">
      <c r="A75" s="27" t="str">
        <f>$A$12</f>
        <v>2Q</v>
      </c>
      <c r="B75" s="27" t="str">
        <f>$B$12</f>
        <v>Jul</v>
      </c>
      <c r="C75" s="27"/>
      <c r="D75" s="35">
        <f>+'qtrP&amp;L'!AN11</f>
        <v>173.436476</v>
      </c>
      <c r="E75" s="27"/>
      <c r="F75" s="35">
        <f>+'qtrP&amp;L'!AN21</f>
        <v>65.833765999999997</v>
      </c>
      <c r="G75" s="27"/>
      <c r="H75" s="35">
        <f>+work!AL11</f>
        <v>49.404055</v>
      </c>
      <c r="I75" s="27"/>
      <c r="J75" s="35">
        <f>AVERAGE(H74:H75)</f>
        <v>47.034756000000002</v>
      </c>
      <c r="K75" s="27"/>
      <c r="L75" s="41">
        <f>(D75/D68-1)*100</f>
        <v>38.673605903560258</v>
      </c>
      <c r="M75" s="27"/>
      <c r="N75" s="41">
        <f>(H75/H68-1)*100</f>
        <v>23.327320163772235</v>
      </c>
      <c r="O75" s="27"/>
      <c r="P75" s="41">
        <f>(H75/H74-1)*100</f>
        <v>10.609088808830492</v>
      </c>
      <c r="Q75" s="27"/>
      <c r="R75" s="38">
        <f>F75/J75</f>
        <v>1.3996833745666715</v>
      </c>
      <c r="S75" s="27"/>
      <c r="T75" s="38">
        <f>F76/H75</f>
        <v>1.6436302647626799</v>
      </c>
      <c r="U75" s="27"/>
      <c r="V75" s="27">
        <f>qtrSales!J76</f>
        <v>415</v>
      </c>
      <c r="W75" s="27"/>
      <c r="X75" s="38">
        <f>H75/V75</f>
        <v>0.1190459156626506</v>
      </c>
      <c r="Y75" s="27"/>
      <c r="Z75" s="80">
        <f>(X75/X68-1)*100</f>
        <v>-0.14944680716271197</v>
      </c>
      <c r="AA75" s="27"/>
      <c r="AB75" s="126">
        <f>0.786/0.8</f>
        <v>0.98250000000000004</v>
      </c>
      <c r="AC75" s="27"/>
      <c r="AD75" s="132">
        <f>H75/AB75</f>
        <v>50.28402544529262</v>
      </c>
      <c r="AE75" s="27"/>
      <c r="AF75" s="164">
        <f>(AD75/AD68-1)*100</f>
        <v>-5.8570075085708329</v>
      </c>
      <c r="AG75" s="27"/>
      <c r="AH75" s="27"/>
      <c r="AI75" s="200">
        <f>((F75+('yrP&amp;L'!$K$21/4))/J75)</f>
        <v>1.7148758250175677</v>
      </c>
      <c r="AJ75" s="201"/>
      <c r="AK75" s="27"/>
      <c r="AL75" s="75">
        <f>J75/(F75/(365/4))</f>
        <v>65.193315615576367</v>
      </c>
      <c r="AM75" s="27"/>
      <c r="AN75" s="75">
        <f>H75/(F76/(365/4))</f>
        <v>55.517352020270437</v>
      </c>
      <c r="AO75" s="27"/>
      <c r="AP75" s="179">
        <f>+AB75*0.8</f>
        <v>0.78600000000000003</v>
      </c>
      <c r="AQ75" s="179">
        <f>+H75/AP75</f>
        <v>62.85503180661577</v>
      </c>
    </row>
    <row r="76" spans="1:43" hidden="1" outlineLevel="1">
      <c r="A76" s="27" t="str">
        <f>$A$13</f>
        <v>3Q</v>
      </c>
      <c r="B76" s="27" t="str">
        <f>$B$13</f>
        <v>Oct</v>
      </c>
      <c r="C76" s="27"/>
      <c r="D76" s="35">
        <f>+'qtrP&amp;L'!AN12</f>
        <v>210.56899999999999</v>
      </c>
      <c r="E76" s="27"/>
      <c r="F76" s="35">
        <f>+'qtrP&amp;L'!AN22</f>
        <v>81.201999999999998</v>
      </c>
      <c r="G76" s="27"/>
      <c r="H76" s="35">
        <f>+work!AL12</f>
        <v>60.146000000000001</v>
      </c>
      <c r="I76" s="27"/>
      <c r="J76" s="35">
        <f>AVERAGE(H75:H76)</f>
        <v>54.7750275</v>
      </c>
      <c r="K76" s="27"/>
      <c r="L76" s="41">
        <f>(D76/D69-1)*100</f>
        <v>53.407782808576073</v>
      </c>
      <c r="M76" s="27"/>
      <c r="N76" s="41">
        <f>(H76/H69-1)*100</f>
        <v>51.640119014777412</v>
      </c>
      <c r="O76" s="27"/>
      <c r="P76" s="41">
        <f>(H76/H75-1)*100</f>
        <v>21.743043157084973</v>
      </c>
      <c r="Q76" s="27"/>
      <c r="R76" s="38">
        <f>F76/J76</f>
        <v>1.4824638837470232</v>
      </c>
      <c r="S76" s="27"/>
      <c r="T76" s="38">
        <f>F77/H76</f>
        <v>1.4257307219100188</v>
      </c>
      <c r="U76" s="27"/>
      <c r="V76" s="27">
        <f>qtrSales!J77</f>
        <v>541</v>
      </c>
      <c r="W76" s="27"/>
      <c r="X76" s="38">
        <f>H76/V76</f>
        <v>0.11117560073937154</v>
      </c>
      <c r="Y76" s="27"/>
      <c r="Z76" s="80">
        <f>(X76/X69-1)*100</f>
        <v>0.62625272884488936</v>
      </c>
      <c r="AA76" s="27"/>
      <c r="AB76" s="126">
        <f>0.951/0.8</f>
        <v>1.18875</v>
      </c>
      <c r="AC76" s="27"/>
      <c r="AD76" s="132">
        <f>H76/AB76</f>
        <v>50.596004206098847</v>
      </c>
      <c r="AE76" s="27"/>
      <c r="AF76" s="170">
        <f>(AD76/AD69-1)*100</f>
        <v>3.6446659932758418</v>
      </c>
      <c r="AG76" s="27"/>
      <c r="AH76" s="27"/>
      <c r="AI76" s="200">
        <f>((F76+('yrP&amp;L'!$K$21/4))/J76)</f>
        <v>1.753116417878567</v>
      </c>
      <c r="AJ76" s="201"/>
      <c r="AK76" s="27"/>
      <c r="AL76" s="75">
        <f>J76/(F76/(365/4))</f>
        <v>61.552932924989534</v>
      </c>
      <c r="AM76" s="27"/>
      <c r="AN76" s="75">
        <f>H76/(F77/(365/4))</f>
        <v>64.002268168672458</v>
      </c>
      <c r="AO76" s="27"/>
      <c r="AP76" s="179">
        <f>+AB76*0.8</f>
        <v>0.95100000000000007</v>
      </c>
      <c r="AQ76" s="179">
        <f>+H76/AP76</f>
        <v>63.245005257623554</v>
      </c>
    </row>
    <row r="77" spans="1:43" hidden="1" outlineLevel="1">
      <c r="A77" s="27" t="str">
        <f>$A$14</f>
        <v>4Q</v>
      </c>
      <c r="B77" s="27" t="str">
        <f>$B$14</f>
        <v>Jan</v>
      </c>
      <c r="C77" s="27"/>
      <c r="D77" s="37">
        <f>+'qtrP&amp;L'!AN13</f>
        <v>215.50899999999999</v>
      </c>
      <c r="E77" s="27"/>
      <c r="F77" s="37">
        <f>+'qtrP&amp;L'!AN23</f>
        <v>85.751999999999995</v>
      </c>
      <c r="G77" s="27"/>
      <c r="H77" s="35">
        <f>+bal!W12</f>
        <v>54.896000000000001</v>
      </c>
      <c r="I77" s="27"/>
      <c r="J77" s="37">
        <f>AVERAGE(H76:H77)</f>
        <v>57.521000000000001</v>
      </c>
      <c r="K77" s="27"/>
      <c r="L77" s="79">
        <f>(D77/D70-1)*100</f>
        <v>55.798553234807471</v>
      </c>
      <c r="M77" s="27"/>
      <c r="N77" s="80">
        <f>(H77/H70-1)*100</f>
        <v>22.242376240728046</v>
      </c>
      <c r="O77" s="27"/>
      <c r="P77" s="41">
        <f>(H77/H76-1)*100</f>
        <v>-8.7287600172912594</v>
      </c>
      <c r="Q77" s="27"/>
      <c r="R77" s="38">
        <f>F77/J77</f>
        <v>1.4907946662957876</v>
      </c>
      <c r="S77" s="27"/>
      <c r="T77" s="38">
        <f>F81/H77</f>
        <v>1.7661578257067909</v>
      </c>
      <c r="U77" s="27"/>
      <c r="V77" s="27">
        <f>qtrSales!J78</f>
        <v>548</v>
      </c>
      <c r="W77" s="27"/>
      <c r="X77" s="38">
        <f>H77/V77</f>
        <v>0.10017518248175182</v>
      </c>
      <c r="Y77" s="27"/>
      <c r="Z77" s="80">
        <f>(X77/X70-1)*100</f>
        <v>-15.679528797454012</v>
      </c>
      <c r="AA77" s="27"/>
      <c r="AB77" s="160">
        <f>+yrSales!K65</f>
        <v>1.25</v>
      </c>
      <c r="AC77" s="27"/>
      <c r="AD77" s="132">
        <f>H77/AB77</f>
        <v>43.916800000000002</v>
      </c>
      <c r="AE77" s="27"/>
      <c r="AF77" s="80">
        <f>(AD77/AD70-1)*100</f>
        <v>-15.408275641416203</v>
      </c>
      <c r="AG77" s="27"/>
      <c r="AH77" s="27"/>
      <c r="AI77" s="200">
        <f>((F77+('yrP&amp;L'!$K$21/4))/J77)</f>
        <v>1.7485266250586742</v>
      </c>
      <c r="AJ77" s="202"/>
      <c r="AK77" s="27"/>
      <c r="AL77" s="75">
        <f>J77/(F77/(365/4))</f>
        <v>61.208965971639145</v>
      </c>
      <c r="AM77" s="27"/>
      <c r="AN77" s="75">
        <f>H77/(F81/(365/4))</f>
        <v>51.665824351503268</v>
      </c>
      <c r="AO77" s="27"/>
      <c r="AP77" s="179">
        <f>+AB77*0.8</f>
        <v>1</v>
      </c>
      <c r="AQ77" s="179">
        <f>+H77/AP77</f>
        <v>54.896000000000001</v>
      </c>
    </row>
    <row r="78" spans="1:43" hidden="1" outlineLevel="1">
      <c r="A78" s="27"/>
      <c r="B78" s="27" t="str">
        <f>$B$15</f>
        <v>Year</v>
      </c>
      <c r="C78" s="27"/>
      <c r="D78" s="34">
        <f>SUM(D74:D77)</f>
        <v>768.49907299999995</v>
      </c>
      <c r="E78" s="27"/>
      <c r="F78" s="34">
        <f>SUM(F74:F77)</f>
        <v>297.47697899999997</v>
      </c>
      <c r="G78" s="27"/>
      <c r="H78" s="27"/>
      <c r="I78" s="27"/>
      <c r="J78" s="34">
        <f>AVERAGE(J74:J77)</f>
        <v>51.029315999999994</v>
      </c>
      <c r="K78" s="27"/>
      <c r="L78" s="41">
        <f>(D78/D71-1)*100</f>
        <v>44.69728627490732</v>
      </c>
      <c r="M78" s="27"/>
      <c r="N78" s="80"/>
      <c r="O78" s="27"/>
      <c r="P78" s="80"/>
      <c r="Q78" s="27"/>
      <c r="R78" s="81">
        <f>F78/J78</f>
        <v>5.8295309895982141</v>
      </c>
      <c r="S78" s="78" t="s">
        <v>100</v>
      </c>
      <c r="T78" s="38"/>
      <c r="U78" s="27"/>
      <c r="V78" s="27"/>
      <c r="W78" s="27"/>
      <c r="X78" s="27"/>
      <c r="Y78" s="27"/>
      <c r="Z78" s="27"/>
      <c r="AA78" s="27"/>
      <c r="AB78" s="27"/>
      <c r="AC78" s="27"/>
      <c r="AD78" s="27"/>
      <c r="AE78" s="27"/>
      <c r="AF78" s="27"/>
      <c r="AG78" s="27"/>
      <c r="AH78" s="27"/>
      <c r="AI78" s="244">
        <f>((F78+('yrP&amp;L'!$K$21))/J78)</f>
        <v>6.9916080983723168</v>
      </c>
      <c r="AJ78" s="245" t="s">
        <v>100</v>
      </c>
      <c r="AK78" s="27"/>
      <c r="AL78" s="27"/>
      <c r="AM78" s="27"/>
      <c r="AN78" s="27"/>
      <c r="AO78" s="27"/>
      <c r="AP78" s="179"/>
      <c r="AQ78" s="179"/>
    </row>
    <row r="79" spans="1:43" hidden="1" outlineLevel="1">
      <c r="A79" s="27"/>
      <c r="B79" s="27"/>
      <c r="C79" s="27"/>
      <c r="D79" s="27"/>
      <c r="E79" s="27"/>
      <c r="F79" s="27"/>
      <c r="G79" s="27"/>
      <c r="H79" s="27"/>
      <c r="I79" s="27"/>
      <c r="J79" s="27"/>
      <c r="K79" s="27"/>
      <c r="L79" s="27"/>
      <c r="M79" s="27"/>
      <c r="N79" s="27"/>
      <c r="O79" s="27"/>
      <c r="P79" s="27"/>
      <c r="Q79" s="27"/>
      <c r="R79" s="27"/>
      <c r="S79" s="27"/>
      <c r="T79" s="38"/>
      <c r="U79" s="27"/>
      <c r="V79" s="27"/>
      <c r="W79" s="27"/>
      <c r="X79" s="27"/>
      <c r="Y79" s="27"/>
      <c r="Z79" s="27"/>
      <c r="AA79" s="27"/>
      <c r="AB79" s="27"/>
      <c r="AC79" s="27"/>
      <c r="AD79" s="27"/>
      <c r="AE79" s="27"/>
      <c r="AF79" s="27"/>
      <c r="AG79" s="27"/>
      <c r="AH79" s="27"/>
      <c r="AI79" s="27"/>
      <c r="AJ79" s="27"/>
      <c r="AK79" s="27"/>
      <c r="AL79" s="27"/>
      <c r="AM79" s="27"/>
      <c r="AN79" s="27"/>
      <c r="AO79" s="27"/>
      <c r="AP79" s="179"/>
      <c r="AQ79" s="179"/>
    </row>
    <row r="80" spans="1:43" hidden="1" outlineLevel="1">
      <c r="A80" s="27"/>
      <c r="B80" s="71" t="s">
        <v>247</v>
      </c>
      <c r="C80" s="27"/>
      <c r="D80" s="27"/>
      <c r="E80" s="27"/>
      <c r="F80" s="27"/>
      <c r="G80" s="27"/>
      <c r="H80" s="27"/>
      <c r="I80" s="27"/>
      <c r="J80" s="27"/>
      <c r="K80" s="27"/>
      <c r="L80" s="27"/>
      <c r="M80" s="27"/>
      <c r="N80" s="27"/>
      <c r="O80" s="27"/>
      <c r="P80" s="27"/>
      <c r="Q80" s="27"/>
      <c r="R80" s="27"/>
      <c r="S80" s="27"/>
      <c r="T80" s="38"/>
      <c r="U80" s="27"/>
      <c r="V80" s="27"/>
      <c r="W80" s="27"/>
      <c r="X80" s="27"/>
      <c r="Y80" s="27"/>
      <c r="Z80" s="27"/>
      <c r="AA80" s="27"/>
      <c r="AB80" s="125"/>
      <c r="AC80" s="27"/>
      <c r="AD80" s="27"/>
      <c r="AE80" s="27"/>
      <c r="AF80" s="27"/>
      <c r="AG80" s="27"/>
      <c r="AH80" s="27"/>
      <c r="AI80" s="27"/>
      <c r="AJ80" s="27"/>
      <c r="AK80" s="27"/>
      <c r="AL80" s="27"/>
      <c r="AM80" s="27"/>
      <c r="AN80" s="27"/>
      <c r="AO80" s="27"/>
      <c r="AP80" s="179"/>
      <c r="AQ80" s="179"/>
    </row>
    <row r="81" spans="1:43" hidden="1" outlineLevel="1">
      <c r="A81" s="27" t="str">
        <f>$A$11</f>
        <v>1Q</v>
      </c>
      <c r="B81" s="27" t="str">
        <f>$B$11</f>
        <v>Apr</v>
      </c>
      <c r="C81" s="27"/>
      <c r="D81" s="34">
        <f>+'qtrP&amp;L'!AR$10</f>
        <v>256.791</v>
      </c>
      <c r="E81" s="27"/>
      <c r="F81" s="34">
        <f>+'qtrP&amp;L'!AR$20</f>
        <v>96.954999999999998</v>
      </c>
      <c r="G81" s="27"/>
      <c r="H81" s="34">
        <f>work!AP10</f>
        <v>60.686</v>
      </c>
      <c r="I81" s="27"/>
      <c r="J81" s="34">
        <f>AVERAGE(H81,H77)</f>
        <v>57.790999999999997</v>
      </c>
      <c r="K81" s="27"/>
      <c r="L81" s="41">
        <f>(D81/D74-1)*100</f>
        <v>51.961187326440196</v>
      </c>
      <c r="M81" s="27" t="s">
        <v>576</v>
      </c>
      <c r="N81" s="41">
        <f>(H81/H74-1)*100</f>
        <v>35.867858689993916</v>
      </c>
      <c r="O81" s="27" t="s">
        <v>576</v>
      </c>
      <c r="P81" s="41">
        <f>(H81/H77-1)*100</f>
        <v>10.547216554940242</v>
      </c>
      <c r="Q81" s="27" t="s">
        <v>576</v>
      </c>
      <c r="R81" s="38">
        <f>F81/J81</f>
        <v>1.6776833763042689</v>
      </c>
      <c r="S81" s="27" t="s">
        <v>100</v>
      </c>
      <c r="T81" s="38">
        <f>F82/H81</f>
        <v>1.6162212042316184</v>
      </c>
      <c r="U81" s="27" t="s">
        <v>100</v>
      </c>
      <c r="V81" s="27">
        <f>qtrSales!J82</f>
        <v>562</v>
      </c>
      <c r="W81" s="27"/>
      <c r="X81" s="36">
        <f>H81/V81</f>
        <v>0.10798220640569395</v>
      </c>
      <c r="Y81" s="27"/>
      <c r="Z81" s="80">
        <f>(X81/X74-1)*100</f>
        <v>-1.8463511954848189</v>
      </c>
      <c r="AA81" s="124" t="s">
        <v>576</v>
      </c>
      <c r="AB81" s="126">
        <f>1.028/0.8</f>
        <v>1.2849999999999999</v>
      </c>
      <c r="AC81" s="27"/>
      <c r="AD81" s="131">
        <f>H81/AB81</f>
        <v>47.226459143968874</v>
      </c>
      <c r="AE81" s="27"/>
      <c r="AF81" s="170">
        <f>(AD81/AD74-1)*100</f>
        <v>0.57922224035540371</v>
      </c>
      <c r="AG81" s="124" t="s">
        <v>576</v>
      </c>
      <c r="AH81" s="124"/>
      <c r="AI81" s="200">
        <f>((F81+('yrP&amp;L'!$L$21/4))/J81)</f>
        <v>2.0138083784672354</v>
      </c>
      <c r="AJ81" s="246" t="s">
        <v>100</v>
      </c>
      <c r="AK81" s="124"/>
      <c r="AL81" s="75">
        <f>J81/(F81/(365/4))</f>
        <v>54.390477541127318</v>
      </c>
      <c r="AM81" s="27"/>
      <c r="AN81" s="75">
        <f>H81/(F82/(365/4))</f>
        <v>56.458855855304748</v>
      </c>
      <c r="AO81" s="27"/>
      <c r="AP81" s="179">
        <f>+AB81*0.8</f>
        <v>1.028</v>
      </c>
      <c r="AQ81" s="179">
        <f>+H81/AP81</f>
        <v>59.033073929961091</v>
      </c>
    </row>
    <row r="82" spans="1:43" hidden="1" outlineLevel="1">
      <c r="A82" s="27" t="str">
        <f>$A$12</f>
        <v>2Q</v>
      </c>
      <c r="B82" s="27" t="str">
        <f>$B$12</f>
        <v>Jul</v>
      </c>
      <c r="C82" s="27"/>
      <c r="D82" s="35">
        <f>+'qtrP&amp;L'!AR$11</f>
        <v>254.767</v>
      </c>
      <c r="E82" s="27"/>
      <c r="F82" s="35">
        <f>+'qtrP&amp;L'!AR$21</f>
        <v>98.081999999999994</v>
      </c>
      <c r="G82" s="27"/>
      <c r="H82" s="35">
        <f>work!AP11</f>
        <v>61.965000000000003</v>
      </c>
      <c r="I82" s="27"/>
      <c r="J82" s="35">
        <f>AVERAGE(H81:H82)</f>
        <v>61.325500000000005</v>
      </c>
      <c r="K82" s="27"/>
      <c r="L82" s="41">
        <f>(D82/D75-1)*100</f>
        <v>46.893551965389335</v>
      </c>
      <c r="M82" s="27"/>
      <c r="N82" s="41">
        <f>(H82/H75-1)*100</f>
        <v>25.42492716437954</v>
      </c>
      <c r="O82" s="27"/>
      <c r="P82" s="41">
        <f>(H82/H81-1)*100</f>
        <v>2.1075701150182979</v>
      </c>
      <c r="Q82" s="27"/>
      <c r="R82" s="38">
        <f>F82/J82</f>
        <v>1.599367310498895</v>
      </c>
      <c r="S82" s="27"/>
      <c r="T82" s="38">
        <f>F83/H82</f>
        <v>1.6391188574195108</v>
      </c>
      <c r="U82" s="27"/>
      <c r="V82" s="27">
        <f>qtrSales!J83</f>
        <v>581</v>
      </c>
      <c r="W82" s="27"/>
      <c r="X82" s="38">
        <f>H82/V82</f>
        <v>0.10665232358003443</v>
      </c>
      <c r="Y82" s="27"/>
      <c r="Z82" s="80">
        <f>(X82/X75-1)*100</f>
        <v>-10.410766311157483</v>
      </c>
      <c r="AA82" s="27"/>
      <c r="AB82" s="126">
        <f>1.074/0.8</f>
        <v>1.3425</v>
      </c>
      <c r="AC82" s="27"/>
      <c r="AD82" s="132">
        <f>H82/AB82</f>
        <v>46.156424581005588</v>
      </c>
      <c r="AE82" s="27"/>
      <c r="AF82" s="170">
        <f>(AD82/AD75-1)*100</f>
        <v>-8.2085728573535235</v>
      </c>
      <c r="AG82" s="27"/>
      <c r="AH82" s="27"/>
      <c r="AI82" s="200">
        <f>((F82+('yrP&amp;L'!$L$21/4))/J82)</f>
        <v>1.9161197218122963</v>
      </c>
      <c r="AJ82" s="201"/>
      <c r="AK82" s="27"/>
      <c r="AL82" s="75">
        <f>J82/(F82/(365/4))</f>
        <v>57.053810841948582</v>
      </c>
      <c r="AM82" s="27"/>
      <c r="AN82" s="75">
        <f>H82/(F83/(365/4))</f>
        <v>55.670154477788287</v>
      </c>
      <c r="AO82" s="27"/>
      <c r="AP82" s="179">
        <f>+AB82*0.8</f>
        <v>1.0740000000000001</v>
      </c>
      <c r="AQ82" s="179">
        <f>+H82/AP82</f>
        <v>57.695530726256983</v>
      </c>
    </row>
    <row r="83" spans="1:43" hidden="1" outlineLevel="1">
      <c r="A83" s="27" t="str">
        <f>$A$13</f>
        <v>3Q</v>
      </c>
      <c r="B83" s="27" t="str">
        <f>$B$13</f>
        <v>Oct</v>
      </c>
      <c r="C83" s="27"/>
      <c r="D83" s="35">
        <f>+'qtrP&amp;L'!AR$12</f>
        <v>269.77300000000002</v>
      </c>
      <c r="E83" s="27"/>
      <c r="F83" s="35">
        <f>+'qtrP&amp;L'!AR$22</f>
        <v>101.568</v>
      </c>
      <c r="G83" s="27"/>
      <c r="H83" s="35">
        <f>work!AP12</f>
        <v>79.475999999999999</v>
      </c>
      <c r="I83" s="27"/>
      <c r="J83" s="35">
        <f>AVERAGE(H82:H83)</f>
        <v>70.720500000000001</v>
      </c>
      <c r="K83" s="27"/>
      <c r="L83" s="41">
        <f>(D83/D76-1)*100</f>
        <v>28.116199440563449</v>
      </c>
      <c r="M83" s="27"/>
      <c r="N83" s="41">
        <f>(H83/H76-1)*100</f>
        <v>32.138463073188575</v>
      </c>
      <c r="O83" s="27"/>
      <c r="P83" s="41">
        <f>(H83/H82-1)*100</f>
        <v>28.259501331396741</v>
      </c>
      <c r="Q83" s="27"/>
      <c r="R83" s="38">
        <f>F83/J83</f>
        <v>1.436188940971854</v>
      </c>
      <c r="S83" s="27"/>
      <c r="T83" s="38">
        <f>F84/H83</f>
        <v>1.450802758065328</v>
      </c>
      <c r="U83" s="27"/>
      <c r="V83" s="27">
        <f>qtrSales!J84</f>
        <v>636</v>
      </c>
      <c r="W83" s="27"/>
      <c r="X83" s="38">
        <f>H83/V83</f>
        <v>0.1249622641509434</v>
      </c>
      <c r="Y83" s="27"/>
      <c r="Z83" s="80">
        <f>(X83/X76-1)*100</f>
        <v>12.400799563828645</v>
      </c>
      <c r="AA83" s="27"/>
      <c r="AB83" s="126">
        <f>1.179/0.8</f>
        <v>1.4737499999999999</v>
      </c>
      <c r="AC83" s="27"/>
      <c r="AD83" s="132">
        <f>H83/AB83</f>
        <v>53.927735368956746</v>
      </c>
      <c r="AE83" s="27"/>
      <c r="AF83" s="170">
        <f>(AD83/AD76-1)*100</f>
        <v>6.5849689419867019</v>
      </c>
      <c r="AG83" s="27"/>
      <c r="AH83" s="27"/>
      <c r="AI83" s="200">
        <f>((F83+('yrP&amp;L'!$L$21/4))/J83)</f>
        <v>1.7108617727533033</v>
      </c>
      <c r="AJ83" s="201"/>
      <c r="AK83" s="27"/>
      <c r="AL83" s="75">
        <f>J83/(F83/(365/4))</f>
        <v>63.536208500708888</v>
      </c>
      <c r="AM83" s="27"/>
      <c r="AN83" s="75">
        <f>H83/(F84/(365/4))</f>
        <v>62.896213487823488</v>
      </c>
      <c r="AO83" s="27"/>
      <c r="AP83" s="179">
        <f>+AB83*0.8</f>
        <v>1.179</v>
      </c>
      <c r="AQ83" s="179">
        <f>+H83/AP83</f>
        <v>67.409669211195919</v>
      </c>
    </row>
    <row r="84" spans="1:43" hidden="1" outlineLevel="1">
      <c r="A84" s="27" t="str">
        <f>$A$14</f>
        <v>4Q</v>
      </c>
      <c r="B84" s="27" t="str">
        <f>$B$14</f>
        <v>Jan</v>
      </c>
      <c r="C84" s="27"/>
      <c r="D84" s="37">
        <f>+'qtrP&amp;L'!AR$13</f>
        <v>285.55099999999999</v>
      </c>
      <c r="E84" s="27"/>
      <c r="F84" s="37">
        <f>+'qtrP&amp;L'!AR$23</f>
        <v>115.304</v>
      </c>
      <c r="G84" s="27"/>
      <c r="H84" s="35">
        <f>+bal!Y$12</f>
        <v>73.222999999999999</v>
      </c>
      <c r="I84" s="27"/>
      <c r="J84" s="37">
        <f>AVERAGE(H83:H84)</f>
        <v>76.349500000000006</v>
      </c>
      <c r="K84" s="27"/>
      <c r="L84" s="79">
        <f>(D84/D77-1)*100</f>
        <v>32.500730827946867</v>
      </c>
      <c r="M84" s="27"/>
      <c r="N84" s="80">
        <f>(H84/H77-1)*100</f>
        <v>33.384946079860086</v>
      </c>
      <c r="O84" s="27"/>
      <c r="P84" s="41">
        <f>(H84/H83-1)*100</f>
        <v>-7.8677839851024167</v>
      </c>
      <c r="Q84" s="27"/>
      <c r="R84" s="38">
        <f>F84/J84</f>
        <v>1.5102129025075475</v>
      </c>
      <c r="S84" s="27"/>
      <c r="T84" s="38">
        <f>F88/H84</f>
        <v>1.7098179533753055</v>
      </c>
      <c r="U84" s="27"/>
      <c r="V84" s="27">
        <f>qtrSales!J85</f>
        <v>657</v>
      </c>
      <c r="W84" s="27"/>
      <c r="X84" s="38">
        <f>H84/V84</f>
        <v>0.11145053272450532</v>
      </c>
      <c r="Y84" s="27"/>
      <c r="Z84" s="80">
        <f>(X84/X77-1)*100</f>
        <v>11.255632346671751</v>
      </c>
      <c r="AA84" s="27"/>
      <c r="AB84" s="125">
        <f>+yrSales!L65</f>
        <v>1.5337499999999999</v>
      </c>
      <c r="AC84" s="27"/>
      <c r="AD84" s="132">
        <f>H84/AB84</f>
        <v>47.741157294213529</v>
      </c>
      <c r="AE84" s="27"/>
      <c r="AF84" s="170">
        <f>(AD84/AD77-1)*100</f>
        <v>8.7081875141484133</v>
      </c>
      <c r="AG84" s="27"/>
      <c r="AH84" s="27"/>
      <c r="AI84" s="200">
        <f>((F84+('yrP&amp;L'!$L$21/4))/J84)</f>
        <v>1.7646350008840923</v>
      </c>
      <c r="AJ84" s="202"/>
      <c r="AK84" s="27"/>
      <c r="AL84" s="75">
        <f>J84/(F84/(365/4))</f>
        <v>60.421944381808096</v>
      </c>
      <c r="AM84" s="27"/>
      <c r="AN84" s="109" t="s">
        <v>653</v>
      </c>
      <c r="AO84" s="27"/>
      <c r="AP84" s="179">
        <f>+AB84*0.8</f>
        <v>1.2270000000000001</v>
      </c>
      <c r="AQ84" s="179">
        <f>+H84/AP84</f>
        <v>59.676446617766906</v>
      </c>
    </row>
    <row r="85" spans="1:43" hidden="1" outlineLevel="1">
      <c r="A85" s="27"/>
      <c r="B85" s="27" t="str">
        <f>$B$15</f>
        <v>Year</v>
      </c>
      <c r="C85" s="27"/>
      <c r="D85" s="34">
        <f>SUM(D81:D84)</f>
        <v>1066.8820000000001</v>
      </c>
      <c r="E85" s="27"/>
      <c r="F85" s="34">
        <f>SUM(F81:F84)</f>
        <v>411.90899999999999</v>
      </c>
      <c r="G85" s="27"/>
      <c r="H85" s="27"/>
      <c r="I85" s="27"/>
      <c r="J85" s="34">
        <f>AVERAGE(J81:J84)</f>
        <v>66.546625000000006</v>
      </c>
      <c r="K85" s="27"/>
      <c r="L85" s="41">
        <f>(D85/D78-1)*100</f>
        <v>38.826712677114728</v>
      </c>
      <c r="M85" s="27"/>
      <c r="N85" s="80"/>
      <c r="O85" s="27"/>
      <c r="P85" s="80"/>
      <c r="Q85" s="27"/>
      <c r="R85" s="81">
        <f>F85/J85</f>
        <v>6.1897804734650324</v>
      </c>
      <c r="S85" s="78" t="s">
        <v>100</v>
      </c>
      <c r="T85" s="38"/>
      <c r="U85" s="27"/>
      <c r="V85" s="27"/>
      <c r="W85" s="27"/>
      <c r="X85" s="27"/>
      <c r="Y85" s="27"/>
      <c r="Z85" s="27"/>
      <c r="AA85" s="27"/>
      <c r="AB85" s="27"/>
      <c r="AC85" s="27"/>
      <c r="AD85" s="36"/>
      <c r="AE85" s="27"/>
      <c r="AF85" s="27"/>
      <c r="AG85" s="27"/>
      <c r="AH85" s="27"/>
      <c r="AI85" s="244">
        <f>((F85+('yrP&amp;L'!$L$21))/J85)</f>
        <v>7.3573828875619149</v>
      </c>
      <c r="AJ85" s="245" t="s">
        <v>100</v>
      </c>
      <c r="AK85" s="27"/>
      <c r="AL85" s="27"/>
      <c r="AM85" s="27"/>
      <c r="AN85" s="27"/>
      <c r="AO85" s="27"/>
      <c r="AP85" s="27"/>
      <c r="AQ85" s="27"/>
    </row>
    <row r="86" spans="1:43" hidden="1" outlineLevel="1">
      <c r="A86" s="27"/>
      <c r="B86" s="27"/>
      <c r="C86" s="27"/>
      <c r="D86" s="27"/>
      <c r="E86" s="27"/>
      <c r="F86" s="27"/>
      <c r="G86" s="27"/>
      <c r="H86" s="27"/>
      <c r="I86" s="27"/>
      <c r="J86" s="27"/>
      <c r="K86" s="27"/>
      <c r="L86" s="27"/>
      <c r="M86" s="27"/>
      <c r="N86" s="27"/>
      <c r="O86" s="27"/>
      <c r="P86" s="27"/>
      <c r="Q86" s="27"/>
      <c r="R86" s="27"/>
      <c r="S86" s="27"/>
      <c r="T86" s="38"/>
      <c r="U86" s="27"/>
      <c r="V86" s="27"/>
      <c r="W86" s="27"/>
      <c r="X86" s="27"/>
      <c r="Y86" s="27"/>
      <c r="Z86" s="27"/>
      <c r="AA86" s="27"/>
      <c r="AB86" s="27"/>
      <c r="AC86" s="27"/>
      <c r="AD86" s="131"/>
      <c r="AE86" s="27"/>
      <c r="AF86" s="27"/>
      <c r="AG86" s="27"/>
      <c r="AH86" s="27"/>
      <c r="AI86" s="27"/>
      <c r="AJ86" s="27"/>
      <c r="AK86" s="27"/>
      <c r="AL86" s="27"/>
      <c r="AM86" s="27"/>
      <c r="AN86" s="27"/>
      <c r="AO86" s="27"/>
      <c r="AP86" s="27"/>
      <c r="AQ86" s="27"/>
    </row>
    <row r="87" spans="1:43" hidden="1" outlineLevel="1">
      <c r="A87" s="27"/>
      <c r="B87" s="71" t="s">
        <v>282</v>
      </c>
      <c r="C87" s="27"/>
      <c r="D87" s="27"/>
      <c r="E87" s="27"/>
      <c r="F87" s="27"/>
      <c r="G87" s="27"/>
      <c r="H87" s="27"/>
      <c r="I87" s="27"/>
      <c r="J87" s="27"/>
      <c r="K87" s="27"/>
      <c r="L87" s="27"/>
      <c r="M87" s="27"/>
      <c r="N87" s="27"/>
      <c r="O87" s="27"/>
      <c r="P87" s="27"/>
      <c r="Q87" s="27"/>
      <c r="R87" s="27"/>
      <c r="S87" s="27"/>
      <c r="T87" s="38"/>
      <c r="U87" s="27"/>
      <c r="V87" s="27"/>
      <c r="W87" s="27"/>
      <c r="X87" s="27"/>
      <c r="Y87" s="27"/>
      <c r="Z87" s="27"/>
      <c r="AA87" s="27"/>
      <c r="AB87" s="125"/>
      <c r="AC87" s="27"/>
      <c r="AD87" s="27"/>
      <c r="AE87" s="27"/>
      <c r="AF87" s="27"/>
      <c r="AG87" s="27"/>
      <c r="AH87" s="27"/>
      <c r="AI87" s="27"/>
      <c r="AJ87" s="27"/>
      <c r="AK87" s="27"/>
      <c r="AL87" s="27"/>
      <c r="AM87" s="27"/>
      <c r="AN87" s="27"/>
      <c r="AO87" s="27"/>
      <c r="AP87" s="27"/>
      <c r="AQ87" s="27"/>
    </row>
    <row r="88" spans="1:43" hidden="1" outlineLevel="1">
      <c r="A88" s="27" t="str">
        <f>$A$11</f>
        <v>1Q</v>
      </c>
      <c r="B88" s="27" t="str">
        <f>$B$11</f>
        <v>Apr</v>
      </c>
      <c r="C88" s="27"/>
      <c r="D88" s="34">
        <f>+'qtrP&amp;L'!AV$10</f>
        <v>327.255</v>
      </c>
      <c r="E88" s="27"/>
      <c r="F88" s="34">
        <f>+'qtrP&amp;L'!AV$20</f>
        <v>125.19799999999999</v>
      </c>
      <c r="G88" s="27"/>
      <c r="H88" s="34">
        <f>work!AT10</f>
        <v>92.358000000000004</v>
      </c>
      <c r="I88" s="27"/>
      <c r="J88" s="34">
        <f>AVERAGE(H88,H84)</f>
        <v>82.790500000000009</v>
      </c>
      <c r="K88" s="27"/>
      <c r="L88" s="41">
        <f>(D88/D81-1)*100</f>
        <v>27.4402140261925</v>
      </c>
      <c r="M88" s="27" t="s">
        <v>576</v>
      </c>
      <c r="N88" s="41">
        <f>(H88/H81-1)*100</f>
        <v>52.18996144085952</v>
      </c>
      <c r="O88" s="27" t="s">
        <v>576</v>
      </c>
      <c r="P88" s="41">
        <f>(H88/H84-1)*100</f>
        <v>26.132499351296733</v>
      </c>
      <c r="Q88" s="27" t="s">
        <v>576</v>
      </c>
      <c r="R88" s="38">
        <f>F88/J88</f>
        <v>1.5122266443613697</v>
      </c>
      <c r="S88" s="27" t="s">
        <v>100</v>
      </c>
      <c r="T88" s="38">
        <f>F89/H88</f>
        <v>1.4771757725373005</v>
      </c>
      <c r="U88" s="27" t="s">
        <v>100</v>
      </c>
      <c r="V88" s="27">
        <f>qtrSales!J89</f>
        <v>683</v>
      </c>
      <c r="W88" s="27"/>
      <c r="X88" s="36">
        <f>H88/V88</f>
        <v>0.13522401171303075</v>
      </c>
      <c r="Y88" s="27"/>
      <c r="Z88" s="80">
        <f>(X88/X81-1)*100</f>
        <v>25.228050263196256</v>
      </c>
      <c r="AA88" s="124" t="s">
        <v>576</v>
      </c>
      <c r="AB88" s="155">
        <f>1.28/0.8</f>
        <v>1.5999999999999999</v>
      </c>
      <c r="AC88" s="27"/>
      <c r="AD88" s="131">
        <f>H88/AB88</f>
        <v>57.72375000000001</v>
      </c>
      <c r="AE88" s="27"/>
      <c r="AF88" s="170">
        <f>(AD88/AD81-1)*100</f>
        <v>22.227562782190311</v>
      </c>
      <c r="AG88" s="124" t="s">
        <v>576</v>
      </c>
      <c r="AH88" s="124"/>
      <c r="AI88" s="200">
        <f>((F88+('yrP&amp;L'!$M$21/4))/J88)</f>
        <v>1.7897343294218537</v>
      </c>
      <c r="AJ88" s="246" t="s">
        <v>100</v>
      </c>
      <c r="AK88" s="124"/>
      <c r="AL88" s="75">
        <f>J88/(F88/(365/4))</f>
        <v>60.341484089202716</v>
      </c>
      <c r="AM88" s="27"/>
      <c r="AN88" s="75">
        <f>H88/(F89/(365/4))</f>
        <v>61.773285005387422</v>
      </c>
      <c r="AO88" s="27"/>
      <c r="AP88" s="27"/>
      <c r="AQ88" s="27"/>
    </row>
    <row r="89" spans="1:43" hidden="1" outlineLevel="1">
      <c r="A89" s="27" t="str">
        <f>$A$12</f>
        <v>2Q</v>
      </c>
      <c r="B89" s="27" t="str">
        <f>$B$12</f>
        <v>Jul</v>
      </c>
      <c r="C89" s="27"/>
      <c r="D89" s="35">
        <f>+'qtrP&amp;L'!AV$11</f>
        <v>342.92500000000001</v>
      </c>
      <c r="E89" s="27"/>
      <c r="F89" s="35">
        <f>+'qtrP&amp;L'!AV$21</f>
        <v>136.429</v>
      </c>
      <c r="G89" s="27"/>
      <c r="H89" s="35">
        <f>+work!AT11</f>
        <v>79.153000000000006</v>
      </c>
      <c r="I89" s="27"/>
      <c r="J89" s="35">
        <f>AVERAGE(H88:H89)</f>
        <v>85.755500000000012</v>
      </c>
      <c r="K89" s="27"/>
      <c r="L89" s="41">
        <f>(D89/D82-1)*100</f>
        <v>34.603382698701182</v>
      </c>
      <c r="M89" s="27"/>
      <c r="N89" s="41">
        <f>(H89/H82-1)*100</f>
        <v>27.738239328653268</v>
      </c>
      <c r="O89" s="27"/>
      <c r="P89" s="41">
        <f>(H89/H88-1)*100</f>
        <v>-14.297624461335234</v>
      </c>
      <c r="Q89" s="27"/>
      <c r="R89" s="38">
        <f>F89/J89</f>
        <v>1.590906705692346</v>
      </c>
      <c r="S89" s="27"/>
      <c r="T89" s="38">
        <f>F90/H89</f>
        <v>1.6841812691875226</v>
      </c>
      <c r="U89" s="27"/>
      <c r="V89" s="27">
        <f>qtrSales!J90</f>
        <v>708</v>
      </c>
      <c r="W89" s="27"/>
      <c r="X89" s="38">
        <f>H89/V89</f>
        <v>0.11179802259887006</v>
      </c>
      <c r="Y89" s="27"/>
      <c r="Z89" s="80">
        <f>(X89/X82-1)*100</f>
        <v>4.8247415959711049</v>
      </c>
      <c r="AA89" s="27"/>
      <c r="AB89" s="126">
        <f>1.334/0.8</f>
        <v>1.6675</v>
      </c>
      <c r="AC89" s="27"/>
      <c r="AD89" s="132">
        <f>H89/AB89</f>
        <v>47.468065967016493</v>
      </c>
      <c r="AE89" s="27"/>
      <c r="AF89" s="170">
        <f>(AD89/AD82-1)*100</f>
        <v>2.8417309137733326</v>
      </c>
      <c r="AG89" s="27"/>
      <c r="AH89" s="27"/>
      <c r="AI89" s="200">
        <f>((F89+('yrP&amp;L'!$M$21/4))/J89)</f>
        <v>1.8588195509325929</v>
      </c>
      <c r="AJ89" s="201"/>
      <c r="AK89" s="27"/>
      <c r="AL89" s="75">
        <f>J89/(F89/(365/4))</f>
        <v>57.357228851637124</v>
      </c>
      <c r="AM89" s="27"/>
      <c r="AN89" s="75">
        <f>H89/(F90/(365/4))</f>
        <v>54.180628694451947</v>
      </c>
      <c r="AO89" s="27"/>
      <c r="AP89" s="27"/>
      <c r="AQ89" s="27"/>
    </row>
    <row r="90" spans="1:43" hidden="1" outlineLevel="1">
      <c r="A90" s="27" t="str">
        <f>$A$13</f>
        <v>3Q</v>
      </c>
      <c r="B90" s="27" t="str">
        <f>$B$13</f>
        <v>Oct</v>
      </c>
      <c r="C90" s="27"/>
      <c r="D90" s="35">
        <f>+'qtrP&amp;L'!AV$12</f>
        <v>358.66500000000002</v>
      </c>
      <c r="E90" s="27"/>
      <c r="F90" s="35">
        <f>+'qtrP&amp;L'!AV$22</f>
        <v>133.30799999999999</v>
      </c>
      <c r="G90" s="27"/>
      <c r="H90" s="35">
        <f>+work!AT12</f>
        <v>101.53100000000001</v>
      </c>
      <c r="I90" s="27"/>
      <c r="J90" s="35">
        <f>AVERAGE(H89:H90)</f>
        <v>90.342000000000013</v>
      </c>
      <c r="K90" s="27"/>
      <c r="L90" s="41">
        <f>(D90/D83-1)*100</f>
        <v>32.950665930245052</v>
      </c>
      <c r="M90" s="27"/>
      <c r="N90" s="41">
        <f>(H90/H83-1)*100</f>
        <v>27.750515879007498</v>
      </c>
      <c r="O90" s="27"/>
      <c r="P90" s="41">
        <f>(H90/H89-1)*100</f>
        <v>28.27182797872474</v>
      </c>
      <c r="Q90" s="27"/>
      <c r="R90" s="38">
        <f>F90/J90</f>
        <v>1.4755927475592745</v>
      </c>
      <c r="S90" s="27"/>
      <c r="T90" s="38">
        <f>F91/H90</f>
        <v>1.5029596871891344</v>
      </c>
      <c r="U90" s="27"/>
      <c r="V90" s="27">
        <f>qtrSales!J91</f>
        <v>743</v>
      </c>
      <c r="W90" s="27"/>
      <c r="X90" s="38">
        <f>H90/V90</f>
        <v>0.13665006729475102</v>
      </c>
      <c r="Y90" s="27"/>
      <c r="Z90" s="80">
        <f>(X90/X83-1)*100</f>
        <v>9.35306608216524</v>
      </c>
      <c r="AA90" s="27"/>
      <c r="AB90" s="126">
        <f>1.42907/0.8</f>
        <v>1.7863374999999999</v>
      </c>
      <c r="AC90" s="27"/>
      <c r="AD90" s="132">
        <f>H90/AB90</f>
        <v>56.83752370422723</v>
      </c>
      <c r="AE90" s="27"/>
      <c r="AF90" s="170">
        <f>(AD90/AD83-1)*100</f>
        <v>5.3957176494852321</v>
      </c>
      <c r="AG90" s="27"/>
      <c r="AH90" s="27"/>
      <c r="AI90" s="200">
        <f>((F90+('yrP&amp;L'!$M$21/4))/J90)</f>
        <v>1.7299041420380328</v>
      </c>
      <c r="AJ90" s="201"/>
      <c r="AK90" s="27"/>
      <c r="AL90" s="75">
        <f>J90/(F90/(365/4))</f>
        <v>61.83955576559547</v>
      </c>
      <c r="AM90" s="27"/>
      <c r="AN90" s="75">
        <f>H90/(F91/(365/4))</f>
        <v>60.71353794635543</v>
      </c>
      <c r="AO90" s="27"/>
      <c r="AP90" s="27"/>
      <c r="AQ90" s="27"/>
    </row>
    <row r="91" spans="1:43" hidden="1" outlineLevel="1">
      <c r="A91" s="27" t="str">
        <f>$A$14</f>
        <v>4Q</v>
      </c>
      <c r="B91" s="27" t="str">
        <f>$B$14</f>
        <v>Jan</v>
      </c>
      <c r="C91" s="27"/>
      <c r="D91" s="37">
        <f>+'qtrP&amp;L'!AV$13</f>
        <v>375.73</v>
      </c>
      <c r="E91" s="27"/>
      <c r="F91" s="37">
        <f>+'qtrP&amp;L'!AV$23</f>
        <v>152.59700000000001</v>
      </c>
      <c r="G91" s="27"/>
      <c r="H91" s="35">
        <f>+bal!AA$12</f>
        <v>95.421000000000006</v>
      </c>
      <c r="I91" s="27"/>
      <c r="J91" s="37">
        <f>AVERAGE(H90:H91)</f>
        <v>98.475999999999999</v>
      </c>
      <c r="K91" s="27"/>
      <c r="L91" s="79">
        <f>(D91/D84-1)*100</f>
        <v>31.580698369117965</v>
      </c>
      <c r="M91" s="27"/>
      <c r="N91" s="80">
        <f>(H91/H84-1)*100</f>
        <v>30.315611215055394</v>
      </c>
      <c r="O91" s="27"/>
      <c r="P91" s="41">
        <f>(H91/H90-1)*100</f>
        <v>-6.0178664644295772</v>
      </c>
      <c r="Q91" s="27"/>
      <c r="R91" s="38">
        <f>F91/J91</f>
        <v>1.5495856858523904</v>
      </c>
      <c r="S91" s="27"/>
      <c r="T91" s="38">
        <f>F95/H91</f>
        <v>1.5673384265518071</v>
      </c>
      <c r="U91" s="27"/>
      <c r="V91" s="27">
        <f>qtrSales!J92</f>
        <v>763</v>
      </c>
      <c r="W91" s="27"/>
      <c r="X91" s="38">
        <f>H91/V91</f>
        <v>0.12506028833551769</v>
      </c>
      <c r="Y91" s="27"/>
      <c r="Z91" s="80">
        <f>(X91/X84-1)*100</f>
        <v>12.211476498415962</v>
      </c>
      <c r="AA91" s="27"/>
      <c r="AB91" s="125">
        <f>+yrSales!M$65</f>
        <v>1.8624999999999998</v>
      </c>
      <c r="AC91" s="27"/>
      <c r="AD91" s="132">
        <f>H91/AB91</f>
        <v>51.232751677852356</v>
      </c>
      <c r="AE91" s="27"/>
      <c r="AF91" s="80">
        <f>(AD91/AD84-1)*100</f>
        <v>7.3135939334717959</v>
      </c>
      <c r="AG91" s="27"/>
      <c r="AH91" s="27"/>
      <c r="AI91" s="200">
        <f>((F91+('yrP&amp;L'!$M$21/4))/J91)</f>
        <v>1.7828912628457696</v>
      </c>
      <c r="AJ91" s="202"/>
      <c r="AK91" s="27"/>
      <c r="AL91" s="75">
        <f>J91/(F91/(365/4))</f>
        <v>58.886708126634204</v>
      </c>
      <c r="AM91" s="27"/>
      <c r="AN91" s="109" t="s">
        <v>653</v>
      </c>
      <c r="AO91" s="27"/>
      <c r="AP91" s="27"/>
      <c r="AQ91" s="27"/>
    </row>
    <row r="92" spans="1:43" hidden="1" outlineLevel="1">
      <c r="A92" s="27"/>
      <c r="B92" s="27" t="str">
        <f>$B$15</f>
        <v>Year</v>
      </c>
      <c r="C92" s="27"/>
      <c r="D92" s="34">
        <f>SUM(D88:D91)</f>
        <v>1404.575</v>
      </c>
      <c r="E92" s="27"/>
      <c r="F92" s="34">
        <f>SUM(F88:F91)</f>
        <v>547.53200000000004</v>
      </c>
      <c r="G92" s="27"/>
      <c r="H92" s="27"/>
      <c r="I92" s="27"/>
      <c r="J92" s="34">
        <f>AVERAGE(J88:J91)</f>
        <v>89.341000000000008</v>
      </c>
      <c r="K92" s="27"/>
      <c r="L92" s="41">
        <f>(D92/D85-1)*100</f>
        <v>31.652328936096019</v>
      </c>
      <c r="M92" s="27"/>
      <c r="N92" s="80"/>
      <c r="O92" s="27"/>
      <c r="P92" s="80"/>
      <c r="Q92" s="27"/>
      <c r="R92" s="81">
        <f>F92/J92</f>
        <v>6.1285635934229523</v>
      </c>
      <c r="S92" s="78" t="s">
        <v>100</v>
      </c>
      <c r="T92" s="38"/>
      <c r="U92" s="27"/>
      <c r="V92" s="27"/>
      <c r="W92" s="27"/>
      <c r="X92" s="27"/>
      <c r="Y92" s="27"/>
      <c r="Z92" s="27"/>
      <c r="AA92" s="27"/>
      <c r="AB92" s="27"/>
      <c r="AC92" s="27"/>
      <c r="AD92" s="27"/>
      <c r="AE92" s="27"/>
      <c r="AF92" s="27"/>
      <c r="AG92" s="27"/>
      <c r="AH92" s="27"/>
      <c r="AI92" s="244">
        <f>((F92+('yrP&amp;L'!$M$21))/J92)</f>
        <v>7.1572066576375901</v>
      </c>
      <c r="AJ92" s="245" t="s">
        <v>100</v>
      </c>
      <c r="AK92" s="27"/>
      <c r="AL92" s="27"/>
      <c r="AM92" s="27"/>
      <c r="AN92" s="27"/>
      <c r="AO92" s="27"/>
      <c r="AP92" s="27"/>
      <c r="AQ92" s="27"/>
    </row>
    <row r="93" spans="1:43" hidden="1" outlineLevel="1">
      <c r="A93" s="27"/>
      <c r="B93" s="27"/>
      <c r="C93" s="27"/>
      <c r="D93" s="27"/>
      <c r="E93" s="27"/>
      <c r="F93" s="27"/>
      <c r="G93" s="27"/>
      <c r="H93" s="27"/>
      <c r="I93" s="27"/>
      <c r="J93" s="27"/>
      <c r="K93" s="27"/>
      <c r="L93" s="27"/>
      <c r="M93" s="27"/>
      <c r="N93" s="27"/>
      <c r="O93" s="27"/>
      <c r="P93" s="27"/>
      <c r="Q93" s="27"/>
      <c r="R93" s="27"/>
      <c r="S93" s="27"/>
      <c r="T93" s="38"/>
      <c r="U93" s="27"/>
      <c r="V93" s="27"/>
      <c r="W93" s="27"/>
      <c r="X93" s="27"/>
      <c r="Y93" s="27"/>
      <c r="Z93" s="27"/>
      <c r="AA93" s="27"/>
      <c r="AB93" s="27"/>
      <c r="AC93" s="27"/>
      <c r="AD93" s="27"/>
      <c r="AE93" s="27"/>
      <c r="AF93" s="27"/>
      <c r="AG93" s="27"/>
      <c r="AH93" s="27"/>
      <c r="AI93" s="27"/>
      <c r="AJ93" s="27"/>
      <c r="AK93" s="27"/>
      <c r="AL93" s="27"/>
      <c r="AM93" s="27"/>
      <c r="AN93" s="27"/>
      <c r="AO93" s="27"/>
      <c r="AP93" s="27"/>
      <c r="AQ93" s="27"/>
    </row>
    <row r="94" spans="1:43" hidden="1" outlineLevel="1">
      <c r="A94" s="27"/>
      <c r="B94" s="71" t="s">
        <v>333</v>
      </c>
      <c r="C94" s="27"/>
      <c r="D94" s="27"/>
      <c r="E94" s="27"/>
      <c r="F94" s="27"/>
      <c r="G94" s="27"/>
      <c r="H94" s="27"/>
      <c r="I94" s="27"/>
      <c r="J94" s="27"/>
      <c r="K94" s="27"/>
      <c r="L94" s="27"/>
      <c r="M94" s="27"/>
      <c r="N94" s="27"/>
      <c r="O94" s="27"/>
      <c r="P94" s="27"/>
      <c r="Q94" s="27"/>
      <c r="R94" s="27"/>
      <c r="S94" s="27"/>
      <c r="T94" s="38"/>
      <c r="U94" s="27"/>
      <c r="V94" s="27"/>
      <c r="W94" s="27"/>
      <c r="X94" s="27"/>
      <c r="Y94" s="27"/>
      <c r="Z94" s="27"/>
      <c r="AA94" s="27"/>
      <c r="AB94" s="125"/>
      <c r="AC94" s="27"/>
      <c r="AD94" s="27"/>
      <c r="AE94" s="27"/>
      <c r="AF94" s="27"/>
      <c r="AG94" s="27"/>
      <c r="AH94" s="27"/>
      <c r="AI94" s="27"/>
      <c r="AJ94" s="27"/>
      <c r="AK94" s="27"/>
      <c r="AL94" s="27"/>
      <c r="AM94" s="27"/>
      <c r="AN94" s="27"/>
      <c r="AO94" s="27"/>
      <c r="AP94" s="27"/>
      <c r="AQ94" s="27"/>
    </row>
    <row r="95" spans="1:43" hidden="1" outlineLevel="1">
      <c r="A95" s="27" t="str">
        <f>$A$11</f>
        <v>1Q</v>
      </c>
      <c r="B95" s="27" t="str">
        <f>$B$11</f>
        <v>Apr</v>
      </c>
      <c r="C95" s="27"/>
      <c r="D95" s="34">
        <f>+'qtrP&amp;L'!AZ10</f>
        <v>390.66300000000001</v>
      </c>
      <c r="E95" s="27"/>
      <c r="F95" s="34">
        <f>+'qtrP&amp;L'!AZ20</f>
        <v>149.55699999999999</v>
      </c>
      <c r="G95" s="27"/>
      <c r="H95" s="34">
        <f>work!$AX$10</f>
        <v>115.557</v>
      </c>
      <c r="I95" s="27"/>
      <c r="J95" s="34">
        <f>AVERAGE(H95,H91)</f>
        <v>105.489</v>
      </c>
      <c r="K95" s="27"/>
      <c r="L95" s="41">
        <f>(D95/D88-1)*100</f>
        <v>19.375716184626679</v>
      </c>
      <c r="M95" s="27" t="s">
        <v>576</v>
      </c>
      <c r="N95" s="41">
        <f>(H95/H88-1)*100</f>
        <v>25.118560384590396</v>
      </c>
      <c r="O95" s="27" t="s">
        <v>576</v>
      </c>
      <c r="P95" s="41">
        <f>(H95/H91-1)*100</f>
        <v>21.102273084541135</v>
      </c>
      <c r="Q95" s="27" t="s">
        <v>576</v>
      </c>
      <c r="R95" s="38">
        <f>F95/J95</f>
        <v>1.4177497179800735</v>
      </c>
      <c r="S95" s="27" t="s">
        <v>100</v>
      </c>
      <c r="T95" s="38">
        <f>F96/H95</f>
        <v>1.3809894684008757</v>
      </c>
      <c r="U95" s="27" t="s">
        <v>100</v>
      </c>
      <c r="V95" s="27">
        <f>qtrSales!J96</f>
        <v>791</v>
      </c>
      <c r="W95" s="27"/>
      <c r="X95" s="36">
        <f>H95/V95</f>
        <v>0.1460897597977244</v>
      </c>
      <c r="Y95" s="27"/>
      <c r="Z95" s="80">
        <f>(X95/X88-1)*100</f>
        <v>8.0353688276551658</v>
      </c>
      <c r="AA95" s="124" t="s">
        <v>576</v>
      </c>
      <c r="AB95" s="126">
        <f>1.551/0.8</f>
        <v>1.9387499999999998</v>
      </c>
      <c r="AC95" s="27"/>
      <c r="AD95" s="131">
        <f>H95/AB95</f>
        <v>59.603868471953589</v>
      </c>
      <c r="AE95" s="27"/>
      <c r="AF95" s="170">
        <f>(AD95/AD88-1)*100</f>
        <v>3.257096900242229</v>
      </c>
      <c r="AG95" s="124" t="s">
        <v>576</v>
      </c>
      <c r="AH95" s="124"/>
      <c r="AI95" s="200">
        <f>((F95+('yrP&amp;L'!$N$21/4))/J95)</f>
        <v>1.686261126752552</v>
      </c>
      <c r="AJ95" s="246" t="s">
        <v>100</v>
      </c>
      <c r="AK95" s="124"/>
      <c r="AL95" s="75">
        <f>J95/(F95/(365/4))</f>
        <v>64.362559091182632</v>
      </c>
      <c r="AM95" s="27"/>
      <c r="AN95" s="75">
        <f>H95/(F96/(365/4))</f>
        <v>66.075811646603967</v>
      </c>
      <c r="AO95" s="27"/>
      <c r="AP95" s="27"/>
      <c r="AQ95" s="27"/>
    </row>
    <row r="96" spans="1:43" hidden="1" outlineLevel="1">
      <c r="A96" s="27" t="str">
        <f>$A$12</f>
        <v>2Q</v>
      </c>
      <c r="B96" s="27" t="str">
        <f>$B$12</f>
        <v>Jul</v>
      </c>
      <c r="C96" s="27"/>
      <c r="D96" s="35">
        <f>+'qtrP&amp;L'!AZ11</f>
        <v>403.41399999999999</v>
      </c>
      <c r="E96" s="27"/>
      <c r="F96" s="35">
        <f>+'qtrP&amp;L'!AZ21</f>
        <v>159.583</v>
      </c>
      <c r="G96" s="27"/>
      <c r="H96" s="35">
        <f>work!$AX$11</f>
        <v>108.88200000000001</v>
      </c>
      <c r="I96" s="27"/>
      <c r="J96" s="35">
        <f>AVERAGE(H95:H96)</f>
        <v>112.21950000000001</v>
      </c>
      <c r="K96" s="27"/>
      <c r="L96" s="41">
        <f>(D96/D89-1)*100</f>
        <v>17.639133921411386</v>
      </c>
      <c r="M96" s="27"/>
      <c r="N96" s="41">
        <f>(H96/H89-1)*100</f>
        <v>37.558904905688983</v>
      </c>
      <c r="O96" s="27"/>
      <c r="P96" s="41">
        <f>(H96/H95-1)*100</f>
        <v>-5.7763701030660197</v>
      </c>
      <c r="Q96" s="27"/>
      <c r="R96" s="38">
        <f>F96/J96</f>
        <v>1.4220612282179121</v>
      </c>
      <c r="S96" s="27"/>
      <c r="T96" s="38">
        <f>F97/H96</f>
        <v>1.4826233904593964</v>
      </c>
      <c r="U96" s="27"/>
      <c r="V96" s="27">
        <f>qtrSales!J97</f>
        <v>806</v>
      </c>
      <c r="W96" s="27"/>
      <c r="X96" s="38">
        <f>H96/V96</f>
        <v>0.13508933002481391</v>
      </c>
      <c r="Y96" s="27"/>
      <c r="Z96" s="80">
        <f>(X96/X89-1)*100</f>
        <v>20.833380487875687</v>
      </c>
      <c r="AA96" s="27"/>
      <c r="AB96" s="155">
        <f>1.602/0.8</f>
        <v>2.0024999999999999</v>
      </c>
      <c r="AC96" s="27"/>
      <c r="AD96" s="132">
        <f>H96/AB96</f>
        <v>54.373033707865176</v>
      </c>
      <c r="AE96" s="27"/>
      <c r="AF96" s="170">
        <f>(AD96/AD89-1)*100</f>
        <v>14.546553772902083</v>
      </c>
      <c r="AG96" s="27"/>
      <c r="AH96" s="27"/>
      <c r="AI96" s="200">
        <f>((F96+('yrP&amp;L'!$N$21/4))/J96)</f>
        <v>1.6744683410637187</v>
      </c>
      <c r="AJ96" s="201"/>
      <c r="AK96" s="27"/>
      <c r="AL96" s="75">
        <f>J96/(F96/(365/4))</f>
        <v>64.167419931947649</v>
      </c>
      <c r="AM96" s="27"/>
      <c r="AN96" s="75">
        <f>H96/(F97/(365/4))</f>
        <v>61.54631080771351</v>
      </c>
      <c r="AO96" s="27"/>
      <c r="AP96" s="27"/>
      <c r="AQ96" s="27"/>
    </row>
    <row r="97" spans="1:43" hidden="1" outlineLevel="1">
      <c r="A97" s="27" t="str">
        <f>$A$13</f>
        <v>3Q</v>
      </c>
      <c r="B97" s="27" t="str">
        <f>$B$13</f>
        <v>Oct</v>
      </c>
      <c r="C97" s="27"/>
      <c r="D97" s="35">
        <f>+'qtrP&amp;L'!AZ12</f>
        <v>402.21899999999999</v>
      </c>
      <c r="E97" s="27"/>
      <c r="F97" s="35">
        <f>+'qtrP&amp;L'!AZ22</f>
        <v>161.43100000000001</v>
      </c>
      <c r="G97" s="27"/>
      <c r="H97" s="35">
        <f>work!$AX12</f>
        <v>137.65</v>
      </c>
      <c r="I97" s="27"/>
      <c r="J97" s="35">
        <f>AVERAGE(H96:H97)</f>
        <v>123.26600000000001</v>
      </c>
      <c r="K97" s="27"/>
      <c r="L97" s="41">
        <f>(D97/D90-1)*100</f>
        <v>12.143364978461779</v>
      </c>
      <c r="M97" s="27"/>
      <c r="N97" s="41">
        <f>(H97/H90-1)*100</f>
        <v>35.574356600447146</v>
      </c>
      <c r="O97" s="27"/>
      <c r="P97" s="41">
        <f>(H97/H96-1)*100</f>
        <v>26.421263386050953</v>
      </c>
      <c r="Q97" s="27"/>
      <c r="R97" s="38">
        <f>F97/J97</f>
        <v>1.309614978988529</v>
      </c>
      <c r="S97" s="27"/>
      <c r="T97" s="38">
        <f>F98/H97</f>
        <v>1.4759970940791862</v>
      </c>
      <c r="U97" s="27"/>
      <c r="V97" s="27">
        <f>qtrSales!J98</f>
        <v>871</v>
      </c>
      <c r="W97" s="27"/>
      <c r="X97" s="38">
        <f>H97/V97</f>
        <v>0.15803673938002297</v>
      </c>
      <c r="Y97" s="27"/>
      <c r="Z97" s="80">
        <f>(X97/X90-1)*100</f>
        <v>15.650685366397511</v>
      </c>
      <c r="AA97" s="27"/>
      <c r="AB97" s="126">
        <f>1.797/0.8</f>
        <v>2.2462499999999999</v>
      </c>
      <c r="AC97" s="27"/>
      <c r="AD97" s="132">
        <f>H97/AB97</f>
        <v>61.279910962715647</v>
      </c>
      <c r="AE97" s="27"/>
      <c r="AF97" s="170">
        <f>(AD97/AD90-1)*100</f>
        <v>7.8159408942688025</v>
      </c>
      <c r="AG97" s="27"/>
      <c r="AH97" s="27"/>
      <c r="AI97" s="200">
        <f>((F97+('yrP&amp;L'!$N$21/4))/J97)</f>
        <v>1.5394025927668618</v>
      </c>
      <c r="AJ97" s="201"/>
      <c r="AK97" s="27"/>
      <c r="AL97" s="75">
        <f>J97/(F97/(365/4))</f>
        <v>69.676967249165273</v>
      </c>
      <c r="AM97" s="27"/>
      <c r="AN97" s="75">
        <f>H97/(F98/(365/4))</f>
        <v>61.822614940124332</v>
      </c>
      <c r="AO97" s="27"/>
      <c r="AP97" s="27"/>
      <c r="AQ97" s="27"/>
    </row>
    <row r="98" spans="1:43" hidden="1" outlineLevel="1">
      <c r="A98" s="27" t="str">
        <f>$A$14</f>
        <v>4Q</v>
      </c>
      <c r="B98" s="27" t="str">
        <f>$B$14</f>
        <v>Jan</v>
      </c>
      <c r="C98" s="27"/>
      <c r="D98" s="37">
        <f>+'qtrP&amp;L'!AZ13</f>
        <v>444.63099999999997</v>
      </c>
      <c r="E98" s="27"/>
      <c r="F98" s="37">
        <f>+'qtrP&amp;L'!AZ23</f>
        <v>203.17099999999999</v>
      </c>
      <c r="G98" s="27"/>
      <c r="H98" s="35">
        <f>+bal!AC12</f>
        <v>110.84</v>
      </c>
      <c r="I98" s="27"/>
      <c r="J98" s="37">
        <f>AVERAGE(H97:H98)</f>
        <v>124.245</v>
      </c>
      <c r="K98" s="27"/>
      <c r="L98" s="79">
        <f>(D98/D91-1)*100</f>
        <v>18.337902217017522</v>
      </c>
      <c r="M98" s="27"/>
      <c r="N98" s="80">
        <f>(H98/H91-1)*100</f>
        <v>16.158916800285049</v>
      </c>
      <c r="O98" s="27"/>
      <c r="P98" s="41">
        <f>(H98/H97-1)*100</f>
        <v>-19.476934253541589</v>
      </c>
      <c r="Q98" s="27"/>
      <c r="R98" s="38">
        <f>F98/J98</f>
        <v>1.6352448790695802</v>
      </c>
      <c r="S98" s="27"/>
      <c r="T98" s="38">
        <f>F102/H98</f>
        <v>1.5637224828581739</v>
      </c>
      <c r="U98" s="27"/>
      <c r="V98" s="27">
        <f>qtrSales!J99</f>
        <v>920</v>
      </c>
      <c r="W98" s="27"/>
      <c r="X98" s="38">
        <f>H98/V98</f>
        <v>0.12047826086956522</v>
      </c>
      <c r="Y98" s="27"/>
      <c r="Z98" s="80">
        <f>(X98/X91-1)*100</f>
        <v>-3.6638548710679397</v>
      </c>
      <c r="AA98" s="27"/>
      <c r="AB98" s="126">
        <f>1.954/0.8</f>
        <v>2.4424999999999999</v>
      </c>
      <c r="AC98" s="27"/>
      <c r="AD98" s="132">
        <f>H98/AB98</f>
        <v>45.379733879222108</v>
      </c>
      <c r="AE98" s="27"/>
      <c r="AF98" s="80">
        <f>(AD98/AD91-1)*100</f>
        <v>-11.424367434787763</v>
      </c>
      <c r="AG98" s="27"/>
      <c r="AH98" s="27"/>
      <c r="AI98" s="200">
        <f>((F98+('yrP&amp;L'!$N$21/4))/J98)</f>
        <v>1.8632218600346089</v>
      </c>
      <c r="AJ98" s="202"/>
      <c r="AK98" s="27"/>
      <c r="AL98" s="75">
        <f>J98/(F98/(365/4))</f>
        <v>55.802039907270235</v>
      </c>
      <c r="AM98" s="27"/>
      <c r="AN98" s="109" t="s">
        <v>653</v>
      </c>
      <c r="AO98" s="27"/>
      <c r="AP98" s="27"/>
      <c r="AQ98" s="27"/>
    </row>
    <row r="99" spans="1:43" hidden="1" outlineLevel="1">
      <c r="A99" s="27"/>
      <c r="B99" s="27" t="str">
        <f>$B$15</f>
        <v>Year</v>
      </c>
      <c r="C99" s="27"/>
      <c r="D99" s="34">
        <f>SUM(D95:D98)</f>
        <v>1640.9270000000001</v>
      </c>
      <c r="E99" s="27"/>
      <c r="F99" s="34">
        <f>SUM(F95:F98)</f>
        <v>673.74199999999996</v>
      </c>
      <c r="G99" s="27"/>
      <c r="H99" s="27"/>
      <c r="I99" s="27"/>
      <c r="J99" s="34">
        <f>AVERAGE(J95:J98)</f>
        <v>116.30487500000001</v>
      </c>
      <c r="K99" s="27"/>
      <c r="L99" s="41">
        <f>(D99/D92-1)*100</f>
        <v>16.827296513180158</v>
      </c>
      <c r="M99" s="27"/>
      <c r="N99" s="80"/>
      <c r="O99" s="27"/>
      <c r="P99" s="80"/>
      <c r="Q99" s="27"/>
      <c r="R99" s="81">
        <f>F99/J99</f>
        <v>5.7928956116413861</v>
      </c>
      <c r="S99" s="78" t="s">
        <v>100</v>
      </c>
      <c r="T99" s="38"/>
      <c r="U99" s="27"/>
      <c r="V99" s="27"/>
      <c r="W99" s="27"/>
      <c r="X99" s="27"/>
      <c r="Y99" s="27"/>
      <c r="Z99" s="27"/>
      <c r="AA99" s="27"/>
      <c r="AB99" s="27"/>
      <c r="AC99" s="27"/>
      <c r="AD99" s="27"/>
      <c r="AE99" s="27"/>
      <c r="AF99" s="27"/>
      <c r="AG99" s="27"/>
      <c r="AH99" s="27"/>
      <c r="AI99" s="244">
        <f>((F99+('yrP&amp;L'!$N$21))/J99)</f>
        <v>6.76705942033814</v>
      </c>
      <c r="AJ99" s="245" t="s">
        <v>100</v>
      </c>
      <c r="AK99" s="27"/>
      <c r="AL99" s="27"/>
      <c r="AM99" s="27"/>
      <c r="AN99" s="27"/>
      <c r="AO99" s="27"/>
      <c r="AP99" s="27"/>
      <c r="AQ99" s="27"/>
    </row>
    <row r="100" spans="1:43" hidden="1" outlineLevel="1">
      <c r="A100" s="27"/>
      <c r="B100" s="27"/>
      <c r="C100" s="27"/>
      <c r="D100" s="34"/>
      <c r="E100" s="27"/>
      <c r="F100" s="34"/>
      <c r="G100" s="27"/>
      <c r="H100" s="27"/>
      <c r="I100" s="27"/>
      <c r="J100" s="34"/>
      <c r="K100" s="27"/>
      <c r="L100" s="41"/>
      <c r="M100" s="27"/>
      <c r="N100" s="80"/>
      <c r="O100" s="27"/>
      <c r="P100" s="80"/>
      <c r="Q100" s="27"/>
      <c r="R100" s="225"/>
      <c r="S100" s="32"/>
      <c r="T100" s="38"/>
      <c r="U100" s="27"/>
      <c r="V100" s="27"/>
      <c r="W100" s="27"/>
      <c r="X100" s="27"/>
      <c r="Y100" s="27"/>
      <c r="Z100" s="27"/>
      <c r="AA100" s="27"/>
      <c r="AB100" s="27"/>
      <c r="AC100" s="27"/>
      <c r="AD100" s="27"/>
      <c r="AE100" s="27"/>
      <c r="AF100" s="27"/>
      <c r="AG100" s="27"/>
      <c r="AH100" s="27"/>
      <c r="AI100" s="200"/>
      <c r="AJ100" s="226"/>
      <c r="AK100" s="27"/>
      <c r="AL100" s="27"/>
      <c r="AM100" s="27"/>
      <c r="AN100" s="27"/>
      <c r="AO100" s="27"/>
      <c r="AP100" s="27"/>
      <c r="AQ100" s="27"/>
    </row>
    <row r="101" spans="1:43" hidden="1" outlineLevel="1">
      <c r="A101" s="27"/>
      <c r="B101" s="71" t="s">
        <v>381</v>
      </c>
      <c r="C101" s="27"/>
      <c r="D101" s="27"/>
      <c r="E101" s="27"/>
      <c r="F101" s="27"/>
      <c r="G101" s="27"/>
      <c r="H101" s="27"/>
      <c r="I101" s="27"/>
      <c r="J101" s="27"/>
      <c r="K101" s="27"/>
      <c r="L101" s="27"/>
      <c r="M101" s="27"/>
      <c r="N101" s="27"/>
      <c r="O101" s="27"/>
      <c r="P101" s="27"/>
      <c r="Q101" s="27"/>
      <c r="R101" s="27"/>
      <c r="S101" s="27"/>
      <c r="T101" s="38"/>
      <c r="U101" s="27"/>
      <c r="V101" s="27"/>
      <c r="W101" s="27"/>
      <c r="X101" s="27"/>
      <c r="Y101" s="27"/>
      <c r="Z101" s="27"/>
      <c r="AA101" s="27"/>
      <c r="AB101" s="125"/>
      <c r="AC101" s="27"/>
      <c r="AD101" s="27"/>
      <c r="AE101" s="27"/>
      <c r="AF101" s="27"/>
      <c r="AG101" s="27"/>
      <c r="AH101" s="27"/>
      <c r="AI101" s="27"/>
      <c r="AJ101" s="27"/>
      <c r="AK101" s="27"/>
      <c r="AL101" s="27"/>
      <c r="AM101" s="27"/>
      <c r="AN101" s="27"/>
      <c r="AO101" s="27"/>
      <c r="AP101" s="27"/>
      <c r="AQ101" s="27"/>
    </row>
    <row r="102" spans="1:43" hidden="1" outlineLevel="1">
      <c r="A102" s="27" t="str">
        <f>$A$11</f>
        <v>1Q</v>
      </c>
      <c r="B102" s="27" t="str">
        <f>$B$11</f>
        <v>Apr</v>
      </c>
      <c r="C102" s="27"/>
      <c r="D102" s="34">
        <f>+'qtrP&amp;L'!BD10</f>
        <v>453.08800000000002</v>
      </c>
      <c r="E102" s="27"/>
      <c r="F102" s="34">
        <f>+'qtrP&amp;L'!BD20</f>
        <v>173.32300000000001</v>
      </c>
      <c r="G102" s="27"/>
      <c r="H102" s="34">
        <f>work!BB10</f>
        <v>141.47300000000001</v>
      </c>
      <c r="I102" s="27"/>
      <c r="J102" s="34">
        <f>AVERAGE(H102,H98)</f>
        <v>126.15650000000001</v>
      </c>
      <c r="K102" s="27"/>
      <c r="L102" s="41">
        <f>(D102/D95-1)*100</f>
        <v>15.979245538993968</v>
      </c>
      <c r="M102" s="27" t="s">
        <v>576</v>
      </c>
      <c r="N102" s="41">
        <f>(H102/H95-1)*100</f>
        <v>22.427027354465778</v>
      </c>
      <c r="O102" s="27" t="s">
        <v>576</v>
      </c>
      <c r="P102" s="41">
        <f>(H102/H98-1)*100</f>
        <v>27.637134608444612</v>
      </c>
      <c r="Q102" s="27" t="s">
        <v>576</v>
      </c>
      <c r="R102" s="38">
        <f>F102/J102</f>
        <v>1.3738729276731678</v>
      </c>
      <c r="S102" s="27" t="s">
        <v>100</v>
      </c>
      <c r="T102" s="38">
        <f>F103/H102</f>
        <v>1.3027220741766981</v>
      </c>
      <c r="U102" s="27" t="s">
        <v>100</v>
      </c>
      <c r="V102" s="27">
        <f>qtrSales!J103</f>
        <v>952</v>
      </c>
      <c r="W102" s="27"/>
      <c r="X102" s="36">
        <f>H102/V102</f>
        <v>0.14860609243697481</v>
      </c>
      <c r="Y102" s="27"/>
      <c r="Z102" s="80">
        <f>(X102/X95-1)*100</f>
        <v>1.7224565518723089</v>
      </c>
      <c r="AA102" s="124" t="s">
        <v>576</v>
      </c>
      <c r="AB102" s="155">
        <f>2.09/0.8</f>
        <v>2.6124999999999998</v>
      </c>
      <c r="AC102" s="27"/>
      <c r="AD102" s="131">
        <f>H102/AB102</f>
        <v>54.152344497607665</v>
      </c>
      <c r="AE102" s="27"/>
      <c r="AF102" s="170">
        <f>(AD102/AD95-1)*100</f>
        <v>-9.1462586474754133</v>
      </c>
      <c r="AG102" s="124" t="s">
        <v>576</v>
      </c>
      <c r="AH102" s="124"/>
      <c r="AI102" s="200">
        <f>((F102+('yrP&amp;L'!$O$21/4))/J102)</f>
        <v>1.652098782068304</v>
      </c>
      <c r="AJ102" s="246" t="s">
        <v>100</v>
      </c>
      <c r="AK102" s="124"/>
      <c r="AL102" s="75">
        <f>J102/(F102/(365/4))</f>
        <v>66.41807852968158</v>
      </c>
      <c r="AM102" s="27"/>
      <c r="AN102" s="75">
        <f>H102/(F103/(365/4))</f>
        <v>70.045638903960935</v>
      </c>
      <c r="AO102" s="27"/>
      <c r="AP102" s="27"/>
      <c r="AQ102" s="27"/>
    </row>
    <row r="103" spans="1:43" hidden="1" outlineLevel="1">
      <c r="A103" s="27" t="str">
        <f>$A$12</f>
        <v>2Q</v>
      </c>
      <c r="B103" s="27" t="str">
        <f>$B$12</f>
        <v>Jul</v>
      </c>
      <c r="C103" s="27"/>
      <c r="D103" s="35">
        <f>+'qtrP&amp;L'!BD11</f>
        <v>436.029</v>
      </c>
      <c r="E103" s="27"/>
      <c r="F103" s="35">
        <f>+'qtrP&amp;L'!BD21</f>
        <v>184.3</v>
      </c>
      <c r="G103" s="27"/>
      <c r="H103" s="35">
        <f>work!BB11</f>
        <v>122.965</v>
      </c>
      <c r="I103" s="27"/>
      <c r="J103" s="35">
        <f>AVERAGE(H102:H103)</f>
        <v>132.21899999999999</v>
      </c>
      <c r="K103" s="27"/>
      <c r="L103" s="41">
        <f>(D103/D96-1)*100</f>
        <v>8.0847466870262341</v>
      </c>
      <c r="M103" s="27"/>
      <c r="N103" s="41">
        <f>(H103/H96-1)*100</f>
        <v>12.934185632152229</v>
      </c>
      <c r="O103" s="27"/>
      <c r="P103" s="41">
        <f>(H103/H102-1)*100</f>
        <v>-13.082354936984453</v>
      </c>
      <c r="Q103" s="27"/>
      <c r="R103" s="38">
        <f>F103/J103</f>
        <v>1.3938995151982696</v>
      </c>
      <c r="S103" s="27"/>
      <c r="T103" s="38">
        <f>F104/H103</f>
        <v>1.4105558492253893</v>
      </c>
      <c r="U103" s="27"/>
      <c r="V103" s="27">
        <f>qtrSales!J104</f>
        <v>958</v>
      </c>
      <c r="W103" s="27"/>
      <c r="X103" s="38">
        <f>H103/V103</f>
        <v>0.12835594989561586</v>
      </c>
      <c r="Y103" s="27"/>
      <c r="Z103" s="80">
        <f>(X103/X96-1)*100</f>
        <v>-4.984390793825999</v>
      </c>
      <c r="AA103" s="27"/>
      <c r="AB103" s="155">
        <f>2.131/0.8</f>
        <v>2.6637499999999994</v>
      </c>
      <c r="AC103" s="27"/>
      <c r="AD103" s="132">
        <f>H103/AB103</f>
        <v>46.162365086813715</v>
      </c>
      <c r="AE103" s="27"/>
      <c r="AF103" s="164">
        <f>(AD103/AD96-1)*100</f>
        <v>-15.100626286856922</v>
      </c>
      <c r="AG103" s="27"/>
      <c r="AH103" s="27"/>
      <c r="AI103" s="200">
        <f>((F103+('yrP&amp;L'!$O$21/4))/J103)</f>
        <v>1.6593681694763991</v>
      </c>
      <c r="AJ103" s="201"/>
      <c r="AK103" s="27"/>
      <c r="AL103" s="75">
        <f>J103/(F103/(365/4))</f>
        <v>65.463829354313617</v>
      </c>
      <c r="AM103" s="27"/>
      <c r="AN103" s="75">
        <f>H103/(F104/(365/4))</f>
        <v>64.690809690456561</v>
      </c>
      <c r="AO103" s="27"/>
      <c r="AP103" s="27"/>
      <c r="AQ103" s="27"/>
    </row>
    <row r="104" spans="1:43" hidden="1" outlineLevel="1">
      <c r="A104" s="27" t="str">
        <f>$A$13</f>
        <v>3Q</v>
      </c>
      <c r="B104" s="27" t="str">
        <f>$B$13</f>
        <v>Oct</v>
      </c>
      <c r="C104" s="27"/>
      <c r="D104" s="35">
        <f>+'qtrP&amp;L'!BD12</f>
        <v>415.91300000000001</v>
      </c>
      <c r="E104" s="27"/>
      <c r="F104" s="35">
        <f>+'qtrP&amp;L'!BD22</f>
        <v>173.44900000000001</v>
      </c>
      <c r="G104" s="27"/>
      <c r="H104" s="35">
        <f>work!BB12</f>
        <v>168.15799999999999</v>
      </c>
      <c r="I104" s="27"/>
      <c r="J104" s="35">
        <f>AVERAGE(H103:H104)</f>
        <v>145.5615</v>
      </c>
      <c r="K104" s="27"/>
      <c r="L104" s="41">
        <f>(D104/D97-1)*100</f>
        <v>3.4046129098824318</v>
      </c>
      <c r="M104" s="27"/>
      <c r="N104" s="41">
        <f>(H104/H97-1)*100</f>
        <v>22.163458045768248</v>
      </c>
      <c r="O104" s="27"/>
      <c r="P104" s="41">
        <f>(H104/H103-1)*100</f>
        <v>36.752734517952248</v>
      </c>
      <c r="Q104" s="27"/>
      <c r="R104" s="38">
        <f>F104/J104</f>
        <v>1.1915856871494181</v>
      </c>
      <c r="S104" s="27"/>
      <c r="T104" s="38">
        <f>F105/H104</f>
        <v>1.2737603920122744</v>
      </c>
      <c r="U104" s="27"/>
      <c r="V104" s="27">
        <f>qtrSales!J105</f>
        <v>1004</v>
      </c>
      <c r="W104" s="27"/>
      <c r="X104" s="38">
        <f>H104/V104</f>
        <v>0.16748804780876492</v>
      </c>
      <c r="Y104" s="27"/>
      <c r="Z104" s="80">
        <f>(X104/X97-1)*100</f>
        <v>5.9804501572351842</v>
      </c>
      <c r="AA104" s="27"/>
      <c r="AB104" s="155">
        <f>2.289/0.8</f>
        <v>2.8612500000000001</v>
      </c>
      <c r="AC104" s="27"/>
      <c r="AD104" s="132">
        <f>H104/AB104</f>
        <v>58.77081695063346</v>
      </c>
      <c r="AE104" s="27"/>
      <c r="AF104" s="164">
        <f>(AD104/AD97-1)*100</f>
        <v>-4.0944805119067285</v>
      </c>
      <c r="AG104" s="27"/>
      <c r="AH104" s="27"/>
      <c r="AI104" s="200">
        <f>((F104+('yrP&amp;L'!$O$21/4))/J104)</f>
        <v>1.432720877429815</v>
      </c>
      <c r="AJ104" s="201"/>
      <c r="AK104" s="27"/>
      <c r="AL104" s="75">
        <f>J104/(F104/(365/4))</f>
        <v>76.578630461980168</v>
      </c>
      <c r="AM104" s="27"/>
      <c r="AN104" s="75">
        <f>H104/(F105/(365/4))</f>
        <v>71.638277161251764</v>
      </c>
      <c r="AO104" s="27"/>
      <c r="AP104" s="27"/>
      <c r="AQ104" s="27"/>
    </row>
    <row r="105" spans="1:43" hidden="1" outlineLevel="1">
      <c r="A105" s="27" t="str">
        <f>$A$14</f>
        <v>4Q</v>
      </c>
      <c r="B105" s="27" t="str">
        <f>$B$14</f>
        <v>Jan</v>
      </c>
      <c r="C105" s="27"/>
      <c r="D105" s="37">
        <f>+'qtrP&amp;L'!BD13</f>
        <v>409.29700000000003</v>
      </c>
      <c r="E105" s="27"/>
      <c r="F105" s="37">
        <f>+'qtrP&amp;L'!BD23</f>
        <v>214.19300000000001</v>
      </c>
      <c r="G105" s="27"/>
      <c r="H105" s="35">
        <f>+bal!AE$12</f>
        <v>144.261</v>
      </c>
      <c r="I105" s="27"/>
      <c r="J105" s="37">
        <f>AVERAGE(H104:H105)</f>
        <v>156.20949999999999</v>
      </c>
      <c r="K105" s="27"/>
      <c r="L105" s="79">
        <f>(D105/D98-1)*100</f>
        <v>-7.9468143246872014</v>
      </c>
      <c r="M105" s="27"/>
      <c r="N105" s="80">
        <f>(H105/H98-1)*100</f>
        <v>30.152472031757483</v>
      </c>
      <c r="O105" s="27"/>
      <c r="P105" s="41">
        <f>(H105/H104-1)*100</f>
        <v>-14.211039617502585</v>
      </c>
      <c r="Q105" s="27"/>
      <c r="R105" s="38">
        <f>F105/J105</f>
        <v>1.3711906126067879</v>
      </c>
      <c r="S105" s="27"/>
      <c r="T105" s="38">
        <f>F109/H105</f>
        <v>1.2530205668891801</v>
      </c>
      <c r="U105" s="27"/>
      <c r="V105" s="27">
        <f>qtrSales!J106</f>
        <v>1038</v>
      </c>
      <c r="W105" s="27"/>
      <c r="X105" s="38">
        <f>H105/V105</f>
        <v>0.13897976878612717</v>
      </c>
      <c r="Y105" s="27"/>
      <c r="Z105" s="80">
        <f>(X105/X98-1)*100</f>
        <v>15.356718949149229</v>
      </c>
      <c r="AA105" s="27"/>
      <c r="AB105" s="126">
        <f>2.402/0.8</f>
        <v>3.0024999999999999</v>
      </c>
      <c r="AC105" s="27"/>
      <c r="AD105" s="132">
        <f>H105/AB105</f>
        <v>48.046960865945046</v>
      </c>
      <c r="AE105" s="27"/>
      <c r="AF105" s="80">
        <f>(AD105/AD98-1)*100</f>
        <v>5.8775730016878081</v>
      </c>
      <c r="AG105" s="27"/>
      <c r="AH105" s="27"/>
      <c r="AI105" s="200">
        <f>((F105+('yrP&amp;L'!$O$21/4))/J105)</f>
        <v>1.5958888543910583</v>
      </c>
      <c r="AJ105" s="202"/>
      <c r="AK105" s="27"/>
      <c r="AL105" s="75">
        <f>J105/(F105/(365/4))</f>
        <v>66.548005186910871</v>
      </c>
      <c r="AM105" s="27"/>
      <c r="AN105" s="109" t="s">
        <v>653</v>
      </c>
      <c r="AO105" s="27"/>
      <c r="AP105" s="27"/>
      <c r="AQ105" s="27"/>
    </row>
    <row r="106" spans="1:43" hidden="1" outlineLevel="1">
      <c r="A106" s="27"/>
      <c r="B106" s="27" t="str">
        <f>$B$15</f>
        <v>Year</v>
      </c>
      <c r="C106" s="27"/>
      <c r="D106" s="34">
        <f>SUM(D102:D105)</f>
        <v>1714.327</v>
      </c>
      <c r="E106" s="27"/>
      <c r="F106" s="34">
        <f>SUM(F102:F105)</f>
        <v>745.2650000000001</v>
      </c>
      <c r="G106" s="27"/>
      <c r="H106" s="27"/>
      <c r="I106" s="27"/>
      <c r="J106" s="34">
        <f>AVERAGE(J102:J105)</f>
        <v>140.03662500000002</v>
      </c>
      <c r="K106" s="27"/>
      <c r="L106" s="41">
        <f>(D106/D99-1)*100</f>
        <v>4.4730813741257203</v>
      </c>
      <c r="M106" s="27"/>
      <c r="N106" s="80"/>
      <c r="O106" s="27"/>
      <c r="P106" s="80"/>
      <c r="Q106" s="27"/>
      <c r="R106" s="81">
        <f>F106/J106</f>
        <v>5.3219291738857608</v>
      </c>
      <c r="S106" s="78" t="s">
        <v>100</v>
      </c>
      <c r="T106" s="38"/>
      <c r="U106" s="27"/>
      <c r="V106" s="27"/>
      <c r="W106" s="27"/>
      <c r="X106" s="27"/>
      <c r="Y106" s="27"/>
      <c r="Z106" s="27"/>
      <c r="AA106" s="27"/>
      <c r="AB106" s="27"/>
      <c r="AC106" s="27"/>
      <c r="AD106" s="27"/>
      <c r="AE106" s="27"/>
      <c r="AF106" s="27"/>
      <c r="AG106" s="27"/>
      <c r="AH106" s="27"/>
      <c r="AI106" s="244">
        <f>((F106+('yrP&amp;L'!$O$21))/J106)</f>
        <v>6.324524030766951</v>
      </c>
      <c r="AJ106" s="245" t="s">
        <v>100</v>
      </c>
      <c r="AK106" s="27"/>
      <c r="AL106" s="27"/>
      <c r="AM106" s="27"/>
      <c r="AN106" s="27"/>
      <c r="AO106" s="27"/>
      <c r="AP106" s="27"/>
      <c r="AQ106" s="27"/>
    </row>
    <row r="107" spans="1:43" hidden="1" outlineLevel="1">
      <c r="A107" s="27"/>
      <c r="B107" s="27"/>
      <c r="C107" s="27"/>
      <c r="D107" s="27"/>
      <c r="E107" s="27"/>
      <c r="F107" s="27"/>
      <c r="G107" s="27"/>
      <c r="H107" s="27"/>
      <c r="I107" s="27"/>
      <c r="J107" s="27"/>
      <c r="K107" s="27"/>
      <c r="L107" s="27"/>
      <c r="M107" s="27"/>
      <c r="N107" s="27"/>
      <c r="O107" s="27"/>
      <c r="P107" s="27"/>
      <c r="Q107" s="27"/>
      <c r="R107" s="27"/>
      <c r="S107" s="27"/>
      <c r="T107" s="38"/>
      <c r="U107" s="27"/>
      <c r="V107" s="27"/>
      <c r="W107" s="27"/>
      <c r="X107" s="27"/>
      <c r="Y107" s="27"/>
      <c r="Z107" s="27"/>
      <c r="AA107" s="27"/>
      <c r="AB107" s="126"/>
      <c r="AC107" s="27"/>
      <c r="AD107" s="27"/>
      <c r="AE107" s="27"/>
      <c r="AF107" s="27"/>
      <c r="AG107" s="27"/>
      <c r="AH107" s="27"/>
      <c r="AI107" s="27"/>
      <c r="AJ107" s="27"/>
      <c r="AK107" s="27"/>
      <c r="AL107" s="27"/>
      <c r="AM107" s="27"/>
      <c r="AN107" s="27"/>
      <c r="AO107" s="27"/>
      <c r="AP107" s="27"/>
      <c r="AQ107" s="27"/>
    </row>
    <row r="108" spans="1:43" hidden="1" outlineLevel="1">
      <c r="A108" s="27"/>
      <c r="B108" s="71" t="s">
        <v>285</v>
      </c>
      <c r="C108" s="27"/>
      <c r="D108" s="27"/>
      <c r="E108" s="27"/>
      <c r="F108" s="27"/>
      <c r="G108" s="27"/>
      <c r="H108" s="27"/>
      <c r="I108" s="27"/>
      <c r="J108" s="27"/>
      <c r="K108" s="27"/>
      <c r="L108" s="27"/>
      <c r="M108" s="27"/>
      <c r="N108" s="27"/>
      <c r="O108" s="27"/>
      <c r="P108" s="27"/>
      <c r="Q108" s="27"/>
      <c r="R108" s="27"/>
      <c r="S108" s="27"/>
      <c r="T108" s="38"/>
      <c r="U108" s="27"/>
      <c r="V108" s="27"/>
      <c r="W108" s="27"/>
      <c r="X108" s="27"/>
      <c r="Y108" s="27"/>
      <c r="Z108" s="27"/>
      <c r="AA108" s="27"/>
      <c r="AB108" s="125"/>
      <c r="AC108" s="27"/>
      <c r="AD108" s="27"/>
      <c r="AE108" s="27"/>
      <c r="AF108" s="27"/>
      <c r="AG108" s="27"/>
      <c r="AH108" s="27"/>
      <c r="AI108" s="27"/>
      <c r="AJ108" s="27"/>
      <c r="AK108" s="27"/>
      <c r="AL108" s="27"/>
      <c r="AM108" s="27"/>
      <c r="AN108" s="27"/>
      <c r="AO108" s="27"/>
      <c r="AP108" s="27"/>
      <c r="AQ108" s="27"/>
    </row>
    <row r="109" spans="1:43" hidden="1" outlineLevel="1">
      <c r="A109" s="27" t="str">
        <f>$A$11</f>
        <v>1Q</v>
      </c>
      <c r="B109" s="27" t="str">
        <f>$B$11</f>
        <v>Apr</v>
      </c>
      <c r="C109" s="27"/>
      <c r="D109" s="34">
        <f>+'qtrP&amp;L'!BH10</f>
        <v>409.56400000000002</v>
      </c>
      <c r="E109" s="27"/>
      <c r="F109" s="34">
        <f>+'qtrP&amp;L'!BH20</f>
        <v>180.762</v>
      </c>
      <c r="G109" s="27"/>
      <c r="H109" s="34">
        <f>work!BF10</f>
        <v>161.26</v>
      </c>
      <c r="I109" s="27"/>
      <c r="J109" s="34">
        <f>AVERAGE(H109,H105)</f>
        <v>152.76049999999998</v>
      </c>
      <c r="K109" s="27"/>
      <c r="L109" s="41">
        <f>(D109/D102-1)*100</f>
        <v>-9.6060809379193479</v>
      </c>
      <c r="M109" s="27" t="s">
        <v>576</v>
      </c>
      <c r="N109" s="41">
        <f>(H109/H102-1)*100</f>
        <v>13.986414368819467</v>
      </c>
      <c r="O109" s="27" t="s">
        <v>576</v>
      </c>
      <c r="P109" s="41">
        <f>(H109/H105-1)*100</f>
        <v>11.783503510997416</v>
      </c>
      <c r="Q109" s="27" t="s">
        <v>576</v>
      </c>
      <c r="R109" s="38">
        <f>F109/J109</f>
        <v>1.1833032753885986</v>
      </c>
      <c r="S109" s="27" t="s">
        <v>100</v>
      </c>
      <c r="T109" s="38">
        <f>F110/H109</f>
        <v>1.1897370705692671</v>
      </c>
      <c r="U109" s="27" t="s">
        <v>100</v>
      </c>
      <c r="V109" s="27">
        <f>qtrSales!J110</f>
        <v>1056</v>
      </c>
      <c r="W109" s="27"/>
      <c r="X109" s="36">
        <f>H109/V109</f>
        <v>0.15270833333333333</v>
      </c>
      <c r="Y109" s="27"/>
      <c r="Z109" s="80">
        <f>(X109/X102-1)*100</f>
        <v>2.7604796203751336</v>
      </c>
      <c r="AA109" s="124" t="s">
        <v>576</v>
      </c>
      <c r="AB109" s="126">
        <f>2.482/0.8</f>
        <v>3.1025</v>
      </c>
      <c r="AC109" s="27"/>
      <c r="AD109" s="131">
        <f>H109/AB109</f>
        <v>51.977437550362609</v>
      </c>
      <c r="AE109" s="27"/>
      <c r="AF109" s="170">
        <f>(AD109/AD102-1)*100</f>
        <v>-4.0162747659819971</v>
      </c>
      <c r="AG109" s="124" t="s">
        <v>576</v>
      </c>
      <c r="AH109" s="124"/>
      <c r="AI109" s="200">
        <f>((F109+('yrP&amp;L'!$P$21/4))/J109)</f>
        <v>1.436641016493138</v>
      </c>
      <c r="AJ109" s="246" t="s">
        <v>100</v>
      </c>
      <c r="AK109" s="124"/>
      <c r="AL109" s="75">
        <f>J109/(F109/(365/4))</f>
        <v>77.114634851351497</v>
      </c>
      <c r="AM109" s="27"/>
      <c r="AN109" s="75">
        <f>H109/(F110/(365/4))</f>
        <v>76.697618538807532</v>
      </c>
      <c r="AO109" s="27"/>
      <c r="AP109" s="27"/>
      <c r="AQ109" s="27"/>
    </row>
    <row r="110" spans="1:43" hidden="1" outlineLevel="1">
      <c r="A110" s="27" t="str">
        <f>$A$12</f>
        <v>2Q</v>
      </c>
      <c r="B110" s="27" t="str">
        <f>$B$12</f>
        <v>Jul</v>
      </c>
      <c r="C110" s="27"/>
      <c r="D110" s="35">
        <f>+'qtrP&amp;L'!BH11</f>
        <v>405.21800000000002</v>
      </c>
      <c r="E110" s="27"/>
      <c r="F110" s="35">
        <f>+'qtrP&amp;L'!BH21</f>
        <v>191.857</v>
      </c>
      <c r="G110" s="27"/>
      <c r="H110" s="35">
        <f>work!BF11</f>
        <v>142.86799999999999</v>
      </c>
      <c r="I110" s="27"/>
      <c r="J110" s="35">
        <f>AVERAGE(H109:H110)</f>
        <v>152.06399999999999</v>
      </c>
      <c r="K110" s="27"/>
      <c r="L110" s="41">
        <f>(D110/D103-1)*100</f>
        <v>-7.0662731148616214</v>
      </c>
      <c r="M110" s="27"/>
      <c r="N110" s="41">
        <f>(H110/H103-1)*100</f>
        <v>16.185906558776875</v>
      </c>
      <c r="O110" s="27"/>
      <c r="P110" s="41">
        <f>(H110/H109-1)*100</f>
        <v>-11.405184174624827</v>
      </c>
      <c r="Q110" s="27"/>
      <c r="R110" s="38">
        <f>F110/J110</f>
        <v>1.2616858691077442</v>
      </c>
      <c r="S110" s="27"/>
      <c r="T110" s="38">
        <f>F111/H110</f>
        <v>1.279992720553238</v>
      </c>
      <c r="U110" s="27"/>
      <c r="V110" s="27">
        <f>qtrSales!J111</f>
        <v>1075</v>
      </c>
      <c r="W110" s="27"/>
      <c r="X110" s="38">
        <f>H110/V110</f>
        <v>0.13290046511627907</v>
      </c>
      <c r="Y110" s="27"/>
      <c r="Z110" s="80">
        <f>(X110/X103-1)*100</f>
        <v>3.5405567286588502</v>
      </c>
      <c r="AA110" s="27"/>
      <c r="AB110" s="126">
        <f>2.553/0.8</f>
        <v>3.1912499999999997</v>
      </c>
      <c r="AC110" s="27"/>
      <c r="AD110" s="132">
        <f>H110/AB110</f>
        <v>44.768664316490408</v>
      </c>
      <c r="AE110" s="27"/>
      <c r="AF110" s="164">
        <f>(AD110/AD103-1)*100</f>
        <v>-3.0191277411854678</v>
      </c>
      <c r="AG110" s="27"/>
      <c r="AH110" s="27"/>
      <c r="AI110" s="200">
        <f>((F110+('yrP&amp;L'!$P$21/4))/J110)</f>
        <v>1.5161839751683504</v>
      </c>
      <c r="AJ110" s="201"/>
      <c r="AK110" s="27"/>
      <c r="AL110" s="75">
        <f>J110/(F110/(365/4))</f>
        <v>72.323866212856444</v>
      </c>
      <c r="AM110" s="27"/>
      <c r="AN110" s="75">
        <f>H110/(F111/(365/4))</f>
        <v>71.289467928036302</v>
      </c>
      <c r="AO110" s="27"/>
      <c r="AP110" s="27"/>
      <c r="AQ110" s="27"/>
    </row>
    <row r="111" spans="1:43" hidden="1" outlineLevel="1">
      <c r="A111" s="27" t="str">
        <f>$A$13</f>
        <v>3Q</v>
      </c>
      <c r="B111" s="27" t="str">
        <f>$B$13</f>
        <v>Oct</v>
      </c>
      <c r="C111" s="27"/>
      <c r="D111" s="35">
        <f>+'qtrP&amp;L'!BH12</f>
        <v>394.24299999999999</v>
      </c>
      <c r="E111" s="27"/>
      <c r="F111" s="35">
        <f>+'qtrP&amp;L'!BH22</f>
        <v>182.87</v>
      </c>
      <c r="G111" s="27"/>
      <c r="H111" s="35">
        <f>work!BF12</f>
        <v>187.27099999999999</v>
      </c>
      <c r="I111" s="27"/>
      <c r="J111" s="35">
        <f>AVERAGE(H110:H111)</f>
        <v>165.06950000000001</v>
      </c>
      <c r="K111" s="27"/>
      <c r="L111" s="41">
        <f>(D111/D104-1)*100</f>
        <v>-5.2102242536299688</v>
      </c>
      <c r="M111" s="27"/>
      <c r="N111" s="41">
        <f>(H111/H104-1)*100</f>
        <v>11.366096171457807</v>
      </c>
      <c r="O111" s="27"/>
      <c r="P111" s="41">
        <f>(H111/H110-1)*100</f>
        <v>31.079737939916562</v>
      </c>
      <c r="Q111" s="27"/>
      <c r="R111" s="38">
        <f>F111/J111</f>
        <v>1.1078363961846374</v>
      </c>
      <c r="S111" s="27"/>
      <c r="T111" s="38">
        <f>F112/H111</f>
        <v>1.1076087594982673</v>
      </c>
      <c r="U111" s="27"/>
      <c r="V111" s="27">
        <f>qtrSales!J112</f>
        <v>1083</v>
      </c>
      <c r="W111" s="27"/>
      <c r="X111" s="38">
        <f>H111/V111</f>
        <v>0.17291874422899353</v>
      </c>
      <c r="Y111" s="27"/>
      <c r="Z111" s="80">
        <f>(X111/X104-1)*100</f>
        <v>3.2424381866515528</v>
      </c>
      <c r="AA111" s="27"/>
      <c r="AB111" s="126">
        <f>2.595/0.8</f>
        <v>3.2437499999999999</v>
      </c>
      <c r="AC111" s="27"/>
      <c r="AD111" s="132">
        <f>H111/AB111</f>
        <v>57.732870905587667</v>
      </c>
      <c r="AE111" s="27"/>
      <c r="AF111" s="164">
        <f>(AD111/AD104-1)*100</f>
        <v>-1.7660908915349105</v>
      </c>
      <c r="AG111" s="27"/>
      <c r="AH111" s="27"/>
      <c r="AI111" s="200">
        <f>((F111+('yrP&amp;L'!$P$21/4))/J111)</f>
        <v>1.3422830989371144</v>
      </c>
      <c r="AJ111" s="201"/>
      <c r="AK111" s="27"/>
      <c r="AL111" s="75">
        <f>J111/(F111/(365/4))</f>
        <v>82.367757833433586</v>
      </c>
      <c r="AM111" s="27"/>
      <c r="AN111" s="75">
        <f>H111/(F112/(365/4))</f>
        <v>82.384686124489562</v>
      </c>
      <c r="AO111" s="27"/>
      <c r="AP111" s="27"/>
      <c r="AQ111" s="27"/>
    </row>
    <row r="112" spans="1:43" hidden="1" outlineLevel="1">
      <c r="A112" s="27" t="str">
        <f>$A$14</f>
        <v>4Q</v>
      </c>
      <c r="B112" s="27" t="str">
        <f>$B$14</f>
        <v>Jan</v>
      </c>
      <c r="C112" s="27"/>
      <c r="D112" s="37">
        <f>+'qtrP&amp;L'!BH13</f>
        <v>373.37900000000002</v>
      </c>
      <c r="E112" s="27"/>
      <c r="F112" s="37">
        <f>+'qtrP&amp;L'!BH23</f>
        <v>207.423</v>
      </c>
      <c r="G112" s="27"/>
      <c r="H112" s="35">
        <f>+bal!AG$12</f>
        <v>132.41300000000001</v>
      </c>
      <c r="I112" s="27"/>
      <c r="J112" s="37">
        <f>AVERAGE(H111:H112)</f>
        <v>159.84199999999998</v>
      </c>
      <c r="K112" s="27"/>
      <c r="L112" s="79">
        <f>(D112/D105-1)*100</f>
        <v>-8.7755346362177082</v>
      </c>
      <c r="M112" s="27"/>
      <c r="N112" s="80">
        <f>(H112/H105-1)*100</f>
        <v>-8.212891911188736</v>
      </c>
      <c r="O112" s="27"/>
      <c r="P112" s="41">
        <f>(H112/H111-1)*100</f>
        <v>-29.293376977748807</v>
      </c>
      <c r="Q112" s="27"/>
      <c r="R112" s="38">
        <f>F112/J112</f>
        <v>1.297675204264211</v>
      </c>
      <c r="S112" s="27"/>
      <c r="T112" s="38">
        <f>F116/H112</f>
        <v>1.3386525492209977</v>
      </c>
      <c r="U112" s="27"/>
      <c r="V112" s="27">
        <f>qtrSales!J113</f>
        <v>1076</v>
      </c>
      <c r="W112" s="27"/>
      <c r="X112" s="38">
        <f>H112/V112</f>
        <v>0.1230604089219331</v>
      </c>
      <c r="Y112" s="27"/>
      <c r="Z112" s="80">
        <f>(X112/X105-1)*100</f>
        <v>-11.454444055589141</v>
      </c>
      <c r="AA112" s="27"/>
      <c r="AB112" s="125">
        <f>+yrSales!P$65</f>
        <v>3.2446162499999995</v>
      </c>
      <c r="AC112" s="27"/>
      <c r="AD112" s="132">
        <f>H112/AB112</f>
        <v>40.810064980719993</v>
      </c>
      <c r="AE112" s="27"/>
      <c r="AF112" s="80">
        <f>(AD112/AD105-1)*100</f>
        <v>-15.062130371609939</v>
      </c>
      <c r="AG112" s="27"/>
      <c r="AH112" s="27"/>
      <c r="AI112" s="200">
        <f>((F112+('yrP&amp;L'!$P$21/4))/J112)</f>
        <v>1.5397892919257767</v>
      </c>
      <c r="AJ112" s="202"/>
      <c r="AK112" s="27"/>
      <c r="AL112" s="75">
        <f>J112/(F112/(365/4))</f>
        <v>70.318057785298635</v>
      </c>
      <c r="AM112" s="27"/>
      <c r="AN112" s="109" t="s">
        <v>653</v>
      </c>
      <c r="AO112" s="27"/>
      <c r="AP112" s="27"/>
      <c r="AQ112" s="27"/>
    </row>
    <row r="113" spans="1:43" hidden="1" outlineLevel="1">
      <c r="A113" s="27"/>
      <c r="B113" s="27" t="str">
        <f>$B$15</f>
        <v>Year</v>
      </c>
      <c r="C113" s="27"/>
      <c r="D113" s="34">
        <f>SUM(D109:D112)</f>
        <v>1582.404</v>
      </c>
      <c r="E113" s="27"/>
      <c r="F113" s="34">
        <f>SUM(F109:F112)</f>
        <v>762.91200000000003</v>
      </c>
      <c r="G113" s="27"/>
      <c r="H113" s="27"/>
      <c r="I113" s="27"/>
      <c r="J113" s="34">
        <f>AVERAGE(J109:J112)</f>
        <v>157.43399999999997</v>
      </c>
      <c r="K113" s="27"/>
      <c r="L113" s="41">
        <f>(D113/D106-1)*100</f>
        <v>-7.6953230043043108</v>
      </c>
      <c r="M113" s="27"/>
      <c r="N113" s="80"/>
      <c r="O113" s="27"/>
      <c r="P113" s="80"/>
      <c r="Q113" s="27"/>
      <c r="R113" s="81">
        <f>F113/J113</f>
        <v>4.8459163840085377</v>
      </c>
      <c r="S113" s="78" t="s">
        <v>100</v>
      </c>
      <c r="T113" s="38"/>
      <c r="U113" s="27"/>
      <c r="V113" s="27">
        <f>V112-V111</f>
        <v>-7</v>
      </c>
      <c r="W113" s="27"/>
      <c r="X113" s="27"/>
      <c r="Y113" s="27"/>
      <c r="Z113" s="27"/>
      <c r="AA113" s="27"/>
      <c r="AB113" s="27"/>
      <c r="AC113" s="27"/>
      <c r="AD113" s="27"/>
      <c r="AE113" s="27"/>
      <c r="AF113" s="27"/>
      <c r="AG113" s="27"/>
      <c r="AH113" s="27"/>
      <c r="AI113" s="244">
        <f>((F113+('yrP&amp;L'!$P$21))/J113)</f>
        <v>5.8291855634742191</v>
      </c>
      <c r="AJ113" s="245" t="s">
        <v>100</v>
      </c>
      <c r="AK113" s="27"/>
      <c r="AL113" s="27"/>
      <c r="AM113" s="27"/>
      <c r="AN113" s="27"/>
      <c r="AO113" s="27"/>
      <c r="AP113" s="27"/>
      <c r="AQ113" s="27"/>
    </row>
    <row r="114" spans="1:43" hidden="1" outlineLevel="1">
      <c r="A114" s="27"/>
      <c r="B114" s="27"/>
      <c r="C114" s="27"/>
      <c r="D114" s="34"/>
      <c r="E114" s="27"/>
      <c r="F114" s="34"/>
      <c r="G114" s="27"/>
      <c r="H114" s="27"/>
      <c r="I114" s="27"/>
      <c r="J114" s="34"/>
      <c r="K114" s="27"/>
      <c r="L114" s="41"/>
      <c r="M114" s="27"/>
      <c r="N114" s="80"/>
      <c r="O114" s="27"/>
      <c r="P114" s="80"/>
      <c r="Q114" s="27"/>
      <c r="R114" s="225"/>
      <c r="S114" s="32"/>
      <c r="T114" s="38"/>
      <c r="U114" s="27"/>
      <c r="V114" s="27"/>
      <c r="W114" s="27"/>
      <c r="X114" s="27"/>
      <c r="Y114" s="27"/>
      <c r="Z114" s="27"/>
      <c r="AA114" s="27"/>
      <c r="AB114" s="27"/>
      <c r="AC114" s="27"/>
      <c r="AD114" s="27"/>
      <c r="AE114" s="27"/>
      <c r="AF114" s="27"/>
      <c r="AG114" s="27"/>
      <c r="AH114" s="27"/>
      <c r="AI114" s="200"/>
      <c r="AJ114" s="249"/>
      <c r="AK114" s="27"/>
      <c r="AL114" s="27"/>
      <c r="AM114" s="27"/>
      <c r="AN114" s="27"/>
      <c r="AO114" s="27"/>
      <c r="AP114" s="27"/>
      <c r="AQ114" s="27"/>
    </row>
    <row r="115" spans="1:43" hidden="1" outlineLevel="1">
      <c r="A115" s="27"/>
      <c r="B115" s="71" t="s">
        <v>178</v>
      </c>
      <c r="C115" s="27"/>
      <c r="D115" s="27"/>
      <c r="E115" s="27"/>
      <c r="F115" s="27"/>
      <c r="G115" s="27"/>
      <c r="H115" s="27"/>
      <c r="I115" s="27"/>
      <c r="J115" s="27"/>
      <c r="K115" s="27"/>
      <c r="L115" s="27"/>
      <c r="M115" s="27"/>
      <c r="N115" s="27"/>
      <c r="O115" s="27"/>
      <c r="P115" s="27"/>
      <c r="Q115" s="27"/>
      <c r="R115" s="27"/>
      <c r="S115" s="27"/>
      <c r="T115" s="38"/>
      <c r="U115" s="27"/>
      <c r="V115" s="27"/>
      <c r="W115" s="27"/>
      <c r="X115" s="27"/>
      <c r="Y115" s="27"/>
      <c r="Z115" s="27"/>
      <c r="AA115" s="27"/>
      <c r="AB115" s="125"/>
      <c r="AC115" s="27"/>
      <c r="AD115" s="27"/>
      <c r="AE115" s="27"/>
      <c r="AF115" s="27"/>
      <c r="AG115" s="27"/>
      <c r="AH115" s="27"/>
      <c r="AI115" s="27"/>
      <c r="AJ115" s="27"/>
      <c r="AK115" s="27"/>
      <c r="AL115" s="27"/>
      <c r="AM115" s="27"/>
      <c r="AN115" s="27"/>
      <c r="AO115" s="27"/>
      <c r="AP115" s="27"/>
      <c r="AQ115" s="27"/>
    </row>
    <row r="116" spans="1:43" hidden="1" outlineLevel="1">
      <c r="A116" s="27" t="str">
        <f>$A$11</f>
        <v>1Q</v>
      </c>
      <c r="B116" s="27" t="str">
        <f>$B$11</f>
        <v>Apr</v>
      </c>
      <c r="C116" s="27"/>
      <c r="D116" s="34">
        <f>'qtrP&amp;L'!$BL$10</f>
        <v>410.64299999999997</v>
      </c>
      <c r="E116" s="27"/>
      <c r="F116" s="34">
        <f>'qtrP&amp;L'!$BL$20</f>
        <v>177.255</v>
      </c>
      <c r="G116" s="27"/>
      <c r="H116" s="34">
        <f>work!BJ10</f>
        <v>145.77699999999999</v>
      </c>
      <c r="I116" s="27"/>
      <c r="J116" s="34">
        <f>AVERAGE(H116,H112)</f>
        <v>139.095</v>
      </c>
      <c r="K116" s="27"/>
      <c r="L116" s="41">
        <f>(D116/D109-1)*100</f>
        <v>0.26345088923829252</v>
      </c>
      <c r="M116" s="27" t="s">
        <v>576</v>
      </c>
      <c r="N116" s="41">
        <f>(H116/H109-1)*100</f>
        <v>-9.6012650378271118</v>
      </c>
      <c r="O116" s="27" t="s">
        <v>576</v>
      </c>
      <c r="P116" s="41">
        <f>(H116/H112-1)*100</f>
        <v>10.092664617522429</v>
      </c>
      <c r="Q116" s="27" t="s">
        <v>576</v>
      </c>
      <c r="R116" s="38">
        <f>F116/J116</f>
        <v>1.2743448722096409</v>
      </c>
      <c r="S116" s="27" t="s">
        <v>100</v>
      </c>
      <c r="T116" s="38">
        <f>F117/H116</f>
        <v>1.2956364858653973</v>
      </c>
      <c r="U116" s="27" t="s">
        <v>100</v>
      </c>
      <c r="V116" s="27">
        <f>qtrSales!J117</f>
        <v>1069</v>
      </c>
      <c r="W116" s="27"/>
      <c r="X116" s="36">
        <f>H116/V116</f>
        <v>0.13636763330215154</v>
      </c>
      <c r="Y116" s="27"/>
      <c r="Z116" s="80">
        <f>(X116/X109-1)*100</f>
        <v>-10.700594836244559</v>
      </c>
      <c r="AA116" s="124" t="s">
        <v>576</v>
      </c>
      <c r="AB116" s="126">
        <f>2.5855/0.8</f>
        <v>3.2318750000000001</v>
      </c>
      <c r="AC116" s="27"/>
      <c r="AD116" s="131">
        <f>H116/AB116</f>
        <v>45.106014310578217</v>
      </c>
      <c r="AE116" s="27"/>
      <c r="AF116" s="170">
        <f>(AD116/AD109-1)*100</f>
        <v>-13.220011535055853</v>
      </c>
      <c r="AG116" s="124" t="s">
        <v>576</v>
      </c>
      <c r="AH116" s="124"/>
      <c r="AI116" s="200">
        <f>((F116+('yrP&amp;L'!$Q$21/4))/J116)</f>
        <v>1.564793845932636</v>
      </c>
      <c r="AJ116" s="246" t="s">
        <v>100</v>
      </c>
      <c r="AK116" s="124"/>
      <c r="AL116" s="75">
        <f>J116/(F116/(365/4))</f>
        <v>71.60542015740036</v>
      </c>
      <c r="AM116" s="27"/>
      <c r="AN116" s="75">
        <f>H116/(F117/(365/4))</f>
        <v>70.428705115579689</v>
      </c>
      <c r="AO116" s="27"/>
      <c r="AP116" s="27"/>
      <c r="AQ116" s="27"/>
    </row>
    <row r="117" spans="1:43" hidden="1" outlineLevel="1">
      <c r="A117" s="27" t="str">
        <f>$A$12</f>
        <v>2Q</v>
      </c>
      <c r="B117" s="27" t="str">
        <f>$B$12</f>
        <v>Jul</v>
      </c>
      <c r="C117" s="27"/>
      <c r="D117" s="35">
        <f>'qtrP&amp;L'!$BL$11</f>
        <v>419.91500000000002</v>
      </c>
      <c r="E117" s="27"/>
      <c r="F117" s="35">
        <f>'qtrP&amp;L'!$BL$21</f>
        <v>188.874</v>
      </c>
      <c r="G117" s="27"/>
      <c r="H117" s="35">
        <f>work!BJ11</f>
        <v>130.238</v>
      </c>
      <c r="I117" s="27"/>
      <c r="J117" s="35">
        <f>AVERAGE(H116:H117)</f>
        <v>138.00749999999999</v>
      </c>
      <c r="K117" s="27"/>
      <c r="L117" s="41">
        <f>(D117/D110-1)*100</f>
        <v>3.6269366118977908</v>
      </c>
      <c r="M117" s="27"/>
      <c r="N117" s="41">
        <f>(H117/H110-1)*100</f>
        <v>-8.8403281350617373</v>
      </c>
      <c r="O117" s="27"/>
      <c r="P117" s="41">
        <f>(H117/H116-1)*100</f>
        <v>-10.659431871968817</v>
      </c>
      <c r="Q117" s="27"/>
      <c r="R117" s="38">
        <f>F117/J117</f>
        <v>1.3685777946850715</v>
      </c>
      <c r="S117" s="27"/>
      <c r="T117" s="38">
        <f>F118/H117</f>
        <v>1.455681137609607</v>
      </c>
      <c r="U117" s="27"/>
      <c r="V117" s="27">
        <f>qtrSales!J118</f>
        <v>1069</v>
      </c>
      <c r="W117" s="27"/>
      <c r="X117" s="38">
        <f>H117/V117</f>
        <v>0.12183161833489242</v>
      </c>
      <c r="Y117" s="27"/>
      <c r="Z117" s="80">
        <f>(X117/X110-1)*100</f>
        <v>-8.3286742237524418</v>
      </c>
      <c r="AA117" s="27"/>
      <c r="AB117" s="126">
        <f>2.585/0.8</f>
        <v>3.2312499999999997</v>
      </c>
      <c r="AC117" s="27"/>
      <c r="AD117" s="132">
        <f>H117/AB117</f>
        <v>40.305764023210834</v>
      </c>
      <c r="AE117" s="27"/>
      <c r="AF117" s="164">
        <f>(AD117/AD110-1)*100</f>
        <v>-9.9688037635638711</v>
      </c>
      <c r="AG117" s="27"/>
      <c r="AH117" s="27"/>
      <c r="AI117" s="200">
        <f>((F117+('yrP&amp;L'!$Q$21/4))/J117)</f>
        <v>1.6613155082151334</v>
      </c>
      <c r="AJ117" s="201"/>
      <c r="AK117" s="27"/>
      <c r="AL117" s="75">
        <f>J117/(F117/(365/4))</f>
        <v>66.675055195527179</v>
      </c>
      <c r="AM117" s="27"/>
      <c r="AN117" s="75">
        <f>H117/(F118/(365/4))</f>
        <v>62.685431336867367</v>
      </c>
      <c r="AO117" s="27"/>
      <c r="AP117" s="27"/>
      <c r="AQ117" s="27"/>
    </row>
    <row r="118" spans="1:43" hidden="1" outlineLevel="1">
      <c r="A118" s="27" t="str">
        <f>$A$13</f>
        <v>3Q</v>
      </c>
      <c r="B118" s="27" t="str">
        <f>$B$13</f>
        <v>Oct</v>
      </c>
      <c r="C118" s="27"/>
      <c r="D118" s="35">
        <f>'qtrP&amp;L'!$BL$12</f>
        <v>446.863</v>
      </c>
      <c r="E118" s="27"/>
      <c r="F118" s="35">
        <f>'qtrP&amp;L'!$BL$22</f>
        <v>189.58500000000001</v>
      </c>
      <c r="G118" s="27"/>
      <c r="H118" s="35">
        <f>work!BJ12</f>
        <v>160.03</v>
      </c>
      <c r="I118" s="27"/>
      <c r="J118" s="35">
        <f>AVERAGE(H117:H118)</f>
        <v>145.13400000000001</v>
      </c>
      <c r="K118" s="27"/>
      <c r="L118" s="41">
        <f>(D118/D111-1)*100</f>
        <v>13.347098109541577</v>
      </c>
      <c r="M118" s="27"/>
      <c r="N118" s="41">
        <f>(H118/H111-1)*100</f>
        <v>-14.54629921343934</v>
      </c>
      <c r="O118" s="27"/>
      <c r="P118" s="41">
        <f>(H118/H117-1)*100</f>
        <v>22.875044149940884</v>
      </c>
      <c r="Q118" s="27"/>
      <c r="R118" s="38">
        <f>F118/J118</f>
        <v>1.306275579809004</v>
      </c>
      <c r="S118" s="27"/>
      <c r="T118" s="38">
        <f>F119/H118</f>
        <v>1.2353746172592639</v>
      </c>
      <c r="U118" s="27"/>
      <c r="V118" s="27">
        <f>qtrSales!J119</f>
        <v>1074</v>
      </c>
      <c r="W118" s="27"/>
      <c r="X118" s="38">
        <f>H118/V118</f>
        <v>0.14900372439478585</v>
      </c>
      <c r="Y118" s="27"/>
      <c r="Z118" s="80">
        <f>(X118/X111-1)*100</f>
        <v>-13.830206748747498</v>
      </c>
      <c r="AA118" s="27"/>
      <c r="AB118" s="126">
        <f>2.599931/0.8</f>
        <v>3.2499137500000002</v>
      </c>
      <c r="AC118" s="126"/>
      <c r="AD118" s="132">
        <f>H118/AB118</f>
        <v>49.241306788526309</v>
      </c>
      <c r="AE118" s="27"/>
      <c r="AF118" s="164">
        <f>(AD118/AD111-1)*100</f>
        <v>-14.708369744764427</v>
      </c>
      <c r="AG118" s="27"/>
      <c r="AH118" s="27"/>
      <c r="AI118" s="200">
        <f>((F118+('yrP&amp;L'!$Q$21/4))/J118)</f>
        <v>1.5846390232474816</v>
      </c>
      <c r="AJ118" s="201"/>
      <c r="AK118" s="27"/>
      <c r="AL118" s="75">
        <f>J118/(F118/(365/4))</f>
        <v>69.85509138381201</v>
      </c>
      <c r="AM118" s="27"/>
      <c r="AN118" s="75">
        <f>H118/(F119/(365/4))</f>
        <v>73.864234156309905</v>
      </c>
      <c r="AO118" s="27"/>
      <c r="AP118" s="27"/>
      <c r="AQ118" s="27"/>
    </row>
    <row r="119" spans="1:43" hidden="1" outlineLevel="1">
      <c r="A119" s="27" t="str">
        <f>$A$14</f>
        <v>4Q</v>
      </c>
      <c r="B119" s="27" t="str">
        <f>$B$14</f>
        <v>Jan</v>
      </c>
      <c r="C119" s="27"/>
      <c r="D119" s="37">
        <f>'qtrP&amp;L'!$BL$13</f>
        <v>435.73</v>
      </c>
      <c r="E119" s="27"/>
      <c r="F119" s="37">
        <f>'qtrP&amp;L'!$BL$23</f>
        <v>197.697</v>
      </c>
      <c r="G119" s="27"/>
      <c r="H119" s="35">
        <f>work!BJ13</f>
        <v>138.51599999999999</v>
      </c>
      <c r="I119" s="27"/>
      <c r="J119" s="37">
        <f>AVERAGE(H118:H119)</f>
        <v>149.273</v>
      </c>
      <c r="K119" s="27"/>
      <c r="L119" s="79">
        <f>(D119/D112-1)*100</f>
        <v>16.699118054309437</v>
      </c>
      <c r="M119" s="27"/>
      <c r="N119" s="80">
        <f>(H119/H112-1)*100</f>
        <v>4.609064064706625</v>
      </c>
      <c r="O119" s="27"/>
      <c r="P119" s="41">
        <f>(H119/H118-1)*100</f>
        <v>-13.443729300756113</v>
      </c>
      <c r="Q119" s="27"/>
      <c r="R119" s="38">
        <f>F119/J119</f>
        <v>1.3243989200994153</v>
      </c>
      <c r="S119" s="27"/>
      <c r="T119" s="38">
        <f>F123/H119</f>
        <v>1.4439342747408244</v>
      </c>
      <c r="U119" s="27"/>
      <c r="V119" s="27">
        <f>qtrSales!J120</f>
        <v>1080</v>
      </c>
      <c r="W119" s="27"/>
      <c r="X119" s="38">
        <f>H119/V119</f>
        <v>0.12825555555555554</v>
      </c>
      <c r="Y119" s="27"/>
      <c r="Z119" s="80">
        <f>(X119/X112-1)*100</f>
        <v>4.2216230866891857</v>
      </c>
      <c r="AA119" s="27"/>
      <c r="AB119" s="125">
        <f>qtrSales!Z120</f>
        <v>3.2737500000000002</v>
      </c>
      <c r="AC119" s="27"/>
      <c r="AD119" s="132">
        <f>H119/AB119</f>
        <v>42.311111111111103</v>
      </c>
      <c r="AE119" s="27"/>
      <c r="AF119" s="80">
        <f>(AD119/AD112-1)*100</f>
        <v>3.6781272735053383</v>
      </c>
      <c r="AG119" s="27"/>
      <c r="AH119" s="27"/>
      <c r="AI119" s="200">
        <f>((F119+('yrP&amp;L'!$Q$21/4))/J119)</f>
        <v>1.5950439798222051</v>
      </c>
      <c r="AJ119" s="202"/>
      <c r="AK119" s="27"/>
      <c r="AL119" s="75">
        <f>J119/(F119/(365/4))</f>
        <v>68.899180311284425</v>
      </c>
      <c r="AM119" s="27"/>
      <c r="AN119" s="109" t="s">
        <v>653</v>
      </c>
      <c r="AO119" s="27"/>
      <c r="AP119" s="27"/>
      <c r="AQ119" s="27"/>
    </row>
    <row r="120" spans="1:43" hidden="1" outlineLevel="1">
      <c r="A120" s="27"/>
      <c r="B120" s="27" t="str">
        <f>$B$15</f>
        <v>Year</v>
      </c>
      <c r="C120" s="27"/>
      <c r="D120" s="34">
        <f>SUM(D116:D119)</f>
        <v>1713.1510000000001</v>
      </c>
      <c r="E120" s="27"/>
      <c r="F120" s="34">
        <f>SUM(F116:F119)</f>
        <v>753.41100000000006</v>
      </c>
      <c r="G120" s="27"/>
      <c r="H120" s="27"/>
      <c r="I120" s="27"/>
      <c r="J120" s="34">
        <f>AVERAGE(J116:J119)</f>
        <v>142.877375</v>
      </c>
      <c r="K120" s="27"/>
      <c r="L120" s="41">
        <f>(D120/D113-1)*100</f>
        <v>8.2625549480410889</v>
      </c>
      <c r="M120" s="27"/>
      <c r="N120" s="80"/>
      <c r="O120" s="27"/>
      <c r="P120" s="80"/>
      <c r="Q120" s="27"/>
      <c r="R120" s="81">
        <f>F120/J120</f>
        <v>5.273130192936426</v>
      </c>
      <c r="S120" s="78" t="s">
        <v>100</v>
      </c>
      <c r="T120" s="38"/>
      <c r="U120" s="27"/>
      <c r="V120" s="27"/>
      <c r="W120" s="27"/>
      <c r="X120" s="27"/>
      <c r="Y120" s="27"/>
      <c r="Z120" s="27"/>
      <c r="AA120" s="27"/>
      <c r="AB120" s="114"/>
      <c r="AC120" s="27"/>
      <c r="AD120" s="323"/>
      <c r="AE120" s="27"/>
      <c r="AF120" s="27"/>
      <c r="AG120" s="27"/>
      <c r="AH120" s="27"/>
      <c r="AI120" s="244">
        <f>((F120+('yrP&amp;L'!$Q$21))/J120)</f>
        <v>6.4041700094224163</v>
      </c>
      <c r="AJ120" s="245" t="s">
        <v>100</v>
      </c>
      <c r="AK120" s="27"/>
      <c r="AL120" s="27"/>
      <c r="AM120" s="27"/>
      <c r="AN120" s="27"/>
      <c r="AO120" s="27"/>
      <c r="AP120" s="27"/>
      <c r="AQ120" s="27"/>
    </row>
    <row r="121" spans="1:43" hidden="1" outlineLevel="1">
      <c r="A121" s="27"/>
      <c r="B121" s="27"/>
      <c r="C121" s="27"/>
      <c r="D121" s="34"/>
      <c r="E121" s="27"/>
      <c r="F121" s="34"/>
      <c r="G121" s="27"/>
      <c r="H121" s="27"/>
      <c r="I121" s="27"/>
      <c r="J121" s="34"/>
      <c r="K121" s="27"/>
      <c r="L121" s="41"/>
      <c r="M121" s="27"/>
      <c r="N121" s="80"/>
      <c r="O121" s="27"/>
      <c r="P121" s="80"/>
      <c r="Q121" s="27"/>
      <c r="R121" s="225"/>
      <c r="S121" s="32"/>
      <c r="T121" s="38"/>
      <c r="U121" s="27"/>
      <c r="V121" s="27"/>
      <c r="W121" s="27"/>
      <c r="X121" s="27"/>
      <c r="Y121" s="27"/>
      <c r="Z121" s="27"/>
      <c r="AA121" s="27"/>
      <c r="AB121" s="27"/>
      <c r="AC121" s="27"/>
      <c r="AD121" s="27"/>
      <c r="AE121" s="27"/>
      <c r="AF121" s="27"/>
      <c r="AG121" s="27"/>
      <c r="AH121" s="27"/>
      <c r="AI121" s="200"/>
      <c r="AJ121" s="249"/>
      <c r="AK121" s="27"/>
      <c r="AL121" s="27"/>
      <c r="AM121" s="27"/>
      <c r="AN121" s="27"/>
      <c r="AO121" s="27"/>
      <c r="AP121" s="27"/>
      <c r="AQ121" s="27"/>
    </row>
    <row r="122" spans="1:43" hidden="1" outlineLevel="1">
      <c r="A122" s="27"/>
      <c r="B122" s="71" t="s">
        <v>332</v>
      </c>
      <c r="C122" s="27"/>
      <c r="D122" s="27"/>
      <c r="E122" s="27"/>
      <c r="F122" s="27"/>
      <c r="G122" s="27"/>
      <c r="H122" s="27"/>
      <c r="I122" s="27"/>
      <c r="J122" s="27"/>
      <c r="K122" s="27"/>
      <c r="L122" s="27"/>
      <c r="M122" s="27"/>
      <c r="N122" s="27"/>
      <c r="O122" s="27"/>
      <c r="P122" s="27"/>
      <c r="Q122" s="27"/>
      <c r="R122" s="27"/>
      <c r="S122" s="27"/>
      <c r="T122" s="38"/>
      <c r="U122" s="27"/>
      <c r="V122" s="38"/>
      <c r="W122" s="27"/>
      <c r="X122" s="27"/>
      <c r="Y122" s="27"/>
      <c r="Z122" s="27"/>
      <c r="AA122" s="27"/>
      <c r="AB122" s="125"/>
      <c r="AC122" s="27"/>
      <c r="AD122" s="27"/>
      <c r="AE122" s="27"/>
      <c r="AF122" s="27"/>
      <c r="AG122" s="27"/>
      <c r="AH122" s="27"/>
      <c r="AI122" s="27"/>
      <c r="AJ122" s="27"/>
      <c r="AK122" s="27"/>
      <c r="AL122" s="27"/>
      <c r="AM122" s="27"/>
      <c r="AN122" s="27"/>
      <c r="AO122" s="27"/>
      <c r="AP122" s="27"/>
      <c r="AQ122" s="27"/>
    </row>
    <row r="123" spans="1:43" hidden="1" outlineLevel="1">
      <c r="A123" s="27" t="str">
        <f>$A$11</f>
        <v>1Q</v>
      </c>
      <c r="B123" s="27" t="str">
        <f>$B$11</f>
        <v>Apr</v>
      </c>
      <c r="C123" s="27"/>
      <c r="D123" s="34">
        <f>'qtrP&amp;L'!$BP$10</f>
        <v>481.58800000000002</v>
      </c>
      <c r="E123" s="27"/>
      <c r="F123" s="34">
        <f>'qtrP&amp;L'!$BP$20</f>
        <v>200.00800000000001</v>
      </c>
      <c r="G123" s="27"/>
      <c r="H123" s="34">
        <f>work!BN10</f>
        <v>160.44800000000001</v>
      </c>
      <c r="I123" s="27"/>
      <c r="J123" s="34">
        <f>AVERAGE(H123,H119)</f>
        <v>149.482</v>
      </c>
      <c r="K123" s="27"/>
      <c r="L123" s="41">
        <f>(D123/D116-1)*100</f>
        <v>17.276563827947889</v>
      </c>
      <c r="M123" s="27" t="s">
        <v>576</v>
      </c>
      <c r="N123" s="41">
        <f>(H123/H116-1)*100</f>
        <v>10.064001865863625</v>
      </c>
      <c r="O123" s="27" t="s">
        <v>576</v>
      </c>
      <c r="P123" s="41">
        <f>(H123/H119-1)*100</f>
        <v>15.833549914811297</v>
      </c>
      <c r="Q123" s="27" t="s">
        <v>576</v>
      </c>
      <c r="R123" s="38">
        <f>F123/J123</f>
        <v>1.3380072517092361</v>
      </c>
      <c r="S123" s="27" t="s">
        <v>100</v>
      </c>
      <c r="T123" s="38">
        <f>F124/H123</f>
        <v>1.2849272038292778</v>
      </c>
      <c r="U123" s="27" t="s">
        <v>100</v>
      </c>
      <c r="V123" s="27">
        <f>qtrSales!J124</f>
        <v>1099</v>
      </c>
      <c r="W123" s="27"/>
      <c r="X123" s="36">
        <f>H123/V123</f>
        <v>0.1459945404913558</v>
      </c>
      <c r="Y123" s="27"/>
      <c r="Z123" s="80">
        <f>(X123/X116-1)*100</f>
        <v>7.0595250178418834</v>
      </c>
      <c r="AA123" s="124" t="s">
        <v>576</v>
      </c>
      <c r="AB123" s="126">
        <f>2.657755/0.8</f>
        <v>3.3221937499999998</v>
      </c>
      <c r="AC123" s="27"/>
      <c r="AD123" s="131">
        <f>H123/AB123</f>
        <v>48.295798521684659</v>
      </c>
      <c r="AE123" s="27"/>
      <c r="AF123" s="170">
        <f>(AD123/AD116-1)*100</f>
        <v>7.0717492109658053</v>
      </c>
      <c r="AG123" s="124" t="s">
        <v>576</v>
      </c>
      <c r="AH123" s="124"/>
      <c r="AI123" s="200">
        <f>((F123+('yrP&amp;L'!$R$21/4))/J123)</f>
        <v>1.6258345486413082</v>
      </c>
      <c r="AJ123" s="246" t="s">
        <v>100</v>
      </c>
      <c r="AK123" s="124"/>
      <c r="AL123" s="75">
        <f>J123/(F123/(365/4))</f>
        <v>68.198434562617493</v>
      </c>
      <c r="AM123" s="27"/>
      <c r="AN123" s="75">
        <f>H123/(F124/(365/4))</f>
        <v>71.015696241826902</v>
      </c>
      <c r="AO123" s="27"/>
      <c r="AP123" s="27"/>
      <c r="AQ123" s="27"/>
    </row>
    <row r="124" spans="1:43" hidden="1" outlineLevel="1">
      <c r="A124" s="27" t="str">
        <f>$A$12</f>
        <v>2Q</v>
      </c>
      <c r="B124" s="27" t="str">
        <f>$B$12</f>
        <v>Jul</v>
      </c>
      <c r="C124" s="27"/>
      <c r="D124" s="35">
        <f>'qtrP&amp;L'!$BP$11</f>
        <v>465.4</v>
      </c>
      <c r="E124" s="27"/>
      <c r="F124" s="35">
        <f>'qtrP&amp;L'!$BP$21</f>
        <v>206.16399999999999</v>
      </c>
      <c r="G124" s="27"/>
      <c r="H124" s="35">
        <f>work!BN11</f>
        <v>146.899</v>
      </c>
      <c r="I124" s="27"/>
      <c r="J124" s="35">
        <f>AVERAGE(H123:H124)</f>
        <v>153.67349999999999</v>
      </c>
      <c r="K124" s="27"/>
      <c r="L124" s="41">
        <f>(D124/D117-1)*100</f>
        <v>10.831954085945949</v>
      </c>
      <c r="M124" s="27"/>
      <c r="N124" s="41">
        <f>(H124/H117-1)*100</f>
        <v>12.792733303644098</v>
      </c>
      <c r="O124" s="27"/>
      <c r="P124" s="41">
        <f>(H124/H123-1)*100</f>
        <v>-8.4444804547267651</v>
      </c>
      <c r="Q124" s="27"/>
      <c r="R124" s="38">
        <f>F124/J124</f>
        <v>1.3415715787042009</v>
      </c>
      <c r="S124" s="27"/>
      <c r="T124" s="38">
        <f>F125/H124</f>
        <v>1.4156325094112281</v>
      </c>
      <c r="U124" s="27"/>
      <c r="V124" s="27">
        <f>qtrSales!J125</f>
        <v>1118</v>
      </c>
      <c r="W124" s="27"/>
      <c r="X124" s="38">
        <f>H124/V124</f>
        <v>0.13139445438282649</v>
      </c>
      <c r="Y124" s="27"/>
      <c r="Z124" s="80">
        <f>(X124/X117-1)*100</f>
        <v>7.8492235255774201</v>
      </c>
      <c r="AA124" s="27"/>
      <c r="AB124" s="126">
        <f>2.697375/0.8</f>
        <v>3.3717187499999999</v>
      </c>
      <c r="AC124" s="27"/>
      <c r="AD124" s="132">
        <f>H124/AB124</f>
        <v>43.567987395152699</v>
      </c>
      <c r="AE124" s="27"/>
      <c r="AF124" s="170">
        <f>(AD124/AD117-1)*100</f>
        <v>8.0936894536058226</v>
      </c>
      <c r="AG124" s="27"/>
      <c r="AH124" s="27"/>
      <c r="AI124" s="200">
        <f>((F124+('yrP&amp;L'!$R$21/4))/J124)</f>
        <v>1.6215482825601031</v>
      </c>
      <c r="AJ124" s="201"/>
      <c r="AK124" s="27"/>
      <c r="AL124" s="75">
        <f>J124/(F124/(365/4))</f>
        <v>68.017242947362291</v>
      </c>
      <c r="AM124" s="27"/>
      <c r="AN124" s="75">
        <f>H124/(F125/(365/4))</f>
        <v>64.458819215695698</v>
      </c>
      <c r="AO124" s="27"/>
      <c r="AP124" s="27"/>
      <c r="AQ124" s="27"/>
    </row>
    <row r="125" spans="1:43" hidden="1" outlineLevel="1">
      <c r="A125" s="27" t="str">
        <f>$A$13</f>
        <v>3Q</v>
      </c>
      <c r="B125" s="27" t="str">
        <f>$B$13</f>
        <v>Oct</v>
      </c>
      <c r="C125" s="27"/>
      <c r="D125" s="35">
        <f>'qtrP&amp;L'!$BP$12</f>
        <v>483.02199999999999</v>
      </c>
      <c r="E125" s="27"/>
      <c r="F125" s="35">
        <f>'qtrP&amp;L'!$BP$22</f>
        <v>207.95500000000001</v>
      </c>
      <c r="G125" s="27"/>
      <c r="H125" s="35">
        <f>work!BN12</f>
        <v>179.11</v>
      </c>
      <c r="I125" s="27"/>
      <c r="J125" s="35">
        <f>AVERAGE(H124:H125)</f>
        <v>163.00450000000001</v>
      </c>
      <c r="K125" s="27"/>
      <c r="L125" s="41">
        <f>(D125/D118-1)*100</f>
        <v>8.0917417642543565</v>
      </c>
      <c r="M125" s="27"/>
      <c r="N125" s="41">
        <f>(H125/H118-1)*100</f>
        <v>11.922764481659698</v>
      </c>
      <c r="O125" s="27"/>
      <c r="P125" s="41">
        <f>(H125/H124-1)*100</f>
        <v>21.927310601161352</v>
      </c>
      <c r="Q125" s="27"/>
      <c r="R125" s="38">
        <f>F125/J125</f>
        <v>1.2757623255799686</v>
      </c>
      <c r="S125" s="27"/>
      <c r="T125" s="38">
        <f>F126/H125</f>
        <v>1.2408631567193344</v>
      </c>
      <c r="U125" s="27"/>
      <c r="V125" s="27">
        <f>qtrSales!J126</f>
        <v>1144</v>
      </c>
      <c r="W125" s="27"/>
      <c r="X125" s="38">
        <f>H125/V125</f>
        <v>0.15656468531468531</v>
      </c>
      <c r="Y125" s="27"/>
      <c r="Z125" s="80">
        <f>(X125/X118-1)*100</f>
        <v>5.0743435780616242</v>
      </c>
      <c r="AA125" s="27"/>
      <c r="AB125" s="126">
        <f>2.765703/0.8</f>
        <v>3.4571287499999994</v>
      </c>
      <c r="AC125" s="126"/>
      <c r="AD125" s="132">
        <f>H125/AB125</f>
        <v>51.808889096190022</v>
      </c>
      <c r="AE125" s="27"/>
      <c r="AF125" s="170">
        <f>(AD125/AD118-1)*100</f>
        <v>5.2142854751815459</v>
      </c>
      <c r="AG125" s="27"/>
      <c r="AH125" s="27"/>
      <c r="AI125" s="200">
        <f>((F125+('yrP&amp;L'!$R$21/4))/J125)</f>
        <v>1.5397120938379003</v>
      </c>
      <c r="AJ125" s="201"/>
      <c r="AK125" s="27"/>
      <c r="AL125" s="75">
        <f>J125/(F125/(365/4))</f>
        <v>71.525861965329028</v>
      </c>
      <c r="AM125" s="27"/>
      <c r="AN125" s="75">
        <f>H125/(F126/(365/4))</f>
        <v>73.537520641076981</v>
      </c>
      <c r="AO125" s="27"/>
      <c r="AP125" s="27"/>
      <c r="AQ125" s="27"/>
    </row>
    <row r="126" spans="1:43" hidden="1" outlineLevel="1">
      <c r="A126" s="27" t="str">
        <f>$A$14</f>
        <v>4Q</v>
      </c>
      <c r="B126" s="27" t="str">
        <f>$B$14</f>
        <v>Jan</v>
      </c>
      <c r="C126" s="27"/>
      <c r="D126" s="37">
        <f>'qtrP&amp;L'!$BP$13</f>
        <v>474.97399999999999</v>
      </c>
      <c r="E126" s="27"/>
      <c r="F126" s="37">
        <f>'qtrP&amp;L'!$BP$23</f>
        <v>222.251</v>
      </c>
      <c r="G126" s="27"/>
      <c r="H126" s="35">
        <f>work!BN13</f>
        <v>159.81399999999999</v>
      </c>
      <c r="I126" s="27"/>
      <c r="J126" s="37">
        <f>AVERAGE(H125:H126)</f>
        <v>169.46199999999999</v>
      </c>
      <c r="K126" s="27"/>
      <c r="L126" s="79">
        <f>(D126/D119-1)*100</f>
        <v>9.006494847726799</v>
      </c>
      <c r="M126" s="27"/>
      <c r="N126" s="80">
        <f>(H126/H119-1)*100</f>
        <v>15.375841058072726</v>
      </c>
      <c r="O126" s="27"/>
      <c r="P126" s="41">
        <f>(H126/H125-1)*100</f>
        <v>-10.773267824242094</v>
      </c>
      <c r="Q126" s="27"/>
      <c r="R126" s="38">
        <f>F126/J126</f>
        <v>1.3115093649313712</v>
      </c>
      <c r="S126" s="27"/>
      <c r="T126" s="38">
        <f>F130/H126</f>
        <v>1.373440374435281</v>
      </c>
      <c r="U126" s="27"/>
      <c r="V126" s="27">
        <f>qtrSales!J127</f>
        <v>1151</v>
      </c>
      <c r="W126" s="27"/>
      <c r="X126" s="38">
        <f>H126/V126</f>
        <v>0.13884795829713292</v>
      </c>
      <c r="Y126" s="27"/>
      <c r="Z126" s="80">
        <f>(X126/X119-1)*100</f>
        <v>8.2588256670013358</v>
      </c>
      <c r="AA126" s="27"/>
      <c r="AB126" s="125">
        <f>qtrSales!Z127</f>
        <v>3.4811537499999998</v>
      </c>
      <c r="AC126" s="27"/>
      <c r="AD126" s="132">
        <f>H126/AB126</f>
        <v>45.908342887756682</v>
      </c>
      <c r="AE126" s="27"/>
      <c r="AF126" s="80">
        <f>(AD126/AD119-1)*100</f>
        <v>8.5018608166518526</v>
      </c>
      <c r="AG126" s="27"/>
      <c r="AH126" s="27"/>
      <c r="AI126" s="200">
        <f>((F126+('yrP&amp;L'!$R$21/4))/J126)</f>
        <v>1.5654010928703781</v>
      </c>
      <c r="AJ126" s="202"/>
      <c r="AK126" s="27"/>
      <c r="AL126" s="75">
        <f>J126/(F126/(365/4))</f>
        <v>69.576323616091699</v>
      </c>
      <c r="AM126" s="27"/>
      <c r="AN126" s="109" t="s">
        <v>653</v>
      </c>
      <c r="AO126" s="27"/>
      <c r="AP126" s="27"/>
      <c r="AQ126" s="27"/>
    </row>
    <row r="127" spans="1:43" hidden="1" outlineLevel="1">
      <c r="A127" s="27"/>
      <c r="B127" s="27" t="str">
        <f>$B$15</f>
        <v>Year</v>
      </c>
      <c r="C127" s="27"/>
      <c r="D127" s="34">
        <f>SUM(D123:D126)</f>
        <v>1904.9839999999999</v>
      </c>
      <c r="E127" s="27"/>
      <c r="F127" s="34">
        <f>SUM(F123:F126)</f>
        <v>836.37800000000004</v>
      </c>
      <c r="G127" s="27"/>
      <c r="H127" s="27"/>
      <c r="I127" s="27"/>
      <c r="J127" s="34">
        <f>AVERAGE(J123:J126)</f>
        <v>158.90549999999999</v>
      </c>
      <c r="K127" s="27"/>
      <c r="L127" s="41">
        <f>(D127/D120-1)*100</f>
        <v>11.197670257904878</v>
      </c>
      <c r="M127" s="27"/>
      <c r="N127" s="80"/>
      <c r="O127" s="27"/>
      <c r="P127" s="80"/>
      <c r="Q127" s="27"/>
      <c r="R127" s="81">
        <f>F127/J127</f>
        <v>5.263367221398882</v>
      </c>
      <c r="S127" s="78" t="s">
        <v>100</v>
      </c>
      <c r="T127" s="38"/>
      <c r="U127" s="27"/>
      <c r="V127" s="27">
        <f>V126-V125</f>
        <v>7</v>
      </c>
      <c r="W127" s="27"/>
      <c r="X127" s="27"/>
      <c r="Y127" s="27"/>
      <c r="Z127" s="27"/>
      <c r="AA127" s="27"/>
      <c r="AB127" s="114"/>
      <c r="AC127" s="27"/>
      <c r="AD127" s="323"/>
      <c r="AE127" s="27"/>
      <c r="AF127" s="27"/>
      <c r="AG127" s="27"/>
      <c r="AH127" s="27"/>
      <c r="AI127" s="244">
        <f>((F127+('yrP&amp;L'!$R$21))/J127)</f>
        <v>6.3464008483029231</v>
      </c>
      <c r="AJ127" s="245" t="s">
        <v>100</v>
      </c>
      <c r="AK127" s="27"/>
      <c r="AL127" s="27"/>
      <c r="AM127" s="27"/>
      <c r="AN127" s="27"/>
      <c r="AO127" s="27"/>
      <c r="AP127" s="27"/>
      <c r="AQ127" s="27"/>
    </row>
    <row r="128" spans="1:43" hidden="1" outlineLevel="1">
      <c r="A128" s="27"/>
      <c r="B128" s="27"/>
      <c r="C128" s="27"/>
      <c r="D128" s="34"/>
      <c r="E128" s="27"/>
      <c r="F128" s="34"/>
      <c r="G128" s="27"/>
      <c r="H128" s="27"/>
      <c r="I128" s="27"/>
      <c r="J128" s="34"/>
      <c r="K128" s="27"/>
      <c r="L128" s="41"/>
      <c r="M128" s="27"/>
      <c r="N128" s="80"/>
      <c r="O128" s="27"/>
      <c r="P128" s="80"/>
      <c r="Q128" s="27"/>
      <c r="R128" s="225"/>
      <c r="S128" s="32"/>
      <c r="T128" s="38"/>
      <c r="U128" s="27"/>
      <c r="V128" s="27"/>
      <c r="W128" s="27"/>
      <c r="X128" s="27"/>
      <c r="Y128" s="27"/>
      <c r="Z128" s="27"/>
      <c r="AA128" s="27"/>
      <c r="AB128" s="27"/>
      <c r="AC128" s="27"/>
      <c r="AD128" s="27"/>
      <c r="AE128" s="27"/>
      <c r="AF128" s="27"/>
      <c r="AG128" s="27"/>
      <c r="AH128" s="27"/>
      <c r="AI128" s="200"/>
      <c r="AJ128" s="249"/>
      <c r="AK128" s="27"/>
      <c r="AL128" s="27"/>
      <c r="AM128" s="27"/>
      <c r="AN128" s="27"/>
      <c r="AO128" s="27"/>
      <c r="AP128" s="27"/>
      <c r="AQ128" s="27"/>
    </row>
    <row r="129" spans="1:43" collapsed="1">
      <c r="A129" s="27"/>
      <c r="B129" s="71" t="s">
        <v>664</v>
      </c>
      <c r="C129" s="27"/>
      <c r="D129" s="27"/>
      <c r="E129" s="27"/>
      <c r="F129" s="27"/>
      <c r="G129" s="27"/>
      <c r="H129" s="27"/>
      <c r="I129" s="27"/>
      <c r="J129" s="27"/>
      <c r="K129" s="27"/>
      <c r="L129" s="27"/>
      <c r="M129" s="27"/>
      <c r="N129" s="27"/>
      <c r="O129" s="27"/>
      <c r="P129" s="27"/>
      <c r="Q129" s="27"/>
      <c r="R129" s="27"/>
      <c r="S129" s="27"/>
      <c r="T129" s="38"/>
      <c r="U129" s="27"/>
      <c r="V129" s="27"/>
      <c r="W129" s="27"/>
      <c r="X129" s="27"/>
      <c r="Y129" s="27"/>
      <c r="Z129" s="27"/>
      <c r="AA129" s="27"/>
      <c r="AB129" s="125"/>
      <c r="AC129" s="27"/>
      <c r="AD129" s="27"/>
      <c r="AE129" s="27"/>
      <c r="AF129" s="27"/>
      <c r="AG129" s="27"/>
      <c r="AH129" s="27"/>
      <c r="AI129" s="27"/>
      <c r="AJ129" s="27"/>
      <c r="AK129" s="27"/>
      <c r="AL129" s="27"/>
      <c r="AM129" s="27"/>
      <c r="AN129" s="27"/>
      <c r="AO129" s="27"/>
      <c r="AP129" s="27"/>
      <c r="AQ129" s="27"/>
    </row>
    <row r="130" spans="1:43">
      <c r="A130" s="27" t="str">
        <f>$A$11</f>
        <v>1Q</v>
      </c>
      <c r="B130" s="27" t="str">
        <f>$B$11</f>
        <v>Apr</v>
      </c>
      <c r="C130" s="27"/>
      <c r="D130" s="34">
        <f>'qtrP&amp;L'!$BT$10</f>
        <v>537.15800000000002</v>
      </c>
      <c r="E130" s="27"/>
      <c r="F130" s="34">
        <f>'qtrP&amp;L'!$BT$20</f>
        <v>219.495</v>
      </c>
      <c r="G130" s="27"/>
      <c r="H130" s="34">
        <f>+work!BR10</f>
        <v>198.54400000000001</v>
      </c>
      <c r="I130" s="27"/>
      <c r="J130" s="34">
        <f>AVERAGE(H130,H126)</f>
        <v>179.179</v>
      </c>
      <c r="K130" s="27"/>
      <c r="L130" s="41">
        <f>(D130/D123-1)*100</f>
        <v>11.538908776796752</v>
      </c>
      <c r="M130" s="27" t="s">
        <v>576</v>
      </c>
      <c r="N130" s="41">
        <f>(H130/H123-1)*100</f>
        <v>23.743518149182297</v>
      </c>
      <c r="O130" s="27" t="s">
        <v>576</v>
      </c>
      <c r="P130" s="41">
        <f>(H130/H126-1)*100</f>
        <v>24.234422516175069</v>
      </c>
      <c r="Q130" s="27" t="s">
        <v>576</v>
      </c>
      <c r="R130" s="38">
        <f>F130/J130</f>
        <v>1.2250040462330964</v>
      </c>
      <c r="S130" s="27" t="s">
        <v>100</v>
      </c>
      <c r="T130" s="38">
        <f>F131/H130</f>
        <v>1.2194878717060198</v>
      </c>
      <c r="U130" s="27" t="s">
        <v>100</v>
      </c>
      <c r="V130" s="27">
        <f>qtrSales!J131</f>
        <v>1184</v>
      </c>
      <c r="W130" s="27"/>
      <c r="X130" s="36">
        <f>H130/V130</f>
        <v>0.16768918918918921</v>
      </c>
      <c r="Y130" s="27"/>
      <c r="Z130" s="80">
        <f>(X130/X123-1)*100</f>
        <v>14.859904092864307</v>
      </c>
      <c r="AA130" s="124" t="s">
        <v>576</v>
      </c>
      <c r="AB130" s="126">
        <f>2.85928/0.8</f>
        <v>3.5741000000000001</v>
      </c>
      <c r="AC130" s="27"/>
      <c r="AD130" s="131">
        <f>H130/AB130</f>
        <v>55.550768025516916</v>
      </c>
      <c r="AE130" s="27"/>
      <c r="AF130" s="170">
        <f>(AD130/AD123-1)*100</f>
        <v>15.021947510764932</v>
      </c>
      <c r="AG130" s="124" t="s">
        <v>576</v>
      </c>
      <c r="AH130" s="124"/>
      <c r="AI130" s="200">
        <f>((F130+('yrP&amp;L'!$S$21/4))/J130)</f>
        <v>1.4824281863388009</v>
      </c>
      <c r="AJ130" s="246" t="s">
        <v>100</v>
      </c>
      <c r="AK130" s="124"/>
      <c r="AL130" s="75">
        <f>J130/(F130/(365/4))</f>
        <v>74.489549875851381</v>
      </c>
      <c r="AM130" s="27"/>
      <c r="AN130" s="75">
        <f>H130/(F131/(365/4))</f>
        <v>74.826492429436399</v>
      </c>
      <c r="AO130" s="27"/>
      <c r="AP130" s="27"/>
      <c r="AQ130" s="27"/>
    </row>
    <row r="131" spans="1:43">
      <c r="A131" s="27" t="str">
        <f>$A$12</f>
        <v>2Q</v>
      </c>
      <c r="B131" s="27" t="str">
        <f>$B$12</f>
        <v>Jul</v>
      </c>
      <c r="C131" s="27"/>
      <c r="D131" s="35">
        <f>'qtrP&amp;L'!$BT$11</f>
        <v>551.44900000000007</v>
      </c>
      <c r="E131" s="27"/>
      <c r="F131" s="35">
        <f>'qtrP&amp;L'!$BT$21</f>
        <v>242.12200000000001</v>
      </c>
      <c r="G131" s="27"/>
      <c r="H131" s="35">
        <f>+work!BR11</f>
        <v>190.745</v>
      </c>
      <c r="I131" s="27"/>
      <c r="J131" s="35">
        <f>AVERAGE(H130:H131)</f>
        <v>194.64449999999999</v>
      </c>
      <c r="K131" s="27"/>
      <c r="L131" s="41">
        <f>(D131/D124-1)*100</f>
        <v>18.489256553502376</v>
      </c>
      <c r="M131" s="27"/>
      <c r="N131" s="41">
        <f>(H131/H124-1)*100</f>
        <v>29.847718500466303</v>
      </c>
      <c r="O131" s="27"/>
      <c r="P131" s="41">
        <f>(H131/H130-1)*100</f>
        <v>-3.928096542831816</v>
      </c>
      <c r="Q131" s="27"/>
      <c r="R131" s="38">
        <f>F131/J131</f>
        <v>1.2439190421512041</v>
      </c>
      <c r="S131" s="27"/>
      <c r="T131" s="38">
        <f>F132/H131</f>
        <v>1.2426957456289811</v>
      </c>
      <c r="U131" s="27"/>
      <c r="V131" s="27">
        <f>qtrSales!J132</f>
        <v>1218</v>
      </c>
      <c r="W131" s="27"/>
      <c r="X131" s="38">
        <f>H131/V131</f>
        <v>0.15660509031198686</v>
      </c>
      <c r="Y131" s="27"/>
      <c r="Z131" s="80">
        <f>(X131/X124-1)*100</f>
        <v>19.186986275469064</v>
      </c>
      <c r="AA131" s="27"/>
      <c r="AB131" s="126">
        <f>2.940857/0.8</f>
        <v>3.6760712499999997</v>
      </c>
      <c r="AC131" s="27"/>
      <c r="AD131" s="132">
        <f>H131/AB131</f>
        <v>51.888276104550485</v>
      </c>
      <c r="AE131" s="27"/>
      <c r="AF131" s="170">
        <f>(AD131/AD124-1)*100</f>
        <v>19.097252838269707</v>
      </c>
      <c r="AG131" s="27"/>
      <c r="AH131" s="27"/>
      <c r="AI131" s="200">
        <f>((F131+('yrP&amp;L'!$S$21/4))/J131)</f>
        <v>1.480889519097637</v>
      </c>
      <c r="AJ131" s="201"/>
      <c r="AK131" s="27"/>
      <c r="AL131" s="75">
        <f>J131/(F131/(365/4))</f>
        <v>73.356863998314893</v>
      </c>
      <c r="AM131" s="27"/>
      <c r="AN131" s="75">
        <f>H131/(F132/(365/4))</f>
        <v>73.429075717817383</v>
      </c>
      <c r="AO131" s="27"/>
      <c r="AP131" s="27"/>
      <c r="AQ131" s="27"/>
    </row>
    <row r="132" spans="1:43">
      <c r="A132" s="27" t="str">
        <f>$A$13</f>
        <v>3Q</v>
      </c>
      <c r="B132" s="27" t="str">
        <f>$B$13</f>
        <v>Oct</v>
      </c>
      <c r="C132" s="27"/>
      <c r="D132" s="35">
        <f>'qtrP&amp;L'!$BT$12</f>
        <v>538.54600000000005</v>
      </c>
      <c r="E132" s="27"/>
      <c r="F132" s="35">
        <f>'qtrP&amp;L'!$BT$22</f>
        <v>237.03800000000001</v>
      </c>
      <c r="G132" s="27"/>
      <c r="H132" s="35">
        <f>+work!BR12</f>
        <v>247.53</v>
      </c>
      <c r="I132" s="27"/>
      <c r="J132" s="35">
        <f>AVERAGE(H131:H132)</f>
        <v>219.13749999999999</v>
      </c>
      <c r="K132" s="27"/>
      <c r="L132" s="41">
        <f>(D132/D125-1)*100</f>
        <v>11.495128586275595</v>
      </c>
      <c r="M132" s="27"/>
      <c r="N132" s="41">
        <f>(H132/H125-1)*100</f>
        <v>38.199988833677608</v>
      </c>
      <c r="O132" s="27"/>
      <c r="P132" s="41">
        <f>(H132/H131-1)*100</f>
        <v>29.770111929539446</v>
      </c>
      <c r="Q132" s="27"/>
      <c r="R132" s="38">
        <f>F132/J132</f>
        <v>1.0816861559523132</v>
      </c>
      <c r="S132" s="27"/>
      <c r="T132" s="38">
        <f>F133/H132</f>
        <v>1.096166121278229</v>
      </c>
      <c r="U132" s="27"/>
      <c r="V132" s="27">
        <f>qtrSales!J133</f>
        <v>1249</v>
      </c>
      <c r="W132" s="27"/>
      <c r="X132" s="38">
        <f>H132/V132</f>
        <v>0.19818254603682947</v>
      </c>
      <c r="Y132" s="27"/>
      <c r="Z132" s="80">
        <f>(X132/X125-1)*100</f>
        <v>26.581895296819226</v>
      </c>
      <c r="AA132" s="27"/>
      <c r="AB132" s="126">
        <f>3.007626/0.8</f>
        <v>3.7595325000000002</v>
      </c>
      <c r="AC132" s="126"/>
      <c r="AD132" s="132">
        <f>H132/AB132</f>
        <v>65.840633110632766</v>
      </c>
      <c r="AE132" s="27"/>
      <c r="AF132" s="170">
        <f>(AD132/AD125-1)*100</f>
        <v>27.083661238886947</v>
      </c>
      <c r="AG132" s="27"/>
      <c r="AH132" s="27"/>
      <c r="AI132" s="200">
        <f>((F132+('yrP&amp;L'!$S$21/4))/J132)</f>
        <v>1.2921704409332042</v>
      </c>
      <c r="AJ132" s="201"/>
      <c r="AK132" s="27"/>
      <c r="AL132" s="75">
        <f>J132/(F132/(365/4))</f>
        <v>84.359034732827638</v>
      </c>
      <c r="AM132" s="27"/>
      <c r="AN132" s="75">
        <f>H132/(F133/(365/4))</f>
        <v>83.24468183124857</v>
      </c>
      <c r="AO132" s="27"/>
      <c r="AP132" s="27"/>
      <c r="AQ132" s="27"/>
    </row>
    <row r="133" spans="1:43">
      <c r="A133" s="27" t="str">
        <f>$A$14</f>
        <v>4Q</v>
      </c>
      <c r="B133" s="27" t="str">
        <f>$B$14</f>
        <v>Jan</v>
      </c>
      <c r="C133" s="27"/>
      <c r="D133" s="37">
        <f>'qtrP&amp;L'!$BT$13</f>
        <v>569.20699999999999</v>
      </c>
      <c r="E133" s="27"/>
      <c r="F133" s="37">
        <f>'qtrP&amp;L'!$BT$23</f>
        <v>271.334</v>
      </c>
      <c r="G133" s="27"/>
      <c r="H133" s="35">
        <f>+work!BR13</f>
        <v>194.46899999999999</v>
      </c>
      <c r="I133" s="27"/>
      <c r="J133" s="37">
        <f>AVERAGE(H132:H133)</f>
        <v>220.99950000000001</v>
      </c>
      <c r="K133" s="27"/>
      <c r="L133" s="79">
        <f>(D133/D126-1)*100</f>
        <v>19.839612273513918</v>
      </c>
      <c r="M133" s="27"/>
      <c r="N133" s="80">
        <f>(H133/H126-1)*100</f>
        <v>21.684583328118933</v>
      </c>
      <c r="O133" s="27"/>
      <c r="P133" s="41">
        <f>(H133/H132-1)*100</f>
        <v>-21.436189552781482</v>
      </c>
      <c r="Q133" s="27"/>
      <c r="R133" s="38">
        <f>F133/J133</f>
        <v>1.2277584338426104</v>
      </c>
      <c r="S133" s="27"/>
      <c r="T133" s="38">
        <f>F137/H133</f>
        <v>1.3998169374039051</v>
      </c>
      <c r="U133" s="27"/>
      <c r="V133" s="27">
        <f>qtrSales!J134</f>
        <v>1256</v>
      </c>
      <c r="W133" s="27"/>
      <c r="X133" s="38">
        <f>H133/V133</f>
        <v>0.15483200636942673</v>
      </c>
      <c r="Y133" s="27"/>
      <c r="Z133" s="80">
        <f>(X133/X126-1)*100</f>
        <v>11.511907174096248</v>
      </c>
      <c r="AA133" s="27"/>
      <c r="AB133" s="125">
        <f>qtrSales!Z134</f>
        <v>3.7829849999999996</v>
      </c>
      <c r="AC133" s="27"/>
      <c r="AD133" s="132">
        <f>H133/AB133</f>
        <v>51.406230793936537</v>
      </c>
      <c r="AE133" s="27"/>
      <c r="AF133" s="80">
        <f>+((AD133/AD126)-1)*100</f>
        <v>11.975792547384856</v>
      </c>
      <c r="AG133" s="27"/>
      <c r="AH133" s="27"/>
      <c r="AI133" s="200">
        <f>((F133+('yrP&amp;L'!$S$21/4))/J133)</f>
        <v>1.4364693132789892</v>
      </c>
      <c r="AJ133" s="202"/>
      <c r="AK133" s="27"/>
      <c r="AL133" s="75">
        <f>J133/(F133/(365/4))</f>
        <v>74.322437936270433</v>
      </c>
      <c r="AM133" s="27"/>
      <c r="AN133" s="109" t="s">
        <v>653</v>
      </c>
      <c r="AO133" s="27"/>
      <c r="AP133" s="27"/>
      <c r="AQ133" s="27"/>
    </row>
    <row r="134" spans="1:43">
      <c r="A134" s="27"/>
      <c r="B134" s="27" t="str">
        <f>$B$15</f>
        <v>Year</v>
      </c>
      <c r="C134" s="27"/>
      <c r="D134" s="34">
        <f>SUM(D130:D133)</f>
        <v>2196.36</v>
      </c>
      <c r="E134" s="27"/>
      <c r="F134" s="34">
        <f>SUM(F130:F133)</f>
        <v>969.98900000000003</v>
      </c>
      <c r="G134" s="27"/>
      <c r="H134" s="27"/>
      <c r="I134" s="27"/>
      <c r="J134" s="34">
        <f>AVERAGE(J130:J133)</f>
        <v>203.49012500000001</v>
      </c>
      <c r="K134" s="27"/>
      <c r="L134" s="41">
        <f>(D134/D127-1)*100</f>
        <v>15.295456549766318</v>
      </c>
      <c r="M134" s="27"/>
      <c r="N134" s="80">
        <v>25.7</v>
      </c>
      <c r="O134" s="27"/>
      <c r="P134" s="80"/>
      <c r="Q134" s="27"/>
      <c r="R134" s="81">
        <f>F134/J134</f>
        <v>4.7667620234642838</v>
      </c>
      <c r="S134" s="78" t="s">
        <v>100</v>
      </c>
      <c r="T134" s="38"/>
      <c r="U134" s="27"/>
      <c r="V134" s="27"/>
      <c r="W134" s="27"/>
      <c r="X134" s="27"/>
      <c r="Y134" s="27"/>
      <c r="Z134" s="27"/>
      <c r="AA134" s="27"/>
      <c r="AB134" s="114"/>
      <c r="AC134" s="27"/>
      <c r="AD134" s="323"/>
      <c r="AE134" s="27"/>
      <c r="AF134" s="27"/>
      <c r="AG134" s="27"/>
      <c r="AH134" s="27"/>
      <c r="AI134" s="244">
        <f>((F134+('yrP&amp;L'!$S$21))/J134)</f>
        <v>5.6734399273674825</v>
      </c>
      <c r="AJ134" s="245" t="s">
        <v>100</v>
      </c>
      <c r="AK134" s="27"/>
      <c r="AL134" s="27"/>
      <c r="AM134" s="27"/>
      <c r="AN134" s="27"/>
      <c r="AO134" s="27"/>
      <c r="AP134" s="27"/>
      <c r="AQ134" s="27"/>
    </row>
    <row r="135" spans="1:43">
      <c r="A135" s="27"/>
      <c r="B135" s="27"/>
      <c r="C135" s="27"/>
      <c r="D135" s="34"/>
      <c r="E135" s="27"/>
      <c r="F135" s="34"/>
      <c r="G135" s="27"/>
      <c r="H135" s="27"/>
      <c r="I135" s="27"/>
      <c r="J135" s="34"/>
      <c r="K135" s="27"/>
      <c r="L135" s="41"/>
      <c r="M135" s="27"/>
      <c r="N135" s="80"/>
      <c r="O135" s="27"/>
      <c r="P135" s="80"/>
      <c r="Q135" s="27"/>
      <c r="R135" s="225"/>
      <c r="S135" s="32"/>
      <c r="T135" s="38"/>
      <c r="U135" s="27"/>
      <c r="V135" s="27"/>
      <c r="W135" s="27"/>
      <c r="X135" s="27"/>
      <c r="Y135" s="27"/>
      <c r="Z135" s="27"/>
      <c r="AA135" s="27"/>
      <c r="AB135" s="27"/>
      <c r="AC135" s="27"/>
      <c r="AD135" s="27"/>
      <c r="AE135" s="27"/>
      <c r="AF135" s="27"/>
      <c r="AG135" s="27"/>
      <c r="AH135" s="27"/>
      <c r="AI135" s="200"/>
      <c r="AJ135" s="249"/>
      <c r="AK135" s="27"/>
      <c r="AL135" s="27"/>
      <c r="AM135" s="27"/>
      <c r="AN135" s="27"/>
      <c r="AO135" s="27"/>
      <c r="AP135" s="27"/>
      <c r="AQ135" s="27"/>
    </row>
    <row r="136" spans="1:43">
      <c r="A136" s="27"/>
      <c r="B136" s="454" t="s">
        <v>632</v>
      </c>
      <c r="C136" s="27"/>
      <c r="D136" s="27"/>
      <c r="E136" s="27"/>
      <c r="F136" s="27"/>
      <c r="G136" s="27"/>
      <c r="H136" s="34"/>
      <c r="I136" s="27"/>
      <c r="J136" s="27"/>
      <c r="K136" s="27"/>
      <c r="L136" s="27"/>
      <c r="M136" s="27"/>
      <c r="N136" s="27"/>
      <c r="O136" s="27"/>
      <c r="P136" s="27"/>
      <c r="Q136" s="27"/>
      <c r="R136" s="27"/>
      <c r="S136" s="27"/>
      <c r="T136" s="38"/>
      <c r="U136" s="27"/>
      <c r="V136" s="27"/>
      <c r="W136" s="27"/>
      <c r="X136" s="27"/>
      <c r="Y136" s="27"/>
      <c r="Z136" s="27"/>
      <c r="AA136" s="27"/>
      <c r="AB136" s="125"/>
      <c r="AC136" s="27"/>
      <c r="AD136" s="27"/>
      <c r="AE136" s="27"/>
      <c r="AF136" s="27"/>
      <c r="AG136" s="27"/>
      <c r="AH136" s="27"/>
      <c r="AI136" s="27"/>
      <c r="AJ136" s="27"/>
      <c r="AK136" s="27"/>
      <c r="AL136" s="27"/>
      <c r="AM136" s="27"/>
      <c r="AN136" s="27"/>
      <c r="AO136" s="27"/>
      <c r="AP136" s="27"/>
      <c r="AQ136" s="27"/>
    </row>
    <row r="137" spans="1:43">
      <c r="A137" s="27" t="str">
        <f>$A$11</f>
        <v>1Q</v>
      </c>
      <c r="B137" s="27" t="str">
        <f>$B$11</f>
        <v>Apr</v>
      </c>
      <c r="C137" s="27"/>
      <c r="D137" s="34">
        <f>'qtrP&amp;L'!$BX$10</f>
        <v>650.81700000000001</v>
      </c>
      <c r="E137" s="27"/>
      <c r="F137" s="34">
        <f>'qtrP&amp;L'!$BX$20</f>
        <v>272.221</v>
      </c>
      <c r="G137" s="27"/>
      <c r="H137" s="34">
        <f>+work!BV10</f>
        <v>213.67599999999999</v>
      </c>
      <c r="I137" s="27"/>
      <c r="J137" s="34">
        <f>AVERAGE(H137,H133)</f>
        <v>204.07249999999999</v>
      </c>
      <c r="K137" s="27"/>
      <c r="L137" s="41">
        <f>(D137/D130-1)*100</f>
        <v>21.159323699916975</v>
      </c>
      <c r="M137" s="27" t="s">
        <v>576</v>
      </c>
      <c r="N137" s="41">
        <f>(H137/H130-1)*100</f>
        <v>7.621484406479162</v>
      </c>
      <c r="O137" s="27" t="s">
        <v>576</v>
      </c>
      <c r="P137" s="41">
        <f>(H137/H133-1)*100</f>
        <v>9.8766384359460844</v>
      </c>
      <c r="Q137" s="27" t="s">
        <v>576</v>
      </c>
      <c r="R137" s="38">
        <f>F137/J137</f>
        <v>1.3339425939310785</v>
      </c>
      <c r="S137" s="27" t="s">
        <v>100</v>
      </c>
      <c r="T137" s="38">
        <f>F138/H137</f>
        <v>1.308251745633576</v>
      </c>
      <c r="U137" s="27" t="s">
        <v>100</v>
      </c>
      <c r="V137" s="27">
        <f>qtrSales!J138</f>
        <v>1283</v>
      </c>
      <c r="W137" s="27"/>
      <c r="X137" s="36">
        <f>H137/V137</f>
        <v>0.16654403741231488</v>
      </c>
      <c r="Y137" s="27"/>
      <c r="Z137" s="80">
        <f>(X137/X130-1)*100</f>
        <v>-0.68290137391168182</v>
      </c>
      <c r="AA137" s="124" t="s">
        <v>576</v>
      </c>
      <c r="AB137" s="126">
        <f>3.087054/0.8</f>
        <v>3.8588175000000002</v>
      </c>
      <c r="AC137" s="27"/>
      <c r="AD137" s="131">
        <f>H137/AB137</f>
        <v>55.373440179536857</v>
      </c>
      <c r="AE137" s="27"/>
      <c r="AF137" s="170">
        <f>(AD137/AD130-1)*100</f>
        <v>-0.31921763151609994</v>
      </c>
      <c r="AG137" s="124" t="s">
        <v>576</v>
      </c>
      <c r="AH137" s="124"/>
      <c r="AI137" s="200">
        <f>((F137+('yrP&amp;L'!$T$21/4))/J137)</f>
        <v>1.5863038870989479</v>
      </c>
      <c r="AJ137" s="246" t="s">
        <v>100</v>
      </c>
      <c r="AK137" s="124"/>
      <c r="AL137" s="75">
        <f>J137/(F137/(365/4))</f>
        <v>68.406242079046066</v>
      </c>
      <c r="AM137" s="27"/>
      <c r="AN137" s="75">
        <f>H137/(F138/(365/4))</f>
        <v>69.749572515042473</v>
      </c>
      <c r="AO137" s="27"/>
      <c r="AP137" s="27"/>
      <c r="AQ137" s="27"/>
    </row>
    <row r="138" spans="1:43">
      <c r="A138" s="27" t="str">
        <f>$A$12</f>
        <v>2Q</v>
      </c>
      <c r="B138" s="27" t="str">
        <f>$B$12</f>
        <v>Jul</v>
      </c>
      <c r="C138" s="27"/>
      <c r="D138" s="35">
        <f>'qtrP&amp;L'!$BX$11</f>
        <v>641.72199999999998</v>
      </c>
      <c r="E138" s="27"/>
      <c r="F138" s="35">
        <f>'qtrP&amp;L'!$BX$21</f>
        <v>279.54199999999997</v>
      </c>
      <c r="G138" s="27"/>
      <c r="H138" s="34">
        <f>+work!BV11</f>
        <v>191.69399999999999</v>
      </c>
      <c r="I138" s="27"/>
      <c r="J138" s="35">
        <f>AVERAGE(H137:H138)</f>
        <v>202.685</v>
      </c>
      <c r="K138" s="27"/>
      <c r="L138" s="41">
        <f>(D138/D131-1)*100</f>
        <v>16.370144836603195</v>
      </c>
      <c r="M138" s="27"/>
      <c r="N138" s="41">
        <f>(H138/H131-1)*100</f>
        <v>0.49752287084849911</v>
      </c>
      <c r="O138" s="27"/>
      <c r="P138" s="41">
        <f>(H138/H137-1)*100</f>
        <v>-10.287538141859642</v>
      </c>
      <c r="Q138" s="27"/>
      <c r="R138" s="38">
        <f>F138/J138</f>
        <v>1.3791943163036238</v>
      </c>
      <c r="S138" s="27"/>
      <c r="T138" s="38">
        <f>F139/H138</f>
        <v>1.4208530261771366</v>
      </c>
      <c r="U138" s="27"/>
      <c r="V138" s="27">
        <f>qtrSales!J139</f>
        <v>1315</v>
      </c>
      <c r="W138" s="27"/>
      <c r="X138" s="38">
        <f>H138/V138</f>
        <v>0.14577490494296577</v>
      </c>
      <c r="Y138" s="27"/>
      <c r="Z138" s="80">
        <f>(X138/X131-1)*100</f>
        <v>-6.9156023903471535</v>
      </c>
      <c r="AA138" s="27"/>
      <c r="AB138" s="126">
        <f>3.159634/0.8</f>
        <v>3.9495424999999997</v>
      </c>
      <c r="AC138" s="27"/>
      <c r="AD138" s="132">
        <f>H138/AB138</f>
        <v>48.535748127789482</v>
      </c>
      <c r="AE138" s="27"/>
      <c r="AF138" s="170">
        <f>(AD138/AD131-1)*100</f>
        <v>-6.4610509896415591</v>
      </c>
      <c r="AG138" s="27"/>
      <c r="AH138" s="27"/>
      <c r="AI138" s="200">
        <f>((F138+('yrP&amp;L'!$T$21/4))/J138)</f>
        <v>1.6332831733971431</v>
      </c>
      <c r="AJ138" s="201"/>
      <c r="AK138" s="27"/>
      <c r="AL138" s="75">
        <f>J138/(F138/(365/4))</f>
        <v>66.161815576907955</v>
      </c>
      <c r="AM138" s="27"/>
      <c r="AN138" s="75">
        <f>H138/(F139/(365/4))</f>
        <v>64.221983779358141</v>
      </c>
      <c r="AO138" s="27"/>
      <c r="AP138" s="27"/>
      <c r="AQ138" s="27"/>
    </row>
    <row r="139" spans="1:43">
      <c r="A139" s="27" t="str">
        <f>$A$13</f>
        <v>3Q</v>
      </c>
      <c r="B139" s="27" t="str">
        <f>$B$13</f>
        <v>Oct</v>
      </c>
      <c r="C139" s="27"/>
      <c r="D139" s="35">
        <f>'qtrP&amp;L'!$BX$12</f>
        <v>636.66499999999996</v>
      </c>
      <c r="E139" s="27"/>
      <c r="F139" s="35">
        <f>'qtrP&amp;L'!$BX$22</f>
        <v>272.36900000000003</v>
      </c>
      <c r="G139" s="27"/>
      <c r="H139" s="34">
        <f>+work!BV12</f>
        <v>234.19900000000001</v>
      </c>
      <c r="I139" s="27"/>
      <c r="J139" s="35">
        <f>AVERAGE(H138:H139)</f>
        <v>212.94650000000001</v>
      </c>
      <c r="K139" s="27"/>
      <c r="L139" s="41">
        <f>(D139/D132-1)*100</f>
        <v>18.219242181726326</v>
      </c>
      <c r="M139" s="27"/>
      <c r="N139" s="41">
        <f>(H139/H132-1)*100</f>
        <v>-5.3856098250717022</v>
      </c>
      <c r="O139" s="27"/>
      <c r="P139" s="41">
        <f>(H139/H138-1)*100</f>
        <v>22.173359625236078</v>
      </c>
      <c r="Q139" s="27"/>
      <c r="R139" s="38">
        <f>F139/J139</f>
        <v>1.2790489630024444</v>
      </c>
      <c r="S139" s="27"/>
      <c r="T139" s="38">
        <f>F140/H139</f>
        <v>1.3028450164176619</v>
      </c>
      <c r="U139" s="27"/>
      <c r="V139" s="27">
        <f>qtrSales!J140</f>
        <v>1355</v>
      </c>
      <c r="W139" s="27"/>
      <c r="X139" s="38">
        <f>H139/V139</f>
        <v>0.17284059040590408</v>
      </c>
      <c r="Y139" s="27"/>
      <c r="Z139" s="80">
        <f>(X139/X132-1)*100</f>
        <v>-12.787178355361295</v>
      </c>
      <c r="AA139" s="27"/>
      <c r="AB139" s="126">
        <f>3.254009/0.8</f>
        <v>4.0675112499999999</v>
      </c>
      <c r="AC139" s="126"/>
      <c r="AD139" s="132">
        <f>H139/AB139</f>
        <v>57.577959987203485</v>
      </c>
      <c r="AE139" s="27"/>
      <c r="AF139" s="170">
        <f>(AD139/AD132-1)*100</f>
        <v>-12.54950436084874</v>
      </c>
      <c r="AG139" s="27"/>
      <c r="AH139" s="27"/>
      <c r="AI139" s="200">
        <f>((F139+('yrP&amp;L'!$T$21/4))/J139)</f>
        <v>1.5208937456121607</v>
      </c>
      <c r="AJ139" s="201"/>
      <c r="AK139" s="27"/>
      <c r="AL139" s="75">
        <f>J139/(F139/(365/4))</f>
        <v>71.342069490287074</v>
      </c>
      <c r="AM139" s="27"/>
      <c r="AN139" s="75">
        <f>H139/(F140/(365/4))</f>
        <v>70.039029086439982</v>
      </c>
      <c r="AO139" s="27"/>
      <c r="AP139" s="27"/>
      <c r="AQ139" s="27"/>
    </row>
    <row r="140" spans="1:43">
      <c r="A140" s="27" t="str">
        <f>$A$14</f>
        <v>4Q</v>
      </c>
      <c r="B140" s="27" t="str">
        <f>$B$14</f>
        <v>Jan</v>
      </c>
      <c r="C140" s="27"/>
      <c r="D140" s="37">
        <f>'qtrP&amp;L'!$BX$13</f>
        <v>651.85299999999995</v>
      </c>
      <c r="E140" s="27"/>
      <c r="F140" s="37">
        <f>'qtrP&amp;L'!$BX$23</f>
        <v>305.125</v>
      </c>
      <c r="G140" s="27"/>
      <c r="H140" s="34">
        <f>+work!BV13</f>
        <v>206.84899999999999</v>
      </c>
      <c r="I140" s="27"/>
      <c r="J140" s="37">
        <f>AVERAGE(H139:H140)</f>
        <v>220.524</v>
      </c>
      <c r="K140" s="27"/>
      <c r="L140" s="79">
        <f>(D140/D133-1)*100</f>
        <v>14.519498179045588</v>
      </c>
      <c r="M140" s="27"/>
      <c r="N140" s="80">
        <f>(H140/H133-1)*100</f>
        <v>6.3660532012814297</v>
      </c>
      <c r="O140" s="27"/>
      <c r="P140" s="41">
        <f>(H140/H139-1)*100</f>
        <v>-11.678102810003466</v>
      </c>
      <c r="Q140" s="27"/>
      <c r="R140" s="38">
        <f>F140/J140</f>
        <v>1.3836362482088118</v>
      </c>
      <c r="S140" s="27"/>
      <c r="T140" s="109" t="s">
        <v>653</v>
      </c>
      <c r="U140" s="27"/>
      <c r="V140" s="27">
        <f>qtrSales!J141</f>
        <v>1357</v>
      </c>
      <c r="W140" s="27"/>
      <c r="X140" s="38">
        <f>H140/V140</f>
        <v>0.15243109801031687</v>
      </c>
      <c r="Y140" s="27"/>
      <c r="Z140" s="80">
        <f>(X140/X133-1)*100</f>
        <v>-1.5506537798014031</v>
      </c>
      <c r="AA140" s="27"/>
      <c r="AB140" s="125">
        <f>qtrSales!Z141</f>
        <v>4.08930375</v>
      </c>
      <c r="AC140" s="27"/>
      <c r="AD140" s="132">
        <f>H140/AB140</f>
        <v>50.582938476996233</v>
      </c>
      <c r="AE140" s="27"/>
      <c r="AF140" s="80">
        <f>+((AD140/AD133)-1)*100</f>
        <v>-1.6015418835909179</v>
      </c>
      <c r="AG140" s="27"/>
      <c r="AH140" s="27"/>
      <c r="AI140" s="200">
        <f>((F140+('yrP&amp;L'!$T$21/4))/J140)</f>
        <v>1.617170920171954</v>
      </c>
      <c r="AJ140" s="202"/>
      <c r="AK140" s="27"/>
      <c r="AL140" s="75">
        <f>J140/(F140/(365/4))</f>
        <v>65.949414174518637</v>
      </c>
      <c r="AM140" s="27"/>
      <c r="AN140" s="109" t="s">
        <v>653</v>
      </c>
      <c r="AO140" s="27"/>
      <c r="AP140" s="27"/>
      <c r="AQ140" s="27"/>
    </row>
    <row r="141" spans="1:43">
      <c r="A141" s="27"/>
      <c r="B141" s="27" t="str">
        <f>$B$15</f>
        <v>Year</v>
      </c>
      <c r="C141" s="27"/>
      <c r="D141" s="34">
        <f>SUM(D137:D140)</f>
        <v>2581.0569999999998</v>
      </c>
      <c r="E141" s="27"/>
      <c r="F141" s="34">
        <f>SUM(F137:F140)</f>
        <v>1129.2570000000001</v>
      </c>
      <c r="G141" s="27"/>
      <c r="H141" s="27"/>
      <c r="I141" s="27"/>
      <c r="J141" s="34">
        <f>AVERAGE(J137:J140)</f>
        <v>210.05699999999999</v>
      </c>
      <c r="K141" s="27"/>
      <c r="L141" s="41">
        <f>(D141/D134-1)*100</f>
        <v>17.515206978819474</v>
      </c>
      <c r="M141" s="27"/>
      <c r="N141" s="80"/>
      <c r="O141" s="27"/>
      <c r="P141" s="80"/>
      <c r="Q141" s="27"/>
      <c r="R141" s="81">
        <f>F141/J141</f>
        <v>5.3759550979019988</v>
      </c>
      <c r="S141" s="78" t="s">
        <v>100</v>
      </c>
      <c r="T141" s="38"/>
      <c r="U141" s="27"/>
      <c r="V141" s="27"/>
      <c r="W141" s="27"/>
      <c r="X141" s="27"/>
      <c r="Y141" s="27"/>
      <c r="Z141" s="27"/>
      <c r="AA141" s="27"/>
      <c r="AB141" s="114"/>
      <c r="AC141" s="27"/>
      <c r="AD141" s="323"/>
      <c r="AE141" s="27"/>
      <c r="AF141" s="27"/>
      <c r="AG141" s="27"/>
      <c r="AH141" s="27"/>
      <c r="AI141" s="244">
        <f>((F141+('yrP&amp;L'!$T$21))/J141)</f>
        <v>6.356641292601533</v>
      </c>
      <c r="AJ141" s="245" t="s">
        <v>100</v>
      </c>
      <c r="AK141" s="27"/>
      <c r="AL141" s="27"/>
      <c r="AM141" s="27"/>
      <c r="AN141" s="27"/>
      <c r="AO141" s="27"/>
      <c r="AP141" s="27"/>
      <c r="AQ141" s="27"/>
    </row>
    <row r="142" spans="1:43">
      <c r="A142" s="27"/>
      <c r="B142" s="27"/>
      <c r="C142" s="27"/>
      <c r="D142" s="34"/>
      <c r="E142" s="27"/>
      <c r="F142" s="34"/>
      <c r="G142" s="27"/>
      <c r="H142" s="27"/>
      <c r="I142" s="27"/>
      <c r="J142" s="34"/>
      <c r="K142" s="27"/>
      <c r="L142" s="41"/>
      <c r="M142" s="27"/>
      <c r="N142" s="80"/>
      <c r="O142" s="27"/>
      <c r="P142" s="80"/>
      <c r="Q142" s="27"/>
      <c r="R142" s="225"/>
      <c r="S142" s="32"/>
      <c r="T142" s="38"/>
      <c r="U142" s="27"/>
      <c r="V142" s="27"/>
      <c r="W142" s="27"/>
      <c r="X142" s="27"/>
      <c r="Y142" s="27"/>
      <c r="Z142" s="27"/>
      <c r="AA142" s="27"/>
      <c r="AB142" s="114"/>
      <c r="AC142" s="27"/>
      <c r="AD142" s="323"/>
      <c r="AE142" s="27"/>
      <c r="AF142" s="27"/>
      <c r="AG142" s="27"/>
      <c r="AH142" s="27"/>
      <c r="AI142" s="200"/>
      <c r="AJ142" s="249"/>
      <c r="AK142" s="27"/>
      <c r="AL142" s="27"/>
      <c r="AM142" s="27"/>
      <c r="AN142" s="27"/>
      <c r="AO142" s="27"/>
      <c r="AP142" s="27"/>
      <c r="AQ142" s="27"/>
    </row>
    <row r="143" spans="1:43">
      <c r="A143" s="27"/>
      <c r="B143" s="454" t="s">
        <v>221</v>
      </c>
      <c r="C143" s="27"/>
      <c r="D143" s="34"/>
      <c r="E143" s="27"/>
      <c r="F143" s="34"/>
      <c r="G143" s="27"/>
      <c r="H143" s="27"/>
      <c r="I143" s="27"/>
      <c r="J143" s="34"/>
      <c r="K143" s="27"/>
      <c r="L143" s="41"/>
      <c r="M143" s="27"/>
      <c r="N143" s="80"/>
      <c r="O143" s="27"/>
      <c r="P143" s="80"/>
      <c r="Q143" s="27"/>
      <c r="R143" s="225"/>
      <c r="S143" s="32"/>
      <c r="T143" s="38"/>
      <c r="U143" s="27"/>
      <c r="V143" s="27"/>
      <c r="W143" s="27"/>
      <c r="X143" s="27"/>
      <c r="Y143" s="27"/>
      <c r="Z143" s="27"/>
      <c r="AA143" s="27"/>
      <c r="AB143" s="114"/>
      <c r="AC143" s="27"/>
      <c r="AD143" s="323"/>
      <c r="AE143" s="27"/>
      <c r="AF143" s="27"/>
      <c r="AG143" s="27"/>
      <c r="AH143" s="27"/>
      <c r="AI143" s="200"/>
      <c r="AJ143" s="249"/>
      <c r="AK143" s="27"/>
      <c r="AL143" s="27"/>
      <c r="AM143" s="27"/>
      <c r="AN143" s="27"/>
      <c r="AO143" s="27"/>
      <c r="AP143" s="27"/>
      <c r="AQ143" s="27"/>
    </row>
    <row r="144" spans="1:43">
      <c r="A144" s="27" t="str">
        <f>$A$11</f>
        <v>1Q</v>
      </c>
      <c r="B144" s="27" t="str">
        <f>$B$11</f>
        <v>Apr</v>
      </c>
      <c r="C144" s="27"/>
      <c r="D144" s="34">
        <f>'qtrP&amp;L'!CB10</f>
        <v>670.72199999999998</v>
      </c>
      <c r="E144" s="27"/>
      <c r="F144" s="34">
        <f>'qtrP&amp;L'!CB20</f>
        <v>283.87799999999999</v>
      </c>
      <c r="G144" s="27"/>
      <c r="H144" s="35">
        <f>work!BZ10</f>
        <v>243.47200000000001</v>
      </c>
      <c r="I144" s="27"/>
      <c r="J144" s="34">
        <f>AVERAGE(H144,H140)</f>
        <v>225.16050000000001</v>
      </c>
      <c r="K144" s="27"/>
      <c r="L144" s="41">
        <f>(D144/D137-1)*100</f>
        <v>3.0584634390312448</v>
      </c>
      <c r="M144" s="27" t="s">
        <v>576</v>
      </c>
      <c r="N144" s="41">
        <f>(H144/H137-1)*100</f>
        <v>13.944476684325814</v>
      </c>
      <c r="O144" s="27" t="s">
        <v>576</v>
      </c>
      <c r="P144" s="41">
        <f>(H144/H140-1)*100</f>
        <v>17.70518590856134</v>
      </c>
      <c r="Q144" s="27" t="s">
        <v>576</v>
      </c>
      <c r="R144" s="38">
        <f>F144/J144</f>
        <v>1.2607806431412258</v>
      </c>
      <c r="S144" s="27" t="s">
        <v>100</v>
      </c>
      <c r="T144" s="38">
        <f>F145/H144</f>
        <v>1.2049065190247747</v>
      </c>
      <c r="U144" s="27"/>
      <c r="V144" s="27">
        <f>qtrSales!J145</f>
        <v>1397</v>
      </c>
      <c r="W144" s="27"/>
      <c r="X144" s="36">
        <f>H144/V144</f>
        <v>0.17428203292770222</v>
      </c>
      <c r="Y144" s="27"/>
      <c r="Z144" s="80">
        <f>(X144/X137-1)*100</f>
        <v>4.6462158811668042</v>
      </c>
      <c r="AA144" s="124" t="s">
        <v>576</v>
      </c>
      <c r="AB144" s="126">
        <f>3.366332/0.8</f>
        <v>4.2079149999999998</v>
      </c>
      <c r="AC144" s="27"/>
      <c r="AD144" s="131">
        <f>H144/AB144</f>
        <v>57.860484349137288</v>
      </c>
      <c r="AE144" s="27"/>
      <c r="AF144" s="170">
        <f>(AD144/AD137-1)*100</f>
        <v>4.4914026680240804</v>
      </c>
      <c r="AG144" s="27"/>
      <c r="AH144" s="27"/>
      <c r="AI144" s="200">
        <f>((F144+('yrP&amp;L'!$U$21/4))/J144)</f>
        <v>1.5161540323458154</v>
      </c>
      <c r="AJ144" s="246" t="s">
        <v>100</v>
      </c>
      <c r="AK144" s="27"/>
      <c r="AL144" s="75">
        <f>J144/(F144/(365/4))</f>
        <v>72.375793914991661</v>
      </c>
      <c r="AM144" s="27"/>
      <c r="AN144" s="75">
        <f>H144/(F145/(365/4))</f>
        <v>75.732016184837121</v>
      </c>
      <c r="AO144" s="27"/>
      <c r="AP144" s="27"/>
      <c r="AQ144" s="27"/>
    </row>
    <row r="145" spans="1:43">
      <c r="A145" s="27" t="str">
        <f>$A$12</f>
        <v>2Q</v>
      </c>
      <c r="B145" s="27" t="str">
        <f>$B$12</f>
        <v>Jul</v>
      </c>
      <c r="C145" s="27"/>
      <c r="D145" s="35">
        <f>'qtrP&amp;L'!CB11</f>
        <v>649.50300000000004</v>
      </c>
      <c r="E145" s="27"/>
      <c r="F145" s="35">
        <f>'qtrP&amp;L'!CB21</f>
        <v>293.36099999999999</v>
      </c>
      <c r="G145" s="27"/>
      <c r="H145" s="35">
        <f>work!BZ11</f>
        <v>211.148</v>
      </c>
      <c r="I145" s="27"/>
      <c r="J145" s="35">
        <f>AVERAGE(H144:H145)</f>
        <v>227.31</v>
      </c>
      <c r="K145" s="27"/>
      <c r="L145" s="41">
        <f>(D145/D138-1)*100</f>
        <v>1.212518816559216</v>
      </c>
      <c r="M145" s="27"/>
      <c r="N145" s="41">
        <f>(H145/H138-1)*100</f>
        <v>10.148465784009941</v>
      </c>
      <c r="O145" s="27"/>
      <c r="P145" s="41">
        <f>(H145/H144-1)*100</f>
        <v>-13.276269961227582</v>
      </c>
      <c r="Q145" s="27"/>
      <c r="R145" s="38">
        <f>F145/J145</f>
        <v>1.290576745413752</v>
      </c>
      <c r="S145" s="27"/>
      <c r="T145" s="38">
        <f>F146/H145</f>
        <v>1.3808750260480802</v>
      </c>
      <c r="U145" s="27"/>
      <c r="V145" s="27">
        <f>qtrSales!J146</f>
        <v>1427</v>
      </c>
      <c r="W145" s="27"/>
      <c r="X145" s="38">
        <f>H145/V145</f>
        <v>0.14796636299929922</v>
      </c>
      <c r="Y145" s="27"/>
      <c r="Z145" s="80">
        <f>(X145/X138-1)*100</f>
        <v>1.5033164022235868</v>
      </c>
      <c r="AA145" s="27"/>
      <c r="AB145" s="126">
        <f>3.436088/0.8</f>
        <v>4.2951099999999993</v>
      </c>
      <c r="AC145" s="27"/>
      <c r="AD145" s="132">
        <f>H145/AB145</f>
        <v>49.160091359709071</v>
      </c>
      <c r="AE145" s="27"/>
      <c r="AF145" s="170">
        <f>(AD145/AD138-1)*100</f>
        <v>1.2863574911336606</v>
      </c>
      <c r="AG145" s="27"/>
      <c r="AH145" s="27"/>
      <c r="AI145" s="200">
        <f>((F145+('yrP&amp;L'!$U$21/4))/J145)</f>
        <v>1.5435352602173242</v>
      </c>
      <c r="AJ145" s="201"/>
      <c r="AK145" s="27"/>
      <c r="AL145" s="75">
        <f>J145/(F145/(365/4))</f>
        <v>70.704822726947341</v>
      </c>
      <c r="AM145" s="27"/>
      <c r="AN145" s="75">
        <f>H145/(F146/(365/4))</f>
        <v>66.081287791226089</v>
      </c>
      <c r="AO145" s="27"/>
      <c r="AP145" s="27"/>
      <c r="AQ145" s="27"/>
    </row>
    <row r="146" spans="1:43">
      <c r="A146" s="27" t="str">
        <f>$A$13</f>
        <v>3Q</v>
      </c>
      <c r="B146" s="27" t="str">
        <f>$B$13</f>
        <v>Oct</v>
      </c>
      <c r="C146" s="27"/>
      <c r="D146" s="35">
        <f>'qtrP&amp;L'!CB12</f>
        <v>655.57899999999995</v>
      </c>
      <c r="E146" s="27"/>
      <c r="F146" s="35">
        <f>'qtrP&amp;L'!CB22</f>
        <v>291.56900000000002</v>
      </c>
      <c r="G146" s="27"/>
      <c r="H146" s="35">
        <f>work!BZ12</f>
        <v>267.43</v>
      </c>
      <c r="I146" s="27"/>
      <c r="J146" s="35">
        <f>AVERAGE(H145:H146)</f>
        <v>239.28899999999999</v>
      </c>
      <c r="K146" s="27"/>
      <c r="L146" s="41">
        <f>(D146/D139-1)*100</f>
        <v>2.9707931172594737</v>
      </c>
      <c r="M146" s="27"/>
      <c r="N146" s="41">
        <f>(H146/H139-1)*100</f>
        <v>14.18921515463345</v>
      </c>
      <c r="O146" s="27"/>
      <c r="P146" s="41">
        <f>(H146/H145-1)*100</f>
        <v>26.655237084888327</v>
      </c>
      <c r="Q146" s="27"/>
      <c r="R146" s="38">
        <f>F146/J146</f>
        <v>1.2184805820576794</v>
      </c>
      <c r="S146" s="27"/>
      <c r="T146" s="38">
        <f>F147/H146</f>
        <v>1.1240249784990466</v>
      </c>
      <c r="U146" s="27"/>
      <c r="V146" s="27">
        <f>qtrSales!J147</f>
        <v>1470</v>
      </c>
      <c r="W146" s="27"/>
      <c r="X146" s="38">
        <f>H146/V146</f>
        <v>0.18192517006802722</v>
      </c>
      <c r="Y146" s="27"/>
      <c r="Z146" s="80">
        <f>(X146/X139-1)*100</f>
        <v>5.2560452615838971</v>
      </c>
      <c r="AA146" s="27"/>
      <c r="AB146" s="126">
        <f>3.534528/0.8</f>
        <v>4.4181599999999994</v>
      </c>
      <c r="AC146" s="27"/>
      <c r="AD146" s="132">
        <f>H146/AB146</f>
        <v>60.529722780524025</v>
      </c>
      <c r="AE146" s="27"/>
      <c r="AF146" s="170">
        <f>(AD146/AD139-1)*100</f>
        <v>5.12654980130689</v>
      </c>
      <c r="AG146" s="27"/>
      <c r="AH146" s="27"/>
      <c r="AI146" s="200">
        <f>((F146+('yrP&amp;L'!$U$21/4))/J146)</f>
        <v>1.458775789944377</v>
      </c>
      <c r="AJ146" s="201"/>
      <c r="AK146" s="27"/>
      <c r="AL146" s="75">
        <f>J146/(F146/(365/4))</f>
        <v>74.888349755975426</v>
      </c>
      <c r="AM146" s="27"/>
      <c r="AN146" s="75">
        <f>H146/(F147/(365/4))</f>
        <v>81.181469936593047</v>
      </c>
      <c r="AO146" s="27"/>
      <c r="AP146" s="27"/>
      <c r="AQ146" s="27"/>
    </row>
    <row r="147" spans="1:43">
      <c r="A147" s="27" t="str">
        <f>$A$14</f>
        <v>4Q</v>
      </c>
      <c r="B147" s="27" t="str">
        <f>$B$14</f>
        <v>Jan</v>
      </c>
      <c r="C147" s="27"/>
      <c r="D147" s="37">
        <f>'qtrP&amp;L'!CB13</f>
        <v>610.23299999999995</v>
      </c>
      <c r="E147" s="27"/>
      <c r="F147" s="37">
        <f>'qtrP&amp;L'!CB23</f>
        <v>300.59800000000001</v>
      </c>
      <c r="G147" s="27"/>
      <c r="H147" s="35">
        <f>work!BZ13</f>
        <v>238.14500000000001</v>
      </c>
      <c r="I147" s="27"/>
      <c r="J147" s="37">
        <f>AVERAGE(H146:H147)</f>
        <v>252.78750000000002</v>
      </c>
      <c r="K147" s="27"/>
      <c r="L147" s="79">
        <f>(D147/D140-1)*100</f>
        <v>-6.384875117549516</v>
      </c>
      <c r="M147" s="27"/>
      <c r="N147" s="80">
        <f>(H147/H140-1)*100</f>
        <v>15.129877350144326</v>
      </c>
      <c r="O147" s="27"/>
      <c r="P147" s="41">
        <f>(H147/H146-1)*100</f>
        <v>-10.950529110421414</v>
      </c>
      <c r="Q147" s="27"/>
      <c r="R147" s="38">
        <f>F147/J147</f>
        <v>1.1891331652079316</v>
      </c>
      <c r="S147" s="27"/>
      <c r="T147" s="109" t="s">
        <v>653</v>
      </c>
      <c r="U147" s="27"/>
      <c r="V147" s="27">
        <f>qtrSales!J148</f>
        <v>1472</v>
      </c>
      <c r="W147" s="27"/>
      <c r="X147" s="38">
        <f>H147/V147</f>
        <v>0.16178328804347827</v>
      </c>
      <c r="Y147" s="27"/>
      <c r="Z147" s="80">
        <f>(X147/X140-1)*100</f>
        <v>6.1353556821643007</v>
      </c>
      <c r="AA147" s="27"/>
      <c r="AB147" s="125">
        <f>qtrSales!Z148</f>
        <v>4.4334749999999996</v>
      </c>
      <c r="AC147" s="27"/>
      <c r="AD147" s="132">
        <f>H147/AB147</f>
        <v>53.715200830048673</v>
      </c>
      <c r="AE147" s="27"/>
      <c r="AF147" s="80">
        <f>+((AD147/AD140)-1)*100</f>
        <v>6.1923297605118499</v>
      </c>
      <c r="AG147" s="27"/>
      <c r="AH147" s="27"/>
      <c r="AI147" s="200">
        <f>((F147+('yrP&amp;L'!$U$21/4))/J147)</f>
        <v>1.4165969440735795</v>
      </c>
      <c r="AJ147" s="202"/>
      <c r="AK147" s="27"/>
      <c r="AL147" s="75">
        <f>J147/(F147/(365/4))</f>
        <v>76.736569687755747</v>
      </c>
      <c r="AM147" s="27"/>
      <c r="AN147" s="109" t="s">
        <v>653</v>
      </c>
      <c r="AO147" s="27"/>
      <c r="AP147" s="27"/>
      <c r="AQ147" s="27"/>
    </row>
    <row r="148" spans="1:43">
      <c r="A148" s="27"/>
      <c r="B148" s="27" t="str">
        <f>$B$15</f>
        <v>Year</v>
      </c>
      <c r="C148" s="27"/>
      <c r="D148" s="34">
        <f>SUM(D144:D147)</f>
        <v>2586.0369999999998</v>
      </c>
      <c r="E148" s="27"/>
      <c r="F148" s="34">
        <f>SUM(F144:F147)</f>
        <v>1169.4059999999999</v>
      </c>
      <c r="G148" s="27"/>
      <c r="H148" s="27"/>
      <c r="I148" s="27"/>
      <c r="J148" s="34">
        <f>AVERAGE(J144:J147)</f>
        <v>236.13675000000001</v>
      </c>
      <c r="K148" s="27"/>
      <c r="L148" s="41">
        <f>(D148/D141-1)*100</f>
        <v>0.19294420851612148</v>
      </c>
      <c r="M148" s="27"/>
      <c r="N148" s="80"/>
      <c r="O148" s="27"/>
      <c r="P148" s="80"/>
      <c r="Q148" s="27"/>
      <c r="R148" s="81">
        <f>F148/J148</f>
        <v>4.9522405978739013</v>
      </c>
      <c r="S148" s="78" t="s">
        <v>100</v>
      </c>
      <c r="T148" s="38"/>
      <c r="U148" s="27"/>
      <c r="V148" s="27"/>
      <c r="W148" s="27"/>
      <c r="X148" s="27"/>
      <c r="Y148" s="27"/>
      <c r="Z148" s="27"/>
      <c r="AA148" s="27"/>
      <c r="AB148" s="114"/>
      <c r="AC148" s="27"/>
      <c r="AD148" s="323"/>
      <c r="AE148" s="27"/>
      <c r="AF148" s="27"/>
      <c r="AG148" s="27"/>
      <c r="AH148" s="27"/>
      <c r="AI148" s="244">
        <f>((F148+('yrP&amp;L'!$U$21/4))/J148)</f>
        <v>5.1957435680807835</v>
      </c>
      <c r="AJ148" s="245" t="s">
        <v>100</v>
      </c>
      <c r="AK148" s="27"/>
      <c r="AL148" s="27"/>
      <c r="AM148" s="27"/>
      <c r="AN148" s="27"/>
      <c r="AO148" s="27"/>
      <c r="AP148" s="27"/>
      <c r="AQ148" s="27"/>
    </row>
    <row r="149" spans="1:43">
      <c r="A149" s="27"/>
      <c r="B149" s="27"/>
      <c r="C149" s="27"/>
      <c r="D149" s="27"/>
      <c r="E149" s="27"/>
      <c r="F149" s="27"/>
      <c r="G149" s="27"/>
      <c r="H149" s="27"/>
      <c r="I149" s="27"/>
      <c r="J149" s="27"/>
      <c r="K149" s="27"/>
      <c r="L149" s="27"/>
      <c r="M149" s="27"/>
      <c r="N149" s="27"/>
      <c r="O149" s="27"/>
      <c r="P149" s="27"/>
      <c r="Q149" s="27"/>
      <c r="R149" s="27"/>
      <c r="S149" s="27"/>
      <c r="T149" s="38"/>
      <c r="U149" s="27"/>
      <c r="V149" s="27"/>
      <c r="W149" s="27"/>
      <c r="X149" s="27"/>
      <c r="Y149" s="27"/>
      <c r="Z149" s="27"/>
      <c r="AA149" s="27"/>
      <c r="AB149" s="27"/>
      <c r="AC149" s="27"/>
      <c r="AD149" s="27"/>
      <c r="AE149" s="27"/>
      <c r="AF149" s="27"/>
      <c r="AG149" s="27"/>
      <c r="AH149" s="27"/>
      <c r="AI149" s="27"/>
      <c r="AJ149" s="27"/>
      <c r="AK149" s="27"/>
      <c r="AL149" s="27"/>
      <c r="AM149" s="27"/>
      <c r="AN149" s="27"/>
      <c r="AO149" s="27"/>
      <c r="AP149" s="27"/>
      <c r="AQ149" s="27"/>
    </row>
    <row r="150" spans="1:43">
      <c r="A150" s="27"/>
      <c r="B150" s="454" t="s">
        <v>719</v>
      </c>
      <c r="C150" s="27"/>
      <c r="D150" s="34"/>
      <c r="E150" s="27"/>
      <c r="F150" s="34"/>
      <c r="G150" s="27"/>
      <c r="H150" s="27"/>
      <c r="I150" s="27"/>
      <c r="J150" s="34"/>
      <c r="K150" s="27"/>
      <c r="L150" s="41"/>
      <c r="M150" s="27"/>
      <c r="N150" s="80"/>
      <c r="O150" s="27"/>
      <c r="P150" s="80"/>
      <c r="Q150" s="27"/>
      <c r="R150" s="225"/>
      <c r="S150" s="32"/>
      <c r="T150" s="38"/>
      <c r="U150" s="27"/>
      <c r="V150" s="27"/>
      <c r="W150" s="27"/>
      <c r="X150" s="27"/>
      <c r="Y150" s="27"/>
      <c r="Z150" s="27"/>
      <c r="AA150" s="27"/>
      <c r="AB150" s="114"/>
      <c r="AC150" s="27"/>
      <c r="AD150" s="323"/>
      <c r="AE150" s="27"/>
      <c r="AF150" s="27"/>
      <c r="AG150" s="27"/>
      <c r="AH150" s="27"/>
      <c r="AI150" s="200"/>
      <c r="AJ150" s="249"/>
      <c r="AK150" s="27"/>
      <c r="AL150" s="27"/>
      <c r="AM150" s="27"/>
      <c r="AN150" s="27"/>
      <c r="AO150" s="27"/>
      <c r="AP150" s="27"/>
      <c r="AQ150" s="27"/>
    </row>
    <row r="151" spans="1:43">
      <c r="A151" s="27" t="str">
        <f>$A$11</f>
        <v>1Q</v>
      </c>
      <c r="B151" s="27" t="str">
        <f>$B$11</f>
        <v>Apr</v>
      </c>
      <c r="C151" s="27"/>
      <c r="D151" s="34">
        <f>'qtrP&amp;L'!CF10</f>
        <v>659.51900000000001</v>
      </c>
      <c r="E151" s="27"/>
      <c r="F151" s="34">
        <f>'qtrP&amp;L'!CF20</f>
        <v>384.233</v>
      </c>
      <c r="G151" s="27"/>
      <c r="H151" s="35">
        <f>work!CD10</f>
        <v>268.91699999999997</v>
      </c>
      <c r="I151" s="27"/>
      <c r="J151" s="34">
        <f>AVERAGE(H151,H147)</f>
        <v>253.53100000000001</v>
      </c>
      <c r="K151" s="27"/>
      <c r="L151" s="41">
        <f>(D151/D144-1)*100</f>
        <v>-1.6702896281917012</v>
      </c>
      <c r="M151" s="27" t="s">
        <v>576</v>
      </c>
      <c r="N151" s="41">
        <f>(H151/H144-1)*100</f>
        <v>10.450893737267508</v>
      </c>
      <c r="O151" s="27" t="s">
        <v>576</v>
      </c>
      <c r="P151" s="41">
        <f>(H151/H147-1)*100</f>
        <v>12.921539398265747</v>
      </c>
      <c r="Q151" s="27" t="s">
        <v>576</v>
      </c>
      <c r="R151" s="38">
        <f>F151/J151</f>
        <v>1.5155267008768158</v>
      </c>
      <c r="S151" s="27" t="s">
        <v>100</v>
      </c>
      <c r="T151" s="38">
        <f>F152/H151</f>
        <v>1.5090269488355144</v>
      </c>
      <c r="U151" s="27"/>
      <c r="V151" s="27">
        <f>qtrSales!J152</f>
        <v>1496</v>
      </c>
      <c r="W151" s="27"/>
      <c r="X151" s="36">
        <f>H151/V151</f>
        <v>0.17975735294117645</v>
      </c>
      <c r="Y151" s="27"/>
      <c r="Z151" s="80">
        <f>(X151/X144-1)*100</f>
        <v>3.1416434164189377</v>
      </c>
      <c r="AA151" s="124" t="s">
        <v>576</v>
      </c>
      <c r="AB151" s="460">
        <f>3.59696/0.8</f>
        <v>4.4962</v>
      </c>
      <c r="AC151" s="27"/>
      <c r="AD151" s="131">
        <f>H151/AB151</f>
        <v>59.809839419954621</v>
      </c>
      <c r="AE151" s="27"/>
      <c r="AF151" s="170">
        <f>(AD151/AD144-1)*100</f>
        <v>3.3690611005858129</v>
      </c>
      <c r="AG151" s="27"/>
      <c r="AH151" s="27"/>
      <c r="AI151" s="200">
        <f>((F151+('yrP&amp;L'!$V$21/4))/J151)</f>
        <v>1.765200310810118</v>
      </c>
      <c r="AJ151" s="246" t="s">
        <v>100</v>
      </c>
      <c r="AK151" s="27"/>
      <c r="AL151" s="75">
        <f>J151/(F151/(365/4))</f>
        <v>60.210090622096487</v>
      </c>
      <c r="AM151" s="27"/>
      <c r="AN151" s="75">
        <f>H151/(F152/(365/4))</f>
        <v>60.469430363994348</v>
      </c>
      <c r="AO151" s="27"/>
      <c r="AP151" s="27"/>
      <c r="AQ151" s="27"/>
    </row>
    <row r="152" spans="1:43">
      <c r="A152" s="27" t="str">
        <f>$A$12</f>
        <v>2Q</v>
      </c>
      <c r="B152" s="27" t="str">
        <f>$B$12</f>
        <v>Jul</v>
      </c>
      <c r="C152" s="27"/>
      <c r="D152" s="35">
        <f>'qtrP&amp;L'!CF11</f>
        <v>648.77200000000005</v>
      </c>
      <c r="E152" s="27"/>
      <c r="F152" s="35">
        <f>'qtrP&amp;L'!CF21</f>
        <v>405.803</v>
      </c>
      <c r="G152" s="27"/>
      <c r="H152" s="35">
        <f>work!CD11</f>
        <v>238.072</v>
      </c>
      <c r="I152" s="27"/>
      <c r="J152" s="35">
        <f>AVERAGE(H151:H152)</f>
        <v>253.49449999999999</v>
      </c>
      <c r="K152" s="27"/>
      <c r="L152" s="41">
        <f>(D152/D145-1)*100</f>
        <v>-0.11254759408347859</v>
      </c>
      <c r="M152" s="27"/>
      <c r="N152" s="41">
        <f>(H152/H145-1)*100</f>
        <v>12.751245571826409</v>
      </c>
      <c r="O152" s="27"/>
      <c r="P152" s="41">
        <f>(H152/H151-1)*100</f>
        <v>-11.470081846815184</v>
      </c>
      <c r="Q152" s="27"/>
      <c r="R152" s="38">
        <f>F152/J152</f>
        <v>1.6008355210862564</v>
      </c>
      <c r="S152" s="27"/>
      <c r="T152" s="38">
        <f>F153/H152</f>
        <v>1.63544641957055</v>
      </c>
      <c r="U152" s="27"/>
      <c r="V152" s="27">
        <f>qtrSales!J153</f>
        <v>1525</v>
      </c>
      <c r="W152" s="27"/>
      <c r="X152" s="38">
        <f>H152/V152</f>
        <v>0.15611278688524591</v>
      </c>
      <c r="Y152" s="27"/>
      <c r="Z152" s="80">
        <f>(X152/X145-1)*100</f>
        <v>5.5055917580303593</v>
      </c>
      <c r="AA152" s="27"/>
      <c r="AB152" s="460">
        <f>3.655112/0.8</f>
        <v>4.5688899999999997</v>
      </c>
      <c r="AC152" s="27"/>
      <c r="AD152" s="131">
        <f>H152/AB152</f>
        <v>52.107185771598793</v>
      </c>
      <c r="AE152" s="27"/>
      <c r="AF152" s="170">
        <f>(AD152/AD145-1)*100</f>
        <v>5.9948920564967034</v>
      </c>
      <c r="AG152" s="27"/>
      <c r="AH152" s="27"/>
      <c r="AI152" s="200">
        <f>((F152+('yrP&amp;L'!$V$21/4))/J152)</f>
        <v>1.8505450808597426</v>
      </c>
      <c r="AJ152" s="201"/>
      <c r="AK152" s="27"/>
      <c r="AL152" s="75">
        <f>J152/(F152/(365/4))</f>
        <v>57.001483786467816</v>
      </c>
      <c r="AM152" s="27"/>
      <c r="AN152" s="75">
        <f>H152/(F153/(365/4))</f>
        <v>55.795163270442835</v>
      </c>
      <c r="AO152" s="27"/>
      <c r="AP152" s="27"/>
      <c r="AQ152" s="27"/>
    </row>
    <row r="153" spans="1:43">
      <c r="A153" s="27" t="str">
        <f>$A$13</f>
        <v>3Q</v>
      </c>
      <c r="B153" s="27" t="str">
        <f>$B$13</f>
        <v>Oct</v>
      </c>
      <c r="C153" s="27"/>
      <c r="D153" s="35">
        <f>'qtrP&amp;L'!CF12</f>
        <v>645.50099999999998</v>
      </c>
      <c r="E153" s="27"/>
      <c r="F153" s="35">
        <f>'qtrP&amp;L'!CF22</f>
        <v>389.35399999999998</v>
      </c>
      <c r="G153" s="27"/>
      <c r="H153" s="35">
        <f>work!CD12</f>
        <v>294.23399999999998</v>
      </c>
      <c r="I153" s="27"/>
      <c r="J153" s="35">
        <f>AVERAGE(H152:H153)</f>
        <v>266.15300000000002</v>
      </c>
      <c r="K153" s="27"/>
      <c r="L153" s="41">
        <f>(D153/D146-1)*100</f>
        <v>-1.5372670570594771</v>
      </c>
      <c r="M153" s="27"/>
      <c r="N153" s="41">
        <f>(H153/H146-1)*100</f>
        <v>10.022809707213099</v>
      </c>
      <c r="O153" s="27"/>
      <c r="P153" s="41">
        <f>(H153/H152-1)*100</f>
        <v>23.590342417419929</v>
      </c>
      <c r="Q153" s="27"/>
      <c r="R153" s="38">
        <f>F153/J153</f>
        <v>1.4628954022686198</v>
      </c>
      <c r="S153" s="27"/>
      <c r="T153" s="38">
        <f>F154/H153</f>
        <v>1.4049905857242877</v>
      </c>
      <c r="U153" s="27"/>
      <c r="V153" s="27">
        <f>qtrSales!J154</f>
        <v>1557</v>
      </c>
      <c r="W153" s="27"/>
      <c r="X153" s="38">
        <f>H153/V153</f>
        <v>0.18897495183044316</v>
      </c>
      <c r="Y153" s="27"/>
      <c r="Z153" s="80">
        <f>(X153/X146-1)*100</f>
        <v>3.87509972357305</v>
      </c>
      <c r="AA153" s="27"/>
      <c r="AB153" s="460">
        <f>3.726856/0.8</f>
        <v>4.6585700000000001</v>
      </c>
      <c r="AC153" s="27"/>
      <c r="AD153" s="131">
        <f>H153/AB153</f>
        <v>63.159724979983125</v>
      </c>
      <c r="AE153" s="27"/>
      <c r="AF153" s="170">
        <f>(AD153/AD146-1)*100</f>
        <v>4.3449764490005593</v>
      </c>
      <c r="AG153" s="27"/>
      <c r="AH153" s="27"/>
      <c r="AI153" s="200">
        <f>((F153+('yrP&amp;L'!$V$21/4))/J153)</f>
        <v>1.7007285283276912</v>
      </c>
      <c r="AJ153" s="201"/>
      <c r="AK153" s="27"/>
      <c r="AL153" s="75">
        <f>J153/(F153/(365/4))</f>
        <v>62.376298304370835</v>
      </c>
      <c r="AM153" s="27"/>
      <c r="AN153" s="75">
        <f>H153/(F154/(365/4))</f>
        <v>64.947054398204131</v>
      </c>
      <c r="AO153" s="27"/>
      <c r="AP153" s="27"/>
      <c r="AQ153" s="27"/>
    </row>
    <row r="154" spans="1:43">
      <c r="A154" s="27" t="str">
        <f>$A$14</f>
        <v>4Q</v>
      </c>
      <c r="B154" s="27" t="str">
        <f>$B$14</f>
        <v>Jan</v>
      </c>
      <c r="C154" s="27"/>
      <c r="D154" s="37">
        <f>'qtrP&amp;L'!CF13</f>
        <v>636.54200000000003</v>
      </c>
      <c r="E154" s="27"/>
      <c r="F154" s="37">
        <f>'qtrP&amp;L'!CF23</f>
        <v>413.39600000000002</v>
      </c>
      <c r="G154" s="27"/>
      <c r="H154" s="35">
        <f>work!CD13</f>
        <v>235.15899999999999</v>
      </c>
      <c r="I154" s="27"/>
      <c r="J154" s="37">
        <f>AVERAGE(H153:H154)</f>
        <v>264.69650000000001</v>
      </c>
      <c r="K154" s="27"/>
      <c r="L154" s="79">
        <f>(D154/D147-1)*100</f>
        <v>4.3113040428820026</v>
      </c>
      <c r="M154" s="27"/>
      <c r="N154" s="80">
        <f>(H154/H147-1)*100</f>
        <v>-1.2538579436897734</v>
      </c>
      <c r="O154" s="27"/>
      <c r="P154" s="41">
        <f>(H154/H153-1)*100</f>
        <v>-20.077557318324867</v>
      </c>
      <c r="Q154" s="27"/>
      <c r="R154" s="38">
        <f>F154/J154</f>
        <v>1.5617735784190572</v>
      </c>
      <c r="S154" s="27"/>
      <c r="T154" s="109" t="s">
        <v>653</v>
      </c>
      <c r="U154" s="27"/>
      <c r="V154" s="27">
        <f>qtrSales!J155</f>
        <v>1547</v>
      </c>
      <c r="W154" s="27"/>
      <c r="X154" s="38">
        <f>H154/V154</f>
        <v>0.15200969618616678</v>
      </c>
      <c r="Y154" s="27"/>
      <c r="Z154" s="80">
        <f>(X154/X147-1)*100</f>
        <v>-6.0411628268334567</v>
      </c>
      <c r="AA154" s="27"/>
      <c r="AB154" s="125">
        <f>qtrSales!Z155</f>
        <v>4.6318799999999998</v>
      </c>
      <c r="AC154" s="27"/>
      <c r="AD154" s="132">
        <f>H154/AB154</f>
        <v>50.76966588080866</v>
      </c>
      <c r="AE154" s="27"/>
      <c r="AF154" s="170">
        <f>(AD154/AD147-1)*100</f>
        <v>-5.4836152592252052</v>
      </c>
      <c r="AG154" s="27"/>
      <c r="AH154" s="27"/>
      <c r="AI154" s="200">
        <f>((F154+('yrP&amp;L'!$V$21/4))/J154)</f>
        <v>1.8009153880009747</v>
      </c>
      <c r="AJ154" s="202"/>
      <c r="AK154" s="27"/>
      <c r="AL154" s="75">
        <f>J154/(F154/(365/4))</f>
        <v>58.427163361522602</v>
      </c>
      <c r="AM154" s="27"/>
      <c r="AN154" s="109" t="s">
        <v>653</v>
      </c>
      <c r="AO154" s="27"/>
      <c r="AP154" s="27"/>
      <c r="AQ154" s="27"/>
    </row>
    <row r="155" spans="1:43">
      <c r="A155" s="27"/>
      <c r="B155" s="27" t="str">
        <f>$B$15</f>
        <v>Year</v>
      </c>
      <c r="C155" s="27"/>
      <c r="D155" s="34">
        <f>SUM(D151:D154)</f>
        <v>2590.3340000000003</v>
      </c>
      <c r="E155" s="27"/>
      <c r="F155" s="34">
        <f>SUM(F151:F154)</f>
        <v>1592.7860000000001</v>
      </c>
      <c r="G155" s="27"/>
      <c r="H155" s="27"/>
      <c r="I155" s="27"/>
      <c r="J155" s="34">
        <f>AVERAGE(J151:J154)</f>
        <v>259.46875</v>
      </c>
      <c r="K155" s="27"/>
      <c r="L155" s="41">
        <f>(D155/D148-1)*100</f>
        <v>0.16616158237490186</v>
      </c>
      <c r="M155" s="27"/>
      <c r="N155" s="80"/>
      <c r="O155" s="27"/>
      <c r="P155" s="80"/>
      <c r="Q155" s="27"/>
      <c r="R155" s="81">
        <f>F155/J155</f>
        <v>6.1386429001565705</v>
      </c>
      <c r="S155" s="78" t="s">
        <v>100</v>
      </c>
      <c r="T155" s="38"/>
      <c r="U155" s="27"/>
      <c r="V155" s="27"/>
      <c r="W155" s="27"/>
      <c r="X155" s="27"/>
      <c r="Y155" s="27"/>
      <c r="Z155" s="27"/>
      <c r="AA155" s="27"/>
      <c r="AB155" s="114"/>
      <c r="AC155" s="27"/>
      <c r="AD155" s="323"/>
      <c r="AE155" s="27"/>
      <c r="AF155" s="27"/>
      <c r="AG155" s="27"/>
      <c r="AH155" s="27"/>
      <c r="AI155" s="244">
        <f>((F155+('yrP&amp;L'!$V$21/4))/J155)</f>
        <v>6.3826029146091772</v>
      </c>
      <c r="AJ155" s="245" t="s">
        <v>100</v>
      </c>
      <c r="AK155" s="27"/>
      <c r="AL155" s="27"/>
      <c r="AM155" s="27"/>
      <c r="AN155" s="27"/>
      <c r="AO155" s="27"/>
      <c r="AP155" s="27"/>
      <c r="AQ155" s="27"/>
    </row>
    <row r="156" spans="1:43">
      <c r="A156" s="27"/>
      <c r="B156" s="27"/>
      <c r="C156" s="27"/>
      <c r="D156" s="27"/>
      <c r="E156" s="27"/>
      <c r="F156" s="27"/>
      <c r="G156" s="27"/>
      <c r="H156" s="27"/>
      <c r="I156" s="27"/>
      <c r="J156" s="27"/>
      <c r="K156" s="27"/>
      <c r="L156" s="27"/>
      <c r="M156" s="27"/>
      <c r="N156" s="27"/>
      <c r="O156" s="27"/>
      <c r="P156" s="27"/>
      <c r="Q156" s="27"/>
      <c r="R156" s="27"/>
      <c r="S156" s="27"/>
      <c r="T156" s="38"/>
      <c r="U156" s="27"/>
      <c r="V156" s="27"/>
      <c r="W156" s="27"/>
      <c r="X156" s="27"/>
      <c r="Y156" s="27"/>
      <c r="Z156" s="27"/>
      <c r="AA156" s="27"/>
      <c r="AB156" s="27"/>
      <c r="AC156" s="27"/>
      <c r="AD156" s="27"/>
      <c r="AE156" s="27"/>
      <c r="AF156" s="27"/>
      <c r="AG156" s="27"/>
      <c r="AH156" s="27"/>
      <c r="AI156" s="27"/>
      <c r="AJ156" s="27"/>
      <c r="AK156" s="27"/>
      <c r="AL156" s="27"/>
      <c r="AM156" s="27"/>
      <c r="AN156" s="27"/>
      <c r="AO156" s="27"/>
      <c r="AP156" s="27"/>
      <c r="AQ156" s="27"/>
    </row>
    <row r="157" spans="1:43">
      <c r="A157" s="27"/>
      <c r="B157" s="454" t="s">
        <v>759</v>
      </c>
      <c r="C157" s="27"/>
      <c r="D157" s="34"/>
      <c r="E157" s="27"/>
      <c r="F157" s="34"/>
      <c r="G157" s="27"/>
      <c r="H157" s="27"/>
      <c r="I157" s="27"/>
      <c r="J157" s="34"/>
      <c r="K157" s="27"/>
      <c r="L157" s="41"/>
      <c r="M157" s="27"/>
      <c r="N157" s="80"/>
      <c r="O157" s="27"/>
      <c r="P157" s="80"/>
      <c r="Q157" s="27"/>
      <c r="R157" s="225"/>
      <c r="S157" s="32"/>
      <c r="T157" s="38"/>
      <c r="U157" s="27"/>
      <c r="V157" s="27"/>
      <c r="W157" s="27"/>
      <c r="X157" s="27"/>
      <c r="Y157" s="27"/>
      <c r="Z157" s="27"/>
      <c r="AA157" s="27"/>
      <c r="AB157" s="114"/>
      <c r="AC157" s="27"/>
      <c r="AD157" s="323"/>
      <c r="AE157" s="27"/>
      <c r="AF157" s="27"/>
      <c r="AG157" s="27"/>
      <c r="AH157" s="27"/>
      <c r="AI157" s="200"/>
      <c r="AJ157" s="249"/>
      <c r="AK157" s="27"/>
      <c r="AL157" s="27"/>
      <c r="AM157" s="27"/>
      <c r="AN157" s="27"/>
      <c r="AO157" s="27"/>
      <c r="AP157" s="27"/>
      <c r="AQ157" s="27"/>
    </row>
    <row r="158" spans="1:43">
      <c r="A158" s="27" t="str">
        <f>$A$11</f>
        <v>1Q</v>
      </c>
      <c r="B158" s="27" t="str">
        <f>$B$11</f>
        <v>Apr</v>
      </c>
      <c r="C158" s="27"/>
      <c r="D158" s="34">
        <f>'qtrP&amp;L'!CJ10</f>
        <v>672.46799999999996</v>
      </c>
      <c r="E158" s="27"/>
      <c r="F158" s="34">
        <f>'qtrP&amp;L'!CJ20</f>
        <v>385.47300000000001</v>
      </c>
      <c r="G158" s="27"/>
      <c r="H158" s="35">
        <f>work!CH10</f>
        <v>270.31299999999999</v>
      </c>
      <c r="I158" s="27"/>
      <c r="J158" s="34">
        <f>AVERAGE(H158,H154)</f>
        <v>252.73599999999999</v>
      </c>
      <c r="K158" s="27"/>
      <c r="L158" s="41">
        <f>(D158/D151-1)*100</f>
        <v>1.9634005995278203</v>
      </c>
      <c r="M158" s="27" t="s">
        <v>576</v>
      </c>
      <c r="N158" s="41">
        <f>(H158/H151-1)*100</f>
        <v>0.51911928215768732</v>
      </c>
      <c r="O158" s="27" t="s">
        <v>576</v>
      </c>
      <c r="P158" s="41">
        <f>(H158/H154-1)*100</f>
        <v>14.949034483051893</v>
      </c>
      <c r="Q158" s="27" t="s">
        <v>576</v>
      </c>
      <c r="R158" s="38">
        <f>F158/J158</f>
        <v>1.5252002089136492</v>
      </c>
      <c r="S158" s="27" t="s">
        <v>100</v>
      </c>
      <c r="T158" s="38">
        <f>F159/H158</f>
        <v>1.4954663667674142</v>
      </c>
      <c r="U158" s="27"/>
      <c r="V158" s="27">
        <f>qtrSales!J159</f>
        <v>1552</v>
      </c>
      <c r="W158" s="27"/>
      <c r="X158" s="36">
        <f>H158/V158</f>
        <v>0.17417074742268041</v>
      </c>
      <c r="Y158" s="27"/>
      <c r="Z158" s="80">
        <f>(X158/X151-1)*100</f>
        <v>-3.1078592486418088</v>
      </c>
      <c r="AA158" s="124" t="s">
        <v>576</v>
      </c>
      <c r="AB158" s="460">
        <f>3.715604/0.8</f>
        <v>4.6445049999999997</v>
      </c>
      <c r="AC158" s="27"/>
      <c r="AD158" s="132">
        <f>H158/AB158</f>
        <v>58.200604800726879</v>
      </c>
      <c r="AE158" s="27"/>
      <c r="AF158" s="164">
        <f>(AD158/AD151-1)*100</f>
        <v>-2.6905850857222746</v>
      </c>
      <c r="AG158" s="27"/>
      <c r="AH158" s="27"/>
      <c r="AI158" s="200">
        <f>((F158+('yrP&amp;L'!$W$21/4))/J158)</f>
        <v>1.7885184540389973</v>
      </c>
      <c r="AJ158" s="246" t="s">
        <v>100</v>
      </c>
      <c r="AK158" s="27"/>
      <c r="AL158" s="75">
        <f>J158/(F158/(365/4))</f>
        <v>59.828211054989573</v>
      </c>
      <c r="AM158" s="27"/>
      <c r="AN158" s="75">
        <f>H158/(F159/(365/4))</f>
        <v>61.017754747132912</v>
      </c>
      <c r="AO158" s="27"/>
      <c r="AP158" s="27"/>
      <c r="AQ158" s="27"/>
    </row>
    <row r="159" spans="1:43">
      <c r="A159" s="27" t="str">
        <f>$A$12</f>
        <v>2Q</v>
      </c>
      <c r="B159" s="27" t="str">
        <f>$B$12</f>
        <v>Jul</v>
      </c>
      <c r="C159" s="27"/>
      <c r="D159" s="35">
        <f>'qtrP&amp;L'!CJ11</f>
        <v>659.52300000000002</v>
      </c>
      <c r="E159" s="27"/>
      <c r="F159" s="35">
        <f>'qtrP&amp;L'!CJ21</f>
        <v>404.24400000000003</v>
      </c>
      <c r="G159" s="27"/>
      <c r="H159" s="35">
        <f>work!CH11</f>
        <v>239.04300000000001</v>
      </c>
      <c r="I159" s="27"/>
      <c r="J159" s="35">
        <f>AVERAGE(H158:H159)</f>
        <v>254.678</v>
      </c>
      <c r="K159" s="27"/>
      <c r="L159" s="41">
        <f>(D159/D152-1)*100</f>
        <v>1.6571307023114379</v>
      </c>
      <c r="M159" s="27"/>
      <c r="N159" s="41">
        <f>(H159/H152-1)*100</f>
        <v>0.4078598071171724</v>
      </c>
      <c r="O159" s="27"/>
      <c r="P159" s="41">
        <f>(H159/H158-1)*100</f>
        <v>-11.568071087960984</v>
      </c>
      <c r="Q159" s="27"/>
      <c r="R159" s="38">
        <f>F159/J159</f>
        <v>1.5872749118494729</v>
      </c>
      <c r="S159" s="27"/>
      <c r="T159" s="38">
        <f>F160/H159</f>
        <v>1.6003145877519942</v>
      </c>
      <c r="U159" s="27"/>
      <c r="V159" s="27">
        <f>qtrSales!J160</f>
        <v>1548</v>
      </c>
      <c r="W159" s="27"/>
      <c r="X159" s="38">
        <f>H159/V159</f>
        <v>0.15442054263565891</v>
      </c>
      <c r="Y159" s="27"/>
      <c r="Z159" s="80">
        <f>(X159/X152-1)*100</f>
        <v>-1.0839882391126099</v>
      </c>
      <c r="AA159" s="27"/>
      <c r="AB159" s="460">
        <f>3.702641/0.8</f>
        <v>4.6283012499999998</v>
      </c>
      <c r="AC159" s="27"/>
      <c r="AD159" s="132">
        <f>H159/AB159</f>
        <v>51.648107391453834</v>
      </c>
      <c r="AE159" s="27"/>
      <c r="AF159" s="164">
        <f>(AD159/AD152-1)*100</f>
        <v>-0.8810270087454608</v>
      </c>
      <c r="AG159" s="27"/>
      <c r="AH159" s="27"/>
      <c r="AI159" s="200">
        <f>((F159+('yrP&amp;L'!$W$21/4))/J159)</f>
        <v>1.8485852723831664</v>
      </c>
      <c r="AJ159" s="201"/>
      <c r="AK159" s="27"/>
      <c r="AL159" s="75">
        <f>J159/(F159/(365/4))</f>
        <v>57.488466124419901</v>
      </c>
      <c r="AM159" s="27"/>
      <c r="AN159" s="75">
        <f>H159/(F160/(365/4))</f>
        <v>57.02003887134552</v>
      </c>
      <c r="AO159" s="27"/>
      <c r="AP159" s="27"/>
      <c r="AQ159" s="27"/>
    </row>
    <row r="160" spans="1:43">
      <c r="A160" s="27" t="str">
        <f>$A$13</f>
        <v>3Q</v>
      </c>
      <c r="B160" s="27" t="str">
        <f>$B$13</f>
        <v>Oct</v>
      </c>
      <c r="C160" s="27"/>
      <c r="D160" s="35">
        <f>'qtrP&amp;L'!CJ12</f>
        <v>626.73500000000001</v>
      </c>
      <c r="E160" s="27"/>
      <c r="F160" s="35">
        <f>'qtrP&amp;L'!CJ22</f>
        <v>382.54399999999998</v>
      </c>
      <c r="G160" s="27"/>
      <c r="H160" s="35">
        <f>work!CH12</f>
        <v>268.96800000000002</v>
      </c>
      <c r="I160" s="27"/>
      <c r="J160" s="35">
        <f>AVERAGE(H159:H160)</f>
        <v>254.00550000000001</v>
      </c>
      <c r="K160" s="27"/>
      <c r="L160" s="41">
        <f>(D160/D153-1)*100</f>
        <v>-2.9071992142537306</v>
      </c>
      <c r="M160" s="27"/>
      <c r="N160" s="41">
        <f>(H160/H153-1)*100</f>
        <v>-8.5870429658027163</v>
      </c>
      <c r="O160" s="27"/>
      <c r="P160" s="41">
        <f>(H160/H159-1)*100</f>
        <v>12.518668189405258</v>
      </c>
      <c r="Q160" s="27"/>
      <c r="R160" s="38">
        <f>F160/J160</f>
        <v>1.5060461289224052</v>
      </c>
      <c r="S160" s="27"/>
      <c r="T160" s="38">
        <f>F161/H160</f>
        <v>1.4931032687903392</v>
      </c>
      <c r="U160" s="27"/>
      <c r="V160" s="27">
        <f>qtrSales!J161</f>
        <v>1546</v>
      </c>
      <c r="W160" s="27"/>
      <c r="X160" s="38">
        <f>H160/V160</f>
        <v>0.17397671410090557</v>
      </c>
      <c r="Y160" s="27"/>
      <c r="Z160" s="80">
        <f>(X160/X153-1)*100</f>
        <v>-7.9366273594791981</v>
      </c>
      <c r="AA160" s="27"/>
      <c r="AB160" s="460">
        <f>3.698464/0.8</f>
        <v>4.6230799999999999</v>
      </c>
      <c r="AC160" s="27"/>
      <c r="AD160" s="132">
        <f>H160/AB160</f>
        <v>58.179395554478837</v>
      </c>
      <c r="AE160" s="27"/>
      <c r="AF160" s="164">
        <f>(AD160/AD153-1)*100</f>
        <v>-7.8852930836584179</v>
      </c>
      <c r="AG160" s="27"/>
      <c r="AH160" s="27"/>
      <c r="AI160" s="200">
        <f>((F160+('yrP&amp;L'!$W$21/4))/J160)</f>
        <v>1.768048329662153</v>
      </c>
      <c r="AJ160" s="201"/>
      <c r="AK160" s="27"/>
      <c r="AL160" s="75">
        <f>J160/(F160/(365/4))</f>
        <v>60.589113605232342</v>
      </c>
      <c r="AM160" s="27"/>
      <c r="AN160" s="75">
        <f>H160/(F161/(365/4))</f>
        <v>61.114326053232482</v>
      </c>
      <c r="AO160" s="27"/>
      <c r="AP160" s="27"/>
      <c r="AQ160" s="27"/>
    </row>
    <row r="161" spans="1:43">
      <c r="A161" s="27" t="str">
        <f>$A$14</f>
        <v>4Q</v>
      </c>
      <c r="B161" s="27" t="str">
        <f>$B$14</f>
        <v>Jan</v>
      </c>
      <c r="C161" s="27"/>
      <c r="D161" s="37">
        <f>'qtrP&amp;L'!CJ13</f>
        <v>614.86</v>
      </c>
      <c r="E161" s="27"/>
      <c r="F161" s="37">
        <f>'qtrP&amp;L'!CJ23</f>
        <v>401.59699999999998</v>
      </c>
      <c r="G161" s="27"/>
      <c r="H161" s="35">
        <f>work!CH13</f>
        <v>233.834</v>
      </c>
      <c r="I161" s="27"/>
      <c r="J161" s="37">
        <f>AVERAGE(H160:H161)</f>
        <v>251.40100000000001</v>
      </c>
      <c r="K161" s="27"/>
      <c r="L161" s="79">
        <f>(D161/D154-1)*100</f>
        <v>-3.4062167146865385</v>
      </c>
      <c r="M161" s="27"/>
      <c r="N161" s="80">
        <f>(H161/H154-1)*100</f>
        <v>-0.5634485603357664</v>
      </c>
      <c r="O161" s="27"/>
      <c r="P161" s="41">
        <f>(H161/H160-1)*100</f>
        <v>-13.062520448529202</v>
      </c>
      <c r="Q161" s="27"/>
      <c r="R161" s="38">
        <f>F161/J161</f>
        <v>1.5974359688306727</v>
      </c>
      <c r="S161" s="27"/>
      <c r="T161" s="109" t="s">
        <v>653</v>
      </c>
      <c r="U161" s="27"/>
      <c r="V161" s="27">
        <f>qtrSales!J162</f>
        <v>1518</v>
      </c>
      <c r="W161" s="27"/>
      <c r="X161" s="38">
        <f>H161/V161</f>
        <v>0.15404084321475625</v>
      </c>
      <c r="Y161" s="27"/>
      <c r="Z161" s="80">
        <f>(X161/X154-1)*100</f>
        <v>1.336195703004317</v>
      </c>
      <c r="AA161" s="27"/>
      <c r="AB161" s="125">
        <f>qtrSales!Z162</f>
        <v>4.5655512499999995</v>
      </c>
      <c r="AC161" s="27"/>
      <c r="AD161" s="132">
        <f>H161/AB161</f>
        <v>51.217035401803898</v>
      </c>
      <c r="AE161" s="27"/>
      <c r="AF161" s="170">
        <f>(AD161/AD154-1)*100</f>
        <v>0.88117483783627382</v>
      </c>
      <c r="AG161" s="27"/>
      <c r="AH161" s="27"/>
      <c r="AI161" s="200">
        <f>((F161+('yrP&amp;L'!$W$21/4))/J161)</f>
        <v>1.8621524974045449</v>
      </c>
      <c r="AJ161" s="202"/>
      <c r="AK161" s="27"/>
      <c r="AL161" s="75">
        <f>J161/(F161/(365/4))</f>
        <v>57.122790384390335</v>
      </c>
      <c r="AM161" s="27"/>
      <c r="AN161" s="109" t="s">
        <v>653</v>
      </c>
      <c r="AO161" s="27"/>
      <c r="AP161" s="27"/>
      <c r="AQ161" s="27"/>
    </row>
    <row r="162" spans="1:43">
      <c r="A162" s="27"/>
      <c r="B162" s="27" t="str">
        <f>$B$15</f>
        <v>Year</v>
      </c>
      <c r="C162" s="27"/>
      <c r="D162" s="34">
        <f>SUM(D158:D161)</f>
        <v>2573.5860000000002</v>
      </c>
      <c r="E162" s="27"/>
      <c r="F162" s="34">
        <f>SUM(F158:F161)</f>
        <v>1573.8579999999999</v>
      </c>
      <c r="G162" s="27"/>
      <c r="H162" s="27"/>
      <c r="I162" s="27"/>
      <c r="J162" s="34">
        <f>AVERAGE(J158:J161)</f>
        <v>253.20512500000001</v>
      </c>
      <c r="K162" s="27"/>
      <c r="L162" s="41">
        <f>(D162/D155-1)*100</f>
        <v>-0.64655754817718458</v>
      </c>
      <c r="M162" s="27"/>
      <c r="N162" s="80"/>
      <c r="O162" s="27"/>
      <c r="P162" s="80"/>
      <c r="Q162" s="27"/>
      <c r="R162" s="81">
        <f>F162/J162</f>
        <v>6.2157430660220641</v>
      </c>
      <c r="S162" s="78" t="s">
        <v>100</v>
      </c>
      <c r="T162" s="38"/>
      <c r="U162" s="27"/>
      <c r="V162" s="27"/>
      <c r="W162" s="27"/>
      <c r="X162" s="27"/>
      <c r="Y162" s="27"/>
      <c r="Z162" s="27"/>
      <c r="AA162" s="27"/>
      <c r="AB162" s="114"/>
      <c r="AC162" s="27"/>
      <c r="AD162" s="323"/>
      <c r="AE162" s="27"/>
      <c r="AF162" s="27"/>
      <c r="AG162" s="27"/>
      <c r="AH162" s="27"/>
      <c r="AI162" s="244">
        <f>((F162+('yrP&amp;L'!$W$21/4))/J162)</f>
        <v>6.4785734490958662</v>
      </c>
      <c r="AJ162" s="245" t="s">
        <v>100</v>
      </c>
      <c r="AK162" s="27"/>
      <c r="AL162" s="27"/>
      <c r="AM162" s="27"/>
      <c r="AN162" s="27"/>
      <c r="AO162" s="27"/>
      <c r="AP162" s="27"/>
      <c r="AQ162" s="27"/>
    </row>
    <row r="163" spans="1:43">
      <c r="A163" s="27"/>
      <c r="B163" s="27"/>
      <c r="C163" s="27"/>
      <c r="D163" s="27"/>
      <c r="E163" s="27"/>
      <c r="F163" s="27"/>
      <c r="G163" s="27"/>
      <c r="H163" s="27"/>
      <c r="I163" s="27"/>
      <c r="J163" s="27"/>
      <c r="K163" s="27"/>
      <c r="L163" s="27"/>
      <c r="M163" s="27"/>
      <c r="N163" s="27"/>
      <c r="O163" s="27"/>
      <c r="P163" s="27"/>
      <c r="Q163" s="27"/>
      <c r="R163" s="27"/>
      <c r="S163" s="27"/>
      <c r="T163" s="38"/>
      <c r="U163" s="27"/>
      <c r="V163" s="27"/>
      <c r="W163" s="27"/>
      <c r="X163" s="27"/>
      <c r="Y163" s="27"/>
      <c r="Z163" s="27"/>
      <c r="AA163" s="27"/>
      <c r="AB163" s="27"/>
      <c r="AC163" s="27"/>
      <c r="AD163" s="27"/>
      <c r="AE163" s="27"/>
      <c r="AF163" s="27"/>
      <c r="AG163" s="27"/>
      <c r="AH163" s="27"/>
      <c r="AI163" s="27"/>
      <c r="AJ163" s="27"/>
      <c r="AK163" s="27"/>
      <c r="AL163" s="27"/>
      <c r="AM163" s="27"/>
      <c r="AN163" s="27"/>
      <c r="AO163" s="27"/>
      <c r="AP163" s="27"/>
      <c r="AQ163" s="27"/>
    </row>
    <row r="164" spans="1:43">
      <c r="A164" s="27"/>
      <c r="B164" s="454" t="s">
        <v>784</v>
      </c>
      <c r="C164" s="27"/>
      <c r="D164" s="34"/>
      <c r="E164" s="27"/>
      <c r="F164" s="34"/>
      <c r="G164" s="27"/>
      <c r="H164" s="27"/>
      <c r="I164" s="27"/>
      <c r="J164" s="34"/>
      <c r="K164" s="27"/>
      <c r="L164" s="41"/>
      <c r="M164" s="27"/>
      <c r="N164" s="80"/>
      <c r="O164" s="27"/>
      <c r="P164" s="80"/>
      <c r="Q164" s="27"/>
      <c r="R164" s="225"/>
      <c r="S164" s="32"/>
      <c r="T164" s="38"/>
      <c r="U164" s="27"/>
      <c r="V164" s="27"/>
      <c r="W164" s="27"/>
      <c r="X164" s="27"/>
      <c r="Y164" s="27"/>
      <c r="Z164" s="27"/>
      <c r="AA164" s="27"/>
      <c r="AB164" s="114"/>
      <c r="AC164" s="27"/>
      <c r="AD164" s="323"/>
      <c r="AE164" s="27"/>
      <c r="AF164" s="27"/>
      <c r="AG164" s="27"/>
      <c r="AH164" s="27"/>
      <c r="AI164" s="200"/>
      <c r="AJ164" s="249"/>
      <c r="AK164" s="27"/>
      <c r="AL164" s="27"/>
      <c r="AM164" s="27"/>
      <c r="AN164" s="27"/>
      <c r="AO164" s="27"/>
      <c r="AP164" s="27"/>
      <c r="AQ164" s="27"/>
    </row>
    <row r="165" spans="1:43">
      <c r="A165" s="27" t="str">
        <f>$A$11</f>
        <v>1Q</v>
      </c>
      <c r="B165" s="27" t="str">
        <f>$B$11</f>
        <v>Apr</v>
      </c>
      <c r="C165" s="27"/>
      <c r="D165" s="34">
        <f>'qtrP&amp;L'!CN10</f>
        <v>642.97699999999998</v>
      </c>
      <c r="E165" s="27"/>
      <c r="F165" s="34">
        <f>'qtrP&amp;L'!CN20</f>
        <v>380.642</v>
      </c>
      <c r="G165" s="27"/>
      <c r="H165" s="35">
        <f>work!CL10</f>
        <v>267.988</v>
      </c>
      <c r="I165" s="27"/>
      <c r="J165" s="34">
        <f>AVERAGE(H165,H161)</f>
        <v>250.911</v>
      </c>
      <c r="K165" s="27"/>
      <c r="L165" s="41">
        <f>(D165/D158-1)*100</f>
        <v>-4.3854874878804573</v>
      </c>
      <c r="M165" s="27" t="s">
        <v>576</v>
      </c>
      <c r="N165" s="41">
        <f>(H165/H158-1)*100</f>
        <v>-0.86011401597406723</v>
      </c>
      <c r="O165" s="27" t="s">
        <v>576</v>
      </c>
      <c r="P165" s="41">
        <f>(H165/H161-1)*100</f>
        <v>14.606088079577816</v>
      </c>
      <c r="Q165" s="27" t="s">
        <v>576</v>
      </c>
      <c r="R165" s="38">
        <f>F165/J165</f>
        <v>1.517039906580421</v>
      </c>
      <c r="S165" s="27" t="s">
        <v>100</v>
      </c>
      <c r="T165" s="38">
        <f>F166/H165</f>
        <v>1.4736555368150814</v>
      </c>
      <c r="U165" s="27"/>
      <c r="V165" s="27">
        <f>qtrSales!J166</f>
        <v>1517</v>
      </c>
      <c r="W165" s="27"/>
      <c r="X165" s="36">
        <f>H165/V165</f>
        <v>0.17665655899802241</v>
      </c>
      <c r="Y165" s="27"/>
      <c r="Z165" s="80">
        <f>(X165/X158-1)*100</f>
        <v>1.4272267944681838</v>
      </c>
      <c r="AA165" s="124" t="s">
        <v>576</v>
      </c>
      <c r="AB165" s="460">
        <f>3.646594/0.8</f>
        <v>4.5582424999999995</v>
      </c>
      <c r="AC165" s="27"/>
      <c r="AD165" s="132">
        <f>H165/AB165</f>
        <v>58.791957645956757</v>
      </c>
      <c r="AE165" s="27"/>
      <c r="AF165" s="80">
        <f>(AD165/AD158-1)*100</f>
        <v>1.0160596221544527</v>
      </c>
      <c r="AG165" s="27"/>
      <c r="AH165" s="27"/>
      <c r="AI165" s="200">
        <f>((F165+('yrP&amp;L'!$X$21/4))/J165)</f>
        <v>1.784565044976107</v>
      </c>
      <c r="AJ165" s="246" t="s">
        <v>100</v>
      </c>
      <c r="AK165" s="27"/>
      <c r="AL165" s="75">
        <f>J165/(F165/(365/4))</f>
        <v>60.15003270789876</v>
      </c>
      <c r="AM165" s="27"/>
      <c r="AN165" s="75">
        <f>H165/(F166/(365/4))</f>
        <v>61.920847661057117</v>
      </c>
      <c r="AO165" s="27"/>
      <c r="AP165" s="27"/>
      <c r="AQ165" s="27"/>
    </row>
    <row r="166" spans="1:43">
      <c r="A166" s="27" t="str">
        <f>$A$12</f>
        <v>2Q</v>
      </c>
      <c r="B166" s="27" t="str">
        <f>$B$12</f>
        <v>Jul</v>
      </c>
      <c r="C166" s="27"/>
      <c r="D166" s="35">
        <f>'qtrP&amp;L'!CN11</f>
        <v>635.73199999999997</v>
      </c>
      <c r="E166" s="27"/>
      <c r="F166" s="35">
        <f>'qtrP&amp;L'!CN21</f>
        <v>394.92200000000003</v>
      </c>
      <c r="G166" s="27"/>
      <c r="H166" s="35">
        <f>work!CL11</f>
        <v>235.636</v>
      </c>
      <c r="I166" s="27"/>
      <c r="J166" s="35">
        <f>AVERAGE(H165:H166)</f>
        <v>251.81200000000001</v>
      </c>
      <c r="K166" s="27"/>
      <c r="L166" s="41">
        <f>(D166/D159-1)*100</f>
        <v>-3.607304066727024</v>
      </c>
      <c r="M166" s="27"/>
      <c r="N166" s="41">
        <f>(H166/H159-1)*100</f>
        <v>-1.4252665838363821</v>
      </c>
      <c r="O166" s="27"/>
      <c r="P166" s="41">
        <f>(H166/H165-1)*100</f>
        <v>-12.07218233652253</v>
      </c>
      <c r="Q166" s="27"/>
      <c r="R166" s="38">
        <f>F166/J166</f>
        <v>1.5683208107635855</v>
      </c>
      <c r="S166" s="27"/>
      <c r="T166" s="38">
        <f>F167/H166</f>
        <v>1.5558658269534367</v>
      </c>
      <c r="U166" s="27"/>
      <c r="V166" s="27">
        <f>qtrSales!J167</f>
        <v>1517</v>
      </c>
      <c r="W166" s="27"/>
      <c r="X166" s="38">
        <f>H166/V166</f>
        <v>0.15533025708635465</v>
      </c>
      <c r="Y166" s="27"/>
      <c r="Z166" s="80">
        <f>(X166/X159-1)*100</f>
        <v>0.58911491642801295</v>
      </c>
      <c r="AA166" s="27"/>
      <c r="AB166" s="1296">
        <f>3.651711/0.8</f>
        <v>4.5646387500000003</v>
      </c>
      <c r="AC166" s="27"/>
      <c r="AD166" s="132">
        <f>H166/AB166</f>
        <v>51.622047856470566</v>
      </c>
      <c r="AE166" s="27"/>
      <c r="AF166" s="80">
        <f>(AD166/AD159-1)*100</f>
        <v>-5.0455934010817938E-2</v>
      </c>
      <c r="AG166" s="27"/>
      <c r="AH166" s="27"/>
      <c r="AI166" s="200">
        <f>((F166+('yrP&amp;L'!$X$21/4))/J166)</f>
        <v>1.8348887265102536</v>
      </c>
      <c r="AJ166" s="201"/>
      <c r="AK166" s="27"/>
      <c r="AL166" s="75">
        <f>J166/(F166/(365/4))</f>
        <v>58.183248844075543</v>
      </c>
      <c r="AM166" s="27"/>
      <c r="AN166" s="75">
        <f>H166/(F167/(365/4))</f>
        <v>58.649016142142507</v>
      </c>
      <c r="AO166" s="27"/>
      <c r="AP166" s="27"/>
      <c r="AQ166" s="27"/>
    </row>
    <row r="167" spans="1:43">
      <c r="A167" s="27" t="str">
        <f>$A$13</f>
        <v>3Q</v>
      </c>
      <c r="B167" s="27" t="str">
        <f>$B$13</f>
        <v>Oct</v>
      </c>
      <c r="C167" s="27"/>
      <c r="D167" s="35">
        <f>'qtrP&amp;L'!CN12</f>
        <v>596.91200000000003</v>
      </c>
      <c r="E167" s="27"/>
      <c r="F167" s="35">
        <f>'qtrP&amp;L'!CN22</f>
        <v>366.61799999999999</v>
      </c>
      <c r="G167" s="27"/>
      <c r="H167" s="35">
        <f>work!CL12</f>
        <v>261.34100000000001</v>
      </c>
      <c r="I167" s="27"/>
      <c r="J167" s="35">
        <f>AVERAGE(H166:H167)</f>
        <v>248.48849999999999</v>
      </c>
      <c r="K167" s="27"/>
      <c r="L167" s="41">
        <f>(D167/D160-1)*100</f>
        <v>-4.7584704859310545</v>
      </c>
      <c r="M167" s="27"/>
      <c r="N167" s="41">
        <f>(H167/H160-1)*100</f>
        <v>-2.8356533119181515</v>
      </c>
      <c r="O167" s="27"/>
      <c r="P167" s="41">
        <f>(H167/H166-1)*100</f>
        <v>10.908774550578016</v>
      </c>
      <c r="Q167" s="27"/>
      <c r="R167" s="38">
        <f>F167/J167</f>
        <v>1.4753922213704056</v>
      </c>
      <c r="S167" s="27"/>
      <c r="T167" s="38">
        <f>F168/H167</f>
        <v>1.4823238603969526</v>
      </c>
      <c r="U167" s="27"/>
      <c r="V167" s="27">
        <f>qtrSales!J168</f>
        <v>1510</v>
      </c>
      <c r="W167" s="27"/>
      <c r="X167" s="38">
        <f>H167/V167</f>
        <v>0.17307350993377485</v>
      </c>
      <c r="Y167" s="27"/>
      <c r="Z167" s="80">
        <f>(X167/X160-1)*100</f>
        <v>-0.51915233127513005</v>
      </c>
      <c r="AA167" s="27"/>
      <c r="AB167" s="1296">
        <f>3.634821/0.8</f>
        <v>4.5435262500000002</v>
      </c>
      <c r="AC167" s="27"/>
      <c r="AD167" s="132">
        <f>H167/AB167</f>
        <v>57.519421176448581</v>
      </c>
      <c r="AE167" s="27"/>
      <c r="AF167" s="80">
        <f>(AD167/AD160-1)*100</f>
        <v>-1.1343781965081789</v>
      </c>
      <c r="AG167" s="27"/>
      <c r="AH167" s="27"/>
      <c r="AI167" s="200">
        <f>((F167+('yrP&amp;L'!$X$21/4))/J167)</f>
        <v>1.7455254468516652</v>
      </c>
      <c r="AJ167" s="201"/>
      <c r="AK167" s="27"/>
      <c r="AL167" s="75">
        <f>J167/(F167/(365/4))</f>
        <v>61.847960615681714</v>
      </c>
      <c r="AM167" s="27"/>
      <c r="AN167" s="75">
        <f>H167/(F168/(365/4))</f>
        <v>61.558747341194447</v>
      </c>
      <c r="AO167" s="27"/>
      <c r="AP167" s="27"/>
      <c r="AQ167" s="27"/>
    </row>
    <row r="168" spans="1:43">
      <c r="A168" s="27" t="str">
        <f>$A$14</f>
        <v>4Q</v>
      </c>
      <c r="B168" s="27" t="str">
        <f>$B$14</f>
        <v>Jan</v>
      </c>
      <c r="C168" s="27"/>
      <c r="D168" s="37">
        <f>'qtrP&amp;L'!CN13</f>
        <v>600.78899999999999</v>
      </c>
      <c r="E168" s="27"/>
      <c r="F168" s="37">
        <f>'qtrP&amp;L'!CN23</f>
        <v>387.392</v>
      </c>
      <c r="G168" s="27"/>
      <c r="H168" s="35">
        <f>work!CL13</f>
        <v>232.363</v>
      </c>
      <c r="I168" s="27"/>
      <c r="J168" s="37">
        <f>AVERAGE(H167:H168)</f>
        <v>246.852</v>
      </c>
      <c r="K168" s="27"/>
      <c r="L168" s="79">
        <f>(D168/D161-1)*100</f>
        <v>-2.2884884363920333</v>
      </c>
      <c r="M168" s="27"/>
      <c r="N168" s="80">
        <f>(H168/H161-1)*100</f>
        <v>-0.62907874817178522</v>
      </c>
      <c r="O168" s="27"/>
      <c r="P168" s="41">
        <f>(H168/H167-1)*100</f>
        <v>-11.088195116724897</v>
      </c>
      <c r="Q168" s="27"/>
      <c r="R168" s="38">
        <f>F168/J168</f>
        <v>1.5693289906502681</v>
      </c>
      <c r="S168" s="27"/>
      <c r="T168" s="109" t="s">
        <v>653</v>
      </c>
      <c r="U168" s="27"/>
      <c r="V168" s="27">
        <f>qtrSales!J169</f>
        <v>1501</v>
      </c>
      <c r="W168" s="27"/>
      <c r="X168" s="38">
        <f>H168/V168</f>
        <v>0.15480546302465023</v>
      </c>
      <c r="Y168" s="27"/>
      <c r="Z168" s="80">
        <f>(X168/X161-1)*100</f>
        <v>0.49637472370103186</v>
      </c>
      <c r="AA168" s="27"/>
      <c r="AB168" s="125">
        <f>qtrSales!Z169</f>
        <v>4.5144549999999999</v>
      </c>
      <c r="AC168" s="27"/>
      <c r="AD168" s="132">
        <f>H168/AB168</f>
        <v>51.470886297460048</v>
      </c>
      <c r="AE168" s="27"/>
      <c r="AF168" s="80">
        <f>(AD168/AD161-1)*100</f>
        <v>0.49563762069526618</v>
      </c>
      <c r="AG168" s="27"/>
      <c r="AH168" s="27"/>
      <c r="AI168" s="200">
        <f>((F168+('yrP&amp;L'!$X$21/4))/J168)</f>
        <v>1.8412530585127931</v>
      </c>
      <c r="AJ168" s="202"/>
      <c r="AK168" s="27"/>
      <c r="AL168" s="75">
        <f>J168/(F168/(365/4))</f>
        <v>58.145870332892777</v>
      </c>
      <c r="AM168" s="27"/>
      <c r="AN168" s="109" t="s">
        <v>653</v>
      </c>
      <c r="AO168" s="27"/>
      <c r="AP168" s="27"/>
      <c r="AQ168" s="27"/>
    </row>
    <row r="169" spans="1:43">
      <c r="A169" s="27"/>
      <c r="B169" s="27" t="str">
        <f>$B$15</f>
        <v>Year</v>
      </c>
      <c r="C169" s="27"/>
      <c r="D169" s="34">
        <f>SUM(D165:D168)</f>
        <v>2476.41</v>
      </c>
      <c r="E169" s="27"/>
      <c r="F169" s="34">
        <f>SUM(F165:F168)</f>
        <v>1529.5740000000001</v>
      </c>
      <c r="G169" s="27"/>
      <c r="H169" s="27"/>
      <c r="I169" s="27"/>
      <c r="J169" s="34">
        <f>AVERAGE(J165:J168)</f>
        <v>249.51587499999999</v>
      </c>
      <c r="K169" s="27"/>
      <c r="L169" s="41">
        <f>(D169/D162-1)*100</f>
        <v>-3.7758986876677336</v>
      </c>
      <c r="M169" s="27"/>
      <c r="N169" s="80"/>
      <c r="O169" s="27"/>
      <c r="P169" s="80"/>
      <c r="Q169" s="27"/>
      <c r="R169" s="81">
        <f>F169/J169</f>
        <v>6.1301670685282055</v>
      </c>
      <c r="S169" s="78" t="s">
        <v>100</v>
      </c>
      <c r="T169" s="38"/>
      <c r="U169" s="27"/>
      <c r="V169" s="27"/>
      <c r="W169" s="27"/>
      <c r="X169" s="27"/>
      <c r="Y169" s="27"/>
      <c r="Z169" s="27"/>
      <c r="AA169" s="27"/>
      <c r="AB169" s="114"/>
      <c r="AC169" s="27"/>
      <c r="AD169" s="323"/>
      <c r="AE169" s="27"/>
      <c r="AF169" s="27"/>
      <c r="AG169" s="27"/>
      <c r="AH169" s="27"/>
      <c r="AI169" s="244">
        <f>((F169+('yrP&amp;L'!$X$21/4))/J169)</f>
        <v>6.3991880276154776</v>
      </c>
      <c r="AJ169" s="245" t="s">
        <v>100</v>
      </c>
      <c r="AK169" s="27"/>
      <c r="AL169" s="27"/>
      <c r="AM169" s="27"/>
      <c r="AN169" s="27"/>
      <c r="AO169" s="27"/>
      <c r="AP169" s="27"/>
      <c r="AQ169" s="27"/>
    </row>
    <row r="170" spans="1:43">
      <c r="A170" s="27"/>
      <c r="B170" s="27"/>
      <c r="C170" s="27"/>
      <c r="D170" s="27"/>
      <c r="E170" s="27"/>
      <c r="F170" s="27"/>
      <c r="G170" s="27"/>
      <c r="H170" s="27"/>
      <c r="I170" s="27"/>
      <c r="J170" s="27"/>
      <c r="K170" s="27"/>
      <c r="L170" s="27"/>
      <c r="M170" s="27"/>
      <c r="N170" s="27"/>
      <c r="O170" s="27"/>
      <c r="P170" s="27"/>
      <c r="Q170" s="27"/>
      <c r="R170" s="113"/>
      <c r="S170" s="27"/>
      <c r="T170" s="38"/>
      <c r="U170" s="27"/>
      <c r="V170" s="27"/>
      <c r="W170" s="27"/>
      <c r="X170" s="27"/>
      <c r="Y170" s="27"/>
      <c r="Z170" s="27"/>
      <c r="AA170" s="27"/>
      <c r="AB170" s="27"/>
      <c r="AC170" s="27"/>
      <c r="AD170" s="27"/>
      <c r="AE170" s="27"/>
      <c r="AF170" s="41"/>
      <c r="AG170" s="27"/>
      <c r="AH170" s="27"/>
      <c r="AI170" s="27"/>
      <c r="AJ170" s="27"/>
      <c r="AK170" s="27"/>
      <c r="AL170" s="27"/>
      <c r="AM170" s="27"/>
      <c r="AN170" s="27"/>
      <c r="AO170" s="27"/>
      <c r="AP170" s="27"/>
      <c r="AQ170" s="27"/>
    </row>
    <row r="171" spans="1:43">
      <c r="A171" s="27"/>
      <c r="B171" s="70" t="s">
        <v>207</v>
      </c>
      <c r="C171" s="27"/>
      <c r="D171" s="34"/>
      <c r="E171" s="27"/>
      <c r="F171" s="34"/>
      <c r="G171" s="27"/>
      <c r="H171" s="27"/>
      <c r="I171" s="27"/>
      <c r="J171" s="34"/>
      <c r="K171" s="27"/>
      <c r="L171" s="41"/>
      <c r="M171" s="27"/>
      <c r="N171" s="80"/>
      <c r="O171" s="27"/>
      <c r="P171" s="80"/>
      <c r="Q171" s="27"/>
      <c r="R171" s="225"/>
      <c r="S171" s="32"/>
      <c r="T171" s="38"/>
      <c r="U171" s="27"/>
      <c r="V171" s="27"/>
      <c r="W171" s="27"/>
      <c r="X171" s="27"/>
      <c r="Y171" s="27"/>
      <c r="Z171" s="27"/>
      <c r="AA171" s="27"/>
      <c r="AB171" s="114"/>
      <c r="AC171" s="27"/>
      <c r="AD171" s="323"/>
      <c r="AE171" s="27"/>
      <c r="AF171" s="1309"/>
      <c r="AG171" s="27"/>
      <c r="AH171" s="27"/>
      <c r="AI171" s="200"/>
      <c r="AJ171" s="249"/>
      <c r="AK171" s="27"/>
      <c r="AL171" s="27"/>
      <c r="AM171" s="27"/>
      <c r="AN171" s="27"/>
      <c r="AO171" s="27"/>
      <c r="AP171" s="27"/>
      <c r="AQ171" s="27"/>
    </row>
    <row r="172" spans="1:43">
      <c r="A172" s="27" t="str">
        <f>$A$11</f>
        <v>1Q</v>
      </c>
      <c r="B172" s="27" t="str">
        <f>$B$11</f>
        <v>Apr</v>
      </c>
      <c r="C172" s="27"/>
      <c r="D172" s="34">
        <f>'qtrP&amp;L'!CR10</f>
        <v>583.72799999999995</v>
      </c>
      <c r="E172" s="27"/>
      <c r="F172" s="34">
        <f>'qtrP&amp;L'!CR20</f>
        <v>346.315</v>
      </c>
      <c r="G172" s="27"/>
      <c r="H172" s="1308">
        <f>work!CP10</f>
        <v>273.87799999999999</v>
      </c>
      <c r="I172" s="27"/>
      <c r="J172" s="34">
        <f>AVERAGE(H172,H168)</f>
        <v>253.12049999999999</v>
      </c>
      <c r="K172" s="27"/>
      <c r="L172" s="41">
        <f>(D172/D165-1)*100</f>
        <v>-9.2147930641376057</v>
      </c>
      <c r="M172" s="27" t="s">
        <v>576</v>
      </c>
      <c r="N172" s="41">
        <f>(H172/H165-1)*100</f>
        <v>2.1978596056539734</v>
      </c>
      <c r="O172" s="27" t="s">
        <v>576</v>
      </c>
      <c r="P172" s="41">
        <f>(H172/H168-1)*100</f>
        <v>17.866441731256689</v>
      </c>
      <c r="Q172" s="27" t="s">
        <v>576</v>
      </c>
      <c r="R172" s="38">
        <f>F172/J172</f>
        <v>1.368182347933099</v>
      </c>
      <c r="S172" s="27" t="s">
        <v>100</v>
      </c>
      <c r="T172" s="38">
        <f>F173/H172</f>
        <v>1.3490678331227774</v>
      </c>
      <c r="U172" s="27"/>
      <c r="V172" s="27">
        <f>qtrSales!J173</f>
        <v>1492</v>
      </c>
      <c r="W172" s="27"/>
      <c r="X172" s="36">
        <f>H172/V172</f>
        <v>0.18356434316353887</v>
      </c>
      <c r="Y172" s="27"/>
      <c r="Z172" s="80">
        <f>(X172/X165-1)*100</f>
        <v>3.9102902290731212</v>
      </c>
      <c r="AA172" s="124" t="s">
        <v>576</v>
      </c>
      <c r="AB172" s="460">
        <f>3.592163/0.8</f>
        <v>4.49020375</v>
      </c>
      <c r="AC172" s="27"/>
      <c r="AD172" s="132">
        <f>H172/AB172</f>
        <v>60.994559545321295</v>
      </c>
      <c r="AE172" s="27"/>
      <c r="AF172" s="80">
        <f>(AD172/AD165-1)*100</f>
        <v>3.7464340150544562</v>
      </c>
      <c r="AG172" s="27"/>
      <c r="AH172" s="27"/>
      <c r="AI172" s="200">
        <f>((F172+('yrP&amp;L'!$Y$21/4))/J172)</f>
        <v>1.6286314225833152</v>
      </c>
      <c r="AJ172" s="246" t="s">
        <v>100</v>
      </c>
      <c r="AK172" s="27"/>
      <c r="AL172" s="75">
        <f>J172/(F172/(365/4))</f>
        <v>66.694326335850306</v>
      </c>
      <c r="AM172" s="27"/>
      <c r="AN172" s="75">
        <f>H172/(F173/(365/4))</f>
        <v>67.639297120277135</v>
      </c>
      <c r="AO172" s="27"/>
      <c r="AP172" s="27"/>
      <c r="AQ172" s="27"/>
    </row>
    <row r="173" spans="1:43">
      <c r="A173" s="27" t="str">
        <f>$A$12</f>
        <v>2Q</v>
      </c>
      <c r="B173" s="27" t="str">
        <f>$B$12</f>
        <v>Jul</v>
      </c>
      <c r="C173" s="27"/>
      <c r="D173" s="35">
        <f>'qtrP&amp;L'!CR11</f>
        <v>578.58100000000002</v>
      </c>
      <c r="E173" s="27"/>
      <c r="F173" s="35">
        <f>'qtrP&amp;L'!CR21</f>
        <v>369.48</v>
      </c>
      <c r="G173" s="27"/>
      <c r="H173" s="1308">
        <f>work!CP11</f>
        <v>235.167</v>
      </c>
      <c r="I173" s="27"/>
      <c r="J173" s="35">
        <f>AVERAGE(H172:H173)</f>
        <v>254.52249999999998</v>
      </c>
      <c r="K173" s="27"/>
      <c r="L173" s="41">
        <f>(D173/D166-1)*100</f>
        <v>-8.9897944416829638</v>
      </c>
      <c r="M173" s="27"/>
      <c r="N173" s="41">
        <f>(H173/H166-1)*100</f>
        <v>-0.19903580098117324</v>
      </c>
      <c r="O173" s="27"/>
      <c r="P173" s="41">
        <f>(H173/H172-1)*100</f>
        <v>-14.134395606803018</v>
      </c>
      <c r="Q173" s="27"/>
      <c r="R173" s="38">
        <f>F173/J173</f>
        <v>1.4516594800066793</v>
      </c>
      <c r="S173" s="27"/>
      <c r="T173" s="38">
        <f>F174/H173</f>
        <v>1.4270071906347404</v>
      </c>
      <c r="U173" s="27"/>
      <c r="V173" s="27">
        <f>qtrSales!J174</f>
        <v>1482</v>
      </c>
      <c r="W173" s="27"/>
      <c r="X173" s="38">
        <f>H173/V173</f>
        <v>0.15868218623481781</v>
      </c>
      <c r="Y173" s="27"/>
      <c r="Z173" s="80">
        <f>(X173/X166-1)*100</f>
        <v>2.1579370377270868</v>
      </c>
      <c r="AA173" s="27"/>
      <c r="AB173" s="460">
        <f>3.56603/0.8</f>
        <v>4.4575374999999999</v>
      </c>
      <c r="AC173" s="27"/>
      <c r="AD173" s="132">
        <f>H173/AB173</f>
        <v>52.757155716581188</v>
      </c>
      <c r="AE173" s="27"/>
      <c r="AF173" s="80">
        <f>(AD173/AD166-1)*100</f>
        <v>2.1988818871863991</v>
      </c>
      <c r="AG173" s="27"/>
      <c r="AH173" s="27"/>
      <c r="AI173" s="200">
        <f>((F173+('yrP&amp;L'!$Y$21/4))/J173)</f>
        <v>1.7106739089864356</v>
      </c>
      <c r="AJ173" s="201"/>
      <c r="AK173" s="27"/>
      <c r="AL173" s="75">
        <f>J173/(F173/(365/4))</f>
        <v>62.859094199956679</v>
      </c>
      <c r="AM173" s="27"/>
      <c r="AN173" s="75">
        <f>H173/(F174/(365/4))</f>
        <v>63.945017655735512</v>
      </c>
      <c r="AO173" s="27"/>
      <c r="AP173" s="27"/>
      <c r="AQ173" s="27"/>
    </row>
    <row r="174" spans="1:43">
      <c r="A174" s="27" t="str">
        <f>$A$13</f>
        <v>3Q</v>
      </c>
      <c r="B174" s="27" t="str">
        <f>$B$13</f>
        <v>Oct</v>
      </c>
      <c r="C174" s="27"/>
      <c r="D174" s="35">
        <f>'qtrP&amp;L'!CR12</f>
        <v>532.28700000000003</v>
      </c>
      <c r="E174" s="27"/>
      <c r="F174" s="35">
        <f>'qtrP&amp;L'!CR22</f>
        <v>335.58499999999998</v>
      </c>
      <c r="G174" s="27"/>
      <c r="H174" s="1308">
        <f>work!CP12</f>
        <v>265.02300000000002</v>
      </c>
      <c r="I174" s="27"/>
      <c r="J174" s="35">
        <f>AVERAGE(H173:H174)</f>
        <v>250.09500000000003</v>
      </c>
      <c r="K174" s="27"/>
      <c r="L174" s="41">
        <f>(D174/D167-1)*100</f>
        <v>-10.826553997909238</v>
      </c>
      <c r="M174" s="27"/>
      <c r="N174" s="41">
        <f>(H174/H167-1)*100</f>
        <v>1.4088872392774343</v>
      </c>
      <c r="O174" s="27"/>
      <c r="P174" s="41">
        <f>(H174/H173-1)*100</f>
        <v>12.695658829682754</v>
      </c>
      <c r="Q174" s="27"/>
      <c r="R174" s="38">
        <f>F174/J174</f>
        <v>1.341830104560267</v>
      </c>
      <c r="S174" s="27"/>
      <c r="T174" s="38">
        <f>F175/H174</f>
        <v>1.381849877180471</v>
      </c>
      <c r="U174" s="27"/>
      <c r="V174" s="27">
        <f>qtrSales!J175</f>
        <v>1474</v>
      </c>
      <c r="W174" s="27"/>
      <c r="X174" s="38">
        <f>H174/V174</f>
        <v>0.17979850746268658</v>
      </c>
      <c r="Y174" s="27"/>
      <c r="Z174" s="80">
        <f>(X174/X167-1)*100</f>
        <v>3.8856307539409052</v>
      </c>
      <c r="AA174" s="27"/>
      <c r="AB174" s="1637">
        <f>3.547729/0.8</f>
        <v>4.4346612499999996</v>
      </c>
      <c r="AC174" s="27"/>
      <c r="AD174" s="132">
        <f>H174/AB174</f>
        <v>59.761723626579155</v>
      </c>
      <c r="AE174" s="27"/>
      <c r="AF174" s="80">
        <f>(AD174/AD167-1)*100</f>
        <v>3.8983397333780756</v>
      </c>
      <c r="AG174" s="27"/>
      <c r="AH174" s="27"/>
      <c r="AI174" s="200">
        <f>((F174+('yrP&amp;L'!$Y$21/4))/J174)</f>
        <v>1.6054299366240827</v>
      </c>
      <c r="AJ174" s="201"/>
      <c r="AK174" s="27"/>
      <c r="AL174" s="75">
        <f>J174/(F174/(365/4))</f>
        <v>68.004138295811799</v>
      </c>
      <c r="AM174" s="27"/>
      <c r="AN174" s="75">
        <f>H174/(F175/(365/4))</f>
        <v>66.034669544702396</v>
      </c>
      <c r="AO174" s="27"/>
      <c r="AP174" s="27"/>
      <c r="AQ174" s="27"/>
    </row>
    <row r="175" spans="1:43">
      <c r="A175" s="27" t="str">
        <f>$A$14</f>
        <v>4Q</v>
      </c>
      <c r="B175" s="27" t="str">
        <f>$B$14</f>
        <v>Jan</v>
      </c>
      <c r="C175" s="27"/>
      <c r="D175" s="37">
        <f>'qtrP&amp;L'!CR13</f>
        <v>587.78300000000002</v>
      </c>
      <c r="E175" s="27"/>
      <c r="F175" s="37">
        <f>'qtrP&amp;L'!CR23</f>
        <v>366.22199999999998</v>
      </c>
      <c r="G175" s="27"/>
      <c r="H175" s="1308">
        <f>work!CP13</f>
        <v>233.7</v>
      </c>
      <c r="I175" s="27"/>
      <c r="J175" s="37">
        <f>AVERAGE(H174:H175)</f>
        <v>249.36150000000001</v>
      </c>
      <c r="K175" s="27"/>
      <c r="L175" s="79">
        <f>(D175/D168-1)*100</f>
        <v>-2.1648199284607372</v>
      </c>
      <c r="M175" s="27"/>
      <c r="N175" s="80">
        <f>(H175/H168-1)*100</f>
        <v>0.57539281210863269</v>
      </c>
      <c r="O175" s="27"/>
      <c r="P175" s="41">
        <f>(H175/H174-1)*100</f>
        <v>-11.818974202239064</v>
      </c>
      <c r="Q175" s="27"/>
      <c r="R175" s="179">
        <f>F175/J175</f>
        <v>1.4686389037602035</v>
      </c>
      <c r="S175" s="27"/>
      <c r="T175" s="109" t="s">
        <v>653</v>
      </c>
      <c r="U175" s="27"/>
      <c r="V175" s="27">
        <f>qtrSales!J176</f>
        <v>1460</v>
      </c>
      <c r="W175" s="27"/>
      <c r="X175" s="38">
        <f>H175/V175</f>
        <v>0.16006849315068492</v>
      </c>
      <c r="Y175" s="27"/>
      <c r="Z175" s="80">
        <f>(X175/X168-1)*100</f>
        <v>3.3997702814897668</v>
      </c>
      <c r="AA175" s="27"/>
      <c r="AB175" s="1637">
        <f>3.513444/0.8</f>
        <v>4.3918049999999997</v>
      </c>
      <c r="AC175" s="27"/>
      <c r="AD175" s="132">
        <f>H175/AB175</f>
        <v>53.212745101387696</v>
      </c>
      <c r="AE175" s="27"/>
      <c r="AF175" s="80">
        <f>+((AD175/AD168)-1)*100</f>
        <v>3.3841632216339068</v>
      </c>
      <c r="AG175" s="27"/>
      <c r="AH175" s="27"/>
      <c r="AI175" s="200">
        <f>((F175+('yrP&amp;L'!$Y$21/4))/J175)</f>
        <v>1.7330141180575189</v>
      </c>
      <c r="AJ175" s="202"/>
      <c r="AK175" s="27"/>
      <c r="AL175" s="75">
        <f>J175/(F175/(365/4))</f>
        <v>62.132359265691306</v>
      </c>
      <c r="AM175" s="27"/>
      <c r="AN175" s="109" t="s">
        <v>653</v>
      </c>
      <c r="AO175" s="27"/>
      <c r="AP175" s="27"/>
      <c r="AQ175" s="27"/>
    </row>
    <row r="176" spans="1:43">
      <c r="A176" s="27"/>
      <c r="B176" s="27" t="str">
        <f>$B$15</f>
        <v>Year</v>
      </c>
      <c r="C176" s="27"/>
      <c r="D176" s="34">
        <f>SUM(D172:D175)</f>
        <v>2282.3789999999999</v>
      </c>
      <c r="E176" s="27"/>
      <c r="F176" s="34">
        <f>SUM(F172:F175)</f>
        <v>1417.6020000000001</v>
      </c>
      <c r="G176" s="27"/>
      <c r="H176" s="27"/>
      <c r="I176" s="27"/>
      <c r="J176" s="34">
        <f>AVERAGE(J172:J175)</f>
        <v>251.77487500000001</v>
      </c>
      <c r="K176" s="27"/>
      <c r="L176" s="41">
        <f>(D176/D169-1)*100</f>
        <v>-7.8351726894981049</v>
      </c>
      <c r="M176" s="27"/>
      <c r="N176" s="80"/>
      <c r="O176" s="27"/>
      <c r="P176" s="80"/>
      <c r="Q176" s="27"/>
      <c r="R176" s="81">
        <f>F176/J176</f>
        <v>5.6304347286439924</v>
      </c>
      <c r="S176" s="78" t="s">
        <v>100</v>
      </c>
      <c r="T176" s="38"/>
      <c r="U176" s="27"/>
      <c r="V176" s="27"/>
      <c r="W176" s="27"/>
      <c r="X176" s="27"/>
      <c r="Y176" s="27"/>
      <c r="Z176" s="27"/>
      <c r="AA176" s="27"/>
      <c r="AB176" s="114"/>
      <c r="AC176" s="27"/>
      <c r="AD176" s="323"/>
      <c r="AE176" s="27"/>
      <c r="AF176" s="27"/>
      <c r="AG176" s="27"/>
      <c r="AH176" s="27"/>
      <c r="AI176" s="244">
        <f>((F176+('yrP&amp;L'!$Y$21/4))/J176)</f>
        <v>5.8922757880427898</v>
      </c>
      <c r="AJ176" s="245" t="s">
        <v>100</v>
      </c>
      <c r="AK176" s="27"/>
      <c r="AL176" s="27"/>
      <c r="AM176" s="27"/>
      <c r="AN176" s="27"/>
      <c r="AO176" s="27"/>
      <c r="AP176" s="27"/>
      <c r="AQ176" s="27"/>
    </row>
    <row r="177" spans="1:43" s="1572" customFormat="1">
      <c r="A177" s="27"/>
      <c r="B177" s="27"/>
      <c r="C177" s="27"/>
      <c r="D177" s="27"/>
      <c r="E177" s="27"/>
      <c r="F177" s="27"/>
      <c r="G177" s="27"/>
      <c r="H177" s="27"/>
      <c r="I177" s="27"/>
      <c r="J177" s="27"/>
      <c r="K177" s="27"/>
      <c r="L177" s="27"/>
      <c r="M177" s="27"/>
      <c r="N177" s="27"/>
      <c r="O177" s="27"/>
      <c r="P177" s="27"/>
      <c r="Q177" s="27"/>
      <c r="R177" s="113"/>
      <c r="S177" s="27"/>
      <c r="T177" s="38"/>
      <c r="U177" s="27"/>
      <c r="V177" s="27"/>
      <c r="W177" s="27"/>
      <c r="X177" s="27"/>
      <c r="Y177" s="27"/>
      <c r="Z177" s="27"/>
      <c r="AA177" s="27"/>
      <c r="AB177" s="27"/>
      <c r="AC177" s="27"/>
      <c r="AD177" s="27"/>
      <c r="AE177" s="27"/>
      <c r="AF177" s="41"/>
      <c r="AG177" s="27"/>
      <c r="AH177" s="27"/>
      <c r="AI177" s="27"/>
      <c r="AJ177" s="27"/>
      <c r="AK177" s="27"/>
      <c r="AL177" s="27"/>
      <c r="AM177" s="27"/>
      <c r="AN177" s="27"/>
      <c r="AO177" s="27"/>
      <c r="AP177" s="27"/>
      <c r="AQ177" s="27"/>
    </row>
    <row r="178" spans="1:43" s="1572" customFormat="1">
      <c r="A178" s="27"/>
      <c r="B178" s="70" t="s">
        <v>586</v>
      </c>
      <c r="C178" s="27"/>
      <c r="D178" s="34"/>
      <c r="E178" s="27"/>
      <c r="F178" s="34"/>
      <c r="G178" s="27"/>
      <c r="H178" s="27"/>
      <c r="I178" s="27"/>
      <c r="J178" s="34"/>
      <c r="K178" s="27"/>
      <c r="L178" s="41"/>
      <c r="M178" s="27"/>
      <c r="N178" s="80"/>
      <c r="O178" s="27"/>
      <c r="P178" s="80"/>
      <c r="Q178" s="27"/>
      <c r="R178" s="225"/>
      <c r="S178" s="32"/>
      <c r="T178" s="38"/>
      <c r="U178" s="27"/>
      <c r="V178" s="27"/>
      <c r="W178" s="27"/>
      <c r="X178" s="27"/>
      <c r="Y178" s="27"/>
      <c r="Z178" s="27"/>
      <c r="AA178" s="27"/>
      <c r="AB178" s="114"/>
      <c r="AC178" s="27"/>
      <c r="AD178" s="323"/>
      <c r="AE178" s="27"/>
      <c r="AF178" s="1309"/>
      <c r="AG178" s="27"/>
      <c r="AH178" s="27"/>
      <c r="AI178" s="200"/>
      <c r="AJ178" s="249"/>
      <c r="AK178" s="27"/>
      <c r="AL178" s="27"/>
      <c r="AM178" s="27"/>
      <c r="AN178" s="27"/>
      <c r="AO178" s="27"/>
      <c r="AP178" s="27"/>
      <c r="AQ178" s="27"/>
    </row>
    <row r="179" spans="1:43" s="1572" customFormat="1">
      <c r="A179" s="27" t="str">
        <f>$A$11</f>
        <v>1Q</v>
      </c>
      <c r="B179" s="27" t="str">
        <f>$B$11</f>
        <v>Apr</v>
      </c>
      <c r="C179" s="27"/>
      <c r="D179" s="34">
        <f>'qtrP&amp;L'!CV10</f>
        <v>551.23565146842623</v>
      </c>
      <c r="E179" s="27"/>
      <c r="F179" s="34">
        <f>'qtrP&amp;L'!CV20</f>
        <v>317.51173524581355</v>
      </c>
      <c r="G179" s="27"/>
      <c r="H179" s="1308">
        <f>AB179*AD179</f>
        <v>260.36829365821092</v>
      </c>
      <c r="I179" s="27"/>
      <c r="J179" s="34">
        <f>AVERAGE(H179,H175)</f>
        <v>247.03414682910545</v>
      </c>
      <c r="K179" s="27"/>
      <c r="L179" s="41">
        <f>(D179/D172-1)*100</f>
        <v>-5.56635085717555</v>
      </c>
      <c r="M179" s="27" t="s">
        <v>576</v>
      </c>
      <c r="N179" s="41">
        <f>(H179/H172-1)*100</f>
        <v>-4.9327460919785686</v>
      </c>
      <c r="O179" s="27" t="s">
        <v>576</v>
      </c>
      <c r="P179" s="41">
        <f>(H179/H175-1)*100</f>
        <v>11.411336610274248</v>
      </c>
      <c r="Q179" s="27" t="s">
        <v>576</v>
      </c>
      <c r="R179" s="38">
        <f>F179/J179</f>
        <v>1.285294925099822</v>
      </c>
      <c r="S179" s="27" t="s">
        <v>100</v>
      </c>
      <c r="T179" s="38">
        <f>F180/H179</f>
        <v>1.3241718503577442</v>
      </c>
      <c r="U179" s="27"/>
      <c r="V179" s="27">
        <f>qtrSales!J180</f>
        <v>1449</v>
      </c>
      <c r="W179" s="27"/>
      <c r="X179" s="36">
        <f>H179/V179</f>
        <v>0.17968826339421043</v>
      </c>
      <c r="Y179" s="27"/>
      <c r="Z179" s="80">
        <f>(X179/X172-1)*100</f>
        <v>-2.1115646440524771</v>
      </c>
      <c r="AA179" s="124" t="s">
        <v>576</v>
      </c>
      <c r="AB179" s="125">
        <f>qtrSales!Z180</f>
        <v>4.3558300000000001</v>
      </c>
      <c r="AC179" s="27"/>
      <c r="AD179" s="132">
        <f t="shared" ref="AD179:AD180" si="0">+AD172*(1+AF179/100)</f>
        <v>59.774668354414871</v>
      </c>
      <c r="AE179" s="27"/>
      <c r="AF179" s="80">
        <v>-2</v>
      </c>
      <c r="AG179" s="27"/>
      <c r="AH179" s="27"/>
      <c r="AI179" s="200">
        <f>((F179+('yrP&amp;L'!$Y$21/4))/J179)</f>
        <v>1.5521608658865667</v>
      </c>
      <c r="AJ179" s="246" t="s">
        <v>100</v>
      </c>
      <c r="AK179" s="27"/>
      <c r="AL179" s="75">
        <f>J179/(F179/(365/4))</f>
        <v>70.995378739951917</v>
      </c>
      <c r="AM179" s="27"/>
      <c r="AN179" s="75">
        <f>H179/(F180/(365/4))</f>
        <v>68.910995181892346</v>
      </c>
      <c r="AO179" s="27"/>
      <c r="AP179" s="27"/>
      <c r="AQ179" s="27"/>
    </row>
    <row r="180" spans="1:43" s="1572" customFormat="1">
      <c r="A180" s="27" t="str">
        <f>$A$12</f>
        <v>2Q</v>
      </c>
      <c r="B180" s="27" t="str">
        <f>$B$12</f>
        <v>Jul</v>
      </c>
      <c r="C180" s="27"/>
      <c r="D180" s="35">
        <f>'qtrP&amp;L'!CV11</f>
        <v>554.29640705447207</v>
      </c>
      <c r="E180" s="27"/>
      <c r="F180" s="35">
        <f>'qtrP&amp;L'!CV21</f>
        <v>344.77236518788169</v>
      </c>
      <c r="G180" s="27"/>
      <c r="H180" s="1308">
        <f t="shared" ref="H180" si="1">AB180*AD180</f>
        <v>223.47833033234156</v>
      </c>
      <c r="I180" s="27"/>
      <c r="J180" s="35">
        <f>AVERAGE(H179:H180)</f>
        <v>241.92331199527624</v>
      </c>
      <c r="K180" s="27"/>
      <c r="L180" s="41">
        <f>(D180/D173-1)*100</f>
        <v>-4.1972676160343951</v>
      </c>
      <c r="M180" s="27"/>
      <c r="N180" s="41">
        <f>(H180/H173-1)*100</f>
        <v>-4.9703698510668808</v>
      </c>
      <c r="O180" s="27"/>
      <c r="P180" s="41">
        <f>(H180/H179-1)*100</f>
        <v>-14.168377726627234</v>
      </c>
      <c r="Q180" s="27"/>
      <c r="R180" s="38">
        <f>F180/J180</f>
        <v>1.4251308083720913</v>
      </c>
      <c r="S180" s="27"/>
      <c r="T180" s="38">
        <f>F181/H180</f>
        <v>1.4593127092676426</v>
      </c>
      <c r="U180" s="27"/>
      <c r="V180" s="27">
        <f>qtrSales!J181</f>
        <v>1438</v>
      </c>
      <c r="W180" s="27"/>
      <c r="X180" s="38">
        <f>H180/V180</f>
        <v>0.15540913096824865</v>
      </c>
      <c r="Y180" s="27"/>
      <c r="Z180" s="80">
        <f>(X180/X173-1)*100</f>
        <v>-2.0626482053415218</v>
      </c>
      <c r="AA180" s="27"/>
      <c r="AB180" s="125">
        <f>qtrSales!Z181</f>
        <v>4.3224299999999998</v>
      </c>
      <c r="AC180" s="27"/>
      <c r="AD180" s="132">
        <f t="shared" si="0"/>
        <v>51.70201260224956</v>
      </c>
      <c r="AE180" s="27"/>
      <c r="AF180" s="80">
        <v>-2</v>
      </c>
      <c r="AG180" s="27"/>
      <c r="AH180" s="27"/>
      <c r="AI180" s="200">
        <f>((F180+('yrP&amp;L'!$Y$21/4))/J180)</f>
        <v>1.6976345181480523</v>
      </c>
      <c r="AJ180" s="201"/>
      <c r="AK180" s="27"/>
      <c r="AL180" s="75">
        <f>J180/(F180/(365/4))</f>
        <v>64.029210135618143</v>
      </c>
      <c r="AM180" s="27"/>
      <c r="AN180" s="75">
        <f>H180/(F181/(365/4))</f>
        <v>62.529435549008475</v>
      </c>
      <c r="AO180" s="27"/>
      <c r="AP180" s="27"/>
      <c r="AQ180" s="27"/>
    </row>
    <row r="181" spans="1:43" s="1572" customFormat="1">
      <c r="A181" s="27" t="str">
        <f>$A$13</f>
        <v>3Q</v>
      </c>
      <c r="B181" s="27" t="str">
        <f>$B$13</f>
        <v>Oct</v>
      </c>
      <c r="C181" s="27"/>
      <c r="D181" s="35">
        <f>'qtrP&amp;L'!CV12</f>
        <v>530.28417512178623</v>
      </c>
      <c r="E181" s="27"/>
      <c r="F181" s="35">
        <f>'qtrP&amp;L'!CV22</f>
        <v>326.12476769989854</v>
      </c>
      <c r="G181" s="27"/>
      <c r="H181" s="1308">
        <f>AB181*AD181</f>
        <v>251.33984519926977</v>
      </c>
      <c r="I181" s="27"/>
      <c r="J181" s="35">
        <f>AVERAGE(H180:H181)</f>
        <v>237.40908776580568</v>
      </c>
      <c r="K181" s="27"/>
      <c r="L181" s="41">
        <f>(D181/D174-1)*100</f>
        <v>-0.37626785516343686</v>
      </c>
      <c r="M181" s="27"/>
      <c r="N181" s="41">
        <f>(H181/H174-1)*100</f>
        <v>-5.1630065317841307</v>
      </c>
      <c r="O181" s="27"/>
      <c r="P181" s="41">
        <f>(H181/H180-1)*100</f>
        <v>12.467210948593754</v>
      </c>
      <c r="Q181" s="27"/>
      <c r="R181" s="38">
        <f>F181/J181</f>
        <v>1.3736827463892505</v>
      </c>
      <c r="S181" s="27"/>
      <c r="T181" s="38">
        <f>F182/H181</f>
        <v>1.3530296771211945</v>
      </c>
      <c r="U181" s="27"/>
      <c r="V181" s="27">
        <f>qtrSales!J182</f>
        <v>1428</v>
      </c>
      <c r="W181" s="27"/>
      <c r="X181" s="38">
        <f>H181/V181</f>
        <v>0.17600829495747183</v>
      </c>
      <c r="Y181" s="27"/>
      <c r="Z181" s="80">
        <f>(X181/X174-1)*100</f>
        <v>-2.1080333528359918</v>
      </c>
      <c r="AA181" s="27"/>
      <c r="AB181" s="125">
        <f>qtrSales!Z182</f>
        <v>4.2915299999999998</v>
      </c>
      <c r="AC181" s="27"/>
      <c r="AD181" s="132">
        <f>+AD174*(1+AF181/100)</f>
        <v>58.566489154047574</v>
      </c>
      <c r="AE181" s="27"/>
      <c r="AF181" s="80">
        <v>-2</v>
      </c>
      <c r="AG181" s="27"/>
      <c r="AH181" s="27"/>
      <c r="AI181" s="200">
        <f>((F181+('yrP&amp;L'!$Y$21/4))/J181)</f>
        <v>1.6513679884345436</v>
      </c>
      <c r="AJ181" s="201"/>
      <c r="AK181" s="27"/>
      <c r="AL181" s="75">
        <f>J181/(F181/(365/4))</f>
        <v>66.427273866438412</v>
      </c>
      <c r="AM181" s="27"/>
      <c r="AN181" s="75">
        <f>H181/(F182/(365/4))</f>
        <v>67.441240604677802</v>
      </c>
      <c r="AO181" s="27"/>
      <c r="AP181" s="27"/>
      <c r="AQ181" s="27"/>
    </row>
    <row r="182" spans="1:43" s="1572" customFormat="1">
      <c r="A182" s="27" t="str">
        <f>$A$14</f>
        <v>4Q</v>
      </c>
      <c r="B182" s="27" t="str">
        <f>$B$14</f>
        <v>Jan</v>
      </c>
      <c r="C182" s="27"/>
      <c r="D182" s="37">
        <f>'qtrP&amp;L'!CV13</f>
        <v>549.38654216099997</v>
      </c>
      <c r="E182" s="27"/>
      <c r="F182" s="37">
        <f>'qtrP&amp;L'!CV23</f>
        <v>340.07026959765898</v>
      </c>
      <c r="G182" s="27"/>
      <c r="H182" s="1308">
        <f>bal!BA12</f>
        <v>194.48304704670588</v>
      </c>
      <c r="I182" s="27"/>
      <c r="J182" s="37">
        <f>AVERAGE(H181:H182)</f>
        <v>222.91144612298783</v>
      </c>
      <c r="K182" s="27"/>
      <c r="L182" s="79">
        <f>(D182/D175-1)*100</f>
        <v>-6.5324206108376863</v>
      </c>
      <c r="M182" s="27"/>
      <c r="N182" s="80">
        <f>(H182/H175-1)*100</f>
        <v>-16.780895572654732</v>
      </c>
      <c r="O182" s="27"/>
      <c r="P182" s="41">
        <f>(H182/H181-1)*100</f>
        <v>-22.621482124128033</v>
      </c>
      <c r="Q182" s="27"/>
      <c r="R182" s="179">
        <f>F182/J182</f>
        <v>1.5255846010259637</v>
      </c>
      <c r="S182" s="27"/>
      <c r="T182" s="109" t="s">
        <v>653</v>
      </c>
      <c r="U182" s="27"/>
      <c r="V182" s="27">
        <f>qtrSales!J183</f>
        <v>1420</v>
      </c>
      <c r="W182" s="27"/>
      <c r="X182" s="38">
        <f>H182/V182</f>
        <v>0.13695989228641259</v>
      </c>
      <c r="Y182" s="27"/>
      <c r="Z182" s="80">
        <f>(X182/X175-1)*100</f>
        <v>-14.436695447940783</v>
      </c>
      <c r="AA182" s="27"/>
      <c r="AB182" s="125">
        <f>qtrSales!Z183</f>
        <v>4.2664050000000007</v>
      </c>
      <c r="AC182" s="27"/>
      <c r="AD182" s="132">
        <f>H182/AB182</f>
        <v>45.584759779417531</v>
      </c>
      <c r="AE182" s="27"/>
      <c r="AF182" s="1310">
        <f>+((AD182/AD175)-1)*100</f>
        <v>-14.33488407229575</v>
      </c>
      <c r="AG182" s="27"/>
      <c r="AH182" s="27"/>
      <c r="AI182" s="200">
        <f>((F182+('yrP&amp;L'!$Y$21/4))/J182)</f>
        <v>1.8213298449181365</v>
      </c>
      <c r="AJ182" s="202"/>
      <c r="AK182" s="27"/>
      <c r="AL182" s="75">
        <f>J182/(F182/(365/4))</f>
        <v>59.813136510839115</v>
      </c>
      <c r="AM182" s="27"/>
      <c r="AN182" s="109" t="s">
        <v>653</v>
      </c>
      <c r="AO182" s="27"/>
      <c r="AP182" s="27"/>
      <c r="AQ182" s="27"/>
    </row>
    <row r="183" spans="1:43" s="1572" customFormat="1">
      <c r="A183" s="27"/>
      <c r="B183" s="27" t="str">
        <f>$B$15</f>
        <v>Year</v>
      </c>
      <c r="C183" s="27"/>
      <c r="D183" s="34">
        <f>SUM(D179:D182)</f>
        <v>2185.2027758056843</v>
      </c>
      <c r="E183" s="27"/>
      <c r="F183" s="34">
        <f>SUM(F179:F182)</f>
        <v>1328.4791377312529</v>
      </c>
      <c r="G183" s="27"/>
      <c r="H183" s="27"/>
      <c r="I183" s="27"/>
      <c r="J183" s="34">
        <f>AVERAGE(J179:J182)</f>
        <v>237.3194981782938</v>
      </c>
      <c r="K183" s="27"/>
      <c r="L183" s="41">
        <f>(D183/D176-1)*100</f>
        <v>-4.257672551066916</v>
      </c>
      <c r="M183" s="27"/>
      <c r="N183" s="80"/>
      <c r="O183" s="27"/>
      <c r="P183" s="80"/>
      <c r="Q183" s="27"/>
      <c r="R183" s="81">
        <f>F183/J183</f>
        <v>5.5978507789241609</v>
      </c>
      <c r="S183" s="78" t="s">
        <v>100</v>
      </c>
      <c r="T183" s="38"/>
      <c r="U183" s="27"/>
      <c r="V183" s="27"/>
      <c r="W183" s="27"/>
      <c r="X183" s="27"/>
      <c r="Y183" s="27"/>
      <c r="Z183" s="27"/>
      <c r="AA183" s="27"/>
      <c r="AB183" s="114"/>
      <c r="AC183" s="27"/>
      <c r="AD183" s="323"/>
      <c r="AE183" s="27"/>
      <c r="AF183" s="27"/>
      <c r="AG183" s="27"/>
      <c r="AH183" s="27"/>
      <c r="AI183" s="244">
        <f>((F183+('yrP&amp;L'!$Y$21/4))/J183)</f>
        <v>5.8756408488764897</v>
      </c>
      <c r="AJ183" s="245" t="s">
        <v>100</v>
      </c>
      <c r="AK183" s="27"/>
      <c r="AL183" s="27"/>
      <c r="AM183" s="27"/>
      <c r="AN183" s="27"/>
      <c r="AO183" s="27"/>
      <c r="AP183" s="27"/>
      <c r="AQ183" s="27"/>
    </row>
    <row r="184" spans="1:43">
      <c r="A184" s="27"/>
      <c r="B184" s="27"/>
      <c r="C184" s="27"/>
      <c r="D184" s="27"/>
      <c r="E184" s="27"/>
      <c r="F184" s="27"/>
      <c r="G184" s="27"/>
      <c r="H184" s="27"/>
      <c r="I184" s="27"/>
      <c r="J184" s="27"/>
      <c r="K184" s="27"/>
      <c r="L184" s="27"/>
      <c r="M184" s="27"/>
      <c r="N184" s="27"/>
      <c r="O184" s="27"/>
      <c r="P184" s="27"/>
      <c r="Q184" s="27"/>
      <c r="R184" s="113"/>
      <c r="S184" s="27"/>
      <c r="T184" s="38"/>
      <c r="U184" s="27"/>
      <c r="V184" s="27"/>
      <c r="W184" s="27"/>
      <c r="X184" s="27"/>
      <c r="Y184" s="27"/>
      <c r="Z184" s="27"/>
      <c r="AA184" s="27"/>
      <c r="AB184" s="27"/>
      <c r="AC184" s="27"/>
      <c r="AD184" s="27"/>
      <c r="AE184" s="27"/>
      <c r="AF184" s="41"/>
      <c r="AG184" s="27"/>
      <c r="AH184" s="27"/>
      <c r="AI184" s="27"/>
      <c r="AJ184" s="27"/>
      <c r="AK184" s="27"/>
      <c r="AL184" s="27"/>
      <c r="AM184" s="27"/>
      <c r="AN184" s="27"/>
      <c r="AO184" s="27"/>
      <c r="AP184" s="27"/>
      <c r="AQ184" s="27"/>
    </row>
    <row r="185" spans="1:43" ht="10.5" customHeight="1">
      <c r="A185" s="62" t="s">
        <v>38</v>
      </c>
      <c r="B185" s="57" t="s">
        <v>39</v>
      </c>
      <c r="C185" s="57"/>
      <c r="D185" s="57"/>
      <c r="E185" s="57"/>
      <c r="F185" s="57"/>
      <c r="G185" s="57"/>
      <c r="H185" s="57"/>
      <c r="I185" s="57"/>
      <c r="J185" s="57"/>
      <c r="K185" s="57"/>
      <c r="L185" s="57"/>
      <c r="M185" s="57"/>
      <c r="N185" s="57"/>
      <c r="O185" s="57"/>
      <c r="P185" s="57"/>
      <c r="Q185" s="57"/>
      <c r="R185" s="263"/>
      <c r="S185" s="57"/>
      <c r="T185" s="38"/>
      <c r="U185" s="57"/>
      <c r="V185" s="57"/>
      <c r="W185" s="57"/>
      <c r="X185" s="63"/>
      <c r="Y185" s="57"/>
      <c r="Z185" s="57"/>
      <c r="AA185" s="57"/>
      <c r="AB185" s="27"/>
      <c r="AC185" s="27"/>
      <c r="AD185" s="132"/>
      <c r="AE185" s="57"/>
      <c r="AF185" s="57"/>
      <c r="AG185" s="57"/>
      <c r="AH185" s="57"/>
      <c r="AI185" s="57"/>
      <c r="AJ185" s="57"/>
      <c r="AK185" s="57"/>
      <c r="AL185" s="75"/>
      <c r="AM185" s="27"/>
      <c r="AN185" s="75"/>
      <c r="AO185" s="57"/>
      <c r="AP185" s="57"/>
      <c r="AQ185" s="57"/>
    </row>
    <row r="186" spans="1:43" ht="10.5" customHeight="1">
      <c r="A186" s="62" t="s">
        <v>618</v>
      </c>
      <c r="B186" s="57" t="s">
        <v>40</v>
      </c>
      <c r="C186" s="57"/>
      <c r="D186" s="57"/>
      <c r="E186" s="57"/>
      <c r="F186" s="57"/>
      <c r="G186" s="57"/>
      <c r="H186" s="57"/>
      <c r="I186" s="57"/>
      <c r="J186" s="57"/>
      <c r="K186" s="57"/>
      <c r="L186" s="57"/>
      <c r="M186" s="57"/>
      <c r="N186" s="57"/>
      <c r="O186" s="57"/>
      <c r="P186" s="57"/>
      <c r="Q186" s="57"/>
      <c r="R186" s="57"/>
      <c r="S186" s="57"/>
      <c r="T186" s="38"/>
      <c r="U186" s="57"/>
      <c r="V186" s="57"/>
      <c r="W186" s="57"/>
      <c r="X186" s="63"/>
      <c r="Y186" s="57"/>
      <c r="Z186" s="57"/>
      <c r="AA186" s="57"/>
      <c r="AB186" s="167"/>
      <c r="AC186" s="27"/>
      <c r="AD186" s="167"/>
      <c r="AE186" s="57"/>
      <c r="AF186" s="57"/>
      <c r="AG186" s="57"/>
      <c r="AH186" s="57"/>
      <c r="AI186" s="57"/>
      <c r="AJ186" s="57"/>
      <c r="AK186" s="57"/>
      <c r="AL186" s="75"/>
      <c r="AM186" s="27"/>
      <c r="AN186" s="75"/>
      <c r="AO186" s="57"/>
      <c r="AP186" s="57"/>
      <c r="AQ186" s="57"/>
    </row>
    <row r="187" spans="1:43" ht="10.5" customHeight="1">
      <c r="A187" s="62" t="s">
        <v>619</v>
      </c>
      <c r="B187" s="57" t="s">
        <v>42</v>
      </c>
      <c r="C187" s="57"/>
      <c r="D187" s="57"/>
      <c r="E187" s="57"/>
      <c r="F187" s="57"/>
      <c r="G187" s="57"/>
      <c r="H187" s="57"/>
      <c r="I187" s="57"/>
      <c r="J187" s="57"/>
      <c r="K187" s="57"/>
      <c r="L187" s="57"/>
      <c r="M187" s="57"/>
      <c r="N187" s="57"/>
      <c r="O187" s="57"/>
      <c r="P187" s="57"/>
      <c r="Q187" s="57"/>
      <c r="R187" s="57"/>
      <c r="S187" s="57"/>
      <c r="T187" s="38"/>
      <c r="U187" s="57"/>
      <c r="V187" s="57"/>
      <c r="W187" s="57"/>
      <c r="X187" s="63"/>
      <c r="Y187" s="57"/>
      <c r="Z187" s="57"/>
      <c r="AA187" s="57"/>
      <c r="AB187" s="192"/>
      <c r="AC187" s="57"/>
      <c r="AD187" s="63"/>
      <c r="AE187" s="57"/>
      <c r="AF187" s="57"/>
      <c r="AG187" s="57"/>
      <c r="AH187" s="57"/>
      <c r="AI187" s="57"/>
      <c r="AJ187" s="57"/>
      <c r="AK187" s="57"/>
      <c r="AL187" s="75"/>
      <c r="AM187" s="27"/>
      <c r="AN187" s="75"/>
      <c r="AO187" s="57"/>
      <c r="AP187" s="57"/>
      <c r="AQ187" s="57"/>
    </row>
    <row r="188" spans="1:43" ht="10.5" customHeight="1">
      <c r="A188" s="62"/>
      <c r="B188" s="57" t="s">
        <v>276</v>
      </c>
      <c r="C188" s="57"/>
      <c r="D188" s="57"/>
      <c r="E188" s="57"/>
      <c r="F188" s="57"/>
      <c r="G188" s="57"/>
      <c r="H188" s="57"/>
      <c r="I188" s="57"/>
      <c r="J188" s="57"/>
      <c r="K188" s="57"/>
      <c r="L188" s="57"/>
      <c r="M188" s="57"/>
      <c r="N188" s="57"/>
      <c r="O188" s="57"/>
      <c r="P188" s="57"/>
      <c r="Q188" s="57"/>
      <c r="R188" s="57"/>
      <c r="S188" s="57"/>
      <c r="T188" s="38"/>
      <c r="U188" s="57"/>
      <c r="V188" s="57"/>
      <c r="W188" s="57"/>
      <c r="X188" s="63"/>
      <c r="Y188" s="57"/>
      <c r="Z188" s="57"/>
      <c r="AA188" s="57"/>
      <c r="AB188" s="57"/>
      <c r="AC188" s="57"/>
      <c r="AD188" s="63"/>
      <c r="AE188" s="57"/>
      <c r="AF188" s="57"/>
      <c r="AG188" s="57"/>
      <c r="AH188" s="57"/>
      <c r="AI188" s="57"/>
      <c r="AJ188" s="57"/>
      <c r="AK188" s="57"/>
      <c r="AL188" s="75"/>
      <c r="AM188" s="27"/>
      <c r="AN188" s="109"/>
      <c r="AO188" s="57"/>
      <c r="AP188" s="57"/>
      <c r="AQ188" s="57"/>
    </row>
    <row r="189" spans="1:43" ht="10.5" customHeight="1">
      <c r="A189" s="60"/>
      <c r="B189" s="59"/>
      <c r="C189" s="59"/>
      <c r="D189" s="59"/>
      <c r="E189" s="59"/>
      <c r="F189" s="59"/>
      <c r="G189" s="59"/>
      <c r="H189" s="59"/>
      <c r="I189" s="59"/>
      <c r="J189" s="59"/>
      <c r="K189" s="59"/>
      <c r="L189" s="59"/>
      <c r="M189" s="59"/>
      <c r="N189" s="59"/>
      <c r="O189" s="59"/>
      <c r="P189" s="59"/>
      <c r="Q189" s="59"/>
      <c r="R189" s="59"/>
      <c r="S189" s="59"/>
      <c r="T189" s="38"/>
      <c r="U189" s="59"/>
      <c r="V189" s="59"/>
      <c r="W189" s="59"/>
      <c r="X189" s="61"/>
      <c r="Y189" s="59"/>
      <c r="Z189" s="59"/>
      <c r="AA189" s="59"/>
      <c r="AB189" s="59"/>
      <c r="AC189" s="59"/>
      <c r="AD189" s="61"/>
      <c r="AE189" s="59"/>
      <c r="AF189" s="59"/>
      <c r="AG189" s="59"/>
      <c r="AH189" s="59"/>
      <c r="AI189" s="59"/>
      <c r="AJ189" s="59"/>
      <c r="AK189" s="59"/>
      <c r="AL189" s="27"/>
      <c r="AM189" s="27"/>
      <c r="AN189" s="27"/>
      <c r="AO189" s="59"/>
      <c r="AP189" s="59"/>
      <c r="AQ189" s="59"/>
    </row>
    <row r="190" spans="1:43" ht="10.5" customHeight="1">
      <c r="A190" s="23" t="s">
        <v>0</v>
      </c>
      <c r="B190" s="59"/>
      <c r="C190" s="59"/>
      <c r="D190" s="59"/>
      <c r="E190" s="59"/>
      <c r="F190" s="59"/>
      <c r="G190" s="59"/>
      <c r="H190" s="59"/>
      <c r="I190" s="59"/>
      <c r="J190" s="59"/>
      <c r="K190" s="59"/>
      <c r="L190" s="59"/>
      <c r="M190" s="59"/>
      <c r="N190" s="328"/>
      <c r="O190" s="59"/>
      <c r="P190" s="64"/>
      <c r="Q190" s="59"/>
      <c r="R190" s="59"/>
      <c r="S190" s="59"/>
      <c r="T190" s="38"/>
      <c r="U190" s="59"/>
      <c r="V190" s="59"/>
      <c r="W190" s="59"/>
      <c r="X190" s="61"/>
      <c r="Y190" s="59"/>
      <c r="Z190" s="59"/>
      <c r="AA190" s="59"/>
      <c r="AB190" s="27"/>
      <c r="AC190" s="27"/>
      <c r="AD190" s="132"/>
      <c r="AE190" s="59"/>
      <c r="AF190" s="59"/>
      <c r="AG190" s="59"/>
      <c r="AH190" s="59"/>
      <c r="AI190" s="59"/>
      <c r="AJ190" s="59"/>
      <c r="AK190" s="59"/>
      <c r="AL190" s="27"/>
      <c r="AM190" s="27"/>
      <c r="AN190" s="27"/>
      <c r="AO190" s="59"/>
      <c r="AP190" s="59"/>
      <c r="AQ190" s="59"/>
    </row>
  </sheetData>
  <phoneticPr fontId="0" type="noConversion"/>
  <dataValidations count="1">
    <dataValidation type="custom" allowBlank="1" showInputMessage="1" showErrorMessage="1" sqref="AJ5:AN8 AL79:AN84 AL32:AN70 AL72:AN77 AL86:AN91 AL94:AN98 AL101:AN105 AL108:AN112 AL115:AN119 AL122:AN126 AL129:AN133 AL136:AN140 AL144:AL147 AN144:AN147 AL151:AL154 AN151:AN154 AL158:AL161 AN158:AN161 AL165:AL168 AN165:AN168 AL172:AL175 AN172:AN175 AD179:AD182 AL179:AL182 AN179:AN182 AD175">
      <formula1>-1</formula1>
    </dataValidation>
  </dataValidations>
  <printOptions horizontalCentered="1"/>
  <pageMargins left="0.25" right="0.25" top="0.18" bottom="0" header="0.5" footer="0.23"/>
  <pageSetup scale="69" orientation="landscape" r:id="rId1"/>
  <headerFooter alignWithMargins="0">
    <oddFooter>&amp;R&amp;8&amp;D/&amp;T
&amp;F/&amp;A</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X61"/>
  <sheetViews>
    <sheetView topLeftCell="A58" zoomScaleNormal="100" workbookViewId="0">
      <selection activeCell="AH106" sqref="AH106"/>
    </sheetView>
  </sheetViews>
  <sheetFormatPr defaultRowHeight="12.75" outlineLevelCol="1"/>
  <cols>
    <col min="1" max="1" width="4.28515625" customWidth="1"/>
    <col min="2" max="2" width="7" customWidth="1"/>
    <col min="3" max="3" width="1.7109375" customWidth="1"/>
    <col min="4" max="4" width="11.85546875" hidden="1" customWidth="1" outlineLevel="1"/>
    <col min="5" max="5" width="1.7109375" hidden="1" customWidth="1" outlineLevel="1"/>
    <col min="6" max="6" width="11.85546875" hidden="1" customWidth="1" outlineLevel="1"/>
    <col min="7" max="7" width="1.7109375" hidden="1" customWidth="1" outlineLevel="1"/>
    <col min="8" max="8" width="11.85546875" hidden="1" customWidth="1" outlineLevel="1"/>
    <col min="9" max="9" width="1.7109375" hidden="1" customWidth="1" outlineLevel="1"/>
    <col min="10" max="10" width="11.85546875" hidden="1" customWidth="1" outlineLevel="1"/>
    <col min="11" max="11" width="1.7109375" hidden="1" customWidth="1" outlineLevel="1"/>
    <col min="12" max="12" width="11.85546875" hidden="1" customWidth="1" outlineLevel="1" collapsed="1"/>
    <col min="13" max="13" width="1.7109375" hidden="1" customWidth="1" outlineLevel="1"/>
    <col min="14" max="14" width="11.85546875" hidden="1" customWidth="1" outlineLevel="1"/>
    <col min="15" max="15" width="1.7109375" hidden="1" customWidth="1" outlineLevel="1"/>
    <col min="16" max="16" width="11.85546875" hidden="1" customWidth="1" outlineLevel="1" collapsed="1"/>
    <col min="17" max="17" width="1.7109375" hidden="1" customWidth="1" outlineLevel="1"/>
    <col min="18" max="18" width="11.85546875" hidden="1" customWidth="1" outlineLevel="1" collapsed="1"/>
    <col min="19" max="19" width="1.7109375" hidden="1" customWidth="1" outlineLevel="1"/>
    <col min="20" max="20" width="11.85546875" hidden="1" customWidth="1" outlineLevel="1" collapsed="1"/>
    <col min="21" max="21" width="1.7109375" hidden="1" customWidth="1" outlineLevel="1"/>
    <col min="22" max="22" width="11.85546875" hidden="1" customWidth="1" outlineLevel="1"/>
    <col min="23" max="23" width="1.7109375" hidden="1" customWidth="1" outlineLevel="1"/>
    <col min="24" max="24" width="11.85546875" hidden="1" customWidth="1" outlineLevel="1"/>
    <col min="25" max="25" width="1.7109375" hidden="1" customWidth="1" outlineLevel="1"/>
    <col min="26" max="26" width="11.85546875" hidden="1" customWidth="1" outlineLevel="1"/>
    <col min="27" max="27" width="1.7109375" hidden="1" customWidth="1" outlineLevel="1"/>
    <col min="28" max="28" width="11.85546875" hidden="1" customWidth="1" outlineLevel="1"/>
    <col min="29" max="29" width="1.7109375" hidden="1" customWidth="1" outlineLevel="1"/>
    <col min="30" max="30" width="11.85546875" hidden="1" customWidth="1" outlineLevel="1"/>
    <col min="31" max="31" width="1.7109375" hidden="1" customWidth="1" outlineLevel="1"/>
    <col min="32" max="32" width="11.85546875" customWidth="1" collapsed="1"/>
    <col min="33" max="33" width="1.7109375" customWidth="1"/>
    <col min="34" max="34" width="11.85546875" customWidth="1"/>
    <col min="35" max="35" width="1.7109375" customWidth="1"/>
    <col min="36" max="36" width="11.85546875" customWidth="1"/>
    <col min="37" max="37" width="1.7109375" customWidth="1"/>
    <col min="38" max="38" width="11.85546875" customWidth="1"/>
    <col min="39" max="39" width="1.85546875" customWidth="1"/>
    <col min="40" max="40" width="11.85546875" customWidth="1"/>
    <col min="41" max="41" width="1.85546875" customWidth="1"/>
    <col min="42" max="42" width="11.85546875" customWidth="1"/>
    <col min="43" max="43" width="1.5703125" customWidth="1"/>
    <col min="44" max="44" width="11.85546875" customWidth="1"/>
    <col min="45" max="45" width="1.28515625" customWidth="1"/>
    <col min="46" max="46" width="11.42578125" customWidth="1"/>
    <col min="47" max="47" width="1.5703125" customWidth="1"/>
    <col min="48" max="48" width="11.42578125" customWidth="1"/>
    <col min="49" max="49" width="1.5703125" customWidth="1"/>
    <col min="50" max="50" width="11.42578125" style="1572" customWidth="1"/>
  </cols>
  <sheetData>
    <row r="1" spans="1:50">
      <c r="A1" s="259" t="str">
        <f>+sumry!A1</f>
        <v>Chico's</v>
      </c>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N1" s="26"/>
      <c r="AP1" s="26"/>
    </row>
    <row r="2" spans="1:50">
      <c r="A2" s="149" t="s">
        <v>343</v>
      </c>
      <c r="B2" s="120"/>
      <c r="C2" s="120"/>
      <c r="D2" s="120"/>
      <c r="E2" s="120"/>
      <c r="F2" s="120"/>
      <c r="G2" s="120"/>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90"/>
      <c r="AR2" s="90"/>
      <c r="AU2" s="90"/>
    </row>
    <row r="3" spans="1:50">
      <c r="A3" s="82" t="str">
        <f>bal!A3</f>
        <v>At January 31 of the following year</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N3" s="27"/>
      <c r="AP3" s="27"/>
      <c r="AR3" s="27"/>
      <c r="AS3" s="1192"/>
      <c r="AT3" s="1193"/>
      <c r="AV3" s="1193"/>
      <c r="AX3" s="1193"/>
    </row>
    <row r="4" spans="1:50">
      <c r="A4" s="83" t="s">
        <v>75</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N4" s="27"/>
      <c r="AP4" s="27"/>
      <c r="AR4" s="27"/>
      <c r="AT4" s="27"/>
      <c r="AV4" s="27"/>
      <c r="AX4" s="27"/>
    </row>
    <row r="5" spans="1:50">
      <c r="A5" s="27"/>
      <c r="B5" s="27"/>
      <c r="C5" s="27"/>
      <c r="D5" s="65">
        <f>work!F7</f>
        <v>1995</v>
      </c>
      <c r="E5" s="27"/>
      <c r="F5" s="65">
        <f>work!J7</f>
        <v>1996</v>
      </c>
      <c r="G5" s="27"/>
      <c r="H5" s="65">
        <f>work!N7</f>
        <v>1997</v>
      </c>
      <c r="I5" s="27"/>
      <c r="J5" s="65">
        <f>work!R7</f>
        <v>1998</v>
      </c>
      <c r="K5" s="27"/>
      <c r="L5" s="65">
        <f>work!V7</f>
        <v>1999</v>
      </c>
      <c r="M5" s="27"/>
      <c r="N5" s="65">
        <f>work!Z7</f>
        <v>2000</v>
      </c>
      <c r="O5" s="27"/>
      <c r="P5" s="65">
        <f>+work!AD7</f>
        <v>2001</v>
      </c>
      <c r="Q5" s="27"/>
      <c r="R5" s="65">
        <f>+work!AH7</f>
        <v>2002</v>
      </c>
      <c r="S5" s="27"/>
      <c r="T5" s="65">
        <f>+work!AL7</f>
        <v>2003</v>
      </c>
      <c r="U5" s="27"/>
      <c r="V5" s="65">
        <v>2004</v>
      </c>
      <c r="W5" s="27"/>
      <c r="X5" s="65">
        <v>2005</v>
      </c>
      <c r="Y5" s="27"/>
      <c r="Z5" s="65">
        <v>2006</v>
      </c>
      <c r="AA5" s="27"/>
      <c r="AB5" s="65">
        <v>2007</v>
      </c>
      <c r="AC5" s="27"/>
      <c r="AD5" s="65">
        <v>2008</v>
      </c>
      <c r="AE5" s="27"/>
      <c r="AF5" s="65">
        <v>2009</v>
      </c>
      <c r="AG5" s="27"/>
      <c r="AH5" s="65">
        <v>2010</v>
      </c>
      <c r="AI5" s="27"/>
      <c r="AJ5" s="65">
        <v>2011</v>
      </c>
      <c r="AK5" s="27"/>
      <c r="AL5" s="65">
        <v>2012</v>
      </c>
      <c r="AN5" s="65">
        <v>2013</v>
      </c>
      <c r="AP5" s="65">
        <v>2014</v>
      </c>
      <c r="AR5" s="65">
        <v>2015</v>
      </c>
      <c r="AT5" s="65">
        <v>2016</v>
      </c>
      <c r="AV5" s="65">
        <v>2017</v>
      </c>
      <c r="AX5" s="65">
        <v>2018</v>
      </c>
    </row>
    <row r="6" spans="1:50">
      <c r="A6" s="27"/>
      <c r="B6" s="27"/>
      <c r="C6" s="27"/>
      <c r="D6" s="27"/>
      <c r="E6" s="27"/>
      <c r="F6" s="27"/>
      <c r="G6" s="27"/>
      <c r="H6" s="27"/>
      <c r="I6" s="27"/>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N6" s="27"/>
      <c r="AP6" s="27"/>
    </row>
    <row r="7" spans="1:50">
      <c r="A7" s="118"/>
      <c r="B7" s="27"/>
      <c r="C7" s="27"/>
      <c r="D7" s="138"/>
      <c r="E7" s="27"/>
      <c r="F7" s="138"/>
      <c r="G7" s="27"/>
      <c r="H7" s="138"/>
      <c r="I7" s="138"/>
      <c r="J7" s="138"/>
      <c r="K7" s="27"/>
      <c r="L7" s="138"/>
      <c r="M7" s="138"/>
      <c r="N7" s="138"/>
      <c r="O7" s="138"/>
      <c r="P7" s="138"/>
      <c r="Q7" s="138" t="s">
        <v>344</v>
      </c>
      <c r="R7" s="27"/>
      <c r="S7" s="138"/>
      <c r="T7" s="27"/>
      <c r="U7" s="138"/>
      <c r="V7" s="27"/>
      <c r="W7" s="138"/>
      <c r="X7" s="27"/>
      <c r="Y7" s="138"/>
      <c r="AA7" s="138"/>
      <c r="AB7" s="27"/>
      <c r="AC7" s="138"/>
      <c r="AD7" s="27"/>
      <c r="AE7" s="138"/>
      <c r="AF7" s="27"/>
      <c r="AG7" s="138"/>
      <c r="AH7" s="113"/>
      <c r="AI7" s="138"/>
      <c r="AJ7" s="113"/>
      <c r="AK7" s="138"/>
      <c r="AL7" s="138" t="s">
        <v>344</v>
      </c>
      <c r="AN7" s="113"/>
      <c r="AP7" s="113"/>
    </row>
    <row r="8" spans="1:50">
      <c r="A8" s="27" t="str">
        <f>work!A10</f>
        <v>1Q</v>
      </c>
      <c r="B8" s="27" t="str">
        <f>work!B10</f>
        <v>Apr</v>
      </c>
      <c r="C8" s="27"/>
      <c r="D8" s="142">
        <v>0.92203199999999996</v>
      </c>
      <c r="E8" s="27"/>
      <c r="F8" s="142">
        <v>4.6984450000000004</v>
      </c>
      <c r="G8" s="27"/>
      <c r="H8" s="142">
        <v>3.257447</v>
      </c>
      <c r="I8" s="27"/>
      <c r="J8" s="142">
        <f>9.668689+1</f>
        <v>10.668689000000001</v>
      </c>
      <c r="K8" s="27"/>
      <c r="L8" s="142">
        <v>21.160057999999999</v>
      </c>
      <c r="M8" s="27"/>
      <c r="N8" s="142">
        <f>12.392664+17.709601</f>
        <v>30.102264999999999</v>
      </c>
      <c r="O8" s="27"/>
      <c r="P8" s="142">
        <f>14.988602+13.068568</f>
        <v>28.057169999999999</v>
      </c>
      <c r="Q8" s="27"/>
      <c r="R8" s="142">
        <f>17.603581+52.285993</f>
        <v>69.889573999999996</v>
      </c>
      <c r="S8" s="27"/>
      <c r="T8" s="142">
        <f>21.060273+101.022643</f>
        <v>122.082916</v>
      </c>
      <c r="U8" s="27"/>
      <c r="V8" s="142">
        <f>22.133+160.692</f>
        <v>182.82500000000002</v>
      </c>
      <c r="W8" s="27"/>
      <c r="X8" s="142">
        <f>25.239+303.844</f>
        <v>329.08299999999997</v>
      </c>
      <c r="Y8" s="27"/>
      <c r="Z8" s="142">
        <f>26.987+380.24</f>
        <v>407.22700000000003</v>
      </c>
      <c r="AA8" s="27"/>
      <c r="AB8" s="142">
        <f>23.334+250.56</f>
        <v>273.89400000000001</v>
      </c>
      <c r="AC8" s="27"/>
      <c r="AD8" s="142">
        <f>37.022+233.752</f>
        <v>270.774</v>
      </c>
      <c r="AE8" s="27"/>
      <c r="AF8" s="142">
        <f>95.394+229.585</f>
        <v>324.97900000000004</v>
      </c>
      <c r="AG8" s="27"/>
      <c r="AH8" s="253">
        <f>32.694+449.167</f>
        <v>481.86099999999999</v>
      </c>
      <c r="AI8" s="27"/>
      <c r="AJ8" s="253">
        <f>123.409+442.815</f>
        <v>566.22400000000005</v>
      </c>
      <c r="AK8" s="27"/>
      <c r="AL8" s="253">
        <f>147.077+193.446</f>
        <v>340.52300000000002</v>
      </c>
      <c r="AN8" s="253">
        <f>85.616+202.769</f>
        <v>288.38499999999999</v>
      </c>
      <c r="AP8" s="253">
        <f>80.529+90.984</f>
        <v>171.51299999999998</v>
      </c>
      <c r="AR8" s="253">
        <f>97.651+48.447</f>
        <v>146.09800000000001</v>
      </c>
      <c r="AT8" s="253">
        <f>56.502+50.479</f>
        <v>106.98099999999999</v>
      </c>
      <c r="AV8" s="253">
        <f>119.142+50.629</f>
        <v>169.77099999999999</v>
      </c>
      <c r="AX8" s="253"/>
    </row>
    <row r="9" spans="1:50">
      <c r="A9" s="27" t="str">
        <f>work!A11</f>
        <v>2Q</v>
      </c>
      <c r="B9" s="27" t="str">
        <f>work!B11</f>
        <v>Jul</v>
      </c>
      <c r="C9" s="27"/>
      <c r="D9" s="139">
        <v>1.2211719999999999</v>
      </c>
      <c r="E9" s="27"/>
      <c r="F9" s="139">
        <v>5.9726520000000001</v>
      </c>
      <c r="G9" s="27"/>
      <c r="H9" s="139">
        <v>5.2832119999999998</v>
      </c>
      <c r="I9" s="27"/>
      <c r="J9" s="139">
        <f>10.249359+1</f>
        <v>11.249359</v>
      </c>
      <c r="K9" s="27"/>
      <c r="L9" s="139">
        <f>6.03563+12.683993</f>
        <v>18.719622999999999</v>
      </c>
      <c r="M9" s="27"/>
      <c r="N9" s="139">
        <f>3.82958+19.133617</f>
        <v>22.963197000000001</v>
      </c>
      <c r="O9" s="27"/>
      <c r="P9" s="139">
        <f>8.315526+21.32125</f>
        <v>29.636775999999998</v>
      </c>
      <c r="Q9" s="27"/>
      <c r="R9" s="139">
        <f>8.105434+60.450979</f>
        <v>68.556412999999992</v>
      </c>
      <c r="S9" s="27"/>
      <c r="T9" s="139">
        <f>11.241131+130.160523</f>
        <v>141.40165400000001</v>
      </c>
      <c r="U9" s="27"/>
      <c r="V9" s="139">
        <f>13.252+201.907</f>
        <v>215.15900000000002</v>
      </c>
      <c r="W9" s="27"/>
      <c r="X9" s="139">
        <f>15.741+334.815</f>
        <v>350.55599999999998</v>
      </c>
      <c r="Y9" s="27"/>
      <c r="Z9" s="139">
        <f>15.02+238.378</f>
        <v>253.398</v>
      </c>
      <c r="AA9" s="27"/>
      <c r="AB9" s="139">
        <f>12.069+275.073</f>
        <v>287.142</v>
      </c>
      <c r="AC9" s="27"/>
      <c r="AD9" s="139">
        <f>25.381+252.307</f>
        <v>277.68799999999999</v>
      </c>
      <c r="AE9" s="27"/>
      <c r="AF9" s="139">
        <f>44.143+333.367</f>
        <v>377.51</v>
      </c>
      <c r="AG9" s="27"/>
      <c r="AH9" s="139">
        <f>17.559+469.829</f>
        <v>487.38800000000003</v>
      </c>
      <c r="AI9" s="27"/>
      <c r="AJ9" s="139">
        <f>56.109+448.211</f>
        <v>504.32</v>
      </c>
      <c r="AK9" s="27"/>
      <c r="AL9" s="139">
        <f>109.466+248.48</f>
        <v>357.94599999999997</v>
      </c>
      <c r="AN9" s="139">
        <f>93.417+208.434</f>
        <v>301.851</v>
      </c>
      <c r="AP9" s="139">
        <f>114.387+94.276</f>
        <v>208.66300000000001</v>
      </c>
      <c r="AR9" s="139">
        <f>109.015+47.999</f>
        <v>157.01400000000001</v>
      </c>
      <c r="AT9" s="139">
        <f>100.532+50.612</f>
        <v>151.14400000000001</v>
      </c>
      <c r="AV9" s="139">
        <f>135.324+50.878</f>
        <v>186.202</v>
      </c>
      <c r="AX9" s="139"/>
    </row>
    <row r="10" spans="1:50">
      <c r="A10" s="27" t="str">
        <f>work!A12</f>
        <v>3Q</v>
      </c>
      <c r="B10" s="27" t="str">
        <f>work!B12</f>
        <v>Oct</v>
      </c>
      <c r="C10" s="27"/>
      <c r="D10" s="139">
        <v>0.58669300000000002</v>
      </c>
      <c r="E10" s="27"/>
      <c r="F10" s="139">
        <v>3.4636130000000001</v>
      </c>
      <c r="G10" s="27"/>
      <c r="H10" s="139">
        <v>4.3901430000000001</v>
      </c>
      <c r="I10" s="27"/>
      <c r="J10" s="139">
        <v>14.467578</v>
      </c>
      <c r="K10" s="27"/>
      <c r="L10" s="139">
        <f>7.203724+12.823063</f>
        <v>20.026786999999999</v>
      </c>
      <c r="M10" s="27"/>
      <c r="N10" s="139">
        <f>7.533563+13.356141</f>
        <v>20.889703999999998</v>
      </c>
      <c r="O10" s="27"/>
      <c r="P10" s="139">
        <f>10.078324+24.557445</f>
        <v>34.635769000000003</v>
      </c>
      <c r="Q10" s="27"/>
      <c r="R10" s="139">
        <f>17.22261+72.531626</f>
        <v>89.754236000000006</v>
      </c>
      <c r="S10" s="27"/>
      <c r="T10" s="139">
        <f>18.627+70.243</f>
        <v>88.86999999999999</v>
      </c>
      <c r="U10" s="27"/>
      <c r="V10" s="139">
        <f>13.688+211.623</f>
        <v>225.31099999999998</v>
      </c>
      <c r="W10" s="27"/>
      <c r="X10" s="139">
        <f>18.121+382.16</f>
        <v>400.28100000000001</v>
      </c>
      <c r="Y10" s="27"/>
      <c r="Z10" s="139">
        <f>2.606+251.297</f>
        <v>253.90299999999999</v>
      </c>
      <c r="AA10" s="27"/>
      <c r="AB10" s="139">
        <f>11.956+277.513</f>
        <v>289.46899999999999</v>
      </c>
      <c r="AC10" s="27"/>
      <c r="AD10" s="139">
        <f>50.233+206.105</f>
        <v>256.33799999999997</v>
      </c>
      <c r="AE10" s="27"/>
      <c r="AF10" s="139">
        <f>60.985+362.322</f>
        <v>423.30700000000002</v>
      </c>
      <c r="AG10" s="27"/>
      <c r="AH10" s="139">
        <f>21.93+483.622</f>
        <v>505.55200000000002</v>
      </c>
      <c r="AI10" s="27"/>
      <c r="AJ10" s="139">
        <f>49.485+190.328</f>
        <v>239.81299999999999</v>
      </c>
      <c r="AK10" s="27"/>
      <c r="AL10" s="139">
        <f>9.102+292.393</f>
        <v>301.49499999999995</v>
      </c>
      <c r="AN10" s="139">
        <f>52.524+197.235</f>
        <v>249.75900000000001</v>
      </c>
      <c r="AP10" s="139">
        <f>124.042+67.172</f>
        <v>191.214</v>
      </c>
      <c r="AR10" s="139">
        <f>91.256+47.316</f>
        <v>138.572</v>
      </c>
      <c r="AT10" s="139">
        <f>80.331+50.411</f>
        <v>130.74200000000002</v>
      </c>
      <c r="AV10" s="139">
        <v>125.646</v>
      </c>
      <c r="AX10" s="139"/>
    </row>
    <row r="11" spans="1:50">
      <c r="A11" s="27" t="str">
        <f>work!A13</f>
        <v>4Q</v>
      </c>
      <c r="B11" s="27" t="str">
        <f>work!B13</f>
        <v>Jan</v>
      </c>
      <c r="C11" s="27"/>
      <c r="D11" s="140">
        <f>+bal!G9+bal!G10</f>
        <v>1.0999289999999979</v>
      </c>
      <c r="E11" s="27"/>
      <c r="F11" s="140">
        <f>+bal!I9+bal!I10</f>
        <v>0.83217599999999603</v>
      </c>
      <c r="G11" s="27"/>
      <c r="H11" s="140">
        <f>+bal!K9+bal!K10</f>
        <v>2.9439159999999918</v>
      </c>
      <c r="I11" s="27"/>
      <c r="J11" s="140">
        <f>+bal!M9+bal!M10</f>
        <v>14.484775999999989</v>
      </c>
      <c r="K11" s="27"/>
      <c r="L11" s="140">
        <f>+bal!O9+bal!O10</f>
        <v>17.976456999999989</v>
      </c>
      <c r="M11" s="27"/>
      <c r="N11" s="140">
        <f>+bal!Q9+bal!Q10</f>
        <v>18.135637999999979</v>
      </c>
      <c r="O11" s="27"/>
      <c r="P11" s="139">
        <f>13.376864+40.428675</f>
        <v>53.805538999999996</v>
      </c>
      <c r="Q11" s="27"/>
      <c r="R11" s="139">
        <f>8.753089+91.195175</f>
        <v>99.948264000000009</v>
      </c>
      <c r="S11" s="27"/>
      <c r="T11" s="139">
        <f>15.676+104.453</f>
        <v>120.129</v>
      </c>
      <c r="U11" s="27"/>
      <c r="V11" s="139">
        <f>14.426+251.199</f>
        <v>265.625</v>
      </c>
      <c r="W11" s="27"/>
      <c r="X11" s="139">
        <f>3.035+401.445</f>
        <v>404.48</v>
      </c>
      <c r="Y11" s="27"/>
      <c r="Z11" s="139">
        <f>37.203+238.336</f>
        <v>275.53899999999999</v>
      </c>
      <c r="AA11" s="27"/>
      <c r="AB11" s="139">
        <f>13.801+260.469</f>
        <v>274.27</v>
      </c>
      <c r="AC11" s="27"/>
      <c r="AD11" s="139">
        <f>26.549+242.153</f>
        <v>268.702</v>
      </c>
      <c r="AE11" s="27"/>
      <c r="AF11" s="139">
        <f>37.043+386.5</f>
        <v>423.54300000000001</v>
      </c>
      <c r="AG11" s="27"/>
      <c r="AH11" s="139">
        <f>14.695+534.019</f>
        <v>548.71400000000006</v>
      </c>
      <c r="AI11" s="27"/>
      <c r="AJ11" s="139">
        <f>58.919+188.934</f>
        <v>247.85300000000001</v>
      </c>
      <c r="AK11" s="27"/>
      <c r="AL11" s="139">
        <f>56.859+272.499</f>
        <v>329.358</v>
      </c>
      <c r="AN11" s="139">
        <f>36.444+116.002</f>
        <v>152.446</v>
      </c>
      <c r="AP11" s="139">
        <v>133.351</v>
      </c>
      <c r="AR11" s="139">
        <f>89.951+50.194</f>
        <v>140.14499999999998</v>
      </c>
      <c r="AT11" s="139">
        <v>142.13499999999999</v>
      </c>
      <c r="AV11" s="139">
        <v>160.071</v>
      </c>
      <c r="AX11" s="139"/>
    </row>
    <row r="12" spans="1:50">
      <c r="A12" s="27"/>
      <c r="B12" s="27"/>
      <c r="C12" s="27"/>
      <c r="D12" s="27"/>
      <c r="E12" s="27"/>
      <c r="F12" s="27"/>
      <c r="G12" s="27"/>
      <c r="H12" s="27"/>
      <c r="I12" s="27"/>
      <c r="J12" s="27"/>
      <c r="K12" s="27"/>
      <c r="L12" s="27"/>
      <c r="M12" s="27"/>
      <c r="N12" s="141"/>
      <c r="O12" s="27"/>
      <c r="P12" s="141"/>
      <c r="Q12" s="27"/>
      <c r="R12" s="141"/>
      <c r="S12" s="27"/>
      <c r="T12" s="141"/>
      <c r="U12" s="27"/>
      <c r="V12" s="141"/>
      <c r="W12" s="27"/>
      <c r="X12" s="141"/>
      <c r="Y12" s="27"/>
      <c r="Z12" s="141"/>
      <c r="AA12" s="27"/>
      <c r="AB12" s="141"/>
      <c r="AC12" s="27"/>
      <c r="AD12" s="250"/>
      <c r="AE12" s="27"/>
      <c r="AF12" s="250"/>
      <c r="AG12" s="27"/>
      <c r="AH12" s="250"/>
      <c r="AI12" s="27"/>
      <c r="AJ12" s="250"/>
      <c r="AK12" s="27"/>
      <c r="AL12" s="250"/>
      <c r="AN12" s="250"/>
      <c r="AP12" s="250"/>
    </row>
    <row r="13" spans="1:50">
      <c r="A13" s="27"/>
      <c r="B13" s="27"/>
      <c r="C13" s="27"/>
      <c r="D13" s="138"/>
      <c r="E13" s="27"/>
      <c r="F13" s="138"/>
      <c r="G13" s="27"/>
      <c r="H13" s="138"/>
      <c r="I13" s="138"/>
      <c r="J13" s="138"/>
      <c r="K13" s="27"/>
      <c r="L13" s="138"/>
      <c r="M13" s="138"/>
      <c r="N13" s="138"/>
      <c r="O13" s="138"/>
      <c r="P13" s="138"/>
      <c r="Q13" s="138" t="s">
        <v>345</v>
      </c>
      <c r="R13" s="141"/>
      <c r="S13" s="138"/>
      <c r="T13" s="141"/>
      <c r="U13" s="138"/>
      <c r="V13" s="141"/>
      <c r="W13" s="138"/>
      <c r="X13" s="141"/>
      <c r="Y13" s="138"/>
      <c r="AA13" s="138"/>
      <c r="AB13" s="141"/>
      <c r="AC13" s="138"/>
      <c r="AD13" s="141"/>
      <c r="AE13" s="138"/>
      <c r="AF13" s="141"/>
      <c r="AG13" s="138"/>
      <c r="AH13" s="141"/>
      <c r="AI13" s="138"/>
      <c r="AJ13" s="141"/>
      <c r="AK13" s="138"/>
      <c r="AL13" s="138" t="s">
        <v>345</v>
      </c>
      <c r="AN13" s="141"/>
      <c r="AP13" s="141"/>
    </row>
    <row r="14" spans="1:50">
      <c r="A14" s="27" t="str">
        <f t="shared" ref="A14:B17" si="0">A8</f>
        <v>1Q</v>
      </c>
      <c r="B14" s="27" t="str">
        <f t="shared" si="0"/>
        <v>Apr</v>
      </c>
      <c r="C14" s="27"/>
      <c r="D14" s="142">
        <v>1.5</v>
      </c>
      <c r="E14" s="27"/>
      <c r="F14" s="142">
        <v>0.65821700000000005</v>
      </c>
      <c r="G14" s="27"/>
      <c r="H14" s="142">
        <v>0.409078</v>
      </c>
      <c r="I14" s="27"/>
      <c r="J14" s="142">
        <v>0.252913</v>
      </c>
      <c r="K14" s="27"/>
      <c r="L14" s="142">
        <v>0.28944300000000001</v>
      </c>
      <c r="M14" s="27"/>
      <c r="N14" s="142">
        <v>0.26011099999999998</v>
      </c>
      <c r="O14" s="27"/>
      <c r="P14" s="142">
        <v>0.27640999999999999</v>
      </c>
      <c r="Q14" s="27"/>
      <c r="R14" s="142">
        <v>0.30903199999999997</v>
      </c>
      <c r="S14" s="27"/>
      <c r="T14" s="142">
        <v>0</v>
      </c>
      <c r="U14" s="27"/>
      <c r="V14" s="142">
        <v>0</v>
      </c>
      <c r="W14" s="27"/>
      <c r="X14" s="142">
        <v>0</v>
      </c>
      <c r="Y14" s="27"/>
      <c r="Z14" s="142">
        <v>0</v>
      </c>
      <c r="AA14" s="27"/>
      <c r="AB14" s="142">
        <v>0</v>
      </c>
      <c r="AC14" s="27"/>
      <c r="AD14" s="142">
        <v>0</v>
      </c>
      <c r="AE14" s="27"/>
      <c r="AF14" s="142">
        <v>0</v>
      </c>
      <c r="AG14" s="27"/>
      <c r="AH14" s="253">
        <v>0</v>
      </c>
      <c r="AI14" s="27"/>
      <c r="AJ14" s="253">
        <v>0</v>
      </c>
      <c r="AK14" s="27"/>
      <c r="AL14" s="253">
        <v>0</v>
      </c>
      <c r="AN14" s="253">
        <v>0</v>
      </c>
      <c r="AP14" s="253">
        <v>0</v>
      </c>
      <c r="AR14" s="253">
        <v>34</v>
      </c>
      <c r="AT14" s="253">
        <v>10</v>
      </c>
      <c r="AV14" s="253">
        <v>15</v>
      </c>
      <c r="AX14" s="253"/>
    </row>
    <row r="15" spans="1:50">
      <c r="A15" s="27" t="str">
        <f t="shared" si="0"/>
        <v>2Q</v>
      </c>
      <c r="B15" s="27" t="str">
        <f t="shared" si="0"/>
        <v>Jul</v>
      </c>
      <c r="C15" s="27"/>
      <c r="D15" s="139">
        <f>1.821471+0.73559</f>
        <v>2.557061</v>
      </c>
      <c r="E15" s="27"/>
      <c r="F15" s="139">
        <v>0.64020900000000003</v>
      </c>
      <c r="G15" s="27"/>
      <c r="H15" s="139">
        <v>0.365817</v>
      </c>
      <c r="I15" s="27"/>
      <c r="J15" s="139">
        <v>0.27615800000000001</v>
      </c>
      <c r="K15" s="27"/>
      <c r="L15" s="139">
        <v>0.249247</v>
      </c>
      <c r="M15" s="27"/>
      <c r="N15" s="139">
        <v>0.27524700000000002</v>
      </c>
      <c r="O15" s="27"/>
      <c r="P15" s="139">
        <v>0.25377300000000003</v>
      </c>
      <c r="Q15" s="27"/>
      <c r="R15" s="139">
        <v>0.31340299999999999</v>
      </c>
      <c r="S15" s="27"/>
      <c r="T15" s="139">
        <v>0</v>
      </c>
      <c r="U15" s="27"/>
      <c r="V15" s="139">
        <v>0</v>
      </c>
      <c r="W15" s="27"/>
      <c r="X15" s="139">
        <v>0</v>
      </c>
      <c r="Y15" s="27"/>
      <c r="Z15" s="139">
        <v>0</v>
      </c>
      <c r="AA15" s="27"/>
      <c r="AB15" s="139">
        <v>0</v>
      </c>
      <c r="AC15" s="27"/>
      <c r="AD15" s="139">
        <v>0</v>
      </c>
      <c r="AE15" s="27"/>
      <c r="AF15" s="139">
        <v>0</v>
      </c>
      <c r="AG15" s="27"/>
      <c r="AH15" s="139">
        <v>0</v>
      </c>
      <c r="AI15" s="27"/>
      <c r="AJ15" s="139">
        <v>0</v>
      </c>
      <c r="AK15" s="27"/>
      <c r="AL15" s="139">
        <v>0</v>
      </c>
      <c r="AN15" s="139">
        <v>0</v>
      </c>
      <c r="AP15" s="139">
        <v>0</v>
      </c>
      <c r="AR15" s="139">
        <v>10</v>
      </c>
      <c r="AT15" s="139">
        <v>10</v>
      </c>
      <c r="AV15" s="139">
        <v>15</v>
      </c>
      <c r="AX15" s="139"/>
    </row>
    <row r="16" spans="1:50">
      <c r="A16" s="27" t="str">
        <f t="shared" si="0"/>
        <v>3Q</v>
      </c>
      <c r="B16" s="27" t="str">
        <f t="shared" si="0"/>
        <v>Oct</v>
      </c>
      <c r="C16" s="27"/>
      <c r="D16" s="139">
        <f>2.957909+0.761531</f>
        <v>3.7194399999999996</v>
      </c>
      <c r="E16" s="27"/>
      <c r="F16" s="139">
        <v>0.49520500000000001</v>
      </c>
      <c r="G16" s="27"/>
      <c r="H16" s="139">
        <v>0.30877700000000002</v>
      </c>
      <c r="I16" s="27"/>
      <c r="J16" s="139">
        <v>0.30598599999999998</v>
      </c>
      <c r="K16" s="27"/>
      <c r="L16" s="139">
        <v>0.249247</v>
      </c>
      <c r="M16" s="27"/>
      <c r="N16" s="139">
        <v>0.27524700000000002</v>
      </c>
      <c r="O16" s="27"/>
      <c r="P16" s="139">
        <v>0.25377300000000003</v>
      </c>
      <c r="Q16" s="27"/>
      <c r="R16" s="139">
        <v>0.31555899999999998</v>
      </c>
      <c r="S16" s="27"/>
      <c r="T16" s="139">
        <v>0</v>
      </c>
      <c r="U16" s="27"/>
      <c r="V16" s="139">
        <v>0</v>
      </c>
      <c r="W16" s="27"/>
      <c r="X16" s="139">
        <v>0</v>
      </c>
      <c r="Y16" s="27"/>
      <c r="Z16" s="139">
        <v>0</v>
      </c>
      <c r="AA16" s="27"/>
      <c r="AB16" s="139">
        <v>0</v>
      </c>
      <c r="AC16" s="27"/>
      <c r="AD16" s="139">
        <v>0</v>
      </c>
      <c r="AE16" s="27"/>
      <c r="AF16" s="139">
        <v>0</v>
      </c>
      <c r="AG16" s="27"/>
      <c r="AH16" s="139">
        <v>0</v>
      </c>
      <c r="AI16" s="27"/>
      <c r="AJ16" s="139">
        <v>0</v>
      </c>
      <c r="AK16" s="27"/>
      <c r="AL16" s="139">
        <v>0</v>
      </c>
      <c r="AN16" s="139">
        <v>0</v>
      </c>
      <c r="AP16" s="139">
        <v>0</v>
      </c>
      <c r="AR16" s="139">
        <v>10</v>
      </c>
      <c r="AT16" s="139">
        <v>10</v>
      </c>
      <c r="AV16" s="139">
        <v>15</v>
      </c>
      <c r="AX16" s="139"/>
    </row>
    <row r="17" spans="1:50">
      <c r="A17" s="27" t="str">
        <f t="shared" si="0"/>
        <v>4Q</v>
      </c>
      <c r="B17" s="27" t="str">
        <f t="shared" si="0"/>
        <v>Jan</v>
      </c>
      <c r="C17" s="27"/>
      <c r="D17" s="140">
        <f>+bal!G39</f>
        <v>0.65226399999999995</v>
      </c>
      <c r="E17" s="27"/>
      <c r="F17" s="140">
        <f>+bal!I39</f>
        <v>0.45660200000000001</v>
      </c>
      <c r="G17" s="27"/>
      <c r="H17" s="140">
        <f>+bal!K39</f>
        <v>0.25176199999999999</v>
      </c>
      <c r="I17" s="27"/>
      <c r="J17" s="140">
        <f>+bal!M39</f>
        <v>0.30952000000000002</v>
      </c>
      <c r="K17" s="27"/>
      <c r="L17" s="140">
        <f>+bal!O39</f>
        <v>0.26011099999999998</v>
      </c>
      <c r="M17" s="27"/>
      <c r="N17" s="140">
        <f>+bal!Q39</f>
        <v>0.27640999999999999</v>
      </c>
      <c r="O17" s="27"/>
      <c r="P17" s="139">
        <v>0.30687599999999998</v>
      </c>
      <c r="Q17" s="27"/>
      <c r="R17" s="139">
        <v>0.17121700000000001</v>
      </c>
      <c r="S17" s="27"/>
      <c r="T17" s="139">
        <v>0</v>
      </c>
      <c r="U17" s="27"/>
      <c r="V17" s="139">
        <v>0</v>
      </c>
      <c r="W17" s="27"/>
      <c r="X17" s="139">
        <v>0</v>
      </c>
      <c r="Y17" s="27"/>
      <c r="Z17" s="139">
        <v>0</v>
      </c>
      <c r="AA17" s="27"/>
      <c r="AB17" s="139">
        <v>0</v>
      </c>
      <c r="AC17" s="27"/>
      <c r="AD17" s="139">
        <v>0</v>
      </c>
      <c r="AE17" s="27"/>
      <c r="AF17" s="139">
        <v>0</v>
      </c>
      <c r="AG17" s="27"/>
      <c r="AH17" s="139">
        <v>0</v>
      </c>
      <c r="AI17" s="27"/>
      <c r="AJ17" s="139">
        <v>0</v>
      </c>
      <c r="AK17" s="27"/>
      <c r="AL17" s="139">
        <v>0</v>
      </c>
      <c r="AN17" s="139">
        <v>0</v>
      </c>
      <c r="AP17" s="139">
        <v>0</v>
      </c>
      <c r="AR17" s="139">
        <v>10</v>
      </c>
      <c r="AT17" s="139">
        <v>16.25</v>
      </c>
      <c r="AV17" s="139">
        <v>15</v>
      </c>
      <c r="AX17" s="139"/>
    </row>
    <row r="18" spans="1:50">
      <c r="A18" s="27"/>
      <c r="B18" s="27"/>
      <c r="C18" s="27"/>
      <c r="D18" s="139"/>
      <c r="E18" s="27"/>
      <c r="F18" s="139"/>
      <c r="G18" s="27"/>
      <c r="H18" s="139"/>
      <c r="I18" s="27"/>
      <c r="J18" s="139"/>
      <c r="K18" s="27"/>
      <c r="L18" s="139"/>
      <c r="M18" s="27"/>
      <c r="N18" s="141"/>
      <c r="O18" s="27"/>
      <c r="P18" s="141"/>
      <c r="Q18" s="27"/>
      <c r="R18" s="141"/>
      <c r="S18" s="27"/>
      <c r="T18" s="141"/>
      <c r="U18" s="27"/>
      <c r="V18" s="141"/>
      <c r="W18" s="27"/>
      <c r="X18" s="141"/>
      <c r="Y18" s="27"/>
      <c r="Z18" s="141"/>
      <c r="AA18" s="27"/>
      <c r="AB18" s="141"/>
      <c r="AC18" s="27"/>
      <c r="AD18" s="141"/>
      <c r="AE18" s="27"/>
      <c r="AF18" s="141"/>
      <c r="AG18" s="27"/>
      <c r="AH18" s="141"/>
      <c r="AI18" s="27"/>
      <c r="AJ18" s="141"/>
      <c r="AK18" s="27"/>
      <c r="AL18" s="141"/>
      <c r="AN18" s="141"/>
      <c r="AP18" s="141"/>
    </row>
    <row r="19" spans="1:50">
      <c r="A19" s="27"/>
      <c r="B19" s="27"/>
      <c r="C19" s="27"/>
      <c r="D19" s="138"/>
      <c r="E19" s="27"/>
      <c r="F19" s="138"/>
      <c r="G19" s="27"/>
      <c r="H19" s="138"/>
      <c r="I19" s="138"/>
      <c r="J19" s="138"/>
      <c r="K19" s="27"/>
      <c r="L19" s="138"/>
      <c r="M19" s="138"/>
      <c r="N19" s="138"/>
      <c r="O19" s="138"/>
      <c r="P19" s="138"/>
      <c r="Q19" s="138" t="s">
        <v>346</v>
      </c>
      <c r="R19" s="141"/>
      <c r="S19" s="138"/>
      <c r="T19" s="141"/>
      <c r="U19" s="138"/>
      <c r="V19" s="141"/>
      <c r="W19" s="138"/>
      <c r="X19" s="141"/>
      <c r="Y19" s="138"/>
      <c r="AA19" s="138"/>
      <c r="AB19" s="141"/>
      <c r="AC19" s="138"/>
      <c r="AD19" s="141"/>
      <c r="AE19" s="138"/>
      <c r="AF19" s="141"/>
      <c r="AG19" s="138"/>
      <c r="AH19" s="141"/>
      <c r="AI19" s="138"/>
      <c r="AJ19" s="141"/>
      <c r="AK19" s="138"/>
      <c r="AL19" s="138" t="s">
        <v>346</v>
      </c>
      <c r="AN19" s="141"/>
      <c r="AP19" s="141"/>
    </row>
    <row r="20" spans="1:50">
      <c r="A20" s="27" t="str">
        <f t="shared" ref="A20:B23" si="1">A14</f>
        <v>1Q</v>
      </c>
      <c r="B20" s="27" t="str">
        <f t="shared" si="1"/>
        <v>Apr</v>
      </c>
      <c r="C20" s="27"/>
      <c r="D20" s="142">
        <f>2.458237+0.3+1.320131</f>
        <v>4.0783679999999993</v>
      </c>
      <c r="E20" s="27"/>
      <c r="F20" s="142">
        <f>5.322015+1.485645</f>
        <v>6.8076600000000003</v>
      </c>
      <c r="G20" s="27"/>
      <c r="H20" s="142">
        <f>5.567752+1.158423</f>
        <v>6.7261749999999996</v>
      </c>
      <c r="I20" s="27"/>
      <c r="J20" s="142">
        <f>5.417376+1.329824</f>
        <v>6.7471999999999994</v>
      </c>
      <c r="K20" s="27"/>
      <c r="L20" s="142">
        <f>5.275501+1.483523</f>
        <v>6.7590240000000001</v>
      </c>
      <c r="M20" s="27"/>
      <c r="N20" s="142">
        <f>5.2035+1.726572</f>
        <v>6.930072</v>
      </c>
      <c r="O20" s="27"/>
      <c r="P20" s="142">
        <f>5.1315+2.219951</f>
        <v>7.351451</v>
      </c>
      <c r="Q20" s="27"/>
      <c r="R20" s="142">
        <v>4.9870929999999998</v>
      </c>
      <c r="S20" s="27"/>
      <c r="T20" s="142">
        <v>0</v>
      </c>
      <c r="U20" s="27"/>
      <c r="V20" s="142">
        <v>0</v>
      </c>
      <c r="W20" s="27"/>
      <c r="X20" s="142">
        <v>0</v>
      </c>
      <c r="Y20" s="27"/>
      <c r="Z20" s="142">
        <v>0</v>
      </c>
      <c r="AA20" s="27"/>
      <c r="AB20" s="142">
        <v>0</v>
      </c>
      <c r="AC20" s="27"/>
      <c r="AD20" s="142">
        <v>0</v>
      </c>
      <c r="AE20" s="27"/>
      <c r="AF20" s="142">
        <v>0</v>
      </c>
      <c r="AG20" s="27"/>
      <c r="AH20" s="253">
        <v>0</v>
      </c>
      <c r="AI20" s="27"/>
      <c r="AJ20" s="253">
        <v>0</v>
      </c>
      <c r="AK20" s="27"/>
      <c r="AL20" s="253">
        <v>0</v>
      </c>
      <c r="AN20" s="253">
        <v>0</v>
      </c>
      <c r="AP20" s="253">
        <v>0</v>
      </c>
      <c r="AR20" s="253">
        <v>90</v>
      </c>
      <c r="AT20" s="253">
        <v>79.734999999999999</v>
      </c>
      <c r="AV20" s="253">
        <v>64.801000000000002</v>
      </c>
      <c r="AX20" s="253"/>
    </row>
    <row r="21" spans="1:50">
      <c r="A21" s="27" t="str">
        <f t="shared" si="1"/>
        <v>2Q</v>
      </c>
      <c r="B21" s="27" t="str">
        <f t="shared" si="1"/>
        <v>Jul</v>
      </c>
      <c r="C21" s="27"/>
      <c r="D21" s="139">
        <f>2.364036+1.253895</f>
        <v>3.617931</v>
      </c>
      <c r="E21" s="27"/>
      <c r="F21" s="139">
        <f>5.252495+1.464598</f>
        <v>6.7170930000000002</v>
      </c>
      <c r="G21" s="27"/>
      <c r="H21" s="139">
        <f>5.530545+1.202856</f>
        <v>6.7334009999999997</v>
      </c>
      <c r="I21" s="27"/>
      <c r="J21" s="139">
        <f>5.378821+1.386478</f>
        <v>6.7652990000000006</v>
      </c>
      <c r="K21" s="27"/>
      <c r="L21" s="139">
        <f>5.2575+1.519489</f>
        <v>6.7769890000000004</v>
      </c>
      <c r="M21" s="27"/>
      <c r="N21" s="139">
        <f>5.1855+1.774265</f>
        <v>6.959765</v>
      </c>
      <c r="O21" s="27"/>
      <c r="P21" s="139">
        <f>5.1135+2.496229</f>
        <v>7.6097289999999997</v>
      </c>
      <c r="Q21" s="27"/>
      <c r="R21" s="139">
        <v>4.9516850000000003</v>
      </c>
      <c r="S21" s="27"/>
      <c r="T21" s="139">
        <v>0</v>
      </c>
      <c r="U21" s="27"/>
      <c r="V21" s="139">
        <v>0</v>
      </c>
      <c r="W21" s="27"/>
      <c r="X21" s="139">
        <v>0</v>
      </c>
      <c r="Y21" s="27"/>
      <c r="Z21" s="139">
        <v>0</v>
      </c>
      <c r="AA21" s="27"/>
      <c r="AB21" s="139">
        <v>0</v>
      </c>
      <c r="AC21" s="27"/>
      <c r="AD21" s="139">
        <v>0</v>
      </c>
      <c r="AE21" s="27"/>
      <c r="AF21" s="139">
        <v>0</v>
      </c>
      <c r="AG21" s="27"/>
      <c r="AH21" s="139">
        <v>0</v>
      </c>
      <c r="AI21" s="27"/>
      <c r="AJ21" s="139">
        <v>0</v>
      </c>
      <c r="AK21" s="27"/>
      <c r="AL21" s="139">
        <v>0</v>
      </c>
      <c r="AN21" s="139">
        <v>0</v>
      </c>
      <c r="AP21" s="139">
        <v>0</v>
      </c>
      <c r="AR21" s="139">
        <v>87.186000000000007</v>
      </c>
      <c r="AT21" s="139">
        <v>77.251999999999995</v>
      </c>
      <c r="AV21" s="139">
        <v>61.067999999999998</v>
      </c>
      <c r="AX21" s="139"/>
    </row>
    <row r="22" spans="1:50">
      <c r="A22" s="27" t="str">
        <f t="shared" si="1"/>
        <v>3Q</v>
      </c>
      <c r="B22" s="27" t="str">
        <f t="shared" si="1"/>
        <v>Oct</v>
      </c>
      <c r="C22" s="27"/>
      <c r="D22" s="139">
        <f>2.199683+1.263092</f>
        <v>3.4627749999999997</v>
      </c>
      <c r="E22" s="27"/>
      <c r="F22" s="139">
        <f>5.200336+1.47697</f>
        <v>6.6773059999999997</v>
      </c>
      <c r="G22" s="27"/>
      <c r="H22" s="139">
        <f>5.493052+1.1897</f>
        <v>6.6827519999999998</v>
      </c>
      <c r="I22" s="27"/>
      <c r="J22" s="139">
        <f>5.311501+1.446685</f>
        <v>6.7581860000000002</v>
      </c>
      <c r="K22" s="27"/>
      <c r="L22" s="139">
        <f>5.2395+1.569872</f>
        <v>6.8093719999999998</v>
      </c>
      <c r="M22" s="27"/>
      <c r="N22" s="139">
        <f>5.1675+1.823256</f>
        <v>6.9907560000000002</v>
      </c>
      <c r="O22" s="27"/>
      <c r="P22" s="139">
        <v>5.0955000000000004</v>
      </c>
      <c r="Q22" s="27"/>
      <c r="R22" s="139">
        <v>4.9162790000000003</v>
      </c>
      <c r="S22" s="27"/>
      <c r="T22" s="139">
        <v>0</v>
      </c>
      <c r="U22" s="27"/>
      <c r="V22" s="139">
        <v>0</v>
      </c>
      <c r="W22" s="27"/>
      <c r="X22" s="139">
        <v>0</v>
      </c>
      <c r="Y22" s="27"/>
      <c r="Z22" s="139">
        <v>0</v>
      </c>
      <c r="AA22" s="27"/>
      <c r="AB22" s="139">
        <v>0</v>
      </c>
      <c r="AC22" s="27"/>
      <c r="AD22" s="139">
        <v>0</v>
      </c>
      <c r="AE22" s="27"/>
      <c r="AF22" s="139">
        <v>0</v>
      </c>
      <c r="AG22" s="27"/>
      <c r="AH22" s="139">
        <v>0</v>
      </c>
      <c r="AI22" s="27"/>
      <c r="AJ22" s="139">
        <v>0</v>
      </c>
      <c r="AK22" s="27"/>
      <c r="AL22" s="139">
        <v>0</v>
      </c>
      <c r="AN22" s="139">
        <v>0</v>
      </c>
      <c r="AP22" s="139">
        <v>0</v>
      </c>
      <c r="AR22" s="139">
        <v>84.701999999999998</v>
      </c>
      <c r="AT22" s="139">
        <v>74.768000000000001</v>
      </c>
      <c r="AV22" s="139">
        <v>57.335000000000001</v>
      </c>
      <c r="AX22" s="139"/>
    </row>
    <row r="23" spans="1:50">
      <c r="A23" s="27" t="str">
        <f t="shared" si="1"/>
        <v>4Q</v>
      </c>
      <c r="B23" s="27" t="str">
        <f t="shared" si="1"/>
        <v>Jan</v>
      </c>
      <c r="C23" s="27"/>
      <c r="D23" s="140">
        <f>+bal!G42</f>
        <v>5.8957610000000003</v>
      </c>
      <c r="E23" s="27"/>
      <c r="F23" s="140">
        <f>+bal!I42</f>
        <v>7.0078420000000001</v>
      </c>
      <c r="G23" s="27"/>
      <c r="H23" s="140">
        <f>+bal!K42</f>
        <v>6.7032290000000003</v>
      </c>
      <c r="I23" s="27"/>
      <c r="J23" s="140">
        <f>+bal!M42</f>
        <v>6.7130450000000002</v>
      </c>
      <c r="K23" s="27"/>
      <c r="L23" s="140">
        <f>+bal!O42</f>
        <v>6.8391799999999998</v>
      </c>
      <c r="M23" s="27"/>
      <c r="N23" s="140">
        <f>+bal!Q42</f>
        <v>7.1578520000000001</v>
      </c>
      <c r="O23" s="27"/>
      <c r="P23" s="139">
        <v>5.0224989999999998</v>
      </c>
      <c r="Q23" s="27"/>
      <c r="R23" s="139">
        <v>0</v>
      </c>
      <c r="S23" s="27"/>
      <c r="T23" s="139">
        <v>0</v>
      </c>
      <c r="U23" s="27"/>
      <c r="V23" s="139">
        <v>0</v>
      </c>
      <c r="W23" s="27"/>
      <c r="X23" s="139">
        <v>0</v>
      </c>
      <c r="Y23" s="27"/>
      <c r="Z23" s="139">
        <v>0</v>
      </c>
      <c r="AA23" s="27"/>
      <c r="AB23" s="139">
        <v>0</v>
      </c>
      <c r="AC23" s="27"/>
      <c r="AD23" s="139">
        <v>0</v>
      </c>
      <c r="AE23" s="27"/>
      <c r="AF23" s="139">
        <v>0</v>
      </c>
      <c r="AG23" s="27"/>
      <c r="AH23" s="139">
        <v>0</v>
      </c>
      <c r="AI23" s="27"/>
      <c r="AJ23" s="139">
        <v>0</v>
      </c>
      <c r="AK23" s="27"/>
      <c r="AL23" s="139">
        <v>0</v>
      </c>
      <c r="AN23" s="139">
        <v>0</v>
      </c>
      <c r="AP23" s="139">
        <v>0</v>
      </c>
      <c r="AR23" s="139">
        <v>82.218999999999994</v>
      </c>
      <c r="AT23" s="139">
        <v>68.534999999999997</v>
      </c>
      <c r="AV23" s="139">
        <v>53.600999999999999</v>
      </c>
      <c r="AX23" s="139"/>
    </row>
    <row r="24" spans="1:50">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N24" s="27"/>
      <c r="AP24" s="27"/>
    </row>
    <row r="25" spans="1:50">
      <c r="A25" s="27"/>
      <c r="B25" s="27"/>
      <c r="C25" s="27"/>
      <c r="D25" s="88"/>
      <c r="E25" s="27"/>
      <c r="F25" s="88"/>
      <c r="G25" s="27"/>
      <c r="H25" s="88"/>
      <c r="I25" s="88"/>
      <c r="J25" s="88"/>
      <c r="K25" s="27"/>
      <c r="L25" s="88"/>
      <c r="M25" s="88"/>
      <c r="N25" s="88"/>
      <c r="O25" s="88"/>
      <c r="P25" s="88"/>
      <c r="Q25" s="88" t="s">
        <v>347</v>
      </c>
      <c r="R25" s="27"/>
      <c r="S25" s="88"/>
      <c r="T25" s="27"/>
      <c r="U25" s="88"/>
      <c r="V25" s="27"/>
      <c r="W25" s="88"/>
      <c r="X25" s="27"/>
      <c r="Y25" s="88"/>
      <c r="AA25" s="88"/>
      <c r="AB25" s="27"/>
      <c r="AC25" s="88"/>
      <c r="AD25" s="27"/>
      <c r="AE25" s="88"/>
      <c r="AF25" s="27"/>
      <c r="AG25" s="88"/>
      <c r="AH25" s="27"/>
      <c r="AI25" s="88"/>
      <c r="AJ25" s="27"/>
      <c r="AK25" s="88"/>
      <c r="AL25" s="88" t="s">
        <v>347</v>
      </c>
      <c r="AN25" s="27"/>
      <c r="AP25" s="27"/>
    </row>
    <row r="26" spans="1:50">
      <c r="A26" s="27" t="str">
        <f t="shared" ref="A26:B29" si="2">A20</f>
        <v>1Q</v>
      </c>
      <c r="B26" s="27" t="str">
        <f t="shared" si="2"/>
        <v>Apr</v>
      </c>
      <c r="C26" s="27"/>
      <c r="D26" s="40">
        <f>D20+D14</f>
        <v>5.5783679999999993</v>
      </c>
      <c r="E26" s="27"/>
      <c r="F26" s="40">
        <f>F20+F14</f>
        <v>7.4658770000000008</v>
      </c>
      <c r="G26" s="27"/>
      <c r="H26" s="40">
        <f>H20+H14</f>
        <v>7.1352529999999996</v>
      </c>
      <c r="I26" s="27"/>
      <c r="J26" s="40">
        <f>J20+J14</f>
        <v>7.0001129999999998</v>
      </c>
      <c r="K26" s="27"/>
      <c r="L26" s="40">
        <f>L20+L14</f>
        <v>7.0484670000000005</v>
      </c>
      <c r="M26" s="27"/>
      <c r="N26" s="40">
        <f>N14+N20</f>
        <v>7.1901830000000002</v>
      </c>
      <c r="O26" s="27"/>
      <c r="P26" s="40">
        <f>P14+P20</f>
        <v>7.6278610000000002</v>
      </c>
      <c r="Q26" s="27"/>
      <c r="R26" s="40">
        <f>R14+R20</f>
        <v>5.296125</v>
      </c>
      <c r="S26" s="27"/>
      <c r="T26" s="40">
        <f>T14+T20</f>
        <v>0</v>
      </c>
      <c r="U26" s="27"/>
      <c r="V26" s="40">
        <f>V14+V20</f>
        <v>0</v>
      </c>
      <c r="W26" s="27"/>
      <c r="X26" s="40">
        <f>X14+X20</f>
        <v>0</v>
      </c>
      <c r="Y26" s="27"/>
      <c r="Z26" s="40">
        <f>Z14+Z20</f>
        <v>0</v>
      </c>
      <c r="AA26" s="27"/>
      <c r="AB26" s="40">
        <f>AB14+AB20</f>
        <v>0</v>
      </c>
      <c r="AC26" s="27"/>
      <c r="AD26" s="40">
        <f>AD14+AD20</f>
        <v>0</v>
      </c>
      <c r="AE26" s="27"/>
      <c r="AF26" s="40">
        <f>AF14+AF20</f>
        <v>0</v>
      </c>
      <c r="AG26" s="27"/>
      <c r="AH26" s="40">
        <f>AH14+AH20</f>
        <v>0</v>
      </c>
      <c r="AI26" s="27"/>
      <c r="AJ26" s="40">
        <f>AJ14+AJ20</f>
        <v>0</v>
      </c>
      <c r="AK26" s="27"/>
      <c r="AL26" s="40">
        <f>AL14+AL20</f>
        <v>0</v>
      </c>
      <c r="AN26" s="40">
        <f>AN14+AN20</f>
        <v>0</v>
      </c>
      <c r="AP26" s="40">
        <f>AP14+AP20</f>
        <v>0</v>
      </c>
      <c r="AR26" s="40">
        <f>AR14+AR20</f>
        <v>124</v>
      </c>
      <c r="AT26" s="40">
        <f>AT14+AT20</f>
        <v>89.734999999999999</v>
      </c>
      <c r="AV26" s="40">
        <f>AV14+AV20</f>
        <v>79.801000000000002</v>
      </c>
      <c r="AX26" s="40"/>
    </row>
    <row r="27" spans="1:50">
      <c r="A27" s="27" t="str">
        <f t="shared" si="2"/>
        <v>2Q</v>
      </c>
      <c r="B27" s="27" t="str">
        <f t="shared" si="2"/>
        <v>Jul</v>
      </c>
      <c r="C27" s="27"/>
      <c r="D27" s="140">
        <f>D21+D15</f>
        <v>6.1749919999999996</v>
      </c>
      <c r="E27" s="27"/>
      <c r="F27" s="140">
        <f>F21+F15</f>
        <v>7.3573020000000007</v>
      </c>
      <c r="G27" s="27"/>
      <c r="H27" s="140">
        <f>H21+H15</f>
        <v>7.0992179999999996</v>
      </c>
      <c r="I27" s="27"/>
      <c r="J27" s="140">
        <f>J21+J15</f>
        <v>7.0414570000000003</v>
      </c>
      <c r="K27" s="27"/>
      <c r="L27" s="140">
        <f>L21+L15</f>
        <v>7.0262360000000008</v>
      </c>
      <c r="M27" s="27"/>
      <c r="N27" s="140">
        <f>N21+N15</f>
        <v>7.2350120000000002</v>
      </c>
      <c r="O27" s="27"/>
      <c r="P27" s="140">
        <f>P21+P15</f>
        <v>7.8635019999999995</v>
      </c>
      <c r="Q27" s="27"/>
      <c r="R27" s="140">
        <f>R21+R15</f>
        <v>5.2650880000000004</v>
      </c>
      <c r="S27" s="27"/>
      <c r="T27" s="140">
        <f>T21+T15</f>
        <v>0</v>
      </c>
      <c r="U27" s="27"/>
      <c r="V27" s="140">
        <f>V21+V15</f>
        <v>0</v>
      </c>
      <c r="W27" s="27"/>
      <c r="X27" s="140">
        <f>X21+X15</f>
        <v>0</v>
      </c>
      <c r="Y27" s="27"/>
      <c r="Z27" s="140">
        <f>Z21+Z15</f>
        <v>0</v>
      </c>
      <c r="AA27" s="27"/>
      <c r="AB27" s="140">
        <f>AB21+AB15</f>
        <v>0</v>
      </c>
      <c r="AC27" s="27"/>
      <c r="AD27" s="140">
        <f>AD21+AD15</f>
        <v>0</v>
      </c>
      <c r="AE27" s="27"/>
      <c r="AF27" s="140">
        <f>AF21+AF15</f>
        <v>0</v>
      </c>
      <c r="AG27" s="27"/>
      <c r="AH27" s="140">
        <f>AH21+AH15</f>
        <v>0</v>
      </c>
      <c r="AI27" s="27"/>
      <c r="AJ27" s="140">
        <f>AJ21+AJ15</f>
        <v>0</v>
      </c>
      <c r="AK27" s="27"/>
      <c r="AL27" s="140">
        <v>0</v>
      </c>
      <c r="AN27" s="140">
        <v>0</v>
      </c>
      <c r="AP27" s="140">
        <v>0</v>
      </c>
      <c r="AR27" s="140">
        <f>AR15+AR21</f>
        <v>97.186000000000007</v>
      </c>
      <c r="AT27" s="140">
        <f>AT15+AT21</f>
        <v>87.251999999999995</v>
      </c>
      <c r="AV27" s="140">
        <f>AV15+AV21</f>
        <v>76.067999999999998</v>
      </c>
      <c r="AX27" s="140"/>
    </row>
    <row r="28" spans="1:50">
      <c r="A28" s="27" t="str">
        <f t="shared" si="2"/>
        <v>3Q</v>
      </c>
      <c r="B28" s="27" t="str">
        <f t="shared" si="2"/>
        <v>Oct</v>
      </c>
      <c r="C28" s="27"/>
      <c r="D28" s="140">
        <f>D22+D16</f>
        <v>7.1822149999999993</v>
      </c>
      <c r="E28" s="27"/>
      <c r="F28" s="140">
        <f>F22+F16</f>
        <v>7.1725110000000001</v>
      </c>
      <c r="G28" s="27"/>
      <c r="H28" s="140">
        <f>H22+H16</f>
        <v>6.9915289999999999</v>
      </c>
      <c r="I28" s="27"/>
      <c r="J28" s="140">
        <f>J22+J16</f>
        <v>7.0641720000000001</v>
      </c>
      <c r="K28" s="27"/>
      <c r="L28" s="140">
        <f>L22+L16</f>
        <v>7.0586190000000002</v>
      </c>
      <c r="M28" s="27"/>
      <c r="N28" s="140">
        <f>N22+N16</f>
        <v>7.2660030000000004</v>
      </c>
      <c r="O28" s="27"/>
      <c r="P28" s="140">
        <f>P22+P16</f>
        <v>5.3492730000000002</v>
      </c>
      <c r="Q28" s="27"/>
      <c r="R28" s="140">
        <f>R22+R16</f>
        <v>5.2318380000000007</v>
      </c>
      <c r="S28" s="27"/>
      <c r="T28" s="140">
        <f>T22+T16</f>
        <v>0</v>
      </c>
      <c r="U28" s="27"/>
      <c r="V28" s="140">
        <f>V22+V16</f>
        <v>0</v>
      </c>
      <c r="W28" s="27"/>
      <c r="X28" s="140">
        <f>X22+X16</f>
        <v>0</v>
      </c>
      <c r="Y28" s="27"/>
      <c r="Z28" s="140">
        <f>Z22+Z16</f>
        <v>0</v>
      </c>
      <c r="AA28" s="27"/>
      <c r="AB28" s="140">
        <f>AB22+AB16</f>
        <v>0</v>
      </c>
      <c r="AC28" s="27"/>
      <c r="AD28" s="140">
        <f>AD22+AD16</f>
        <v>0</v>
      </c>
      <c r="AE28" s="27"/>
      <c r="AF28" s="140">
        <f>AF22+AF16</f>
        <v>0</v>
      </c>
      <c r="AG28" s="27"/>
      <c r="AH28" s="140">
        <f>AH22+AH16</f>
        <v>0</v>
      </c>
      <c r="AI28" s="27"/>
      <c r="AJ28" s="140">
        <f>AJ22+AJ16</f>
        <v>0</v>
      </c>
      <c r="AK28" s="27"/>
      <c r="AL28" s="140">
        <v>0</v>
      </c>
      <c r="AN28" s="140">
        <v>0</v>
      </c>
      <c r="AP28" s="140">
        <v>0</v>
      </c>
      <c r="AR28" s="140">
        <f>AR16+AR22</f>
        <v>94.701999999999998</v>
      </c>
      <c r="AT28" s="140">
        <f>AT16+AT22</f>
        <v>84.768000000000001</v>
      </c>
      <c r="AV28" s="140">
        <f>AV16+AV22</f>
        <v>72.335000000000008</v>
      </c>
      <c r="AX28" s="140"/>
    </row>
    <row r="29" spans="1:50">
      <c r="A29" s="27" t="str">
        <f t="shared" si="2"/>
        <v>4Q</v>
      </c>
      <c r="B29" s="27" t="str">
        <f t="shared" si="2"/>
        <v>Jan</v>
      </c>
      <c r="C29" s="27"/>
      <c r="D29" s="140">
        <f>D23+D17</f>
        <v>6.548025</v>
      </c>
      <c r="E29" s="27"/>
      <c r="F29" s="140">
        <f>F23+F17</f>
        <v>7.4644440000000003</v>
      </c>
      <c r="G29" s="27"/>
      <c r="H29" s="140">
        <f>H23+H17</f>
        <v>6.9549910000000006</v>
      </c>
      <c r="I29" s="27"/>
      <c r="J29" s="140">
        <f>J23+J17</f>
        <v>7.0225650000000002</v>
      </c>
      <c r="K29" s="27"/>
      <c r="L29" s="140">
        <f>L23+L17</f>
        <v>7.099291</v>
      </c>
      <c r="M29" s="27"/>
      <c r="N29" s="140">
        <f>N23+N17</f>
        <v>7.4342620000000004</v>
      </c>
      <c r="O29" s="27"/>
      <c r="P29" s="140">
        <f>P23+P17</f>
        <v>5.3293749999999998</v>
      </c>
      <c r="Q29" s="27"/>
      <c r="R29" s="140">
        <f>R23+R17</f>
        <v>0.17121700000000001</v>
      </c>
      <c r="S29" s="27"/>
      <c r="T29" s="140">
        <f>T23+T17</f>
        <v>0</v>
      </c>
      <c r="U29" s="27"/>
      <c r="V29" s="140">
        <f>V23+V17</f>
        <v>0</v>
      </c>
      <c r="W29" s="27"/>
      <c r="X29" s="140">
        <f>X23+X17</f>
        <v>0</v>
      </c>
      <c r="Y29" s="27"/>
      <c r="Z29" s="140">
        <f>Z23+Z17</f>
        <v>0</v>
      </c>
      <c r="AA29" s="27"/>
      <c r="AB29" s="140">
        <f>AB23+AB17</f>
        <v>0</v>
      </c>
      <c r="AC29" s="27"/>
      <c r="AD29" s="140">
        <f>AD23+AD17</f>
        <v>0</v>
      </c>
      <c r="AE29" s="27"/>
      <c r="AF29" s="140">
        <f>AF23+AF17</f>
        <v>0</v>
      </c>
      <c r="AG29" s="27"/>
      <c r="AH29" s="140">
        <f>AH23+AH17</f>
        <v>0</v>
      </c>
      <c r="AI29" s="27"/>
      <c r="AJ29" s="140">
        <f>AJ23+AJ17</f>
        <v>0</v>
      </c>
      <c r="AK29" s="27"/>
      <c r="AL29" s="140">
        <v>0</v>
      </c>
      <c r="AN29" s="140">
        <v>0</v>
      </c>
      <c r="AP29" s="140">
        <v>0</v>
      </c>
      <c r="AR29" s="140">
        <f>AR17+AR23</f>
        <v>92.218999999999994</v>
      </c>
      <c r="AT29" s="140">
        <f>AT17+AT23</f>
        <v>84.784999999999997</v>
      </c>
      <c r="AV29" s="140">
        <f>AV17+AV23</f>
        <v>68.600999999999999</v>
      </c>
      <c r="AX29" s="140"/>
    </row>
    <row r="30" spans="1:50">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N30" s="27"/>
      <c r="AP30" s="27"/>
    </row>
    <row r="31" spans="1:50">
      <c r="A31" s="27"/>
      <c r="B31" s="27"/>
      <c r="C31" s="27"/>
      <c r="D31" s="88"/>
      <c r="E31" s="27"/>
      <c r="F31" s="88"/>
      <c r="G31" s="27"/>
      <c r="H31" s="88"/>
      <c r="I31" s="88"/>
      <c r="J31" s="88"/>
      <c r="K31" s="27"/>
      <c r="L31" s="88"/>
      <c r="M31" s="88"/>
      <c r="N31" s="88"/>
      <c r="O31" s="88"/>
      <c r="P31" s="88"/>
      <c r="Q31" s="88" t="s">
        <v>348</v>
      </c>
      <c r="R31" s="27"/>
      <c r="S31" s="88"/>
      <c r="T31" s="27"/>
      <c r="U31" s="88"/>
      <c r="V31" s="27"/>
      <c r="W31" s="88"/>
      <c r="X31" s="27"/>
      <c r="Y31" s="88"/>
      <c r="AA31" s="88"/>
      <c r="AB31" s="27"/>
      <c r="AC31" s="88"/>
      <c r="AD31" s="27"/>
      <c r="AE31" s="88"/>
      <c r="AF31" s="27"/>
      <c r="AG31" s="88"/>
      <c r="AH31" s="27"/>
      <c r="AI31" s="88"/>
      <c r="AJ31" s="27"/>
      <c r="AK31" s="88"/>
      <c r="AL31" s="88" t="s">
        <v>348</v>
      </c>
      <c r="AN31" s="27"/>
      <c r="AP31" s="27"/>
    </row>
    <row r="32" spans="1:50">
      <c r="A32" s="27" t="str">
        <f t="shared" ref="A32:B35" si="3">A26</f>
        <v>1Q</v>
      </c>
      <c r="B32" s="27" t="str">
        <f t="shared" si="3"/>
        <v>Apr</v>
      </c>
      <c r="C32" s="27"/>
      <c r="D32" s="123">
        <f>D26-D8</f>
        <v>4.6563359999999996</v>
      </c>
      <c r="E32" s="27"/>
      <c r="F32" s="123">
        <f>F26-F8</f>
        <v>2.7674320000000003</v>
      </c>
      <c r="G32" s="27"/>
      <c r="H32" s="123">
        <f>H26-H8</f>
        <v>3.8778059999999996</v>
      </c>
      <c r="I32" s="27"/>
      <c r="J32" s="123">
        <f>J26-J8</f>
        <v>-3.6685760000000007</v>
      </c>
      <c r="K32" s="27"/>
      <c r="L32" s="123">
        <f>L26-L8</f>
        <v>-14.111590999999999</v>
      </c>
      <c r="M32" s="27"/>
      <c r="N32" s="123">
        <f>N26-N8</f>
        <v>-22.912081999999998</v>
      </c>
      <c r="O32" s="27"/>
      <c r="P32" s="123">
        <f>P26-P8</f>
        <v>-20.429309</v>
      </c>
      <c r="Q32" s="27"/>
      <c r="R32" s="123">
        <f>R26-R8</f>
        <v>-64.593448999999993</v>
      </c>
      <c r="S32" s="27"/>
      <c r="T32" s="123">
        <f>T26-T8</f>
        <v>-122.082916</v>
      </c>
      <c r="U32" s="27"/>
      <c r="V32" s="123">
        <f>V26-V8</f>
        <v>-182.82500000000002</v>
      </c>
      <c r="W32" s="27"/>
      <c r="X32" s="123">
        <f>X26-X8</f>
        <v>-329.08299999999997</v>
      </c>
      <c r="Y32" s="27"/>
      <c r="Z32" s="123">
        <f>Z26-Z8</f>
        <v>-407.22700000000003</v>
      </c>
      <c r="AA32" s="27"/>
      <c r="AB32" s="123">
        <f>AB26-AB8</f>
        <v>-273.89400000000001</v>
      </c>
      <c r="AC32" s="27"/>
      <c r="AD32" s="123">
        <f>AD26-AD8</f>
        <v>-270.774</v>
      </c>
      <c r="AE32" s="27"/>
      <c r="AF32" s="123">
        <f>AF26-AF8</f>
        <v>-324.97900000000004</v>
      </c>
      <c r="AG32" s="27"/>
      <c r="AH32" s="123">
        <f>AH26-AH8</f>
        <v>-481.86099999999999</v>
      </c>
      <c r="AI32" s="27"/>
      <c r="AJ32" s="123">
        <f>AJ26-AJ8</f>
        <v>-566.22400000000005</v>
      </c>
      <c r="AK32" s="27"/>
      <c r="AL32" s="123">
        <f>AL26-AL8</f>
        <v>-340.52300000000002</v>
      </c>
      <c r="AN32" s="123">
        <f>AN26-AN8</f>
        <v>-288.38499999999999</v>
      </c>
      <c r="AP32" s="123">
        <f>AP26-AP8</f>
        <v>-171.51299999999998</v>
      </c>
      <c r="AR32" s="123">
        <f>AR26-AR8</f>
        <v>-22.098000000000013</v>
      </c>
      <c r="AT32" s="123">
        <f>AT26-AT8</f>
        <v>-17.245999999999995</v>
      </c>
      <c r="AV32" s="123">
        <f>AV26-AV8</f>
        <v>-89.969999999999985</v>
      </c>
      <c r="AX32" s="123"/>
    </row>
    <row r="33" spans="1:50">
      <c r="A33" s="27" t="str">
        <f t="shared" si="3"/>
        <v>2Q</v>
      </c>
      <c r="B33" s="27" t="str">
        <f t="shared" si="3"/>
        <v>Jul</v>
      </c>
      <c r="C33" s="27"/>
      <c r="D33" s="140">
        <f>D27-D9</f>
        <v>4.9538199999999994</v>
      </c>
      <c r="E33" s="27"/>
      <c r="F33" s="140">
        <f>F27-F9</f>
        <v>1.3846500000000006</v>
      </c>
      <c r="G33" s="27"/>
      <c r="H33" s="140">
        <f>H27-H9</f>
        <v>1.8160059999999998</v>
      </c>
      <c r="I33" s="27"/>
      <c r="J33" s="140">
        <f>J27-J9</f>
        <v>-4.2079019999999998</v>
      </c>
      <c r="K33" s="27"/>
      <c r="L33" s="140">
        <f>L27-L9</f>
        <v>-11.693386999999998</v>
      </c>
      <c r="M33" s="27"/>
      <c r="N33" s="140">
        <f>N27-N9</f>
        <v>-15.728185</v>
      </c>
      <c r="O33" s="27"/>
      <c r="P33" s="140">
        <f>P27-P9</f>
        <v>-21.773273999999997</v>
      </c>
      <c r="Q33" s="27"/>
      <c r="R33" s="140">
        <f>R27-R9</f>
        <v>-63.291324999999993</v>
      </c>
      <c r="S33" s="27"/>
      <c r="T33" s="140">
        <f>T27-T9</f>
        <v>-141.40165400000001</v>
      </c>
      <c r="U33" s="27"/>
      <c r="V33" s="140">
        <f>V27-V9</f>
        <v>-215.15900000000002</v>
      </c>
      <c r="W33" s="27"/>
      <c r="X33" s="140">
        <f>X27-X9</f>
        <v>-350.55599999999998</v>
      </c>
      <c r="Y33" s="27"/>
      <c r="Z33" s="140">
        <f>Z27-Z9</f>
        <v>-253.398</v>
      </c>
      <c r="AA33" s="27"/>
      <c r="AB33" s="140">
        <f>AB27-AB9</f>
        <v>-287.142</v>
      </c>
      <c r="AC33" s="27"/>
      <c r="AD33" s="140">
        <f>AD27-AD9</f>
        <v>-277.68799999999999</v>
      </c>
      <c r="AE33" s="27"/>
      <c r="AF33" s="140">
        <f>AF27-AF9</f>
        <v>-377.51</v>
      </c>
      <c r="AG33" s="27"/>
      <c r="AH33" s="140">
        <f>AH27-AH9</f>
        <v>-487.38800000000003</v>
      </c>
      <c r="AI33" s="27"/>
      <c r="AJ33" s="140">
        <f>AJ27-AJ9</f>
        <v>-504.32</v>
      </c>
      <c r="AK33" s="27"/>
      <c r="AL33" s="140">
        <f>AL27-AL9</f>
        <v>-357.94599999999997</v>
      </c>
      <c r="AM33" s="140"/>
      <c r="AN33" s="140">
        <f>AN27-AN9</f>
        <v>-301.851</v>
      </c>
      <c r="AO33" s="140"/>
      <c r="AP33" s="140">
        <f>AP27-AP9</f>
        <v>-208.66300000000001</v>
      </c>
      <c r="AR33" s="140">
        <f>AR27-AR9</f>
        <v>-59.828000000000003</v>
      </c>
      <c r="AT33" s="140">
        <f>AT27-AT9</f>
        <v>-63.89200000000001</v>
      </c>
      <c r="AV33" s="140">
        <f>AV27-AV9</f>
        <v>-110.134</v>
      </c>
      <c r="AX33" s="140"/>
    </row>
    <row r="34" spans="1:50">
      <c r="A34" s="27" t="str">
        <f t="shared" si="3"/>
        <v>3Q</v>
      </c>
      <c r="B34" s="27" t="str">
        <f t="shared" si="3"/>
        <v>Oct</v>
      </c>
      <c r="C34" s="27"/>
      <c r="D34" s="140">
        <f>D28-D10</f>
        <v>6.595521999999999</v>
      </c>
      <c r="E34" s="27"/>
      <c r="F34" s="140">
        <f>F28-F10</f>
        <v>3.708898</v>
      </c>
      <c r="G34" s="27"/>
      <c r="H34" s="140">
        <f>H28-H10</f>
        <v>2.6013859999999998</v>
      </c>
      <c r="I34" s="27"/>
      <c r="J34" s="140">
        <f>J28-J10</f>
        <v>-7.4034059999999995</v>
      </c>
      <c r="K34" s="27"/>
      <c r="L34" s="140">
        <f>L28-L10</f>
        <v>-12.968167999999999</v>
      </c>
      <c r="M34" s="27"/>
      <c r="N34" s="140">
        <f>N28-N10</f>
        <v>-13.623700999999997</v>
      </c>
      <c r="O34" s="27"/>
      <c r="P34" s="140">
        <f>P28-P10</f>
        <v>-29.286496000000003</v>
      </c>
      <c r="Q34" s="27"/>
      <c r="R34" s="140">
        <f>R28-R10</f>
        <v>-84.52239800000001</v>
      </c>
      <c r="S34" s="27"/>
      <c r="T34" s="140">
        <f>T28-T10</f>
        <v>-88.86999999999999</v>
      </c>
      <c r="U34" s="27"/>
      <c r="V34" s="140">
        <f>V28-V10</f>
        <v>-225.31099999999998</v>
      </c>
      <c r="W34" s="27"/>
      <c r="X34" s="140">
        <f>X28-X10</f>
        <v>-400.28100000000001</v>
      </c>
      <c r="Y34" s="27"/>
      <c r="Z34" s="140">
        <f>Z28-Z10</f>
        <v>-253.90299999999999</v>
      </c>
      <c r="AA34" s="27"/>
      <c r="AB34" s="140">
        <f>AB28-AB10</f>
        <v>-289.46899999999999</v>
      </c>
      <c r="AC34" s="27"/>
      <c r="AD34" s="140">
        <f>AD28-AD10</f>
        <v>-256.33799999999997</v>
      </c>
      <c r="AE34" s="27"/>
      <c r="AF34" s="140">
        <f>AF28-AF10</f>
        <v>-423.30700000000002</v>
      </c>
      <c r="AG34" s="27"/>
      <c r="AH34" s="140">
        <f>AH28-AH10</f>
        <v>-505.55200000000002</v>
      </c>
      <c r="AI34" s="27"/>
      <c r="AJ34" s="140">
        <f>AJ28-AJ10</f>
        <v>-239.81299999999999</v>
      </c>
      <c r="AK34" s="27"/>
      <c r="AL34" s="140">
        <f>AL28-AL10</f>
        <v>-301.49499999999995</v>
      </c>
      <c r="AM34" s="140"/>
      <c r="AN34" s="140">
        <f>AN28-AN10</f>
        <v>-249.75900000000001</v>
      </c>
      <c r="AO34" s="140"/>
      <c r="AP34" s="140">
        <f>AP28-AP10</f>
        <v>-191.214</v>
      </c>
      <c r="AR34" s="140">
        <f>AR28-AR10</f>
        <v>-43.870000000000005</v>
      </c>
      <c r="AT34" s="140">
        <f>AT28-AT10</f>
        <v>-45.974000000000018</v>
      </c>
      <c r="AV34" s="140">
        <f>AV28-AV10</f>
        <v>-53.310999999999993</v>
      </c>
      <c r="AX34" s="140"/>
    </row>
    <row r="35" spans="1:50">
      <c r="A35" s="27" t="str">
        <f t="shared" si="3"/>
        <v>4Q</v>
      </c>
      <c r="B35" s="27" t="str">
        <f t="shared" si="3"/>
        <v>Jan</v>
      </c>
      <c r="C35" s="27"/>
      <c r="D35" s="140">
        <f>D29-D11</f>
        <v>5.4480960000000023</v>
      </c>
      <c r="E35" s="27"/>
      <c r="F35" s="140">
        <f>F29-F11</f>
        <v>6.6322680000000043</v>
      </c>
      <c r="G35" s="27"/>
      <c r="H35" s="140">
        <f>H29-H11</f>
        <v>4.0110750000000088</v>
      </c>
      <c r="I35" s="27"/>
      <c r="J35" s="140">
        <f>J29-J11</f>
        <v>-7.4622109999999893</v>
      </c>
      <c r="K35" s="27"/>
      <c r="L35" s="140">
        <f>L29-L11</f>
        <v>-10.877165999999988</v>
      </c>
      <c r="M35" s="27"/>
      <c r="N35" s="140">
        <f>N29-N11</f>
        <v>-10.701375999999978</v>
      </c>
      <c r="O35" s="27"/>
      <c r="P35" s="140">
        <f>P29-P11</f>
        <v>-48.476163999999997</v>
      </c>
      <c r="Q35" s="27"/>
      <c r="R35" s="140">
        <f>R29-R11</f>
        <v>-99.77704700000001</v>
      </c>
      <c r="S35" s="27"/>
      <c r="T35" s="140">
        <f>T29-T11</f>
        <v>-120.129</v>
      </c>
      <c r="U35" s="27"/>
      <c r="V35" s="140">
        <f>V29-V11</f>
        <v>-265.625</v>
      </c>
      <c r="W35" s="27"/>
      <c r="X35" s="140">
        <f>X29-X11</f>
        <v>-404.48</v>
      </c>
      <c r="Y35" s="27"/>
      <c r="Z35" s="140">
        <f>Z29-Z11</f>
        <v>-275.53899999999999</v>
      </c>
      <c r="AA35" s="27"/>
      <c r="AB35" s="140">
        <f>AB29-AB11</f>
        <v>-274.27</v>
      </c>
      <c r="AC35" s="27"/>
      <c r="AD35" s="140">
        <f>AD29-AD11</f>
        <v>-268.702</v>
      </c>
      <c r="AE35" s="27"/>
      <c r="AF35" s="140">
        <f>AF29-AF11</f>
        <v>-423.54300000000001</v>
      </c>
      <c r="AG35" s="27"/>
      <c r="AH35" s="140">
        <f>AH29-AH11</f>
        <v>-548.71400000000006</v>
      </c>
      <c r="AI35" s="27"/>
      <c r="AJ35" s="140">
        <f>AJ29-AJ11</f>
        <v>-247.85300000000001</v>
      </c>
      <c r="AK35" s="27"/>
      <c r="AL35" s="140">
        <f>AL29-AL11</f>
        <v>-329.358</v>
      </c>
      <c r="AM35" s="140"/>
      <c r="AN35" s="140">
        <f>AN29-AN11</f>
        <v>-152.446</v>
      </c>
      <c r="AO35" s="140"/>
      <c r="AP35" s="140">
        <f>AP29-AP11</f>
        <v>-133.351</v>
      </c>
      <c r="AR35" s="140">
        <f>AR29-AR11</f>
        <v>-47.925999999999988</v>
      </c>
      <c r="AT35" s="140">
        <f>AT29-AT11</f>
        <v>-57.349999999999994</v>
      </c>
      <c r="AV35" s="140">
        <f>AV29-AV11</f>
        <v>-91.47</v>
      </c>
      <c r="AX35" s="140"/>
    </row>
    <row r="36" spans="1:50">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c r="AJ36" s="27"/>
      <c r="AK36" s="27"/>
      <c r="AL36" s="27"/>
      <c r="AN36" s="27"/>
      <c r="AP36" s="27"/>
    </row>
    <row r="37" spans="1:50">
      <c r="A37" s="27"/>
      <c r="B37" s="27"/>
      <c r="C37" s="27"/>
      <c r="D37" s="138"/>
      <c r="E37" s="27"/>
      <c r="F37" s="138"/>
      <c r="G37" s="27"/>
      <c r="H37" s="138"/>
      <c r="I37" s="138"/>
      <c r="J37" s="138"/>
      <c r="K37" s="27"/>
      <c r="L37" s="138"/>
      <c r="M37" s="138"/>
      <c r="N37" s="138"/>
      <c r="O37" s="138"/>
      <c r="P37" s="138"/>
      <c r="Q37" s="138" t="s">
        <v>349</v>
      </c>
      <c r="R37" s="27"/>
      <c r="S37" s="138"/>
      <c r="T37" s="27"/>
      <c r="U37" s="138"/>
      <c r="V37" s="27"/>
      <c r="W37" s="138"/>
      <c r="X37" s="27"/>
      <c r="Y37" s="138"/>
      <c r="AA37" s="138"/>
      <c r="AB37" s="27"/>
      <c r="AC37" s="138"/>
      <c r="AD37" s="27"/>
      <c r="AE37" s="138"/>
      <c r="AF37" s="27"/>
      <c r="AG37" s="138"/>
      <c r="AH37" s="27"/>
      <c r="AI37" s="138"/>
      <c r="AJ37" s="27"/>
      <c r="AK37" s="138"/>
      <c r="AL37" s="138" t="s">
        <v>349</v>
      </c>
      <c r="AN37" s="27"/>
      <c r="AP37" s="27"/>
    </row>
    <row r="38" spans="1:50">
      <c r="A38" s="27" t="str">
        <f t="shared" ref="A38:B41" si="4">A32</f>
        <v>1Q</v>
      </c>
      <c r="B38" s="27" t="str">
        <f t="shared" si="4"/>
        <v>Apr</v>
      </c>
      <c r="C38" s="27"/>
      <c r="D38" s="142">
        <v>14.412452999999999</v>
      </c>
      <c r="E38" s="27"/>
      <c r="F38" s="142">
        <v>16.572873000000001</v>
      </c>
      <c r="G38" s="27"/>
      <c r="H38" s="142">
        <v>19.023053999999998</v>
      </c>
      <c r="I38" s="27"/>
      <c r="J38" s="142">
        <v>23.792255999999998</v>
      </c>
      <c r="K38" s="27"/>
      <c r="L38" s="142">
        <v>38.821216</v>
      </c>
      <c r="M38" s="27"/>
      <c r="N38" s="142">
        <v>60.585970000000003</v>
      </c>
      <c r="O38" s="27"/>
      <c r="P38" s="142">
        <v>101.382468</v>
      </c>
      <c r="Q38" s="27"/>
      <c r="R38" s="142">
        <v>167.91503599999999</v>
      </c>
      <c r="S38" s="27"/>
      <c r="T38" s="142">
        <v>268.49881299999998</v>
      </c>
      <c r="U38" s="27"/>
      <c r="V38" s="142">
        <v>448.86900000000003</v>
      </c>
      <c r="W38" s="27"/>
      <c r="X38" s="142">
        <v>626.65899999999999</v>
      </c>
      <c r="Y38" s="27"/>
      <c r="Z38" s="142">
        <v>839.92</v>
      </c>
      <c r="AA38" s="27"/>
      <c r="AB38" s="142">
        <v>857.59400000000005</v>
      </c>
      <c r="AC38" s="27"/>
      <c r="AD38" s="142">
        <v>927.45399999999995</v>
      </c>
      <c r="AE38" s="27"/>
      <c r="AF38" s="142">
        <v>915.53599999999994</v>
      </c>
      <c r="AG38" s="27"/>
      <c r="AH38" s="253">
        <v>1006.937</v>
      </c>
      <c r="AI38" s="27"/>
      <c r="AJ38" s="253">
        <v>1062.3630000000001</v>
      </c>
      <c r="AK38" s="27"/>
      <c r="AL38" s="253">
        <v>1056.3589999999999</v>
      </c>
      <c r="AN38" s="253">
        <v>1072.847</v>
      </c>
      <c r="AP38" s="253">
        <v>929.66899999999998</v>
      </c>
      <c r="AR38" s="253">
        <v>712.41499999999996</v>
      </c>
      <c r="AT38" s="253">
        <v>613.47699999999998</v>
      </c>
      <c r="AV38" s="253">
        <v>613.14400000000001</v>
      </c>
      <c r="AX38" s="253"/>
    </row>
    <row r="39" spans="1:50">
      <c r="A39" s="27" t="str">
        <f t="shared" si="4"/>
        <v>2Q</v>
      </c>
      <c r="B39" s="27" t="str">
        <f t="shared" si="4"/>
        <v>Jul</v>
      </c>
      <c r="C39" s="27"/>
      <c r="D39" s="139">
        <v>15.124243999999999</v>
      </c>
      <c r="E39" s="27"/>
      <c r="F39" s="139">
        <v>17.918939999999999</v>
      </c>
      <c r="G39" s="27"/>
      <c r="H39" s="139">
        <v>20.027048000000001</v>
      </c>
      <c r="I39" s="27"/>
      <c r="J39" s="139">
        <v>27.864234</v>
      </c>
      <c r="K39" s="27"/>
      <c r="L39" s="139">
        <v>43.332711000000003</v>
      </c>
      <c r="M39" s="27"/>
      <c r="N39" s="139">
        <v>70.452691999999999</v>
      </c>
      <c r="O39" s="27"/>
      <c r="P39" s="139">
        <v>149.34144699999999</v>
      </c>
      <c r="Q39" s="27"/>
      <c r="R39" s="139">
        <v>191.284907</v>
      </c>
      <c r="S39" s="27"/>
      <c r="T39" s="139">
        <v>299.68694499999998</v>
      </c>
      <c r="U39" s="27"/>
      <c r="V39" s="139">
        <v>490.57900000000001</v>
      </c>
      <c r="W39" s="27"/>
      <c r="X39" s="139">
        <v>682.27200000000005</v>
      </c>
      <c r="Y39" s="27"/>
      <c r="Z39" s="139">
        <v>732.06600000000003</v>
      </c>
      <c r="AA39" s="27"/>
      <c r="AB39" s="139">
        <v>903.03399999999999</v>
      </c>
      <c r="AC39" s="27"/>
      <c r="AD39" s="139">
        <v>937.245</v>
      </c>
      <c r="AE39" s="27"/>
      <c r="AF39" s="139">
        <v>932.495</v>
      </c>
      <c r="AG39" s="27"/>
      <c r="AH39" s="139">
        <v>1034.681</v>
      </c>
      <c r="AI39" s="27"/>
      <c r="AJ39" s="139">
        <v>1042.3389999999999</v>
      </c>
      <c r="AK39" s="27"/>
      <c r="AL39" s="139">
        <v>1081.9659999999999</v>
      </c>
      <c r="AN39" s="139">
        <v>1093.442</v>
      </c>
      <c r="AP39" s="139">
        <v>945.62099999999998</v>
      </c>
      <c r="AR39" s="139">
        <v>710.20500000000004</v>
      </c>
      <c r="AT39" s="139">
        <v>609.84299999999996</v>
      </c>
      <c r="AV39" s="139">
        <v>618.44200000000001</v>
      </c>
      <c r="AX39" s="139"/>
    </row>
    <row r="40" spans="1:50">
      <c r="A40" s="27" t="str">
        <f t="shared" si="4"/>
        <v>3Q</v>
      </c>
      <c r="B40" s="27" t="str">
        <f t="shared" si="4"/>
        <v>Oct</v>
      </c>
      <c r="C40" s="27"/>
      <c r="D40" s="139">
        <v>15.699885999999999</v>
      </c>
      <c r="E40" s="27"/>
      <c r="F40" s="139">
        <v>18.731489</v>
      </c>
      <c r="G40" s="27"/>
      <c r="H40" s="139">
        <v>20.996748</v>
      </c>
      <c r="I40" s="27"/>
      <c r="J40" s="139">
        <v>31.115658</v>
      </c>
      <c r="K40" s="27"/>
      <c r="L40" s="139">
        <v>48.412508000000003</v>
      </c>
      <c r="M40" s="27"/>
      <c r="N40" s="139">
        <v>79.331311999999997</v>
      </c>
      <c r="O40" s="27"/>
      <c r="P40" s="139">
        <v>130.63534999999999</v>
      </c>
      <c r="Q40" s="27"/>
      <c r="R40" s="139">
        <v>221.315327</v>
      </c>
      <c r="S40" s="27"/>
      <c r="T40" s="139">
        <v>340.05</v>
      </c>
      <c r="U40" s="27"/>
      <c r="V40" s="139">
        <v>523.30200000000002</v>
      </c>
      <c r="W40" s="27"/>
      <c r="X40" s="139">
        <v>741.78099999999995</v>
      </c>
      <c r="Y40" s="27"/>
      <c r="Z40" s="139">
        <v>781.53300000000002</v>
      </c>
      <c r="AA40" s="27"/>
      <c r="AB40" s="139">
        <v>929.32500000000005</v>
      </c>
      <c r="AC40" s="27"/>
      <c r="AD40" s="139">
        <v>942.15300000000002</v>
      </c>
      <c r="AE40" s="27"/>
      <c r="AF40" s="139">
        <v>962.25099999999998</v>
      </c>
      <c r="AG40" s="27"/>
      <c r="AH40" s="139">
        <v>1048.3119999999999</v>
      </c>
      <c r="AI40" s="27"/>
      <c r="AJ40" s="139">
        <v>1012.19</v>
      </c>
      <c r="AK40" s="27"/>
      <c r="AL40" s="139">
        <v>1130.3150000000001</v>
      </c>
      <c r="AN40" s="139">
        <v>1036.433</v>
      </c>
      <c r="AP40" s="139">
        <v>980.31399999999996</v>
      </c>
      <c r="AR40" s="139">
        <v>706.17600000000004</v>
      </c>
      <c r="AT40" s="139">
        <v>609.84299999999996</v>
      </c>
      <c r="AV40" s="139">
        <v>635.40700000000004</v>
      </c>
      <c r="AX40" s="139"/>
    </row>
    <row r="41" spans="1:50">
      <c r="A41" s="27" t="str">
        <f t="shared" si="4"/>
        <v>4Q</v>
      </c>
      <c r="B41" s="27" t="str">
        <f t="shared" si="4"/>
        <v>Jan</v>
      </c>
      <c r="C41" s="27"/>
      <c r="D41" s="140">
        <f>+bal!G52</f>
        <v>15.958949999999998</v>
      </c>
      <c r="E41" s="27"/>
      <c r="F41" s="140">
        <f>+bal!I52</f>
        <v>18.020598</v>
      </c>
      <c r="G41" s="27"/>
      <c r="H41" s="140">
        <f>+bal!K52</f>
        <v>21.455885000000002</v>
      </c>
      <c r="I41" s="27"/>
      <c r="J41" s="140">
        <f>+bal!M52</f>
        <v>34.303032999999999</v>
      </c>
      <c r="K41" s="27"/>
      <c r="L41" s="140">
        <f>+bal!O52</f>
        <v>52.640741999999996</v>
      </c>
      <c r="M41" s="27"/>
      <c r="N41" s="140">
        <f>+bal!Q52</f>
        <v>85.321241000000001</v>
      </c>
      <c r="O41" s="27"/>
      <c r="P41" s="140">
        <f>+bal!S52</f>
        <v>143.49493099999998</v>
      </c>
      <c r="Q41" s="27"/>
      <c r="R41" s="140">
        <f>+bal!U52</f>
        <v>240.13312200000001</v>
      </c>
      <c r="S41" s="27"/>
      <c r="T41" s="140">
        <f>+bal!W52</f>
        <v>374.83510500000006</v>
      </c>
      <c r="U41" s="27"/>
      <c r="V41" s="139">
        <v>560.86800000000005</v>
      </c>
      <c r="W41" s="27"/>
      <c r="X41" s="139">
        <v>806.42700000000002</v>
      </c>
      <c r="Y41" s="27"/>
      <c r="Z41" s="139">
        <v>803.93100000000004</v>
      </c>
      <c r="AA41" s="27"/>
      <c r="AB41" s="139">
        <v>912.51599999999996</v>
      </c>
      <c r="AC41" s="27"/>
      <c r="AD41" s="139">
        <v>902.19600000000003</v>
      </c>
      <c r="AE41" s="27"/>
      <c r="AF41" s="139">
        <v>981.91800000000001</v>
      </c>
      <c r="AG41" s="27"/>
      <c r="AH41" s="139">
        <v>1064.9069999999999</v>
      </c>
      <c r="AI41" s="27"/>
      <c r="AJ41" s="139">
        <v>1009.228</v>
      </c>
      <c r="AK41" s="27"/>
      <c r="AL41" s="139">
        <v>1093.1990000000001</v>
      </c>
      <c r="AN41" s="139">
        <v>909.10299999999995</v>
      </c>
      <c r="AP41" s="139">
        <v>943.62099999999998</v>
      </c>
      <c r="AR41" s="139">
        <v>639.78800000000001</v>
      </c>
      <c r="AT41" s="139">
        <v>609.173</v>
      </c>
      <c r="AV41" s="139">
        <v>656.38199999999995</v>
      </c>
      <c r="AX41" s="139"/>
    </row>
    <row r="42" spans="1:50">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N42" s="27"/>
      <c r="AP42" s="27"/>
    </row>
    <row r="43" spans="1:50">
      <c r="A43" s="27"/>
      <c r="B43" s="27"/>
      <c r="C43" s="27"/>
      <c r="D43" s="88"/>
      <c r="E43" s="27"/>
      <c r="F43" s="88"/>
      <c r="G43" s="27"/>
      <c r="H43" s="88"/>
      <c r="I43" s="88"/>
      <c r="J43" s="88"/>
      <c r="K43" s="27"/>
      <c r="L43" s="88"/>
      <c r="M43" s="88"/>
      <c r="N43" s="88"/>
      <c r="O43" s="88"/>
      <c r="P43" s="88"/>
      <c r="Q43" s="88" t="s">
        <v>350</v>
      </c>
      <c r="R43" s="27"/>
      <c r="S43" s="88"/>
      <c r="T43" s="27"/>
      <c r="U43" s="88"/>
      <c r="V43" s="27"/>
      <c r="W43" s="88"/>
      <c r="X43" s="27"/>
      <c r="Y43" s="88"/>
      <c r="AA43" s="88"/>
      <c r="AB43" s="27"/>
      <c r="AC43" s="88"/>
      <c r="AD43" s="27"/>
      <c r="AE43" s="88"/>
      <c r="AF43" s="27"/>
      <c r="AG43" s="88"/>
      <c r="AH43" s="27"/>
      <c r="AI43" s="88"/>
      <c r="AJ43" s="27"/>
      <c r="AK43" s="88"/>
      <c r="AL43" s="88" t="s">
        <v>350</v>
      </c>
      <c r="AN43" s="27"/>
      <c r="AP43" s="27"/>
    </row>
    <row r="44" spans="1:50">
      <c r="A44" s="27" t="str">
        <f t="shared" ref="A44:B47" si="5">A38</f>
        <v>1Q</v>
      </c>
      <c r="B44" s="27" t="str">
        <f t="shared" si="5"/>
        <v>Apr</v>
      </c>
      <c r="C44" s="27"/>
      <c r="D44" s="123">
        <f>D38+D26</f>
        <v>19.990820999999997</v>
      </c>
      <c r="E44" s="27"/>
      <c r="F44" s="123">
        <f>F38+F26</f>
        <v>24.03875</v>
      </c>
      <c r="G44" s="27"/>
      <c r="H44" s="123">
        <f>H38+H26</f>
        <v>26.158306999999997</v>
      </c>
      <c r="I44" s="27"/>
      <c r="J44" s="123">
        <f>J38+J26</f>
        <v>30.792368999999997</v>
      </c>
      <c r="K44" s="27"/>
      <c r="L44" s="123">
        <f>L38+L26</f>
        <v>45.869683000000002</v>
      </c>
      <c r="M44" s="27"/>
      <c r="N44" s="123">
        <f>N38+N26</f>
        <v>67.776153000000008</v>
      </c>
      <c r="O44" s="27"/>
      <c r="P44" s="123">
        <f>P38+P26</f>
        <v>109.010329</v>
      </c>
      <c r="Q44" s="27"/>
      <c r="R44" s="123">
        <f>R38+R26</f>
        <v>173.21116099999998</v>
      </c>
      <c r="S44" s="27"/>
      <c r="T44" s="123">
        <f>T38+T26</f>
        <v>268.49881299999998</v>
      </c>
      <c r="U44" s="27"/>
      <c r="V44" s="123">
        <f>V38+V26</f>
        <v>448.86900000000003</v>
      </c>
      <c r="W44" s="27"/>
      <c r="X44" s="123">
        <f>X38+X26</f>
        <v>626.65899999999999</v>
      </c>
      <c r="Y44" s="27"/>
      <c r="Z44" s="123">
        <f>Z38+Z26</f>
        <v>839.92</v>
      </c>
      <c r="AA44" s="27"/>
      <c r="AB44" s="123">
        <f>AB38+AB26</f>
        <v>857.59400000000005</v>
      </c>
      <c r="AC44" s="27"/>
      <c r="AD44" s="123">
        <f>AD38+AD26</f>
        <v>927.45399999999995</v>
      </c>
      <c r="AE44" s="27"/>
      <c r="AF44" s="123">
        <f>AF38+AF26</f>
        <v>915.53599999999994</v>
      </c>
      <c r="AG44" s="27"/>
      <c r="AH44" s="123">
        <f>AH38+AH26</f>
        <v>1006.937</v>
      </c>
      <c r="AI44" s="27"/>
      <c r="AJ44" s="123">
        <f>AJ38+AJ26</f>
        <v>1062.3630000000001</v>
      </c>
      <c r="AK44" s="27"/>
      <c r="AL44" s="123">
        <f>AL38+AL26</f>
        <v>1056.3589999999999</v>
      </c>
      <c r="AN44" s="123">
        <f>AN38+AN26</f>
        <v>1072.847</v>
      </c>
      <c r="AP44" s="123">
        <f>AP38+AP26</f>
        <v>929.66899999999998</v>
      </c>
      <c r="AR44" s="123">
        <f>AR38+AR26</f>
        <v>836.41499999999996</v>
      </c>
      <c r="AT44" s="123">
        <f>AT38+AT26</f>
        <v>703.21199999999999</v>
      </c>
      <c r="AV44" s="123">
        <f>AV38+AV26</f>
        <v>692.94500000000005</v>
      </c>
      <c r="AX44" s="123"/>
    </row>
    <row r="45" spans="1:50">
      <c r="A45" s="27" t="str">
        <f t="shared" si="5"/>
        <v>2Q</v>
      </c>
      <c r="B45" s="27" t="str">
        <f t="shared" si="5"/>
        <v>Jul</v>
      </c>
      <c r="C45" s="27"/>
      <c r="D45" s="140">
        <f>D39+D27</f>
        <v>21.299236000000001</v>
      </c>
      <c r="E45" s="27"/>
      <c r="F45" s="140">
        <f>F39+F27</f>
        <v>25.276242</v>
      </c>
      <c r="G45" s="27"/>
      <c r="H45" s="140">
        <f>H39+H27</f>
        <v>27.126266000000001</v>
      </c>
      <c r="I45" s="27"/>
      <c r="J45" s="140">
        <f>J39+J27</f>
        <v>34.905690999999997</v>
      </c>
      <c r="K45" s="27"/>
      <c r="L45" s="140">
        <f>L39+L27</f>
        <v>50.358947000000001</v>
      </c>
      <c r="M45" s="27"/>
      <c r="N45" s="140">
        <f>N39+N27</f>
        <v>77.687703999999997</v>
      </c>
      <c r="O45" s="27"/>
      <c r="P45" s="140">
        <f>P39+P27</f>
        <v>157.204949</v>
      </c>
      <c r="Q45" s="27"/>
      <c r="R45" s="140">
        <f>R39+R27</f>
        <v>196.549995</v>
      </c>
      <c r="S45" s="27"/>
      <c r="T45" s="140">
        <f>T39+T27</f>
        <v>299.68694499999998</v>
      </c>
      <c r="U45" s="27"/>
      <c r="V45" s="140">
        <f>V39+V27</f>
        <v>490.57900000000001</v>
      </c>
      <c r="W45" s="27"/>
      <c r="X45" s="140">
        <f>X39+X27</f>
        <v>682.27200000000005</v>
      </c>
      <c r="Y45" s="27"/>
      <c r="Z45" s="140">
        <f>Z39+Z27</f>
        <v>732.06600000000003</v>
      </c>
      <c r="AA45" s="27"/>
      <c r="AB45" s="140">
        <f>AB39+AB27</f>
        <v>903.03399999999999</v>
      </c>
      <c r="AC45" s="27"/>
      <c r="AD45" s="140">
        <f>AD39+AD27</f>
        <v>937.245</v>
      </c>
      <c r="AE45" s="27"/>
      <c r="AF45" s="140">
        <f>AF39+AF27</f>
        <v>932.495</v>
      </c>
      <c r="AG45" s="27"/>
      <c r="AH45" s="140">
        <f>AH39+AH27</f>
        <v>1034.681</v>
      </c>
      <c r="AI45" s="27"/>
      <c r="AJ45" s="140">
        <f>AJ39+AJ27</f>
        <v>1042.3389999999999</v>
      </c>
      <c r="AK45" s="27"/>
      <c r="AL45" s="140">
        <f>AL39+AL27</f>
        <v>1081.9659999999999</v>
      </c>
      <c r="AN45" s="140">
        <f>AN39+AN27</f>
        <v>1093.442</v>
      </c>
      <c r="AP45" s="140">
        <f>AP39+AP27</f>
        <v>945.62099999999998</v>
      </c>
      <c r="AR45" s="140">
        <f>AR39+AR27</f>
        <v>807.39100000000008</v>
      </c>
      <c r="AT45" s="140">
        <f>AT39+AT27</f>
        <v>697.09499999999991</v>
      </c>
      <c r="AV45" s="140">
        <f>AV39+AV27</f>
        <v>694.51</v>
      </c>
      <c r="AX45" s="140"/>
    </row>
    <row r="46" spans="1:50">
      <c r="A46" s="27" t="str">
        <f t="shared" si="5"/>
        <v>3Q</v>
      </c>
      <c r="B46" s="27" t="str">
        <f t="shared" si="5"/>
        <v>Oct</v>
      </c>
      <c r="C46" s="27"/>
      <c r="D46" s="140">
        <f>D40+D28</f>
        <v>22.882100999999999</v>
      </c>
      <c r="E46" s="27"/>
      <c r="F46" s="140">
        <f>F40+F28</f>
        <v>25.904</v>
      </c>
      <c r="G46" s="27"/>
      <c r="H46" s="140">
        <f>H40+H28</f>
        <v>27.988277</v>
      </c>
      <c r="I46" s="27"/>
      <c r="J46" s="140">
        <f>J40+J28</f>
        <v>38.179830000000003</v>
      </c>
      <c r="K46" s="27"/>
      <c r="L46" s="140">
        <f>L40+L28</f>
        <v>55.471127000000003</v>
      </c>
      <c r="M46" s="27"/>
      <c r="N46" s="140">
        <f>N40+N28</f>
        <v>86.597314999999995</v>
      </c>
      <c r="O46" s="27"/>
      <c r="P46" s="140">
        <f>P40+P28</f>
        <v>135.984623</v>
      </c>
      <c r="Q46" s="27"/>
      <c r="R46" s="140">
        <f>R40+R28</f>
        <v>226.54716500000001</v>
      </c>
      <c r="S46" s="27"/>
      <c r="T46" s="140">
        <f>T40+T28</f>
        <v>340.05</v>
      </c>
      <c r="U46" s="27"/>
      <c r="V46" s="140">
        <f>V40+V28</f>
        <v>523.30200000000002</v>
      </c>
      <c r="W46" s="27"/>
      <c r="X46" s="140">
        <f>X40+X28</f>
        <v>741.78099999999995</v>
      </c>
      <c r="Y46" s="27"/>
      <c r="Z46" s="140">
        <f>Z40+Z28</f>
        <v>781.53300000000002</v>
      </c>
      <c r="AA46" s="27"/>
      <c r="AB46" s="140">
        <f>AB40+AB28</f>
        <v>929.32500000000005</v>
      </c>
      <c r="AC46" s="27"/>
      <c r="AD46" s="140">
        <f>AD40+AD28</f>
        <v>942.15300000000002</v>
      </c>
      <c r="AE46" s="27"/>
      <c r="AF46" s="140">
        <f>AF40+AF28</f>
        <v>962.25099999999998</v>
      </c>
      <c r="AG46" s="27"/>
      <c r="AH46" s="140">
        <f>AH40+AH28</f>
        <v>1048.3119999999999</v>
      </c>
      <c r="AI46" s="27"/>
      <c r="AJ46" s="140">
        <f>AJ40+AJ28</f>
        <v>1012.19</v>
      </c>
      <c r="AK46" s="27"/>
      <c r="AL46" s="140">
        <f>AL40+AL28</f>
        <v>1130.3150000000001</v>
      </c>
      <c r="AN46" s="140">
        <f>AN40+AN28</f>
        <v>1036.433</v>
      </c>
      <c r="AP46" s="140">
        <f>AP40+AP28</f>
        <v>980.31399999999996</v>
      </c>
      <c r="AR46" s="140">
        <f>AR40+AR28</f>
        <v>800.87800000000004</v>
      </c>
      <c r="AT46" s="140">
        <f>AT40+AT28</f>
        <v>694.61099999999999</v>
      </c>
      <c r="AV46" s="140">
        <f>AV40+AV28</f>
        <v>707.74200000000008</v>
      </c>
      <c r="AX46" s="140"/>
    </row>
    <row r="47" spans="1:50">
      <c r="A47" s="27" t="str">
        <f t="shared" si="5"/>
        <v>4Q</v>
      </c>
      <c r="B47" s="27" t="str">
        <f t="shared" si="5"/>
        <v>Jan</v>
      </c>
      <c r="C47" s="27"/>
      <c r="D47" s="140">
        <f>D41+D29</f>
        <v>22.506974999999997</v>
      </c>
      <c r="E47" s="27"/>
      <c r="F47" s="140">
        <f>F41+F29</f>
        <v>25.485042</v>
      </c>
      <c r="G47" s="27"/>
      <c r="H47" s="140">
        <f>H41+H29</f>
        <v>28.410876000000002</v>
      </c>
      <c r="I47" s="27"/>
      <c r="J47" s="140">
        <f>J41+J29</f>
        <v>41.325597999999999</v>
      </c>
      <c r="K47" s="27"/>
      <c r="L47" s="140">
        <f>L41+L29</f>
        <v>59.740032999999997</v>
      </c>
      <c r="M47" s="27"/>
      <c r="N47" s="140">
        <f>N41+N29</f>
        <v>92.755503000000004</v>
      </c>
      <c r="O47" s="27"/>
      <c r="P47" s="140">
        <f>P41+P29</f>
        <v>148.82430599999998</v>
      </c>
      <c r="Q47" s="27"/>
      <c r="R47" s="140">
        <f>R41+R29</f>
        <v>240.30433900000003</v>
      </c>
      <c r="S47" s="27"/>
      <c r="T47" s="140">
        <f>T41+T29</f>
        <v>374.83510500000006</v>
      </c>
      <c r="U47" s="27"/>
      <c r="V47" s="140">
        <f>V41+V29</f>
        <v>560.86800000000005</v>
      </c>
      <c r="W47" s="27"/>
      <c r="X47" s="140">
        <f>X41+X29</f>
        <v>806.42700000000002</v>
      </c>
      <c r="Y47" s="27"/>
      <c r="Z47" s="140">
        <f>Z41+Z29</f>
        <v>803.93100000000004</v>
      </c>
      <c r="AA47" s="27"/>
      <c r="AB47" s="140">
        <f>AB41+AB29</f>
        <v>912.51599999999996</v>
      </c>
      <c r="AC47" s="27"/>
      <c r="AD47" s="140">
        <f>AD41+AD29</f>
        <v>902.19600000000003</v>
      </c>
      <c r="AE47" s="27"/>
      <c r="AF47" s="140">
        <f>AF41+AF29</f>
        <v>981.91800000000001</v>
      </c>
      <c r="AG47" s="27"/>
      <c r="AH47" s="140">
        <f>AH41+AH29</f>
        <v>1064.9069999999999</v>
      </c>
      <c r="AI47" s="27"/>
      <c r="AJ47" s="140">
        <f>AJ41+AJ29</f>
        <v>1009.228</v>
      </c>
      <c r="AK47" s="27"/>
      <c r="AL47" s="140">
        <f>AL41+AL29</f>
        <v>1093.1990000000001</v>
      </c>
      <c r="AN47" s="140">
        <f>AN41+AN29</f>
        <v>909.10299999999995</v>
      </c>
      <c r="AP47" s="140">
        <f>AP41+AP29</f>
        <v>943.62099999999998</v>
      </c>
      <c r="AR47" s="140">
        <f>AR41+AR29</f>
        <v>732.00700000000006</v>
      </c>
      <c r="AT47" s="140">
        <f>AT41+AT29</f>
        <v>693.95799999999997</v>
      </c>
      <c r="AV47" s="140">
        <f>AV41+AV29</f>
        <v>724.98299999999995</v>
      </c>
      <c r="AX47" s="140"/>
    </row>
    <row r="48" spans="1:50">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N48" s="27"/>
      <c r="AP48" s="27"/>
    </row>
    <row r="49" spans="1:50">
      <c r="A49" s="27"/>
      <c r="B49" s="27"/>
      <c r="C49" s="27"/>
      <c r="D49" s="88"/>
      <c r="E49" s="27"/>
      <c r="F49" s="88"/>
      <c r="G49" s="27"/>
      <c r="H49" s="88"/>
      <c r="I49" s="88"/>
      <c r="J49" s="88"/>
      <c r="K49" s="27"/>
      <c r="L49" s="88"/>
      <c r="M49" s="88"/>
      <c r="N49" s="88"/>
      <c r="O49" s="88"/>
      <c r="P49" s="88"/>
      <c r="Q49" s="88" t="s">
        <v>351</v>
      </c>
      <c r="R49" s="27"/>
      <c r="S49" s="88"/>
      <c r="T49" s="27"/>
      <c r="U49" s="88"/>
      <c r="V49" s="27"/>
      <c r="W49" s="88"/>
      <c r="X49" s="27"/>
      <c r="Y49" s="88"/>
      <c r="AA49" s="88"/>
      <c r="AB49" s="27"/>
      <c r="AC49" s="88"/>
      <c r="AD49" s="27"/>
      <c r="AE49" s="88"/>
      <c r="AF49" s="27"/>
      <c r="AG49" s="88"/>
      <c r="AH49" s="27"/>
      <c r="AI49" s="88"/>
      <c r="AJ49" s="27"/>
      <c r="AK49" s="88"/>
      <c r="AL49" s="88" t="s">
        <v>351</v>
      </c>
      <c r="AN49" s="27"/>
      <c r="AP49" s="113"/>
    </row>
    <row r="50" spans="1:50">
      <c r="A50" s="27" t="str">
        <f t="shared" ref="A50:B53" si="6">A44</f>
        <v>1Q</v>
      </c>
      <c r="B50" s="27" t="str">
        <f t="shared" si="6"/>
        <v>Apr</v>
      </c>
      <c r="C50" s="27"/>
      <c r="D50" s="113">
        <f>D26/D44</f>
        <v>0.27904646837666147</v>
      </c>
      <c r="E50" s="27"/>
      <c r="F50" s="113">
        <f>F26/F44</f>
        <v>0.31057675627892467</v>
      </c>
      <c r="G50" s="27"/>
      <c r="H50" s="113">
        <f>H26/H44</f>
        <v>0.27277197258981634</v>
      </c>
      <c r="I50" s="27"/>
      <c r="J50" s="113">
        <f>J26/J44</f>
        <v>0.22733271999955576</v>
      </c>
      <c r="K50" s="27"/>
      <c r="L50" s="113">
        <f>L26/L44</f>
        <v>0.15366286704008833</v>
      </c>
      <c r="M50" s="27"/>
      <c r="N50" s="113">
        <f>N26/N44</f>
        <v>0.10608721034963432</v>
      </c>
      <c r="O50" s="27"/>
      <c r="P50" s="113">
        <f>P26/P44</f>
        <v>6.9973745331967582E-2</v>
      </c>
      <c r="Q50" s="27"/>
      <c r="R50" s="113">
        <f>R26/R44</f>
        <v>3.0576118590879952E-2</v>
      </c>
      <c r="S50" s="27"/>
      <c r="T50" s="113">
        <f>T26/T44</f>
        <v>0</v>
      </c>
      <c r="U50" s="27"/>
      <c r="V50" s="113">
        <f>V26/V44</f>
        <v>0</v>
      </c>
      <c r="W50" s="27"/>
      <c r="X50" s="113">
        <f>X26/X44</f>
        <v>0</v>
      </c>
      <c r="Y50" s="27"/>
      <c r="Z50" s="113">
        <f>Z26/Z44</f>
        <v>0</v>
      </c>
      <c r="AA50" s="27"/>
      <c r="AB50" s="113">
        <f>AB26/AB44</f>
        <v>0</v>
      </c>
      <c r="AC50" s="27"/>
      <c r="AD50" s="113">
        <f>AD26/AD44</f>
        <v>0</v>
      </c>
      <c r="AE50" s="27"/>
      <c r="AF50" s="113">
        <f>AF26/AF44</f>
        <v>0</v>
      </c>
      <c r="AG50" s="27"/>
      <c r="AH50" s="113">
        <f>AH26/AH44</f>
        <v>0</v>
      </c>
      <c r="AI50" s="27"/>
      <c r="AJ50" s="113">
        <f>AJ26/AJ44</f>
        <v>0</v>
      </c>
      <c r="AK50" s="27"/>
      <c r="AL50" s="113">
        <f>AL26/AL44</f>
        <v>0</v>
      </c>
      <c r="AN50" s="113">
        <f>AN26/AN44</f>
        <v>0</v>
      </c>
      <c r="AP50" s="113">
        <f>AP26/AP44</f>
        <v>0</v>
      </c>
      <c r="AR50" s="113">
        <f>AR26/AR44</f>
        <v>0.14825176497312936</v>
      </c>
      <c r="AT50" s="113">
        <f>AT26/AT44</f>
        <v>0.12760732183182313</v>
      </c>
      <c r="AV50" s="113">
        <f>AV26/AV44</f>
        <v>0.11516209800200593</v>
      </c>
      <c r="AX50" s="113"/>
    </row>
    <row r="51" spans="1:50">
      <c r="A51" s="27" t="str">
        <f t="shared" si="6"/>
        <v>2Q</v>
      </c>
      <c r="B51" s="27" t="str">
        <f t="shared" si="6"/>
        <v>Jul</v>
      </c>
      <c r="C51" s="27"/>
      <c r="D51" s="113">
        <f>D27/D45</f>
        <v>0.28991612656904686</v>
      </c>
      <c r="E51" s="27"/>
      <c r="F51" s="113">
        <f>F27/F45</f>
        <v>0.29107578571213238</v>
      </c>
      <c r="G51" s="27"/>
      <c r="H51" s="113">
        <f>H27/H45</f>
        <v>0.26171010783422971</v>
      </c>
      <c r="I51" s="27"/>
      <c r="J51" s="113">
        <f>J27/J45</f>
        <v>0.201728050592094</v>
      </c>
      <c r="K51" s="27"/>
      <c r="L51" s="113">
        <f>L27/L45</f>
        <v>0.13952309209324812</v>
      </c>
      <c r="M51" s="27"/>
      <c r="N51" s="113">
        <f>N27/N45</f>
        <v>9.3129435257862686E-2</v>
      </c>
      <c r="O51" s="113"/>
      <c r="P51" s="113">
        <f>P27/P45</f>
        <v>5.0020702592511894E-2</v>
      </c>
      <c r="Q51" s="113"/>
      <c r="R51" s="113">
        <f>R27/R45</f>
        <v>2.6787525484292179E-2</v>
      </c>
      <c r="S51" s="113"/>
      <c r="T51" s="113">
        <f>T27/T45</f>
        <v>0</v>
      </c>
      <c r="U51" s="113"/>
      <c r="V51" s="113">
        <f>V27/V45</f>
        <v>0</v>
      </c>
      <c r="W51" s="113"/>
      <c r="X51" s="113">
        <f>X27/X45</f>
        <v>0</v>
      </c>
      <c r="Y51" s="113"/>
      <c r="Z51" s="113">
        <f>Z27/Z45</f>
        <v>0</v>
      </c>
      <c r="AA51" s="113"/>
      <c r="AB51" s="113">
        <f>AB27/AB45</f>
        <v>0</v>
      </c>
      <c r="AC51" s="113"/>
      <c r="AD51" s="113">
        <f>AD27/AD45</f>
        <v>0</v>
      </c>
      <c r="AE51" s="113"/>
      <c r="AF51" s="113">
        <f>AF27/AF45</f>
        <v>0</v>
      </c>
      <c r="AG51" s="113"/>
      <c r="AH51" s="113">
        <f>AH27/AH45</f>
        <v>0</v>
      </c>
      <c r="AI51" s="113"/>
      <c r="AJ51" s="113">
        <f>AJ27/AJ45</f>
        <v>0</v>
      </c>
      <c r="AK51" s="113"/>
      <c r="AL51" s="113">
        <f>AL27/AL45</f>
        <v>0</v>
      </c>
      <c r="AN51" s="113">
        <f>AN27/AN45</f>
        <v>0</v>
      </c>
      <c r="AP51" s="113">
        <f>AP27/AP45</f>
        <v>0</v>
      </c>
      <c r="AR51" s="113">
        <f>AR27/AR45</f>
        <v>0.12037042771098513</v>
      </c>
      <c r="AT51" s="113">
        <f>AT27/AT45</f>
        <v>0.12516514965678996</v>
      </c>
      <c r="AV51" s="113">
        <f>AV27/AV45</f>
        <v>0.1095275805963917</v>
      </c>
      <c r="AX51" s="113"/>
    </row>
    <row r="52" spans="1:50">
      <c r="A52" s="27" t="str">
        <f t="shared" si="6"/>
        <v>3Q</v>
      </c>
      <c r="B52" s="27" t="str">
        <f t="shared" si="6"/>
        <v>Oct</v>
      </c>
      <c r="C52" s="27"/>
      <c r="D52" s="113">
        <f>D28/D46</f>
        <v>0.31387917569282647</v>
      </c>
      <c r="E52" s="27"/>
      <c r="F52" s="113">
        <f>F28/F46</f>
        <v>0.27688816399011734</v>
      </c>
      <c r="G52" s="27"/>
      <c r="H52" s="113">
        <f>H28/H46</f>
        <v>0.24980205105158848</v>
      </c>
      <c r="I52" s="27"/>
      <c r="J52" s="113">
        <f>J28/J46</f>
        <v>0.18502366301788142</v>
      </c>
      <c r="K52" s="27"/>
      <c r="L52" s="113">
        <f>L28/L46</f>
        <v>0.12724852336243322</v>
      </c>
      <c r="M52" s="27"/>
      <c r="N52" s="113">
        <f>N28/N46</f>
        <v>8.3905638413846906E-2</v>
      </c>
      <c r="O52" s="27"/>
      <c r="P52" s="113">
        <f>P28/P46</f>
        <v>3.9337337428217899E-2</v>
      </c>
      <c r="Q52" s="27"/>
      <c r="R52" s="113">
        <f>R28/R46</f>
        <v>2.3093813599477181E-2</v>
      </c>
      <c r="S52" s="27"/>
      <c r="T52" s="113">
        <f>T28/T46</f>
        <v>0</v>
      </c>
      <c r="U52" s="27"/>
      <c r="V52" s="113">
        <f>V28/V46</f>
        <v>0</v>
      </c>
      <c r="W52" s="27"/>
      <c r="X52" s="113">
        <f>X28/X46</f>
        <v>0</v>
      </c>
      <c r="Y52" s="27"/>
      <c r="Z52" s="113">
        <f>Z28/Z46</f>
        <v>0</v>
      </c>
      <c r="AA52" s="27"/>
      <c r="AB52" s="113">
        <f>AB28/AB46</f>
        <v>0</v>
      </c>
      <c r="AC52" s="27"/>
      <c r="AD52" s="113">
        <f>AD28/AD46</f>
        <v>0</v>
      </c>
      <c r="AE52" s="27"/>
      <c r="AF52" s="113">
        <f>AF28/AF46</f>
        <v>0</v>
      </c>
      <c r="AG52" s="27"/>
      <c r="AH52" s="113">
        <f>AH28/AH46</f>
        <v>0</v>
      </c>
      <c r="AI52" s="27"/>
      <c r="AJ52" s="113">
        <f>AJ28/AJ46</f>
        <v>0</v>
      </c>
      <c r="AK52" s="27"/>
      <c r="AL52" s="113">
        <f>AL28/AL46</f>
        <v>0</v>
      </c>
      <c r="AN52" s="113">
        <f>AN28/AN46</f>
        <v>0</v>
      </c>
      <c r="AP52" s="113">
        <f>AP28/AP46</f>
        <v>0</v>
      </c>
      <c r="AR52" s="113">
        <f>AR28/AR46</f>
        <v>0.11824772312387154</v>
      </c>
      <c r="AT52" s="113">
        <f>AT28/AT46</f>
        <v>0.122036650729689</v>
      </c>
      <c r="AV52" s="113">
        <f>AV28/AV46</f>
        <v>0.10220532340881282</v>
      </c>
      <c r="AX52" s="113"/>
    </row>
    <row r="53" spans="1:50">
      <c r="A53" s="27" t="str">
        <f t="shared" si="6"/>
        <v>4Q</v>
      </c>
      <c r="B53" s="27" t="str">
        <f t="shared" si="6"/>
        <v>Jan</v>
      </c>
      <c r="C53" s="27"/>
      <c r="D53" s="113">
        <f>D29/D47</f>
        <v>0.29093314405867521</v>
      </c>
      <c r="E53" s="27"/>
      <c r="F53" s="113">
        <f>F29/F47</f>
        <v>0.29289510293920645</v>
      </c>
      <c r="G53" s="27"/>
      <c r="H53" s="113">
        <f>H29/H47</f>
        <v>0.24480030112411882</v>
      </c>
      <c r="I53" s="27"/>
      <c r="J53" s="113">
        <f>J29/J47</f>
        <v>0.16993256818691407</v>
      </c>
      <c r="K53" s="27"/>
      <c r="L53" s="113">
        <f>L29/L47</f>
        <v>0.11883640907931872</v>
      </c>
      <c r="M53" s="27"/>
      <c r="N53" s="113">
        <f>N29/N47</f>
        <v>8.0149012829998881E-2</v>
      </c>
      <c r="O53" s="27"/>
      <c r="P53" s="113">
        <f>P29/P47</f>
        <v>3.5809842781998259E-2</v>
      </c>
      <c r="Q53" s="27"/>
      <c r="R53" s="113">
        <f>R29/R47</f>
        <v>7.1250065942421448E-4</v>
      </c>
      <c r="S53" s="27"/>
      <c r="T53" s="113">
        <f>T29/T47</f>
        <v>0</v>
      </c>
      <c r="U53" s="27"/>
      <c r="V53" s="113">
        <f>V29/V47</f>
        <v>0</v>
      </c>
      <c r="W53" s="27"/>
      <c r="X53" s="113">
        <f>X29/X47</f>
        <v>0</v>
      </c>
      <c r="Y53" s="27"/>
      <c r="Z53" s="113">
        <f>Z29/Z47</f>
        <v>0</v>
      </c>
      <c r="AA53" s="27"/>
      <c r="AB53" s="113">
        <f>AB29/AB47</f>
        <v>0</v>
      </c>
      <c r="AC53" s="27"/>
      <c r="AD53" s="113">
        <f>AD29/AD47</f>
        <v>0</v>
      </c>
      <c r="AE53" s="27"/>
      <c r="AF53" s="113">
        <f>AF29/AF47</f>
        <v>0</v>
      </c>
      <c r="AG53" s="27"/>
      <c r="AH53" s="113">
        <f>AH29/AH47</f>
        <v>0</v>
      </c>
      <c r="AI53" s="27"/>
      <c r="AJ53" s="113">
        <f>AJ29/AJ47</f>
        <v>0</v>
      </c>
      <c r="AK53" s="27"/>
      <c r="AL53" s="113">
        <f>AL29/AL47</f>
        <v>0</v>
      </c>
      <c r="AN53" s="113">
        <f>AN29/AN47</f>
        <v>0</v>
      </c>
      <c r="AP53" s="113">
        <f>AP29/AP47</f>
        <v>0</v>
      </c>
      <c r="AR53" s="113">
        <f>AR29/AR47</f>
        <v>0.12598103570047825</v>
      </c>
      <c r="AT53" s="113">
        <f>AT29/AT47</f>
        <v>0.1221759818317535</v>
      </c>
      <c r="AV53" s="113">
        <f>AV29/AV47</f>
        <v>9.4624287741919472E-2</v>
      </c>
      <c r="AX53" s="113"/>
    </row>
    <row r="54" spans="1:50">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N54" s="27"/>
      <c r="AP54" s="27"/>
    </row>
    <row r="55" spans="1:50">
      <c r="A55" s="27"/>
      <c r="B55" s="27"/>
      <c r="C55" s="27"/>
      <c r="D55" s="88"/>
      <c r="E55" s="27"/>
      <c r="F55" s="88"/>
      <c r="G55" s="27"/>
      <c r="H55" s="88"/>
      <c r="I55" s="88"/>
      <c r="J55" s="88"/>
      <c r="K55" s="27"/>
      <c r="L55" s="88"/>
      <c r="M55" s="88"/>
      <c r="N55" s="88"/>
      <c r="O55" s="88"/>
      <c r="P55" s="88"/>
      <c r="Q55" s="88" t="s">
        <v>352</v>
      </c>
      <c r="R55" s="27"/>
      <c r="S55" s="88"/>
      <c r="T55" s="27"/>
      <c r="U55" s="88"/>
      <c r="V55" s="27"/>
      <c r="W55" s="88"/>
      <c r="X55" s="27"/>
      <c r="Y55" s="88"/>
      <c r="AA55" s="88"/>
      <c r="AB55" s="27"/>
      <c r="AC55" s="88"/>
      <c r="AD55" s="27"/>
      <c r="AE55" s="88"/>
      <c r="AF55" s="27"/>
      <c r="AG55" s="88"/>
      <c r="AH55" s="27"/>
      <c r="AI55" s="88"/>
      <c r="AJ55" s="27"/>
      <c r="AK55" s="88"/>
      <c r="AL55" s="88" t="s">
        <v>352</v>
      </c>
      <c r="AN55" s="27"/>
      <c r="AP55" s="27"/>
    </row>
    <row r="56" spans="1:50">
      <c r="A56" s="27" t="str">
        <f t="shared" ref="A56:B59" si="7">A50</f>
        <v>1Q</v>
      </c>
      <c r="B56" s="27" t="str">
        <f t="shared" si="7"/>
        <v>Apr</v>
      </c>
      <c r="C56" s="27"/>
      <c r="D56" s="143">
        <f>D32/D44</f>
        <v>0.2329237003322675</v>
      </c>
      <c r="E56" s="27"/>
      <c r="F56" s="143">
        <f>F32/F44</f>
        <v>0.11512378971452344</v>
      </c>
      <c r="G56" s="27"/>
      <c r="H56" s="143">
        <f>H32/H44</f>
        <v>0.1482437682224618</v>
      </c>
      <c r="I56" s="27"/>
      <c r="J56" s="143">
        <f>J32/J44</f>
        <v>-0.11913912826908514</v>
      </c>
      <c r="K56" s="27"/>
      <c r="L56" s="143">
        <f>L32/L44</f>
        <v>-0.30764526975257273</v>
      </c>
      <c r="M56" s="143"/>
      <c r="N56" s="143">
        <f>N32/N44</f>
        <v>-0.33805521537936795</v>
      </c>
      <c r="O56" s="143"/>
      <c r="P56" s="143">
        <f>P32/P44</f>
        <v>-0.18740709423966603</v>
      </c>
      <c r="Q56" s="143"/>
      <c r="R56" s="143">
        <f>R32/R44</f>
        <v>-0.37291736067746811</v>
      </c>
      <c r="S56" s="143"/>
      <c r="T56" s="143">
        <f>T32/T44</f>
        <v>-0.45468698589740136</v>
      </c>
      <c r="U56" s="143"/>
      <c r="V56" s="143">
        <f>V32/V44</f>
        <v>-0.40730146211923746</v>
      </c>
      <c r="W56" s="143"/>
      <c r="X56" s="143">
        <f>X32/X44</f>
        <v>-0.52513887137980941</v>
      </c>
      <c r="Y56" s="143"/>
      <c r="Z56" s="143">
        <f>Z32/Z44</f>
        <v>-0.48484022287836942</v>
      </c>
      <c r="AA56" s="143"/>
      <c r="AB56" s="143">
        <f>AB32/AB44</f>
        <v>-0.31937490234306676</v>
      </c>
      <c r="AC56" s="143"/>
      <c r="AD56" s="143">
        <f>AD32/AD44</f>
        <v>-0.29195410230588259</v>
      </c>
      <c r="AE56" s="143"/>
      <c r="AF56" s="143">
        <f>AF32/AF44</f>
        <v>-0.3549603729400046</v>
      </c>
      <c r="AG56" s="143"/>
      <c r="AH56" s="143">
        <f>AH32/AH44</f>
        <v>-0.47854135859542352</v>
      </c>
      <c r="AI56" s="143"/>
      <c r="AJ56" s="143">
        <f>AJ32/AJ44</f>
        <v>-0.53298542965069384</v>
      </c>
      <c r="AK56" s="143"/>
      <c r="AL56" s="143">
        <f>AL32/AL44</f>
        <v>-0.32235537350465138</v>
      </c>
      <c r="AN56" s="143">
        <f>AN32/AN44</f>
        <v>-0.2688034733750479</v>
      </c>
      <c r="AP56" s="143">
        <f>AP32/AP44</f>
        <v>-0.18448824258956681</v>
      </c>
      <c r="AR56" s="143">
        <f>AR32/AR44</f>
        <v>-2.6419899212711411E-2</v>
      </c>
      <c r="AT56" s="143">
        <f>AT32/AT44</f>
        <v>-2.4524609932708764E-2</v>
      </c>
      <c r="AV56" s="143">
        <f>AV32/AV44</f>
        <v>-0.12983714436210664</v>
      </c>
      <c r="AX56" s="143"/>
    </row>
    <row r="57" spans="1:50">
      <c r="A57" s="27" t="str">
        <f t="shared" si="7"/>
        <v>2Q</v>
      </c>
      <c r="B57" s="27" t="str">
        <f t="shared" si="7"/>
        <v>Jul</v>
      </c>
      <c r="C57" s="27"/>
      <c r="D57" s="143">
        <f>D33/D45</f>
        <v>0.2325820512998682</v>
      </c>
      <c r="E57" s="27"/>
      <c r="F57" s="143">
        <f>F33/F45</f>
        <v>5.4780690895426649E-2</v>
      </c>
      <c r="G57" s="27"/>
      <c r="H57" s="143">
        <f>H33/H45</f>
        <v>6.6946405376987733E-2</v>
      </c>
      <c r="I57" s="27"/>
      <c r="J57" s="143">
        <f>J33/J45</f>
        <v>-0.12055060018723021</v>
      </c>
      <c r="K57" s="27"/>
      <c r="L57" s="143">
        <f>L33/L45</f>
        <v>-0.23220078450012066</v>
      </c>
      <c r="M57" s="143"/>
      <c r="N57" s="143">
        <f>N33/N45</f>
        <v>-0.20245398164939976</v>
      </c>
      <c r="O57" s="143"/>
      <c r="P57" s="143">
        <f>P33/P45</f>
        <v>-0.13850247170017527</v>
      </c>
      <c r="Q57" s="143"/>
      <c r="R57" s="143">
        <f>R33/R45</f>
        <v>-0.32201132846632735</v>
      </c>
      <c r="S57" s="143"/>
      <c r="T57" s="143">
        <f>T33/T45</f>
        <v>-0.47183121039857112</v>
      </c>
      <c r="U57" s="143"/>
      <c r="V57" s="143">
        <f>V33/V45</f>
        <v>-0.43858175747433137</v>
      </c>
      <c r="W57" s="143"/>
      <c r="X57" s="143">
        <f>X33/X45</f>
        <v>-0.51380681018713936</v>
      </c>
      <c r="Y57" s="143"/>
      <c r="Z57" s="143">
        <f>Z33/Z45</f>
        <v>-0.34614092172017275</v>
      </c>
      <c r="AA57" s="143"/>
      <c r="AB57" s="143">
        <f>AB33/AB45</f>
        <v>-0.31797473849268132</v>
      </c>
      <c r="AC57" s="143"/>
      <c r="AD57" s="143">
        <f>AD33/AD45</f>
        <v>-0.2962811217984625</v>
      </c>
      <c r="AE57" s="143"/>
      <c r="AF57" s="143">
        <f>AF33/AF45</f>
        <v>-0.40483863184252999</v>
      </c>
      <c r="AG57" s="143"/>
      <c r="AH57" s="143">
        <f>AH33/AH45</f>
        <v>-0.47105146417108268</v>
      </c>
      <c r="AI57" s="143"/>
      <c r="AJ57" s="143">
        <f>AJ33/AJ45</f>
        <v>-0.48383491359337033</v>
      </c>
      <c r="AK57" s="143"/>
      <c r="AL57" s="143">
        <f>AL33/AL45</f>
        <v>-0.3308292497176436</v>
      </c>
      <c r="AN57" s="143">
        <f>AN33/AN45</f>
        <v>-0.27605579445457556</v>
      </c>
      <c r="AP57" s="143">
        <f>AP33/AP45</f>
        <v>-0.220662400686956</v>
      </c>
      <c r="AR57" s="143">
        <f>AR33/AR45</f>
        <v>-7.4100404884374485E-2</v>
      </c>
      <c r="AT57" s="143">
        <f>AT33/AT45</f>
        <v>-9.1654652522253091E-2</v>
      </c>
      <c r="AV57" s="143">
        <f>AV33/AV45</f>
        <v>-0.15857799023772157</v>
      </c>
      <c r="AX57" s="143"/>
    </row>
    <row r="58" spans="1:50">
      <c r="A58" s="27" t="str">
        <f t="shared" si="7"/>
        <v>3Q</v>
      </c>
      <c r="B58" s="27" t="str">
        <f t="shared" si="7"/>
        <v>Oct</v>
      </c>
      <c r="C58" s="27"/>
      <c r="D58" s="143">
        <f>D34/D46</f>
        <v>0.28823935354537589</v>
      </c>
      <c r="E58" s="27"/>
      <c r="F58" s="143">
        <f>F34/F46</f>
        <v>0.14317858245830759</v>
      </c>
      <c r="G58" s="27"/>
      <c r="H58" s="143">
        <f>H34/H46</f>
        <v>9.2945557170239515E-2</v>
      </c>
      <c r="I58" s="27"/>
      <c r="J58" s="143">
        <f>J34/J46</f>
        <v>-0.19390882568099435</v>
      </c>
      <c r="K58" s="27"/>
      <c r="L58" s="143">
        <f>L34/L46</f>
        <v>-0.23378230624375088</v>
      </c>
      <c r="M58" s="143"/>
      <c r="N58" s="143">
        <f>N34/N46</f>
        <v>-0.15732244123273334</v>
      </c>
      <c r="O58" s="143"/>
      <c r="P58" s="143">
        <f>P34/P46</f>
        <v>-0.21536623298944618</v>
      </c>
      <c r="Q58" s="143"/>
      <c r="R58" s="143">
        <f>R34/R46</f>
        <v>-0.37308963014390406</v>
      </c>
      <c r="S58" s="143"/>
      <c r="T58" s="143">
        <f>T34/T46</f>
        <v>-0.26134392001176293</v>
      </c>
      <c r="U58" s="143"/>
      <c r="V58" s="143">
        <f>V34/V46</f>
        <v>-0.43055635178157159</v>
      </c>
      <c r="W58" s="143"/>
      <c r="X58" s="143">
        <f>X34/X46</f>
        <v>-0.53962153250083245</v>
      </c>
      <c r="Y58" s="143"/>
      <c r="Z58" s="143">
        <f>Z34/Z46</f>
        <v>-0.324878156136721</v>
      </c>
      <c r="AA58" s="143"/>
      <c r="AB58" s="143">
        <f>AB34/AB46</f>
        <v>-0.31148306566594031</v>
      </c>
      <c r="AC58" s="143"/>
      <c r="AD58" s="143">
        <f>AD34/AD46</f>
        <v>-0.27207682828585161</v>
      </c>
      <c r="AE58" s="143"/>
      <c r="AF58" s="143">
        <f>AF34/AF46</f>
        <v>-0.43991328665805496</v>
      </c>
      <c r="AG58" s="143"/>
      <c r="AH58" s="143">
        <f>AH34/AH46</f>
        <v>-0.48225337494944259</v>
      </c>
      <c r="AI58" s="143"/>
      <c r="AJ58" s="143">
        <f>AJ34/AJ46</f>
        <v>-0.23692488564399963</v>
      </c>
      <c r="AK58" s="143"/>
      <c r="AL58" s="143">
        <f>AL34/AL46</f>
        <v>-0.26673537907574429</v>
      </c>
      <c r="AN58" s="143">
        <f>AN34/AN46</f>
        <v>-0.24097939760698475</v>
      </c>
      <c r="AP58" s="143">
        <f>AP34/AP46</f>
        <v>-0.195053829691303</v>
      </c>
      <c r="AR58" s="143">
        <f>AR34/AR46</f>
        <v>-5.4777381823448767E-2</v>
      </c>
      <c r="AT58" s="143">
        <f>AT34/AT46</f>
        <v>-6.618668578528128E-2</v>
      </c>
      <c r="AV58" s="143">
        <f>AV34/AV46</f>
        <v>-7.5325471711442854E-2</v>
      </c>
      <c r="AX58" s="143"/>
    </row>
    <row r="59" spans="1:50">
      <c r="A59" s="27" t="str">
        <f t="shared" si="7"/>
        <v>4Q</v>
      </c>
      <c r="B59" s="27" t="str">
        <f t="shared" si="7"/>
        <v>Jan</v>
      </c>
      <c r="C59" s="27"/>
      <c r="D59" s="143">
        <f>D35/D47</f>
        <v>0.2420625606062122</v>
      </c>
      <c r="E59" s="27"/>
      <c r="F59" s="143">
        <f>F35/F47</f>
        <v>0.26024159583492168</v>
      </c>
      <c r="G59" s="27"/>
      <c r="H59" s="143">
        <f>H35/H47</f>
        <v>0.14118096886558543</v>
      </c>
      <c r="I59" s="27"/>
      <c r="J59" s="143">
        <f>J35/J47</f>
        <v>-0.18057115592132483</v>
      </c>
      <c r="K59" s="27"/>
      <c r="L59" s="143">
        <f>L35/L47</f>
        <v>-0.18207499148853817</v>
      </c>
      <c r="M59" s="143"/>
      <c r="N59" s="143">
        <f>N35/N47</f>
        <v>-0.11537187179072252</v>
      </c>
      <c r="O59" s="143"/>
      <c r="P59" s="143">
        <f>P35/P47</f>
        <v>-0.32572746551225312</v>
      </c>
      <c r="Q59" s="143"/>
      <c r="R59" s="143">
        <f>R35/R47</f>
        <v>-0.41521117519230477</v>
      </c>
      <c r="S59" s="143"/>
      <c r="T59" s="143">
        <f>T35/T47</f>
        <v>-0.32048492363061881</v>
      </c>
      <c r="U59" s="143"/>
      <c r="V59" s="143">
        <f>V35/V47</f>
        <v>-0.47359628290435535</v>
      </c>
      <c r="W59" s="143"/>
      <c r="X59" s="143">
        <f>X35/X47</f>
        <v>-0.50157050793190205</v>
      </c>
      <c r="Y59" s="143"/>
      <c r="Z59" s="143">
        <f>Z35/Z47</f>
        <v>-0.34273961322551311</v>
      </c>
      <c r="AA59" s="143"/>
      <c r="AB59" s="143">
        <f>AB35/AB47</f>
        <v>-0.30056459284001596</v>
      </c>
      <c r="AC59" s="143"/>
      <c r="AD59" s="143">
        <f>AD35/AD47</f>
        <v>-0.29783106996705816</v>
      </c>
      <c r="AE59" s="143"/>
      <c r="AF59" s="143">
        <f>AF35/AF47</f>
        <v>-0.43134253573108955</v>
      </c>
      <c r="AG59" s="143"/>
      <c r="AH59" s="143">
        <f>AH35/AH47</f>
        <v>-0.51526940850233882</v>
      </c>
      <c r="AI59" s="143"/>
      <c r="AJ59" s="143">
        <f>AJ35/AJ47</f>
        <v>-0.24558672569528395</v>
      </c>
      <c r="AK59" s="143"/>
      <c r="AL59" s="143">
        <f>AL35/AL47</f>
        <v>-0.30127909008332426</v>
      </c>
      <c r="AN59" s="143">
        <f>AN35/AN47</f>
        <v>-0.1676883697446824</v>
      </c>
      <c r="AP59" s="143">
        <f>AP35/AP47</f>
        <v>-0.14131838948052236</v>
      </c>
      <c r="AR59" s="143">
        <f>AR35/AR47</f>
        <v>-6.5472051496775277E-2</v>
      </c>
      <c r="AT59" s="143">
        <f>AT35/AT47</f>
        <v>-8.2641888990399995E-2</v>
      </c>
      <c r="AV59" s="143">
        <f>AV35/AV47</f>
        <v>-0.12616847567460204</v>
      </c>
      <c r="AX59" s="143"/>
    </row>
    <row r="60" spans="1:50">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N60" s="27"/>
      <c r="AP60" s="27"/>
    </row>
    <row r="61" spans="1:50">
      <c r="A61" s="27" t="s">
        <v>365</v>
      </c>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N61" s="27"/>
      <c r="AP61" s="27"/>
    </row>
  </sheetData>
  <phoneticPr fontId="0" type="noConversion"/>
  <printOptions horizontalCentered="1"/>
  <pageMargins left="0.25" right="0.25" top="0.75" bottom="0.5" header="0.5" footer="0.5"/>
  <pageSetup scale="64" orientation="portrait" r:id="rId1"/>
  <headerFooter alignWithMargins="0">
    <oddFooter>&amp;R&amp;8&amp;D/&amp;T
&amp;F/&amp;A</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CV48"/>
  <sheetViews>
    <sheetView zoomScaleNormal="100" workbookViewId="0">
      <pane xSplit="2" ySplit="7" topLeftCell="BT8" activePane="bottomRight" state="frozen"/>
      <selection pane="topRight" activeCell="C1" sqref="C1"/>
      <selection pane="bottomLeft" activeCell="A8" sqref="A8"/>
      <selection pane="bottomRight" activeCell="CT14" sqref="CT14"/>
    </sheetView>
  </sheetViews>
  <sheetFormatPr defaultRowHeight="12.75" outlineLevelCol="1"/>
  <cols>
    <col min="1" max="1" width="3.140625" customWidth="1"/>
    <col min="2" max="2" width="4.42578125" customWidth="1"/>
    <col min="3" max="3" width="1.7109375" customWidth="1"/>
    <col min="4" max="4" width="9.7109375" hidden="1" customWidth="1" outlineLevel="1"/>
    <col min="5" max="5" width="3" hidden="1" customWidth="1" outlineLevel="1"/>
    <col min="6" max="6" width="7.85546875" hidden="1" customWidth="1" outlineLevel="1"/>
    <col min="7" max="7" width="5.5703125" hidden="1" customWidth="1" outlineLevel="1"/>
    <col min="8" max="8" width="4.28515625" hidden="1" customWidth="1" outlineLevel="1"/>
    <col min="9" max="9" width="1.28515625" hidden="1" customWidth="1" outlineLevel="1"/>
    <col min="10" max="10" width="7.85546875" hidden="1" customWidth="1" outlineLevel="1"/>
    <col min="11" max="11" width="5.5703125" hidden="1" customWidth="1" outlineLevel="1"/>
    <col min="12" max="12" width="4.28515625" hidden="1" customWidth="1" outlineLevel="1"/>
    <col min="13" max="13" width="1.28515625" hidden="1" customWidth="1" outlineLevel="1"/>
    <col min="14" max="14" width="7.85546875" hidden="1" customWidth="1" outlineLevel="1"/>
    <col min="15" max="15" width="5.5703125" hidden="1" customWidth="1" outlineLevel="1"/>
    <col min="16" max="16" width="4.28515625" hidden="1" customWidth="1" outlineLevel="1"/>
    <col min="17" max="17" width="1.28515625" hidden="1" customWidth="1" outlineLevel="1"/>
    <col min="18" max="18" width="7.85546875" hidden="1" customWidth="1" outlineLevel="1"/>
    <col min="19" max="19" width="5.5703125" hidden="1" customWidth="1" outlineLevel="1"/>
    <col min="20" max="20" width="4.28515625" hidden="1" customWidth="1" outlineLevel="1"/>
    <col min="21" max="21" width="1.28515625" hidden="1" customWidth="1" outlineLevel="1"/>
    <col min="22" max="22" width="7.85546875" hidden="1" customWidth="1" outlineLevel="1"/>
    <col min="23" max="23" width="5.5703125" hidden="1" customWidth="1" outlineLevel="1"/>
    <col min="24" max="24" width="4.28515625" hidden="1" customWidth="1" outlineLevel="1"/>
    <col min="25" max="25" width="1.28515625" hidden="1" customWidth="1" outlineLevel="1" collapsed="1"/>
    <col min="26" max="26" width="7.85546875" hidden="1" customWidth="1" outlineLevel="1"/>
    <col min="27" max="27" width="5.5703125" hidden="1" customWidth="1" outlineLevel="1"/>
    <col min="28" max="28" width="4.28515625" hidden="1" customWidth="1" outlineLevel="1"/>
    <col min="29" max="29" width="1.28515625" hidden="1" customWidth="1" outlineLevel="1"/>
    <col min="30" max="30" width="7.85546875" hidden="1" customWidth="1" outlineLevel="1"/>
    <col min="31" max="31" width="5.5703125" hidden="1" customWidth="1" outlineLevel="1"/>
    <col min="32" max="32" width="4.28515625" hidden="1" customWidth="1" outlineLevel="1"/>
    <col min="33" max="33" width="1.28515625" hidden="1" customWidth="1" outlineLevel="1"/>
    <col min="34" max="34" width="7.85546875" hidden="1" customWidth="1" outlineLevel="1"/>
    <col min="35" max="35" width="5.5703125" hidden="1" customWidth="1" outlineLevel="1"/>
    <col min="36" max="36" width="4.28515625" hidden="1" customWidth="1" outlineLevel="1"/>
    <col min="37" max="37" width="1.28515625" hidden="1" customWidth="1" outlineLevel="1"/>
    <col min="38" max="38" width="7.85546875" hidden="1" customWidth="1" outlineLevel="1"/>
    <col min="39" max="39" width="5.5703125" hidden="1" customWidth="1" outlineLevel="1"/>
    <col min="40" max="40" width="4.28515625" hidden="1" customWidth="1" outlineLevel="1"/>
    <col min="41" max="41" width="1.28515625" hidden="1" customWidth="1" outlineLevel="1" collapsed="1"/>
    <col min="42" max="42" width="7.85546875" hidden="1" customWidth="1" outlineLevel="1"/>
    <col min="43" max="43" width="5.5703125" hidden="1" customWidth="1" outlineLevel="1"/>
    <col min="44" max="44" width="4.28515625" hidden="1" customWidth="1" outlineLevel="1"/>
    <col min="45" max="45" width="1.28515625" hidden="1" customWidth="1" outlineLevel="1"/>
    <col min="46" max="46" width="7.85546875" hidden="1" customWidth="1" outlineLevel="1"/>
    <col min="47" max="47" width="5.5703125" hidden="1" customWidth="1" outlineLevel="1"/>
    <col min="48" max="48" width="4.28515625" hidden="1" customWidth="1" outlineLevel="1"/>
    <col min="49" max="49" width="1.28515625" hidden="1" customWidth="1" outlineLevel="1"/>
    <col min="50" max="50" width="7.85546875" hidden="1" customWidth="1" outlineLevel="1"/>
    <col min="51" max="51" width="5.5703125" hidden="1" customWidth="1" outlineLevel="1"/>
    <col min="52" max="52" width="4.28515625" hidden="1" customWidth="1" outlineLevel="1"/>
    <col min="53" max="53" width="1.28515625" hidden="1" customWidth="1" outlineLevel="1"/>
    <col min="54" max="54" width="7.85546875" hidden="1" customWidth="1" outlineLevel="1"/>
    <col min="55" max="55" width="5.5703125" hidden="1" customWidth="1" outlineLevel="1"/>
    <col min="56" max="56" width="4.28515625" hidden="1" customWidth="1" outlineLevel="1"/>
    <col min="57" max="57" width="1.28515625" hidden="1" customWidth="1" outlineLevel="1"/>
    <col min="58" max="58" width="7.85546875" customWidth="1" collapsed="1"/>
    <col min="59" max="59" width="6.7109375" customWidth="1"/>
    <col min="60" max="60" width="4.28515625" customWidth="1"/>
    <col min="61" max="61" width="1.28515625" customWidth="1"/>
    <col min="62" max="62" width="7.85546875" customWidth="1"/>
    <col min="63" max="63" width="5.5703125" customWidth="1"/>
    <col min="64" max="64" width="4.28515625" customWidth="1"/>
    <col min="65" max="65" width="1.28515625" customWidth="1"/>
    <col min="66" max="66" width="7.85546875" customWidth="1"/>
    <col min="67" max="67" width="6.5703125" customWidth="1"/>
    <col min="68" max="68" width="4.28515625" customWidth="1"/>
    <col min="69" max="69" width="1.28515625" customWidth="1"/>
    <col min="70" max="70" width="7.85546875" customWidth="1"/>
    <col min="71" max="71" width="5.5703125" customWidth="1"/>
    <col min="72" max="72" width="4.28515625" customWidth="1"/>
    <col min="73" max="73" width="1.28515625" customWidth="1"/>
    <col min="74" max="74" width="7.85546875" customWidth="1"/>
    <col min="75" max="75" width="5.5703125" customWidth="1"/>
    <col min="76" max="76" width="4.28515625" customWidth="1"/>
    <col min="77" max="77" width="1.28515625" customWidth="1"/>
    <col min="78" max="78" width="7.85546875" customWidth="1"/>
    <col min="79" max="79" width="5.5703125" customWidth="1"/>
    <col min="80" max="80" width="4.28515625" customWidth="1"/>
    <col min="81" max="81" width="1.28515625" customWidth="1"/>
    <col min="82" max="82" width="6.7109375" bestFit="1" customWidth="1"/>
    <col min="83" max="83" width="5.42578125" customWidth="1"/>
    <col min="84" max="84" width="6" customWidth="1"/>
    <col min="85" max="85" width="1.140625" customWidth="1"/>
    <col min="86" max="87" width="6.28515625" customWidth="1"/>
    <col min="88" max="88" width="5.85546875" customWidth="1"/>
    <col min="89" max="89" width="1.140625" customWidth="1"/>
    <col min="90" max="90" width="6.85546875" customWidth="1"/>
    <col min="91" max="91" width="5.7109375" customWidth="1"/>
    <col min="92" max="92" width="5.5703125" customWidth="1"/>
    <col min="93" max="93" width="2.140625" customWidth="1"/>
    <col min="94" max="94" width="6.85546875" customWidth="1"/>
    <col min="95" max="95" width="5.7109375" customWidth="1"/>
    <col min="96" max="96" width="5.5703125" customWidth="1"/>
    <col min="97" max="97" width="2.140625" style="1572" customWidth="1"/>
    <col min="98" max="98" width="6.85546875" style="1572" customWidth="1"/>
    <col min="99" max="99" width="5.7109375" style="1572" customWidth="1"/>
    <col min="100" max="100" width="5.5703125" style="1572" customWidth="1"/>
  </cols>
  <sheetData>
    <row r="1" spans="1:100">
      <c r="A1" s="259" t="str">
        <f>+sumry!A1</f>
        <v>Chico's</v>
      </c>
      <c r="B1" s="72"/>
      <c r="C1" s="28"/>
      <c r="D1" s="28"/>
      <c r="E1" s="42"/>
      <c r="F1" s="28"/>
      <c r="G1" s="46"/>
      <c r="H1" s="46"/>
      <c r="I1" s="28"/>
      <c r="J1" s="28"/>
      <c r="K1" s="46"/>
      <c r="L1" s="46"/>
      <c r="M1" s="42"/>
      <c r="N1" s="46"/>
      <c r="O1" s="46"/>
      <c r="P1" s="46"/>
      <c r="Q1" s="46"/>
      <c r="R1" s="46"/>
      <c r="S1" s="46"/>
      <c r="T1" s="46"/>
      <c r="U1" s="47"/>
      <c r="V1" s="46"/>
      <c r="W1" s="46"/>
      <c r="X1" s="46"/>
      <c r="Y1" s="47"/>
      <c r="Z1" s="46"/>
      <c r="AA1" s="46"/>
      <c r="AB1" s="46"/>
      <c r="AC1" s="47"/>
      <c r="AD1" s="46"/>
      <c r="AE1" s="46"/>
      <c r="AF1" s="46"/>
      <c r="AG1" s="47"/>
      <c r="AH1" s="46"/>
      <c r="AI1" s="46"/>
      <c r="AJ1" s="46"/>
      <c r="AK1" s="47"/>
      <c r="AL1" s="46"/>
      <c r="AM1" s="46"/>
      <c r="AN1" s="46"/>
      <c r="AO1" s="47"/>
      <c r="AP1" s="46"/>
      <c r="AQ1" s="46"/>
      <c r="AR1" s="46"/>
      <c r="AS1" s="46"/>
      <c r="AT1" s="46"/>
      <c r="AU1" s="46"/>
      <c r="AV1" s="46"/>
      <c r="AW1" s="46"/>
      <c r="AX1" s="46"/>
      <c r="AY1" s="46"/>
      <c r="AZ1" s="46"/>
      <c r="BA1" s="46"/>
      <c r="BB1" s="46"/>
      <c r="BC1" s="46"/>
      <c r="BD1" s="46"/>
      <c r="BE1" s="46"/>
      <c r="BF1" s="46"/>
      <c r="BG1" s="46"/>
      <c r="BH1" s="46"/>
      <c r="BI1" s="46"/>
      <c r="BJ1" s="46"/>
      <c r="BK1" s="46"/>
      <c r="BL1" s="46"/>
      <c r="BM1" s="46"/>
      <c r="BN1" s="46"/>
      <c r="BO1" s="46"/>
      <c r="BP1" s="46"/>
      <c r="BQ1" s="46"/>
      <c r="BR1" s="46"/>
      <c r="BS1" s="46"/>
      <c r="BT1" s="46"/>
      <c r="BU1" s="46"/>
      <c r="BV1" s="46"/>
      <c r="BW1" s="46"/>
      <c r="BX1" s="46"/>
      <c r="BY1" s="46"/>
      <c r="BZ1" s="46"/>
      <c r="CC1" s="46"/>
    </row>
    <row r="2" spans="1:100">
      <c r="A2" s="147" t="s">
        <v>716</v>
      </c>
      <c r="B2" s="73"/>
      <c r="C2" s="29"/>
      <c r="D2" s="29"/>
      <c r="E2" s="43"/>
      <c r="F2" s="29"/>
      <c r="G2" s="29"/>
      <c r="H2" s="29"/>
      <c r="I2" s="29"/>
      <c r="J2" s="29"/>
      <c r="K2" s="29"/>
      <c r="L2" s="29"/>
      <c r="M2" s="43"/>
      <c r="N2" s="29"/>
      <c r="O2" s="29"/>
      <c r="P2" s="29"/>
      <c r="Q2" s="29"/>
      <c r="R2" s="29"/>
      <c r="S2" s="29"/>
      <c r="T2" s="29"/>
      <c r="U2" s="43"/>
      <c r="V2" s="29"/>
      <c r="W2" s="29"/>
      <c r="X2" s="29"/>
      <c r="Y2" s="43"/>
      <c r="Z2" s="29"/>
      <c r="AA2" s="29"/>
      <c r="AB2" s="29"/>
      <c r="AC2" s="43"/>
      <c r="AD2" s="29"/>
      <c r="AE2" s="29"/>
      <c r="AF2" s="29"/>
      <c r="AG2" s="43"/>
      <c r="AH2" s="29"/>
      <c r="AI2" s="29"/>
      <c r="AJ2" s="29"/>
      <c r="AK2" s="43"/>
      <c r="AL2" s="29"/>
      <c r="AM2" s="29"/>
      <c r="AN2" s="29"/>
      <c r="AO2" s="43"/>
      <c r="AP2" s="29"/>
      <c r="AQ2" s="29"/>
      <c r="AR2" s="29"/>
      <c r="AS2" s="46"/>
      <c r="AT2" s="29"/>
      <c r="AU2" s="29"/>
      <c r="AV2" s="29"/>
      <c r="AW2" s="46"/>
      <c r="AX2" s="29"/>
      <c r="AY2" s="29"/>
      <c r="AZ2" s="29"/>
      <c r="BA2" s="46"/>
      <c r="BB2" s="29"/>
      <c r="BC2" s="29"/>
      <c r="BD2" s="29"/>
      <c r="BE2" s="46"/>
      <c r="BF2" s="29"/>
      <c r="BG2" s="29"/>
      <c r="BH2" s="29"/>
      <c r="BI2" s="46"/>
      <c r="BJ2" s="29"/>
      <c r="BK2" s="29"/>
      <c r="BL2" s="29"/>
      <c r="BM2" s="46"/>
      <c r="BN2" s="29"/>
      <c r="BO2" s="29"/>
      <c r="BP2" s="29"/>
      <c r="BQ2" s="46"/>
      <c r="BR2" s="29"/>
      <c r="BS2" s="29"/>
      <c r="BT2" s="29"/>
      <c r="BU2" s="46"/>
      <c r="BV2" s="29"/>
      <c r="BW2" s="29"/>
      <c r="BX2" s="29"/>
      <c r="BY2" s="46"/>
      <c r="BZ2" s="29"/>
      <c r="CA2" s="90"/>
      <c r="CB2" s="90"/>
      <c r="CC2" s="46"/>
      <c r="CD2" s="29"/>
      <c r="CE2" s="90"/>
      <c r="CF2" s="90"/>
      <c r="CH2" s="90"/>
      <c r="CI2" s="90"/>
      <c r="CJ2" s="90"/>
      <c r="CL2" s="90"/>
      <c r="CM2" s="90"/>
      <c r="CN2" s="90"/>
      <c r="CP2" s="90"/>
      <c r="CQ2" s="90"/>
      <c r="CR2" s="90"/>
      <c r="CT2" s="90"/>
      <c r="CU2" s="90"/>
      <c r="CV2" s="90"/>
    </row>
    <row r="3" spans="1:100">
      <c r="A3" s="82" t="str">
        <f>bal!A3</f>
        <v>At January 31 of the following year</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C3" s="27"/>
      <c r="CD3" s="27"/>
      <c r="CH3" s="27"/>
    </row>
    <row r="4" spans="1:100">
      <c r="A4" s="83" t="s">
        <v>75</v>
      </c>
      <c r="B4" s="82"/>
      <c r="C4" s="82"/>
      <c r="D4" s="82"/>
      <c r="E4" s="82"/>
      <c r="F4" s="82"/>
      <c r="G4" s="82"/>
      <c r="H4" s="82"/>
      <c r="I4" s="82"/>
      <c r="J4" s="82"/>
      <c r="K4" s="82"/>
      <c r="L4" s="82"/>
      <c r="M4" s="82"/>
      <c r="N4" s="82"/>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c r="AP4" s="82"/>
      <c r="AQ4" s="82"/>
      <c r="AR4" s="82"/>
      <c r="AS4" s="82"/>
      <c r="AT4" s="82"/>
      <c r="AU4" s="82"/>
      <c r="AV4" s="82"/>
      <c r="AW4" s="82"/>
      <c r="AX4" s="82"/>
      <c r="AY4" s="82"/>
      <c r="AZ4" s="82"/>
      <c r="BA4" s="82"/>
      <c r="BB4" s="82"/>
      <c r="BC4" s="82"/>
      <c r="BD4" s="82"/>
      <c r="BE4" s="82"/>
      <c r="BF4" s="82"/>
      <c r="BG4" s="82"/>
      <c r="BH4" s="82"/>
      <c r="BI4" s="82"/>
      <c r="BJ4" s="82"/>
      <c r="BK4" s="82"/>
      <c r="BL4" s="82"/>
      <c r="BM4" s="82"/>
      <c r="BN4" s="82"/>
      <c r="BO4" s="82"/>
      <c r="BP4" s="82"/>
      <c r="BQ4" s="82"/>
      <c r="BR4" s="82"/>
      <c r="BS4" s="82"/>
      <c r="BT4" s="82"/>
      <c r="BU4" s="82"/>
      <c r="BV4" s="82"/>
      <c r="BW4" s="82"/>
      <c r="BX4" s="82"/>
      <c r="BY4" s="82"/>
      <c r="BZ4" s="82"/>
      <c r="CC4" s="82"/>
      <c r="CD4" s="82"/>
      <c r="CH4" s="82"/>
    </row>
    <row r="5" spans="1:100">
      <c r="A5" s="27"/>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C5" s="27"/>
      <c r="CD5" s="27"/>
      <c r="CH5" s="27"/>
    </row>
    <row r="6" spans="1:100">
      <c r="A6" s="27"/>
      <c r="B6" s="27"/>
      <c r="C6" s="27"/>
      <c r="D6" s="27"/>
      <c r="E6" s="27"/>
      <c r="F6" s="27"/>
      <c r="G6" s="85"/>
      <c r="H6" s="85"/>
      <c r="I6" s="27"/>
      <c r="J6" s="27"/>
      <c r="K6" s="85"/>
      <c r="L6" s="85"/>
      <c r="M6" s="27"/>
      <c r="N6" s="27"/>
      <c r="O6" s="85"/>
      <c r="P6" s="85"/>
      <c r="Q6" s="27"/>
      <c r="R6" s="27"/>
      <c r="S6" s="85"/>
      <c r="T6" s="85"/>
      <c r="U6" s="27"/>
      <c r="V6" s="85"/>
      <c r="W6" s="85"/>
      <c r="X6" s="85"/>
      <c r="Y6" s="27"/>
      <c r="Z6" s="85"/>
      <c r="AA6" s="85"/>
      <c r="AB6" s="85"/>
      <c r="AC6" s="27"/>
      <c r="AD6" s="85"/>
      <c r="AE6" s="85"/>
      <c r="AF6" s="85"/>
      <c r="AG6" s="27"/>
      <c r="AH6" s="85"/>
      <c r="AI6" s="85"/>
      <c r="AJ6" s="85"/>
      <c r="AK6" s="27"/>
      <c r="AL6" s="85"/>
      <c r="AM6" s="85"/>
      <c r="AN6" s="85"/>
      <c r="AO6" s="27"/>
      <c r="AP6" s="85"/>
      <c r="AQ6" s="85"/>
      <c r="AR6" s="85"/>
      <c r="AS6" s="27"/>
      <c r="AT6" s="85"/>
      <c r="AU6" s="85"/>
      <c r="AV6" s="85"/>
      <c r="AW6" s="27"/>
      <c r="AX6" s="85"/>
      <c r="AY6" s="85"/>
      <c r="AZ6" s="85"/>
      <c r="BA6" s="27"/>
      <c r="BB6" s="85"/>
      <c r="BC6" s="85"/>
      <c r="BD6" s="85"/>
      <c r="BE6" s="27"/>
      <c r="BF6" s="85"/>
      <c r="BG6" s="85"/>
      <c r="BH6" s="85"/>
      <c r="BI6" s="27"/>
      <c r="BJ6" s="85"/>
      <c r="BK6" s="85"/>
      <c r="BL6" s="85"/>
      <c r="BM6" s="27"/>
      <c r="BN6" s="85"/>
      <c r="BO6" s="85"/>
      <c r="BP6" s="85"/>
      <c r="BQ6" s="27"/>
      <c r="BR6" s="85"/>
      <c r="BS6" s="85"/>
      <c r="BT6" s="85"/>
      <c r="BU6" s="27"/>
      <c r="BV6" s="85"/>
      <c r="BW6" s="85"/>
      <c r="BX6" s="85"/>
      <c r="BY6" s="85"/>
      <c r="BZ6" s="85"/>
      <c r="CC6" s="85"/>
      <c r="CD6" s="85"/>
      <c r="CH6" s="85"/>
    </row>
    <row r="7" spans="1:100">
      <c r="A7" s="27"/>
      <c r="B7" s="27"/>
      <c r="C7" s="27"/>
      <c r="D7" s="84">
        <v>1994</v>
      </c>
      <c r="E7" s="66"/>
      <c r="F7" s="31">
        <f>D7+1</f>
        <v>1995</v>
      </c>
      <c r="G7" s="31"/>
      <c r="H7" s="31"/>
      <c r="I7" s="66"/>
      <c r="J7" s="31">
        <f>F7+1</f>
        <v>1996</v>
      </c>
      <c r="K7" s="31"/>
      <c r="L7" s="31"/>
      <c r="M7" s="66"/>
      <c r="N7" s="31">
        <f>J7+1</f>
        <v>1997</v>
      </c>
      <c r="O7" s="31"/>
      <c r="P7" s="31"/>
      <c r="Q7" s="66"/>
      <c r="R7" s="31">
        <f>N7+1</f>
        <v>1998</v>
      </c>
      <c r="S7" s="31"/>
      <c r="T7" s="31"/>
      <c r="U7" s="66"/>
      <c r="V7" s="31">
        <f>R7+1</f>
        <v>1999</v>
      </c>
      <c r="W7" s="31"/>
      <c r="X7" s="31"/>
      <c r="Y7" s="27"/>
      <c r="Z7" s="31">
        <f>V7+1</f>
        <v>2000</v>
      </c>
      <c r="AA7" s="31"/>
      <c r="AB7" s="31"/>
      <c r="AC7" s="27"/>
      <c r="AD7" s="31">
        <f>Z7+1</f>
        <v>2001</v>
      </c>
      <c r="AE7" s="31"/>
      <c r="AF7" s="31"/>
      <c r="AG7" s="27"/>
      <c r="AH7" s="31">
        <f>AD7+1</f>
        <v>2002</v>
      </c>
      <c r="AI7" s="31"/>
      <c r="AJ7" s="31"/>
      <c r="AK7" s="27"/>
      <c r="AL7" s="31">
        <f>AH7+1</f>
        <v>2003</v>
      </c>
      <c r="AM7" s="31"/>
      <c r="AN7" s="31"/>
      <c r="AO7" s="27"/>
      <c r="AP7" s="31">
        <f>AL7+1</f>
        <v>2004</v>
      </c>
      <c r="AQ7" s="31"/>
      <c r="AR7" s="31"/>
      <c r="AS7" s="27"/>
      <c r="AT7" s="31">
        <f>AP7+1</f>
        <v>2005</v>
      </c>
      <c r="AU7" s="31"/>
      <c r="AV7" s="31"/>
      <c r="AW7" s="27"/>
      <c r="AX7" s="31">
        <f>AT7+1</f>
        <v>2006</v>
      </c>
      <c r="AY7" s="31"/>
      <c r="AZ7" s="31"/>
      <c r="BA7" s="27"/>
      <c r="BB7" s="31">
        <f>AX7+1</f>
        <v>2007</v>
      </c>
      <c r="BC7" s="31"/>
      <c r="BD7" s="31"/>
      <c r="BE7" s="27"/>
      <c r="BF7" s="31">
        <f>BB7+1</f>
        <v>2008</v>
      </c>
      <c r="BG7" s="31"/>
      <c r="BH7" s="31"/>
      <c r="BI7" s="27"/>
      <c r="BJ7" s="31">
        <f>BF7+1</f>
        <v>2009</v>
      </c>
      <c r="BK7" s="31"/>
      <c r="BL7" s="31"/>
      <c r="BM7" s="27"/>
      <c r="BN7" s="31">
        <f>BJ7+1</f>
        <v>2010</v>
      </c>
      <c r="BO7" s="31"/>
      <c r="BP7" s="31"/>
      <c r="BQ7" s="27"/>
      <c r="BR7" s="455">
        <f>BN7+1</f>
        <v>2011</v>
      </c>
      <c r="BS7" s="31"/>
      <c r="BT7" s="31"/>
      <c r="BU7" s="27"/>
      <c r="BV7" s="455">
        <f>BR7+1</f>
        <v>2012</v>
      </c>
      <c r="BW7" s="31"/>
      <c r="BX7" s="31"/>
      <c r="BY7" s="419"/>
      <c r="BZ7" s="455">
        <f>BV7+1</f>
        <v>2013</v>
      </c>
      <c r="CA7" s="31"/>
      <c r="CB7" s="31"/>
      <c r="CC7" s="419"/>
      <c r="CD7" s="455">
        <v>2014</v>
      </c>
      <c r="CE7" s="31"/>
      <c r="CF7" s="31"/>
      <c r="CH7" s="455">
        <v>2015</v>
      </c>
      <c r="CI7" s="31"/>
      <c r="CJ7" s="31"/>
      <c r="CL7" s="455">
        <v>2016</v>
      </c>
      <c r="CM7" s="31"/>
      <c r="CN7" s="31"/>
      <c r="CP7" s="455">
        <v>2017</v>
      </c>
      <c r="CQ7" s="31"/>
      <c r="CR7" s="31"/>
      <c r="CT7" s="1679">
        <v>2018</v>
      </c>
      <c r="CU7" s="1679"/>
      <c r="CV7" s="1679"/>
    </row>
    <row r="8" spans="1:100">
      <c r="A8" s="27"/>
      <c r="B8" s="27"/>
      <c r="C8" s="27"/>
      <c r="D8" s="27"/>
      <c r="E8" s="27"/>
      <c r="F8" s="27"/>
      <c r="G8" s="27"/>
      <c r="H8" s="27"/>
      <c r="I8" s="27"/>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C8" s="27"/>
    </row>
    <row r="9" spans="1:100">
      <c r="A9" s="118" t="s">
        <v>406</v>
      </c>
      <c r="B9" s="30"/>
      <c r="C9" s="27"/>
      <c r="D9" s="30"/>
      <c r="E9" s="27"/>
      <c r="F9" s="32"/>
      <c r="G9" s="32"/>
      <c r="H9" s="32"/>
      <c r="I9" s="32"/>
      <c r="J9" s="32"/>
      <c r="K9" s="32"/>
      <c r="L9" s="32"/>
      <c r="M9" s="116"/>
      <c r="N9" s="116"/>
      <c r="O9" s="32"/>
      <c r="P9" s="32"/>
      <c r="Q9" s="32"/>
      <c r="R9" s="32"/>
      <c r="S9" s="32"/>
      <c r="T9" s="32"/>
      <c r="U9" s="32"/>
      <c r="V9" s="32"/>
      <c r="W9" s="32"/>
      <c r="X9" s="32"/>
      <c r="Y9" s="27"/>
      <c r="Z9" s="32"/>
      <c r="AA9" s="32"/>
      <c r="AB9" s="32"/>
      <c r="AC9" s="27"/>
      <c r="AD9" s="32"/>
      <c r="AE9" s="32"/>
      <c r="AF9" s="32"/>
      <c r="AG9" s="27"/>
      <c r="AH9" s="32"/>
      <c r="AI9" s="32"/>
      <c r="AJ9" s="32"/>
      <c r="AK9" s="27"/>
      <c r="AL9" s="32"/>
      <c r="AM9" s="32"/>
      <c r="AN9" s="32"/>
      <c r="AO9" s="27"/>
      <c r="AP9" s="32"/>
      <c r="AQ9" s="32"/>
      <c r="AR9" s="32"/>
      <c r="AS9" s="27"/>
      <c r="AT9" s="32"/>
      <c r="AU9" s="32"/>
      <c r="AV9" s="32"/>
      <c r="AW9" s="27"/>
      <c r="AX9" s="32"/>
      <c r="AY9" s="32"/>
      <c r="AZ9" s="32"/>
      <c r="BA9" s="27"/>
      <c r="BB9" s="32"/>
      <c r="BC9" s="32"/>
      <c r="BD9" s="32"/>
      <c r="BE9" s="27"/>
      <c r="BF9" s="32"/>
      <c r="BG9" s="32"/>
      <c r="BH9" s="32"/>
      <c r="BI9" s="27"/>
      <c r="BJ9" s="32"/>
      <c r="BK9" s="32"/>
      <c r="BL9" s="32"/>
      <c r="BM9" s="27"/>
      <c r="BN9" s="32"/>
      <c r="BO9" s="32"/>
      <c r="BP9" s="32"/>
      <c r="BQ9" s="27"/>
      <c r="BR9" s="262"/>
      <c r="BS9" s="32"/>
      <c r="BT9" s="32"/>
      <c r="BU9" s="27"/>
      <c r="BV9" s="262"/>
      <c r="BW9" s="262"/>
      <c r="BX9" s="32"/>
      <c r="BY9" s="32"/>
      <c r="BZ9" s="262"/>
      <c r="CC9" s="32"/>
    </row>
    <row r="10" spans="1:100">
      <c r="A10" s="27" t="str">
        <f>'qtrP&amp;L'!A10</f>
        <v>1Q</v>
      </c>
      <c r="B10" s="27" t="str">
        <f>'qtrP&amp;L'!B10</f>
        <v>Apr</v>
      </c>
      <c r="C10" s="27"/>
      <c r="D10" s="121">
        <v>6.5586169999999999</v>
      </c>
      <c r="E10" s="27"/>
      <c r="F10" s="121">
        <v>4.4832109999999998</v>
      </c>
      <c r="G10" s="33">
        <f>(F10/D10-1)*100</f>
        <v>-31.64395786489743</v>
      </c>
      <c r="H10" s="39">
        <f>'qtrP&amp;L'!I10</f>
        <v>5.3038769278509035</v>
      </c>
      <c r="I10" s="87"/>
      <c r="J10" s="121">
        <v>6.1163550000000004</v>
      </c>
      <c r="K10" s="33">
        <f>(J10/F10-1)*100</f>
        <v>36.427997700755114</v>
      </c>
      <c r="L10" s="39">
        <f>'qtrP&amp;L'!M10</f>
        <v>18.025802774275036</v>
      </c>
      <c r="M10" s="87"/>
      <c r="N10" s="121">
        <v>6.6983819999999996</v>
      </c>
      <c r="O10" s="33">
        <f>(N10/J10-1)*100</f>
        <v>9.5159126636697788</v>
      </c>
      <c r="P10" s="39">
        <f>'qtrP&amp;L'!Q10</f>
        <v>8.1909593451879203</v>
      </c>
      <c r="Q10" s="87"/>
      <c r="R10" s="121">
        <v>7.1369059999999998</v>
      </c>
      <c r="S10" s="33">
        <f>(R10/N10-1)*100</f>
        <v>6.5467153112497956</v>
      </c>
      <c r="T10" s="39">
        <f>'qtrP&amp;L'!U10</f>
        <v>38.334341980311002</v>
      </c>
      <c r="U10" s="87"/>
      <c r="V10" s="121">
        <v>9.9798220000000004</v>
      </c>
      <c r="W10" s="33">
        <f>(V10/R10-1)*100</f>
        <v>39.834012105525844</v>
      </c>
      <c r="X10" s="39">
        <f>'qtrP&amp;L'!Y10</f>
        <v>40.659215347845709</v>
      </c>
      <c r="Y10" s="27"/>
      <c r="Z10" s="121">
        <v>14.184416000000001</v>
      </c>
      <c r="AA10" s="33">
        <f>(Z10/V10-1)*100</f>
        <v>42.130951834611885</v>
      </c>
      <c r="AB10" s="39">
        <f>'qtrP&amp;L'!AC10</f>
        <v>55.642672812924722</v>
      </c>
      <c r="AC10" s="27"/>
      <c r="AD10" s="121">
        <f>14.988602+13.068568</f>
        <v>28.057169999999999</v>
      </c>
      <c r="AE10" s="33">
        <f>(AD10/Z10-1)*100</f>
        <v>97.802785817900428</v>
      </c>
      <c r="AF10" s="39">
        <f>'qtrP&amp;L'!AG10</f>
        <v>64.452962239623531</v>
      </c>
      <c r="AG10" s="27"/>
      <c r="AH10" s="121">
        <v>36.246699</v>
      </c>
      <c r="AI10" s="33">
        <f>(AH10/AD10-1)*100</f>
        <v>29.188720744109254</v>
      </c>
      <c r="AJ10" s="39">
        <f>+'qtrP&amp;L'!AK10</f>
        <v>39.922156542577426</v>
      </c>
      <c r="AK10" s="27"/>
      <c r="AL10" s="121">
        <v>44.665457000000004</v>
      </c>
      <c r="AM10" s="33">
        <f>(AL10/AH10-1)*100</f>
        <v>23.22627503265884</v>
      </c>
      <c r="AN10" s="39">
        <f>+'qtrP&amp;L'!AO10</f>
        <v>29.536129236898788</v>
      </c>
      <c r="AO10" s="27"/>
      <c r="AP10" s="121">
        <v>60.686</v>
      </c>
      <c r="AQ10" s="33">
        <f>(AP10/AL10-1)*100</f>
        <v>35.867858689993916</v>
      </c>
      <c r="AR10" s="39">
        <f>+'qtrP&amp;L'!AS10</f>
        <v>51.961187326440196</v>
      </c>
      <c r="AS10" s="27"/>
      <c r="AT10" s="121">
        <v>92.358000000000004</v>
      </c>
      <c r="AU10" s="33">
        <f>(AT10/AP10-1)*100</f>
        <v>52.18996144085952</v>
      </c>
      <c r="AV10" s="39">
        <f>+'qtrP&amp;L'!AW10</f>
        <v>27.4402140261925</v>
      </c>
      <c r="AW10" s="27"/>
      <c r="AX10" s="121">
        <v>115.557</v>
      </c>
      <c r="AY10" s="33">
        <f>(AX10/AT10-1)*100</f>
        <v>25.118560384590396</v>
      </c>
      <c r="AZ10" s="39">
        <f>+'qtrP&amp;L'!BA10</f>
        <v>19.375716184626679</v>
      </c>
      <c r="BA10" s="27"/>
      <c r="BB10" s="121">
        <v>141.47300000000001</v>
      </c>
      <c r="BC10" s="33">
        <f>(BB10/AX10-1)*100</f>
        <v>22.427027354465778</v>
      </c>
      <c r="BD10" s="39">
        <f>+'qtrP&amp;L'!BE10</f>
        <v>15.979245538993968</v>
      </c>
      <c r="BE10" s="27"/>
      <c r="BF10" s="121">
        <v>161.26</v>
      </c>
      <c r="BG10" s="33">
        <f>(BF10/BB10-1)*100</f>
        <v>13.986414368819467</v>
      </c>
      <c r="BH10" s="39">
        <f>+'qtrP&amp;L'!BI10</f>
        <v>-9.6060809379193479</v>
      </c>
      <c r="BI10" s="27"/>
      <c r="BJ10" s="121">
        <v>145.77699999999999</v>
      </c>
      <c r="BK10" s="33">
        <f>(BJ10/BF10-1)*100</f>
        <v>-9.6012650378271118</v>
      </c>
      <c r="BL10" s="39">
        <f>+'qtrP&amp;L'!BM10</f>
        <v>0.26345088923829252</v>
      </c>
      <c r="BM10" s="27"/>
      <c r="BN10" s="159">
        <v>160.44800000000001</v>
      </c>
      <c r="BO10" s="33">
        <f>(BN10/BJ10-1)*100</f>
        <v>10.064001865863625</v>
      </c>
      <c r="BP10" s="39">
        <f>'qtrP&amp;L'!BQ10</f>
        <v>17.276563827947889</v>
      </c>
      <c r="BQ10" s="27"/>
      <c r="BR10" s="159">
        <v>198.54400000000001</v>
      </c>
      <c r="BS10" s="33">
        <f>(BR10/BN10-1)*100</f>
        <v>23.743518149182297</v>
      </c>
      <c r="BT10" s="39">
        <f>'qtrP&amp;L'!BU10</f>
        <v>11.538908776796752</v>
      </c>
      <c r="BU10" s="27"/>
      <c r="BV10" s="159">
        <f>213.676</f>
        <v>213.67599999999999</v>
      </c>
      <c r="BW10" s="33">
        <f>(BV10/BR10-1)*100</f>
        <v>7.621484406479162</v>
      </c>
      <c r="BX10" s="39">
        <f>'qtrP&amp;L'!BY10</f>
        <v>21.159323699916975</v>
      </c>
      <c r="BY10" s="39"/>
      <c r="BZ10" s="159">
        <v>243.47200000000001</v>
      </c>
      <c r="CA10" s="33">
        <f>(BZ10/BV10-1)*100</f>
        <v>13.944476684325814</v>
      </c>
      <c r="CB10" s="39">
        <f>'qtrP&amp;L'!CC10</f>
        <v>3.0584634390312448</v>
      </c>
      <c r="CC10" s="39"/>
      <c r="CD10" s="159">
        <v>268.91699999999997</v>
      </c>
      <c r="CE10" s="33">
        <f>(CD10/BZ10-1)*100</f>
        <v>10.450893737267508</v>
      </c>
      <c r="CF10" s="39">
        <f>'qtrP&amp;L'!CG10</f>
        <v>-1.6702896281917012</v>
      </c>
      <c r="CH10" s="159">
        <v>270.31299999999999</v>
      </c>
      <c r="CI10" s="33">
        <f>(CH10/CD10-1)*100</f>
        <v>0.51911928215768732</v>
      </c>
      <c r="CJ10" s="39">
        <f>'qtrP&amp;L'!CK10</f>
        <v>1.9634005995278203</v>
      </c>
      <c r="CL10" s="159">
        <v>267.988</v>
      </c>
      <c r="CM10" s="33">
        <f>(CL10/CH10-1)*100</f>
        <v>-0.86011401597406723</v>
      </c>
      <c r="CN10" s="39">
        <f>'qtrP&amp;L'!CO10</f>
        <v>-4.3854874878804573</v>
      </c>
      <c r="CP10" s="159">
        <v>273.87799999999999</v>
      </c>
      <c r="CQ10" s="33">
        <f>(CP10/CL10-1)*100</f>
        <v>2.1978596056539734</v>
      </c>
      <c r="CR10" s="39">
        <f>'qtrP&amp;L'!CS10</f>
        <v>-9.2147930641376057</v>
      </c>
      <c r="CT10" s="159"/>
      <c r="CU10" s="33"/>
      <c r="CV10" s="39"/>
    </row>
    <row r="11" spans="1:100">
      <c r="A11" s="27" t="str">
        <f>'qtrP&amp;L'!A11</f>
        <v>2Q</v>
      </c>
      <c r="B11" s="27" t="str">
        <f>'qtrP&amp;L'!B11</f>
        <v>Jul</v>
      </c>
      <c r="C11" s="27"/>
      <c r="D11" s="129">
        <v>5.4657039999999997</v>
      </c>
      <c r="E11" s="27"/>
      <c r="F11" s="129">
        <v>6.2501720000000001</v>
      </c>
      <c r="G11" s="33">
        <f>(F11/D11-1)*100</f>
        <v>14.352551839616634</v>
      </c>
      <c r="H11" s="39">
        <f>'qtrP&amp;L'!I11</f>
        <v>-2.8366010347987247</v>
      </c>
      <c r="I11" s="87"/>
      <c r="J11" s="129">
        <v>6.9945370000000002</v>
      </c>
      <c r="K11" s="33">
        <f>(J11/F11-1)*100</f>
        <v>11.909512250222875</v>
      </c>
      <c r="L11" s="39">
        <f>'qtrP&amp;L'!M11</f>
        <v>3.5170097678936862</v>
      </c>
      <c r="M11" s="87"/>
      <c r="N11" s="129">
        <v>6.1937959999999999</v>
      </c>
      <c r="O11" s="33">
        <f>(N11/J11-1)*100</f>
        <v>-11.448091560599371</v>
      </c>
      <c r="P11" s="39">
        <f>'qtrP&amp;L'!Q11</f>
        <v>24.931331726817074</v>
      </c>
      <c r="Q11" s="87"/>
      <c r="R11" s="129">
        <v>7.8482880000000002</v>
      </c>
      <c r="S11" s="33">
        <f>(R11/N11-1)*100</f>
        <v>26.71208415646884</v>
      </c>
      <c r="T11" s="39">
        <f>'qtrP&amp;L'!U11</f>
        <v>36.243824504219859</v>
      </c>
      <c r="U11" s="87"/>
      <c r="V11" s="129">
        <v>12.433481</v>
      </c>
      <c r="W11" s="33">
        <f>(V11/R11-1)*100</f>
        <v>58.422843300347793</v>
      </c>
      <c r="X11" s="39">
        <f>'qtrP&amp;L'!Y11</f>
        <v>34.40516311139681</v>
      </c>
      <c r="Y11" s="27"/>
      <c r="Z11" s="129">
        <v>21.449961999999999</v>
      </c>
      <c r="AA11" s="33">
        <f>(Z11/V11-1)*100</f>
        <v>72.517752671194799</v>
      </c>
      <c r="AB11" s="39">
        <f>'qtrP&amp;L'!AC11</f>
        <v>64.906673257315163</v>
      </c>
      <c r="AC11" s="27"/>
      <c r="AD11" s="129">
        <v>29.299357000000001</v>
      </c>
      <c r="AE11" s="33">
        <f>(AD11/Z11-1)*100</f>
        <v>36.593980912413748</v>
      </c>
      <c r="AF11" s="39">
        <f>'qtrP&amp;L'!AG11</f>
        <v>47.583611985530716</v>
      </c>
      <c r="AG11" s="27"/>
      <c r="AH11" s="129">
        <v>40.059294999999999</v>
      </c>
      <c r="AI11" s="33">
        <f>(AH11/AD11-1)*100</f>
        <v>36.724143809708856</v>
      </c>
      <c r="AJ11" s="39">
        <f>+'qtrP&amp;L'!AK11</f>
        <v>39.753072605185324</v>
      </c>
      <c r="AK11" s="27"/>
      <c r="AL11" s="129">
        <v>49.404055</v>
      </c>
      <c r="AM11" s="33">
        <f>(AL11/AH11-1)*100</f>
        <v>23.327320163772235</v>
      </c>
      <c r="AN11" s="39">
        <f>+'qtrP&amp;L'!AO11</f>
        <v>38.673605903560258</v>
      </c>
      <c r="AO11" s="27"/>
      <c r="AP11" s="129">
        <v>61.965000000000003</v>
      </c>
      <c r="AQ11" s="33">
        <f>(AP11/AL11-1)*100</f>
        <v>25.42492716437954</v>
      </c>
      <c r="AR11" s="39">
        <f>+'qtrP&amp;L'!AS11</f>
        <v>46.893551965389335</v>
      </c>
      <c r="AS11" s="27"/>
      <c r="AT11" s="129">
        <v>79.153000000000006</v>
      </c>
      <c r="AU11" s="33">
        <f>(AT11/AP11-1)*100</f>
        <v>27.738239328653268</v>
      </c>
      <c r="AV11" s="39">
        <f>+'qtrP&amp;L'!AW11</f>
        <v>34.603382698701182</v>
      </c>
      <c r="AW11" s="27"/>
      <c r="AX11" s="129">
        <v>108.88200000000001</v>
      </c>
      <c r="AY11" s="33">
        <f>(AX11/AT11-1)*100</f>
        <v>37.558904905688983</v>
      </c>
      <c r="AZ11" s="39">
        <f>+'qtrP&amp;L'!BA11</f>
        <v>17.639133921411386</v>
      </c>
      <c r="BA11" s="27"/>
      <c r="BB11" s="129">
        <v>122.965</v>
      </c>
      <c r="BC11" s="33">
        <f>(BB11/AX11-1)*100</f>
        <v>12.934185632152229</v>
      </c>
      <c r="BD11" s="39">
        <f>+'qtrP&amp;L'!BE11</f>
        <v>8.0847466870262341</v>
      </c>
      <c r="BE11" s="27"/>
      <c r="BF11" s="129">
        <v>142.86799999999999</v>
      </c>
      <c r="BG11" s="33">
        <f>(BF11/BB11-1)*100</f>
        <v>16.185906558776875</v>
      </c>
      <c r="BH11" s="39">
        <f>+'qtrP&amp;L'!BI11</f>
        <v>-7.0662731148616214</v>
      </c>
      <c r="BI11" s="27"/>
      <c r="BJ11" s="129">
        <f>130.238</f>
        <v>130.238</v>
      </c>
      <c r="BK11" s="33">
        <f>(BJ11/BF11-1)*100</f>
        <v>-8.8403281350617373</v>
      </c>
      <c r="BL11" s="39">
        <f>+'qtrP&amp;L'!BM11</f>
        <v>3.6269366118977908</v>
      </c>
      <c r="BM11" s="27"/>
      <c r="BN11" s="129">
        <v>146.899</v>
      </c>
      <c r="BO11" s="33">
        <f>(BN11/BJ11-1)*100</f>
        <v>12.792733303644098</v>
      </c>
      <c r="BP11" s="39">
        <f>'qtrP&amp;L'!BQ11</f>
        <v>10.831954085945949</v>
      </c>
      <c r="BQ11" s="27"/>
      <c r="BR11" s="129">
        <v>190.745</v>
      </c>
      <c r="BS11" s="33">
        <f>(BR11/BN11-1)*100</f>
        <v>29.847718500466303</v>
      </c>
      <c r="BT11" s="39">
        <f>'qtrP&amp;L'!BU11</f>
        <v>18.489256553502376</v>
      </c>
      <c r="BU11" s="27"/>
      <c r="BV11" s="129">
        <v>191.69399999999999</v>
      </c>
      <c r="BW11" s="33">
        <f>(BV11/BR11-1)*100</f>
        <v>0.49752287084849911</v>
      </c>
      <c r="BX11" s="39">
        <f>'qtrP&amp;L'!BY11</f>
        <v>16.370144836603195</v>
      </c>
      <c r="BY11" s="39"/>
      <c r="BZ11" s="129">
        <v>211.148</v>
      </c>
      <c r="CA11" s="33">
        <f>(BZ11/BV11-1)*100</f>
        <v>10.148465784009941</v>
      </c>
      <c r="CB11" s="39">
        <f>'qtrP&amp;L'!CC11</f>
        <v>1.212518816559216</v>
      </c>
      <c r="CC11" s="39"/>
      <c r="CD11" s="129">
        <v>238.072</v>
      </c>
      <c r="CE11" s="33">
        <f>(CD11/BZ11-1)*100</f>
        <v>12.751245571826409</v>
      </c>
      <c r="CF11" s="39">
        <f>'qtrP&amp;L'!CG11</f>
        <v>-0.11254759408347859</v>
      </c>
      <c r="CH11" s="129">
        <v>239.04300000000001</v>
      </c>
      <c r="CI11" s="33">
        <f>(CH11/CD11-1)*100</f>
        <v>0.4078598071171724</v>
      </c>
      <c r="CJ11" s="39">
        <f>'qtrP&amp;L'!CK11</f>
        <v>1.6571307023114379</v>
      </c>
      <c r="CK11" s="1123"/>
      <c r="CL11" s="129">
        <v>235.636</v>
      </c>
      <c r="CM11" s="33">
        <f>(CL11/CH11-1)*100</f>
        <v>-1.4252665838363821</v>
      </c>
      <c r="CN11" s="39">
        <f>'qtrP&amp;L'!CO11</f>
        <v>-3.607304066727024</v>
      </c>
      <c r="CP11" s="129">
        <v>235.167</v>
      </c>
      <c r="CQ11" s="33">
        <f>(CP11/CL11-1)*100</f>
        <v>-0.19903580098117324</v>
      </c>
      <c r="CR11" s="39">
        <f>'qtrP&amp;L'!CS11</f>
        <v>-8.9897944416829638</v>
      </c>
      <c r="CT11" s="129"/>
      <c r="CU11" s="33"/>
      <c r="CV11" s="39"/>
    </row>
    <row r="12" spans="1:100">
      <c r="A12" s="27" t="str">
        <f>'qtrP&amp;L'!A12</f>
        <v>3Q</v>
      </c>
      <c r="B12" s="27" t="str">
        <f>'qtrP&amp;L'!B12</f>
        <v>Oct</v>
      </c>
      <c r="C12" s="27"/>
      <c r="D12" s="129">
        <v>5.6531419999999999</v>
      </c>
      <c r="E12" s="27"/>
      <c r="F12" s="129">
        <v>8.2505810000000004</v>
      </c>
      <c r="G12" s="33">
        <f>(F12/D12-1)*100</f>
        <v>45.946820369981879</v>
      </c>
      <c r="H12" s="39">
        <f>'qtrP&amp;L'!I12</f>
        <v>-4.3749033600026799E-2</v>
      </c>
      <c r="I12" s="87"/>
      <c r="J12" s="129">
        <v>9.0553629999999998</v>
      </c>
      <c r="K12" s="33">
        <f>(J12/F12-1)*100</f>
        <v>9.7542463979203298</v>
      </c>
      <c r="L12" s="39">
        <f>'qtrP&amp;L'!M12</f>
        <v>3.000697553350129</v>
      </c>
      <c r="M12" s="87"/>
      <c r="N12" s="129">
        <v>8.5606810000000007</v>
      </c>
      <c r="O12" s="33">
        <f>(N12/J12-1)*100</f>
        <v>-5.4628621734987277</v>
      </c>
      <c r="P12" s="39">
        <f>'qtrP&amp;L'!Q12</f>
        <v>20.322113283291145</v>
      </c>
      <c r="Q12" s="87"/>
      <c r="R12" s="129">
        <v>8.9301340000000007</v>
      </c>
      <c r="S12" s="33">
        <f>(R12/N12-1)*100</f>
        <v>4.3156963797623016</v>
      </c>
      <c r="T12" s="39">
        <f>'qtrP&amp;L'!U12</f>
        <v>41.381494653120555</v>
      </c>
      <c r="U12" s="87"/>
      <c r="V12" s="129">
        <v>15.151490000000001</v>
      </c>
      <c r="W12" s="33">
        <f>(V12/R12-1)*100</f>
        <v>69.666994918553286</v>
      </c>
      <c r="X12" s="39">
        <f>'qtrP&amp;L'!Y12</f>
        <v>49.543141888011455</v>
      </c>
      <c r="Y12" s="27"/>
      <c r="Z12" s="129">
        <v>26.730996999999999</v>
      </c>
      <c r="AA12" s="33">
        <f>(Z12/V12-1)*100</f>
        <v>76.424873065289262</v>
      </c>
      <c r="AB12" s="39">
        <f>'qtrP&amp;L'!AC12</f>
        <v>72.437405638407057</v>
      </c>
      <c r="AC12" s="27"/>
      <c r="AD12" s="129">
        <v>30.788364000000001</v>
      </c>
      <c r="AE12" s="33">
        <f>(AD12/Z12-1)*100</f>
        <v>15.178509802683383</v>
      </c>
      <c r="AF12" s="39">
        <f>'qtrP&amp;L'!AG12</f>
        <v>36.218987801402669</v>
      </c>
      <c r="AG12" s="27"/>
      <c r="AH12" s="129">
        <v>39.663646</v>
      </c>
      <c r="AI12" s="33">
        <f>(AH12/AD12-1)*100</f>
        <v>28.826741167539783</v>
      </c>
      <c r="AJ12" s="39">
        <f>'qtrP&amp;L'!AK12</f>
        <v>46.056291781266047</v>
      </c>
      <c r="AK12" s="27"/>
      <c r="AL12" s="129">
        <v>60.146000000000001</v>
      </c>
      <c r="AM12" s="33">
        <f>(AL12/AH12-1)*100</f>
        <v>51.640119014777412</v>
      </c>
      <c r="AN12" s="39">
        <f>'qtrP&amp;L'!AO12</f>
        <v>53.407782808576073</v>
      </c>
      <c r="AO12" s="27"/>
      <c r="AP12" s="129">
        <v>79.475999999999999</v>
      </c>
      <c r="AQ12" s="33">
        <f>(AP12/AL12-1)*100</f>
        <v>32.138463073188575</v>
      </c>
      <c r="AR12" s="39">
        <f>+'qtrP&amp;L'!AS12</f>
        <v>28.116199440563449</v>
      </c>
      <c r="AS12" s="27"/>
      <c r="AT12" s="129">
        <v>101.53100000000001</v>
      </c>
      <c r="AU12" s="33">
        <f>(AT12/AP12-1)*100</f>
        <v>27.750515879007498</v>
      </c>
      <c r="AV12" s="39">
        <f>+'qtrP&amp;L'!AW12</f>
        <v>32.950665930245052</v>
      </c>
      <c r="AW12" s="27"/>
      <c r="AX12" s="129">
        <v>137.65</v>
      </c>
      <c r="AY12" s="33">
        <f>(AX12/AT12-1)*100</f>
        <v>35.574356600447146</v>
      </c>
      <c r="AZ12" s="39">
        <f>+'qtrP&amp;L'!BA12</f>
        <v>12.143364978461779</v>
      </c>
      <c r="BA12" s="27"/>
      <c r="BB12" s="129">
        <v>168.15799999999999</v>
      </c>
      <c r="BC12" s="33">
        <f>(BB12/AX12-1)*100</f>
        <v>22.163458045768248</v>
      </c>
      <c r="BD12" s="39">
        <f>+'qtrP&amp;L'!BE12</f>
        <v>3.4046129098824318</v>
      </c>
      <c r="BE12" s="27"/>
      <c r="BF12" s="129">
        <f>187.271</f>
        <v>187.27099999999999</v>
      </c>
      <c r="BG12" s="33">
        <f>(BF12/BB12-1)*100</f>
        <v>11.366096171457807</v>
      </c>
      <c r="BH12" s="39">
        <f>+'qtrP&amp;L'!BI12</f>
        <v>-5.2102242536299688</v>
      </c>
      <c r="BI12" s="27"/>
      <c r="BJ12" s="129">
        <v>160.03</v>
      </c>
      <c r="BK12" s="33">
        <f>(BJ12/BF12-1)*100</f>
        <v>-14.54629921343934</v>
      </c>
      <c r="BL12" s="39">
        <f>+'qtrP&amp;L'!BM12</f>
        <v>13.347098109541577</v>
      </c>
      <c r="BM12" s="27"/>
      <c r="BN12" s="129">
        <v>179.11</v>
      </c>
      <c r="BO12" s="33">
        <f>(BN12/BJ12-1)*100</f>
        <v>11.922764481659698</v>
      </c>
      <c r="BP12" s="39">
        <f>'qtrP&amp;L'!BQ12</f>
        <v>8.0917417642543565</v>
      </c>
      <c r="BQ12" s="27"/>
      <c r="BR12" s="129">
        <v>247.53</v>
      </c>
      <c r="BS12" s="33">
        <f>(BR12/BN12-1)*100</f>
        <v>38.199988833677608</v>
      </c>
      <c r="BT12" s="39">
        <f>'qtrP&amp;L'!BU12</f>
        <v>11.495128586275595</v>
      </c>
      <c r="BU12" s="27"/>
      <c r="BV12" s="129">
        <v>234.19900000000001</v>
      </c>
      <c r="BW12" s="33">
        <f>(BV12/BR12-1)*100</f>
        <v>-5.3856098250717022</v>
      </c>
      <c r="BX12" s="39">
        <f>'qtrP&amp;L'!BY12</f>
        <v>18.219242181726326</v>
      </c>
      <c r="BY12" s="39"/>
      <c r="BZ12" s="129">
        <v>267.43</v>
      </c>
      <c r="CA12" s="33">
        <f>(BZ12/BV12-1)*100</f>
        <v>14.18921515463345</v>
      </c>
      <c r="CB12" s="39">
        <f>'qtrP&amp;L'!CC12</f>
        <v>2.9707931172594737</v>
      </c>
      <c r="CC12" s="39"/>
      <c r="CD12" s="129">
        <v>294.23399999999998</v>
      </c>
      <c r="CE12" s="33">
        <f>(CD12/BZ12-1)*100</f>
        <v>10.022809707213099</v>
      </c>
      <c r="CF12" s="39">
        <f>'qtrP&amp;L'!CG12</f>
        <v>-1.5372670570594771</v>
      </c>
      <c r="CH12" s="195">
        <v>268.96800000000002</v>
      </c>
      <c r="CI12" s="33">
        <f>(CH12/CD12-1)*100</f>
        <v>-8.5870429658027163</v>
      </c>
      <c r="CJ12" s="39">
        <f>'qtrP&amp;L'!CK12</f>
        <v>-2.9071992142537306</v>
      </c>
      <c r="CK12" s="1124"/>
      <c r="CL12" s="195">
        <v>261.34100000000001</v>
      </c>
      <c r="CM12" s="33">
        <f>(CL12/CH12-1)*100</f>
        <v>-2.8356533119181515</v>
      </c>
      <c r="CN12" s="39">
        <f>'qtrP&amp;L'!CO12</f>
        <v>-4.7584704859310545</v>
      </c>
      <c r="CP12" s="195">
        <v>265.02300000000002</v>
      </c>
      <c r="CQ12" s="33">
        <f>(CP12/CL12-1)*100</f>
        <v>1.4088872392774343</v>
      </c>
      <c r="CR12" s="39">
        <f>'qtrP&amp;L'!CS12</f>
        <v>-10.826553997909238</v>
      </c>
      <c r="CT12" s="195"/>
      <c r="CU12" s="33"/>
      <c r="CV12" s="39"/>
    </row>
    <row r="13" spans="1:100">
      <c r="A13" s="27" t="str">
        <f>'qtrP&amp;L'!A13</f>
        <v>4Q</v>
      </c>
      <c r="B13" s="27" t="str">
        <f>'qtrP&amp;L'!B13</f>
        <v>Jan</v>
      </c>
      <c r="C13" s="27"/>
      <c r="D13" s="41">
        <f>+bal!E12</f>
        <v>6.5558969999999999</v>
      </c>
      <c r="E13" s="27"/>
      <c r="F13" s="41">
        <f>bal!G12</f>
        <v>6.7753740000000002</v>
      </c>
      <c r="G13" s="33">
        <f>(F13/D13-1)*100</f>
        <v>3.3477798690247917</v>
      </c>
      <c r="H13" s="39">
        <f>'qtrP&amp;L'!I13</f>
        <v>5.6290968527330065</v>
      </c>
      <c r="I13" s="87"/>
      <c r="J13" s="41">
        <f>bal!I12</f>
        <v>7.8453619999999997</v>
      </c>
      <c r="K13" s="33">
        <f>(J13/F13-1)*100</f>
        <v>15.792309029730301</v>
      </c>
      <c r="L13" s="39">
        <f>'qtrP&amp;L'!M13</f>
        <v>0.5546272620925663</v>
      </c>
      <c r="M13" s="87"/>
      <c r="N13" s="41">
        <f>bal!K12</f>
        <v>9.5254720000000006</v>
      </c>
      <c r="O13" s="33">
        <f>(N13/J13-1)*100</f>
        <v>21.415327935154572</v>
      </c>
      <c r="P13" s="39">
        <f>'qtrP&amp;L'!Q13</f>
        <v>17.675304094952526</v>
      </c>
      <c r="Q13" s="87"/>
      <c r="R13" s="41">
        <f>bal!M12</f>
        <v>10.105153</v>
      </c>
      <c r="S13" s="33">
        <f>(R13/N13-1)*100</f>
        <v>6.0855881997238459</v>
      </c>
      <c r="T13" s="39">
        <f>'qtrP&amp;L'!U13</f>
        <v>51.759161738357797</v>
      </c>
      <c r="U13" s="87"/>
      <c r="V13" s="41">
        <f>bal!O12</f>
        <v>14.8348</v>
      </c>
      <c r="W13" s="33">
        <f>(V13/R13-1)*100</f>
        <v>46.804308653218804</v>
      </c>
      <c r="X13" s="39">
        <f>'qtrP&amp;L'!Y13</f>
        <v>56.34990977815653</v>
      </c>
      <c r="Y13" s="27"/>
      <c r="Z13" s="41">
        <f>+bal!Q12</f>
        <v>24.394162000000001</v>
      </c>
      <c r="AA13" s="33">
        <f>(Z13/V13-1)*100</f>
        <v>64.438765605198611</v>
      </c>
      <c r="AB13" s="39">
        <f>'qtrP&amp;L'!AC13</f>
        <v>74.951006067132226</v>
      </c>
      <c r="AC13" s="27"/>
      <c r="AD13" s="41">
        <f>+bal!S12</f>
        <v>28.905066000000001</v>
      </c>
      <c r="AE13" s="33">
        <f>(AD13/Z13-1)*100</f>
        <v>18.491735850569491</v>
      </c>
      <c r="AF13" s="39">
        <f>'qtrP&amp;L'!AG13</f>
        <v>38.643373960552353</v>
      </c>
      <c r="AG13" s="27"/>
      <c r="AH13" s="41">
        <f>+bal!U12</f>
        <v>44.907504000000003</v>
      </c>
      <c r="AI13" s="33">
        <f>(AH13/AD13-1)*100</f>
        <v>55.362053143210254</v>
      </c>
      <c r="AJ13" s="39">
        <f>'qtrP&amp;L'!AK13</f>
        <v>36.439837187251037</v>
      </c>
      <c r="AK13" s="27"/>
      <c r="AL13" s="129">
        <v>54.896000000000001</v>
      </c>
      <c r="AM13" s="33">
        <f>(AL13/AH13-1)*100</f>
        <v>22.242376240728046</v>
      </c>
      <c r="AN13" s="39">
        <f>'qtrP&amp;L'!AO13</f>
        <v>55.798553234807471</v>
      </c>
      <c r="AO13" s="27"/>
      <c r="AP13" s="129">
        <v>73.222999999999999</v>
      </c>
      <c r="AQ13" s="33">
        <f>(AP13/AL13-1)*100</f>
        <v>33.384946079860086</v>
      </c>
      <c r="AR13" s="39">
        <f>+'qtrP&amp;L'!AS13</f>
        <v>32.500730827946867</v>
      </c>
      <c r="AS13" s="27"/>
      <c r="AT13" s="129">
        <v>95.421000000000006</v>
      </c>
      <c r="AU13" s="33">
        <f>(AT13/AP13-1)*100</f>
        <v>30.315611215055394</v>
      </c>
      <c r="AV13" s="39">
        <f>+'qtrP&amp;L'!AW13</f>
        <v>31.580698369117965</v>
      </c>
      <c r="AW13" s="27"/>
      <c r="AX13" s="129">
        <v>110.84</v>
      </c>
      <c r="AY13" s="33">
        <f>(AX13/AT13-1)*100</f>
        <v>16.158916800285049</v>
      </c>
      <c r="AZ13" s="39">
        <f>+'qtrP&amp;L'!BA13</f>
        <v>18.337902217017522</v>
      </c>
      <c r="BA13" s="27"/>
      <c r="BB13" s="129">
        <v>144.261</v>
      </c>
      <c r="BC13" s="33">
        <f>(BB13/AX13-1)*100</f>
        <v>30.152472031757483</v>
      </c>
      <c r="BD13" s="39">
        <f>+'qtrP&amp;L'!BE13</f>
        <v>-7.9468143246872014</v>
      </c>
      <c r="BE13" s="27"/>
      <c r="BF13" s="129">
        <v>132.41300000000001</v>
      </c>
      <c r="BG13" s="33">
        <f>(BF13/BB13-1)*100</f>
        <v>-8.212891911188736</v>
      </c>
      <c r="BH13" s="39">
        <f>+'qtrP&amp;L'!BI13</f>
        <v>-8.7755346362177082</v>
      </c>
      <c r="BI13" s="27"/>
      <c r="BJ13" s="129">
        <v>138.51599999999999</v>
      </c>
      <c r="BK13" s="33">
        <f>(BJ13/BF13-1)*100</f>
        <v>4.609064064706625</v>
      </c>
      <c r="BL13" s="39">
        <f>+'qtrP&amp;L'!BM13</f>
        <v>16.699118054309437</v>
      </c>
      <c r="BM13" s="27"/>
      <c r="BN13" s="129">
        <v>159.81399999999999</v>
      </c>
      <c r="BO13" s="33">
        <f>(BN13/BJ13-1)*100</f>
        <v>15.375841058072726</v>
      </c>
      <c r="BP13" s="39">
        <f>'qtrP&amp;L'!BQ13</f>
        <v>9.006494847726799</v>
      </c>
      <c r="BQ13" s="27"/>
      <c r="BR13" s="129">
        <f>194.469</f>
        <v>194.46899999999999</v>
      </c>
      <c r="BS13" s="33">
        <f>(BR13/BN13-1)*100</f>
        <v>21.684583328118933</v>
      </c>
      <c r="BT13" s="39">
        <f>'qtrP&amp;L'!BU13</f>
        <v>19.839612273513918</v>
      </c>
      <c r="BU13" s="27"/>
      <c r="BV13" s="129">
        <v>206.84899999999999</v>
      </c>
      <c r="BW13" s="33">
        <f>(BV13/BR13-1)*100</f>
        <v>6.3660532012814297</v>
      </c>
      <c r="BX13" s="39">
        <f>'qtrP&amp;L'!BY13</f>
        <v>14.519498179045588</v>
      </c>
      <c r="BY13" s="39"/>
      <c r="BZ13" s="129">
        <v>238.14500000000001</v>
      </c>
      <c r="CA13" s="33">
        <f>(BZ13/BV13-1)*100</f>
        <v>15.129877350144326</v>
      </c>
      <c r="CB13" s="39">
        <f>'qtrP&amp;L'!CC13</f>
        <v>-6.384875117549516</v>
      </c>
      <c r="CC13" s="39"/>
      <c r="CD13" s="129">
        <v>235.15899999999999</v>
      </c>
      <c r="CE13" s="33">
        <f>(CD13/BZ13-1)*100</f>
        <v>-1.2538579436897734</v>
      </c>
      <c r="CF13" s="39">
        <f>'qtrP&amp;L'!CG13</f>
        <v>4.3113040428820026</v>
      </c>
      <c r="CH13" s="195">
        <v>233.834</v>
      </c>
      <c r="CI13" s="33">
        <f>(CH13/CD13-1)*100</f>
        <v>-0.5634485603357664</v>
      </c>
      <c r="CJ13" s="39">
        <f>'qtrP&amp;L'!CK13</f>
        <v>-3.4062167146865385</v>
      </c>
      <c r="CK13" s="1124"/>
      <c r="CL13" s="195">
        <v>232.363</v>
      </c>
      <c r="CM13" s="33">
        <f>(CL13/CH13-1)*100</f>
        <v>-0.62907874817178522</v>
      </c>
      <c r="CN13" s="39">
        <f>'qtrP&amp;L'!CO13</f>
        <v>-2.2884884363920333</v>
      </c>
      <c r="CP13" s="195">
        <v>233.7</v>
      </c>
      <c r="CQ13" s="33">
        <f>(CP13/CL13-1)*100</f>
        <v>0.57539281210863269</v>
      </c>
      <c r="CR13" s="39">
        <f>'qtrP&amp;L'!CS13</f>
        <v>-2.1648199284607372</v>
      </c>
    </row>
    <row r="14" spans="1:100">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41"/>
      <c r="BO14" s="27"/>
      <c r="BP14" s="27"/>
      <c r="BQ14" s="27"/>
      <c r="BR14" s="27"/>
      <c r="BS14" s="27"/>
      <c r="BT14" s="27"/>
      <c r="BU14" s="27"/>
      <c r="BV14" s="27"/>
      <c r="BW14" s="27"/>
      <c r="BX14" s="27"/>
      <c r="BY14" s="27"/>
      <c r="BZ14" s="41"/>
      <c r="CC14" s="27"/>
    </row>
    <row r="15" spans="1:100">
      <c r="A15" s="118" t="s">
        <v>409</v>
      </c>
      <c r="B15" s="30"/>
      <c r="C15" s="27"/>
      <c r="D15" s="27"/>
      <c r="E15" s="27"/>
      <c r="F15" s="117"/>
      <c r="G15" s="117"/>
      <c r="H15" s="117"/>
      <c r="I15" s="117"/>
      <c r="J15" s="117"/>
      <c r="K15" s="117"/>
      <c r="L15" s="117"/>
      <c r="M15" s="116"/>
      <c r="N15" s="116"/>
      <c r="O15" s="117"/>
      <c r="P15" s="117"/>
      <c r="Q15" s="117"/>
      <c r="R15" s="117"/>
      <c r="S15" s="117"/>
      <c r="T15" s="117"/>
      <c r="U15" s="117"/>
      <c r="V15" s="117"/>
      <c r="W15" s="117"/>
      <c r="X15" s="117"/>
      <c r="Y15" s="27"/>
      <c r="Z15" s="117"/>
      <c r="AA15" s="117"/>
      <c r="AB15" s="117"/>
      <c r="AC15" s="27"/>
      <c r="AD15" s="117"/>
      <c r="AE15" s="117"/>
      <c r="AF15" s="117"/>
      <c r="AG15" s="27"/>
      <c r="AH15" s="117"/>
      <c r="AI15" s="117"/>
      <c r="AJ15" s="117"/>
      <c r="AK15" s="27"/>
      <c r="AL15" s="117"/>
      <c r="AM15" s="117"/>
      <c r="AN15" s="117"/>
      <c r="AO15" s="27"/>
      <c r="AP15" s="117"/>
      <c r="AQ15" s="117"/>
      <c r="AR15" s="117"/>
      <c r="AS15" s="27"/>
      <c r="AT15" s="117"/>
      <c r="AU15" s="117"/>
      <c r="AV15" s="117"/>
      <c r="AW15" s="27"/>
      <c r="AX15" s="117"/>
      <c r="AY15" s="117"/>
      <c r="AZ15" s="117"/>
      <c r="BA15" s="27"/>
      <c r="BB15" s="117"/>
      <c r="BC15" s="117"/>
      <c r="BD15" s="117"/>
      <c r="BE15" s="27"/>
      <c r="BF15" s="117"/>
      <c r="BG15" s="117"/>
      <c r="BH15" s="117"/>
      <c r="BI15" s="27"/>
      <c r="BJ15" s="117"/>
      <c r="BK15" s="117"/>
      <c r="BL15" s="117"/>
      <c r="BM15" s="27"/>
      <c r="BN15" s="117"/>
      <c r="BO15" s="117"/>
      <c r="BP15" s="117"/>
      <c r="BQ15" s="27"/>
      <c r="BR15" s="117"/>
      <c r="BS15" s="117"/>
      <c r="BT15" s="117"/>
      <c r="BU15" s="27"/>
      <c r="BV15" s="117"/>
      <c r="BW15" s="117"/>
      <c r="BX15" s="117"/>
      <c r="BY15" s="117"/>
      <c r="BZ15" s="117"/>
      <c r="CC15" s="117"/>
      <c r="CK15" s="1123"/>
    </row>
    <row r="16" spans="1:100">
      <c r="A16" s="27" t="str">
        <f>$A$10</f>
        <v>1Q</v>
      </c>
      <c r="B16" s="27" t="str">
        <f>$B$10</f>
        <v>Apr</v>
      </c>
      <c r="C16" s="27"/>
      <c r="D16" s="121">
        <f>0.659858+0.323839+0.847</f>
        <v>1.8306969999999998</v>
      </c>
      <c r="E16" s="27"/>
      <c r="F16" s="159">
        <f>0.832056+0.315698+1.179</f>
        <v>2.3267540000000002</v>
      </c>
      <c r="G16" s="33">
        <f>(F16/D16-1)*100</f>
        <v>27.096619484272956</v>
      </c>
      <c r="H16" s="39">
        <f>H$10</f>
        <v>5.3038769278509035</v>
      </c>
      <c r="I16" s="87"/>
      <c r="J16" s="121">
        <f>0.515427+0.3316+0.835</f>
        <v>1.6820269999999999</v>
      </c>
      <c r="K16" s="33">
        <f>(J16/F16-1)*100</f>
        <v>-27.7092894220876</v>
      </c>
      <c r="L16" s="39">
        <f>L$10</f>
        <v>18.025802774275036</v>
      </c>
      <c r="M16" s="87"/>
      <c r="N16" s="121">
        <f>0.80492+0.42532+1.142</f>
        <v>2.3722399999999997</v>
      </c>
      <c r="O16" s="33">
        <f>(N16/J16-1)*100</f>
        <v>41.034596947611405</v>
      </c>
      <c r="P16" s="39">
        <f>P$10</f>
        <v>8.1909593451879203</v>
      </c>
      <c r="Q16" s="87"/>
      <c r="R16" s="121">
        <f>0.296742+0.50096+1.438</f>
        <v>2.2357019999999999</v>
      </c>
      <c r="S16" s="33">
        <f>(R16/N16-1)*100</f>
        <v>-5.7556571004620078</v>
      </c>
      <c r="T16" s="39">
        <f>T$10</f>
        <v>38.334341980311002</v>
      </c>
      <c r="U16" s="87"/>
      <c r="V16" s="121">
        <f>1.588231+0.6526+1.651</f>
        <v>3.8918309999999998</v>
      </c>
      <c r="W16" s="33">
        <f>(V16/R16-1)*100</f>
        <v>74.076464573543348</v>
      </c>
      <c r="X16" s="39">
        <f>X$10</f>
        <v>40.659215347845709</v>
      </c>
      <c r="Y16" s="27"/>
      <c r="Z16" s="121">
        <f>2.011679+0.85797+2.429</f>
        <v>5.2986489999999993</v>
      </c>
      <c r="AA16" s="33">
        <f>(Z16/V16-1)*100</f>
        <v>36.147972509597651</v>
      </c>
      <c r="AB16" s="39">
        <f>AB$10</f>
        <v>55.642672812924722</v>
      </c>
      <c r="AC16" s="27"/>
      <c r="AD16" s="121">
        <f>2.232002+2.686243+3.56</f>
        <v>8.4782450000000011</v>
      </c>
      <c r="AE16" s="33">
        <f>(AD16/Z16-1)*100</f>
        <v>60.007673654171143</v>
      </c>
      <c r="AF16" s="39">
        <f>AF$10</f>
        <v>64.452962239623531</v>
      </c>
      <c r="AG16" s="27"/>
      <c r="AH16" s="121">
        <f>2.731401+4.337528+5.119</f>
        <v>12.187929</v>
      </c>
      <c r="AI16" s="33">
        <f>(AH16/AD16-1)*100</f>
        <v>43.755329080487762</v>
      </c>
      <c r="AJ16" s="39">
        <f>AJ$10</f>
        <v>39.922156542577426</v>
      </c>
      <c r="AK16" s="27"/>
      <c r="AL16" s="121">
        <f>3.420615+6.760022+7.98</f>
        <v>18.160637000000001</v>
      </c>
      <c r="AM16" s="33">
        <f>(AL16/AH16-1)*100</f>
        <v>49.005109891926679</v>
      </c>
      <c r="AN16" s="39">
        <f>+AN10</f>
        <v>29.536129236898788</v>
      </c>
      <c r="AO16" s="27"/>
      <c r="AP16" s="121">
        <f>5.066+9.982+8.491</f>
        <v>23.538999999999998</v>
      </c>
      <c r="AQ16" s="33">
        <f>(AP16/AL16-1)*100</f>
        <v>29.615497518066114</v>
      </c>
      <c r="AR16" s="39">
        <f>+AR10</f>
        <v>51.961187326440196</v>
      </c>
      <c r="AS16" s="27"/>
      <c r="AT16" s="121">
        <f>8.285+11.291+12.841</f>
        <v>32.417000000000002</v>
      </c>
      <c r="AU16" s="33">
        <f>(AT16/AP16-1)*100</f>
        <v>37.716130676749238</v>
      </c>
      <c r="AV16" s="39">
        <f>+AV10</f>
        <v>27.4402140261925</v>
      </c>
      <c r="AW16" s="27"/>
      <c r="AX16" s="121">
        <f>6.094+15.136+14.821</f>
        <v>36.051000000000002</v>
      </c>
      <c r="AY16" s="33">
        <f>(AX16/AT16-1)*100</f>
        <v>11.210167504704316</v>
      </c>
      <c r="AZ16" s="39">
        <f>+AZ10</f>
        <v>19.375716184626679</v>
      </c>
      <c r="BA16" s="27"/>
      <c r="BB16" s="121">
        <f>10.613+16.9+19.084</f>
        <v>46.596999999999994</v>
      </c>
      <c r="BC16" s="33">
        <f>(BB16/AX16-1)*100</f>
        <v>29.253002690632691</v>
      </c>
      <c r="BD16" s="39">
        <f>+BD10</f>
        <v>15.979245538993968</v>
      </c>
      <c r="BE16" s="27"/>
      <c r="BF16" s="121">
        <f>15.028+19.88+15.924</f>
        <v>50.832000000000001</v>
      </c>
      <c r="BG16" s="33">
        <f>(BF16/BB16-1)*100</f>
        <v>9.0885679335579681</v>
      </c>
      <c r="BH16" s="39">
        <f>+BH10</f>
        <v>-9.6060809379193479</v>
      </c>
      <c r="BI16" s="27"/>
      <c r="BJ16" s="121">
        <f>31.387+24.25+16.807</f>
        <v>72.444000000000003</v>
      </c>
      <c r="BK16" s="33">
        <f>(BJ16/BF16-1)*100</f>
        <v>42.516525023607187</v>
      </c>
      <c r="BL16" s="39">
        <f>+BL10</f>
        <v>0.26345088923829252</v>
      </c>
      <c r="BM16" s="27"/>
      <c r="BN16" s="159">
        <f>3.857+25.546+10.684</f>
        <v>40.086999999999996</v>
      </c>
      <c r="BO16" s="33">
        <f>(BN16/BJ16-1)*100</f>
        <v>-44.664844569598593</v>
      </c>
      <c r="BP16" s="39">
        <f>+BP10</f>
        <v>17.276563827947889</v>
      </c>
      <c r="BQ16" s="27"/>
      <c r="BR16" s="159">
        <f>5.59+27.368+11.479</f>
        <v>44.436999999999998</v>
      </c>
      <c r="BS16" s="33">
        <f>(BR16/BN16-1)*100</f>
        <v>10.851398208895645</v>
      </c>
      <c r="BT16" s="39">
        <f>+BT10</f>
        <v>11.538908776796752</v>
      </c>
      <c r="BU16" s="27"/>
      <c r="BV16" s="159">
        <v>50.972999999999999</v>
      </c>
      <c r="BW16" s="33">
        <f>(BV16/BR16-1)*100</f>
        <v>14.70846366766434</v>
      </c>
      <c r="BX16" s="39">
        <f>+BX10</f>
        <v>21.159323699916975</v>
      </c>
      <c r="BY16" s="39"/>
      <c r="BZ16" s="159">
        <v>55.28</v>
      </c>
      <c r="CA16" s="33">
        <f>(BZ16/BV16-1)*100</f>
        <v>8.4495713416907101</v>
      </c>
      <c r="CB16" s="39">
        <f>+CB10</f>
        <v>3.0584634390312448</v>
      </c>
      <c r="CC16" s="39"/>
      <c r="CD16" s="159">
        <v>51.801000000000002</v>
      </c>
      <c r="CE16" s="33">
        <f>(CD16/BZ16-1)*100</f>
        <v>-6.2934153400868276</v>
      </c>
      <c r="CF16" s="39">
        <f>+CF10</f>
        <v>-1.6702896281917012</v>
      </c>
      <c r="CH16" s="159">
        <v>53.484000000000002</v>
      </c>
      <c r="CI16" s="33">
        <f>(CH16/CD16-1)*100</f>
        <v>3.2489720275670431</v>
      </c>
      <c r="CJ16" s="39">
        <f>'qtrP&amp;L'!CK10</f>
        <v>1.9634005995278203</v>
      </c>
      <c r="CL16" s="159">
        <f>48.105+16.525</f>
        <v>64.63</v>
      </c>
      <c r="CM16" s="33">
        <f>(CL16/CH16-1)*100</f>
        <v>20.839877346496127</v>
      </c>
      <c r="CN16" s="39">
        <f>'qtrP&amp;L'!CO10</f>
        <v>-4.3854874878804573</v>
      </c>
      <c r="CP16" s="159">
        <v>45.183</v>
      </c>
      <c r="CQ16" s="33">
        <f>(CP16/CL16-1)*100</f>
        <v>-30.089741606065289</v>
      </c>
      <c r="CR16" s="39">
        <f>'qtrP&amp;L'!CS10</f>
        <v>-9.2147930641376057</v>
      </c>
      <c r="CT16" s="159"/>
      <c r="CU16" s="33"/>
      <c r="CV16" s="39"/>
    </row>
    <row r="17" spans="1:100">
      <c r="A17" s="27" t="str">
        <f>$A$11</f>
        <v>2Q</v>
      </c>
      <c r="B17" s="27" t="str">
        <f>$B$11</f>
        <v>Jul</v>
      </c>
      <c r="C17" s="27"/>
      <c r="D17" s="129">
        <f>0.76017+0.91069+0.916</f>
        <v>2.5868600000000002</v>
      </c>
      <c r="E17" s="87"/>
      <c r="F17" s="129">
        <f>0.626423+0.268536+1.157</f>
        <v>2.0519590000000001</v>
      </c>
      <c r="G17" s="33">
        <f>(F17/D17-1)*100</f>
        <v>-20.677616879150783</v>
      </c>
      <c r="H17" s="39">
        <f>H$11</f>
        <v>-2.8366010347987247</v>
      </c>
      <c r="I17" s="87"/>
      <c r="J17" s="129">
        <f>0.450541+0.376389+0.907</f>
        <v>1.73393</v>
      </c>
      <c r="K17" s="33">
        <f>(J17/F17-1)*100</f>
        <v>-15.49879895261066</v>
      </c>
      <c r="L17" s="39">
        <f>L$11</f>
        <v>3.5170097678936862</v>
      </c>
      <c r="M17" s="87"/>
      <c r="N17" s="129">
        <f>0.761541+0.395927+1.126</f>
        <v>2.2834680000000001</v>
      </c>
      <c r="O17" s="33">
        <f>(N17/J17-1)*100</f>
        <v>31.69320560806954</v>
      </c>
      <c r="P17" s="39">
        <f>P$11</f>
        <v>24.931331726817074</v>
      </c>
      <c r="Q17" s="87"/>
      <c r="R17" s="129">
        <f>1.003049+0.547048+1.622</f>
        <v>3.1720969999999999</v>
      </c>
      <c r="S17" s="33">
        <f>(R17/N17-1)*100</f>
        <v>38.915763216300817</v>
      </c>
      <c r="T17" s="39">
        <f>T$11</f>
        <v>36.243824504219859</v>
      </c>
      <c r="U17" s="87"/>
      <c r="V17" s="129">
        <f>1.817272+0.749108+1.819</f>
        <v>4.3853799999999996</v>
      </c>
      <c r="W17" s="33">
        <f>(V17/R17-1)*100</f>
        <v>38.248609673663815</v>
      </c>
      <c r="X17" s="39">
        <f>X$11</f>
        <v>34.40516311139681</v>
      </c>
      <c r="Y17" s="27"/>
      <c r="Z17" s="129">
        <f>1.944146+1.667686+2.785</f>
        <v>6.3968319999999999</v>
      </c>
      <c r="AA17" s="33">
        <f>(Z17/V17-1)*100</f>
        <v>45.867222452786315</v>
      </c>
      <c r="AB17" s="39">
        <f>AB$11</f>
        <v>64.906673257315163</v>
      </c>
      <c r="AC17" s="27"/>
      <c r="AD17" s="129">
        <f>3.848417+3.413808+3.642</f>
        <v>10.904225</v>
      </c>
      <c r="AE17" s="33">
        <f>(AD17/Z17-1)*100</f>
        <v>70.462894757905175</v>
      </c>
      <c r="AF17" s="39">
        <f>AF$11</f>
        <v>47.583611985530716</v>
      </c>
      <c r="AG17" s="27"/>
      <c r="AH17" s="129">
        <f>2.774525+5.38162+6.163</f>
        <v>14.319145000000001</v>
      </c>
      <c r="AI17" s="33">
        <f>(AH17/AD17-1)*100</f>
        <v>31.317402199606125</v>
      </c>
      <c r="AJ17" s="39">
        <f>AJ$11</f>
        <v>39.753072605185324</v>
      </c>
      <c r="AK17" s="27"/>
      <c r="AL17" s="129">
        <f>3.672923+6.889313+7.83</f>
        <v>18.392235999999997</v>
      </c>
      <c r="AM17" s="33">
        <f>(AL17/AH17-1)*100</f>
        <v>28.445071266475729</v>
      </c>
      <c r="AN17" s="39">
        <f>+AN11</f>
        <v>38.673605903560258</v>
      </c>
      <c r="AO17" s="27"/>
      <c r="AP17" s="129">
        <f>10.07+5.175+8.945</f>
        <v>24.19</v>
      </c>
      <c r="AQ17" s="33">
        <f>(AP17/AL17-1)*100</f>
        <v>31.522888244800718</v>
      </c>
      <c r="AR17" s="39">
        <f>+AR11</f>
        <v>46.893551965389335</v>
      </c>
      <c r="AS17" s="27"/>
      <c r="AT17" s="129">
        <f>6.744+14.614+13.981</f>
        <v>35.338999999999999</v>
      </c>
      <c r="AU17" s="33">
        <f>(AT17/AP17-1)*100</f>
        <v>46.089293096320773</v>
      </c>
      <c r="AV17" s="39">
        <f>+AV11</f>
        <v>34.603382698701182</v>
      </c>
      <c r="AW17" s="27"/>
      <c r="AX17" s="129">
        <f>5.373+16.331+14.848</f>
        <v>36.552</v>
      </c>
      <c r="AY17" s="33">
        <f>(AX17/AT17-1)*100</f>
        <v>3.4324683777130049</v>
      </c>
      <c r="AZ17" s="39">
        <f>+AZ11</f>
        <v>17.639133921411386</v>
      </c>
      <c r="BA17" s="27"/>
      <c r="BB17" s="129">
        <f>8.122+20.585+17.368</f>
        <v>46.075000000000003</v>
      </c>
      <c r="BC17" s="33">
        <f>(BB17/AX17-1)*100</f>
        <v>26.053293937404256</v>
      </c>
      <c r="BD17" s="39">
        <f>+BD11</f>
        <v>8.0847466870262341</v>
      </c>
      <c r="BE17" s="27"/>
      <c r="BF17" s="129">
        <f>38.293+23.004+15.276</f>
        <v>76.572999999999993</v>
      </c>
      <c r="BG17" s="33">
        <f>(BF17/BB17-1)*100</f>
        <v>66.192078133478006</v>
      </c>
      <c r="BH17" s="39">
        <f>+BH11</f>
        <v>-7.0662731148616214</v>
      </c>
      <c r="BI17" s="27"/>
      <c r="BJ17" s="129">
        <f>6.11+26.088+15.555</f>
        <v>47.753</v>
      </c>
      <c r="BK17" s="33">
        <f>(BJ17/BF17-1)*100</f>
        <v>-37.637287294477161</v>
      </c>
      <c r="BL17" s="39">
        <f>+BL11</f>
        <v>3.6269366118977908</v>
      </c>
      <c r="BM17" s="27"/>
      <c r="BN17" s="129">
        <f>7.483+27.018+9.823</f>
        <v>44.323999999999998</v>
      </c>
      <c r="BO17" s="33">
        <f>(BN17/BJ17-1)*100</f>
        <v>-7.1807006889619496</v>
      </c>
      <c r="BP17" s="39">
        <f>+BP11</f>
        <v>10.831954085945949</v>
      </c>
      <c r="BQ17" s="27"/>
      <c r="BR17" s="129">
        <f>5.619+31.184+9.084</f>
        <v>45.887</v>
      </c>
      <c r="BS17" s="33">
        <f>(BR17/BN17-1)*100</f>
        <v>3.5263062900460218</v>
      </c>
      <c r="BT17" s="39">
        <f>+BT11</f>
        <v>18.489256553502376</v>
      </c>
      <c r="BU17" s="27"/>
      <c r="BV17" s="195">
        <v>52.642000000000003</v>
      </c>
      <c r="BW17" s="33">
        <f>(BV17/BR17-1)*100</f>
        <v>14.720944929936586</v>
      </c>
      <c r="BX17" s="39">
        <f>+BX11</f>
        <v>16.370144836603195</v>
      </c>
      <c r="BY17" s="39"/>
      <c r="BZ17" s="195">
        <v>57.491999999999997</v>
      </c>
      <c r="CA17" s="33">
        <f>(BZ17/BV17-1)*100</f>
        <v>9.2131757911933398</v>
      </c>
      <c r="CB17" s="39">
        <f>+CB11</f>
        <v>1.212518816559216</v>
      </c>
      <c r="CC17" s="39"/>
      <c r="CD17" s="195">
        <v>50.744</v>
      </c>
      <c r="CE17" s="33">
        <f>(CD17/BZ17-1)*100</f>
        <v>-11.737285187504343</v>
      </c>
      <c r="CF17" s="39">
        <f>+CF11</f>
        <v>-0.11254759408347859</v>
      </c>
      <c r="CH17" s="195">
        <f>50.19+85.941</f>
        <v>136.131</v>
      </c>
      <c r="CI17" s="33">
        <f>(CH17/CD17-1)*100</f>
        <v>168.27014031215515</v>
      </c>
      <c r="CJ17" s="39">
        <f>'qtrP&amp;L'!CK11</f>
        <v>1.6571307023114379</v>
      </c>
      <c r="CL17" s="195">
        <v>64.872</v>
      </c>
      <c r="CM17" s="33">
        <f>(CL17/CH17-1)*100</f>
        <v>-52.345902108997947</v>
      </c>
      <c r="CN17" s="39">
        <f>'qtrP&amp;L'!CO11</f>
        <v>-3.607304066727024</v>
      </c>
      <c r="CP17" s="195">
        <v>49.381</v>
      </c>
      <c r="CQ17" s="33">
        <f>(CP17/CL17-1)*100</f>
        <v>-23.879331606856582</v>
      </c>
      <c r="CR17" s="39">
        <f>'qtrP&amp;L'!CS11</f>
        <v>-8.9897944416829638</v>
      </c>
      <c r="CT17" s="195"/>
      <c r="CU17" s="33"/>
      <c r="CV17" s="39"/>
    </row>
    <row r="18" spans="1:100">
      <c r="A18" s="27" t="str">
        <f>$A$12</f>
        <v>3Q</v>
      </c>
      <c r="B18" s="27" t="str">
        <f>$B$12</f>
        <v>Oct</v>
      </c>
      <c r="C18" s="27"/>
      <c r="D18" s="129">
        <f>0.814649+0.444307+1.067</f>
        <v>2.3259559999999997</v>
      </c>
      <c r="E18" s="87"/>
      <c r="F18" s="129">
        <f>0.57838+0.39296+1.095</f>
        <v>2.0663399999999998</v>
      </c>
      <c r="G18" s="33">
        <f>(F18/D18-1)*100</f>
        <v>-11.161690074962715</v>
      </c>
      <c r="H18" s="39">
        <f>H$12</f>
        <v>-4.3749033600026799E-2</v>
      </c>
      <c r="I18" s="87"/>
      <c r="J18" s="129">
        <v>0.69550800000000002</v>
      </c>
      <c r="K18" s="33">
        <f>(J18/F18-1)*100</f>
        <v>-66.341066813786682</v>
      </c>
      <c r="L18" s="39">
        <f>L$12</f>
        <v>3.000697553350129</v>
      </c>
      <c r="M18" s="87"/>
      <c r="N18" s="129">
        <f>0.872864+0.507252+1.229</f>
        <v>2.6091160000000002</v>
      </c>
      <c r="O18" s="33">
        <f>(N18/J18-1)*100</f>
        <v>275.1381723862271</v>
      </c>
      <c r="P18" s="39">
        <f>P$12</f>
        <v>20.322113283291145</v>
      </c>
      <c r="Q18" s="87"/>
      <c r="R18" s="129">
        <f>0.838039+0.706317+1.821</f>
        <v>3.3653560000000002</v>
      </c>
      <c r="S18" s="33">
        <f>(R18/N18-1)*100</f>
        <v>28.984529626126232</v>
      </c>
      <c r="T18" s="39">
        <f>T$12</f>
        <v>41.381494653120555</v>
      </c>
      <c r="U18" s="87"/>
      <c r="V18" s="129">
        <f>2.171695+0.684278+2.106</f>
        <v>4.9619730000000004</v>
      </c>
      <c r="W18" s="33">
        <f>(V18/R18-1)*100</f>
        <v>47.442737113101849</v>
      </c>
      <c r="X18" s="39">
        <f>X$12</f>
        <v>49.543141888011455</v>
      </c>
      <c r="Y18" s="27"/>
      <c r="Z18" s="129">
        <f>3.078406+0.987961+2.901</f>
        <v>6.9673670000000003</v>
      </c>
      <c r="AA18" s="33">
        <f>(Z18/V18-1)*100</f>
        <v>40.415254174095658</v>
      </c>
      <c r="AB18" s="39">
        <f>AB$12</f>
        <v>72.437405638407057</v>
      </c>
      <c r="AC18" s="27"/>
      <c r="AD18" s="129">
        <f>3.458286+5.774768+3.882</f>
        <v>13.115053999999999</v>
      </c>
      <c r="AE18" s="33">
        <f>(AD18/Z18-1)*100</f>
        <v>88.235441020976751</v>
      </c>
      <c r="AF18" s="39">
        <f>$AF12</f>
        <v>36.218987801402669</v>
      </c>
      <c r="AG18" s="27"/>
      <c r="AH18" s="129">
        <f>6.194924+5.892021+7.276</f>
        <v>19.362945</v>
      </c>
      <c r="AI18" s="33">
        <f>(AH18/AD18-1)*100</f>
        <v>47.639079488349822</v>
      </c>
      <c r="AJ18" s="39">
        <f>AJ$12</f>
        <v>46.056291781266047</v>
      </c>
      <c r="AK18" s="27"/>
      <c r="AL18" s="129">
        <f>5.302+8.363+10.187</f>
        <v>23.851999999999997</v>
      </c>
      <c r="AM18" s="33">
        <f>(AL18/AH18-1)*100</f>
        <v>23.1837409030496</v>
      </c>
      <c r="AN18" s="39">
        <f>+AN12</f>
        <v>53.407782808576073</v>
      </c>
      <c r="AO18" s="27"/>
      <c r="AP18" s="129">
        <f>7.43+9.419+11.067</f>
        <v>27.916</v>
      </c>
      <c r="AQ18" s="33">
        <f>(AP18/AL18-1)*100</f>
        <v>17.03840348817711</v>
      </c>
      <c r="AR18" s="39">
        <f>+AR12</f>
        <v>28.116199440563449</v>
      </c>
      <c r="AS18" s="27"/>
      <c r="AT18" s="129">
        <f>9.634+12.935+16.149</f>
        <v>38.718000000000004</v>
      </c>
      <c r="AU18" s="33">
        <f>(AT18/AP18-1)*100</f>
        <v>38.694655394755713</v>
      </c>
      <c r="AV18" s="39">
        <f>+AV12</f>
        <v>32.950665930245052</v>
      </c>
      <c r="AW18" s="27"/>
      <c r="AX18" s="129">
        <f>19.313+17.629+16.534</f>
        <v>53.475999999999999</v>
      </c>
      <c r="AY18" s="33">
        <f>(AX18/AT18-1)*100</f>
        <v>38.116638256108246</v>
      </c>
      <c r="AZ18" s="39">
        <f>+AZ$12</f>
        <v>12.143364978461779</v>
      </c>
      <c r="BA18" s="27"/>
      <c r="BB18" s="129">
        <f>17.13+19.93+17.261</f>
        <v>54.320999999999998</v>
      </c>
      <c r="BC18" s="33">
        <f>(BB18/AX18-1)*100</f>
        <v>1.5801481038222764</v>
      </c>
      <c r="BD18" s="39">
        <f>+BD$12</f>
        <v>3.4046129098824318</v>
      </c>
      <c r="BE18" s="27"/>
      <c r="BF18" s="129">
        <f>38.287+24.063+19.131</f>
        <v>81.480999999999995</v>
      </c>
      <c r="BG18" s="33">
        <f>(BF18/BB18-1)*100</f>
        <v>49.99907954566374</v>
      </c>
      <c r="BH18" s="39">
        <f>+BH$12</f>
        <v>-5.2102242536299688</v>
      </c>
      <c r="BI18" s="27"/>
      <c r="BJ18" s="129">
        <f>5.845+0.728+24.152+7.524</f>
        <v>38.249000000000002</v>
      </c>
      <c r="BK18" s="33">
        <f>(BJ18/BF18-1)*100</f>
        <v>-53.0577680686295</v>
      </c>
      <c r="BL18" s="39">
        <f>+BL$12</f>
        <v>13.347098109541577</v>
      </c>
      <c r="BM18" s="27"/>
      <c r="BN18" s="129">
        <f>4.901+12.814+23.442+14.347</f>
        <v>55.503999999999998</v>
      </c>
      <c r="BO18" s="33">
        <f>(BN18/BJ18-1)*100</f>
        <v>45.112290517399131</v>
      </c>
      <c r="BP18" s="39">
        <f>+BP12</f>
        <v>8.0917417642543565</v>
      </c>
      <c r="BQ18" s="27"/>
      <c r="BR18" s="129">
        <f>5.735+6.279+32.472+11.738</f>
        <v>56.224000000000004</v>
      </c>
      <c r="BS18" s="33">
        <f>(BR18/BN18-1)*100</f>
        <v>1.2972038051311641</v>
      </c>
      <c r="BT18" s="39">
        <f>+BT12</f>
        <v>11.495128586275595</v>
      </c>
      <c r="BU18" s="27"/>
      <c r="BV18" s="195">
        <v>57.436</v>
      </c>
      <c r="BW18" s="33">
        <f>(BV18/BR18-1)*100</f>
        <v>2.1556630620375605</v>
      </c>
      <c r="BX18" s="39">
        <f>+BX12</f>
        <v>18.219242181726326</v>
      </c>
      <c r="BY18" s="39"/>
      <c r="BZ18" s="195">
        <v>55.835000000000001</v>
      </c>
      <c r="CA18" s="33">
        <f>(BZ18/BV18-1)*100</f>
        <v>-2.7874503795528915</v>
      </c>
      <c r="CB18" s="39">
        <f>+CB12</f>
        <v>2.9707931172594737</v>
      </c>
      <c r="CC18" s="39"/>
      <c r="CD18" s="195">
        <v>52.061999999999998</v>
      </c>
      <c r="CE18" s="33">
        <f>(CD18/BZ18-1)*100</f>
        <v>-6.7574102265604115</v>
      </c>
      <c r="CF18" s="39">
        <f>+CF12</f>
        <v>-1.5372670570594771</v>
      </c>
      <c r="CH18" s="195">
        <v>98.305000000000007</v>
      </c>
      <c r="CI18" s="33">
        <f>(CH18/CD18-1)*100</f>
        <v>88.822941876992843</v>
      </c>
      <c r="CJ18" s="39">
        <f>'qtrP&amp;L'!CK12</f>
        <v>-2.9071992142537306</v>
      </c>
      <c r="CL18" s="195">
        <f>46.635+18.52</f>
        <v>65.155000000000001</v>
      </c>
      <c r="CM18" s="33">
        <f>(CL18/CH18-1)*100</f>
        <v>-33.721580794466213</v>
      </c>
      <c r="CN18" s="39">
        <f>'qtrP&amp;L'!CO12</f>
        <v>-4.7584704859310545</v>
      </c>
      <c r="CP18" s="195">
        <v>48.875999999999998</v>
      </c>
      <c r="CQ18" s="33">
        <f>(CP18/CL18-1)*100</f>
        <v>-24.985035684137834</v>
      </c>
      <c r="CR18" s="39">
        <f>'qtrP&amp;L'!CS12</f>
        <v>-10.826553997909238</v>
      </c>
      <c r="CT18" s="195"/>
      <c r="CU18" s="33"/>
      <c r="CV18" s="39"/>
    </row>
    <row r="19" spans="1:100">
      <c r="A19" s="27" t="str">
        <f>$A$13</f>
        <v>4Q</v>
      </c>
      <c r="B19" s="27" t="str">
        <f>$B$13</f>
        <v>Jan</v>
      </c>
      <c r="C19" s="27"/>
      <c r="D19" s="41">
        <f>+bal!E11+bal!E13+bal!E14</f>
        <v>2.5602670000000001</v>
      </c>
      <c r="E19" s="87"/>
      <c r="F19" s="41">
        <f>+bal!G11+bal!G13+bal!G14</f>
        <v>1.815469</v>
      </c>
      <c r="G19" s="33">
        <f>(F19/D19-1)*100</f>
        <v>-29.090637812384411</v>
      </c>
      <c r="H19" s="39">
        <f>H$13</f>
        <v>5.6290968527330065</v>
      </c>
      <c r="I19" s="87"/>
      <c r="J19" s="41">
        <f>+bal!G11+bal!G13+bal!G14</f>
        <v>1.815469</v>
      </c>
      <c r="K19" s="33">
        <f>(J19/F19-1)*100</f>
        <v>0</v>
      </c>
      <c r="L19" s="39">
        <f>L$13</f>
        <v>0.5546272620925663</v>
      </c>
      <c r="M19" s="87"/>
      <c r="N19" s="41">
        <f>+bal!I11+bal!I13+bal!I14</f>
        <v>2.5268950000000001</v>
      </c>
      <c r="O19" s="33">
        <f>(N19/J19-1)*100</f>
        <v>39.186898812373002</v>
      </c>
      <c r="P19" s="39">
        <f>P$13</f>
        <v>17.675304094952526</v>
      </c>
      <c r="Q19" s="87"/>
      <c r="R19" s="41">
        <f>+bal!K11+bal!K13+bal!K14</f>
        <v>2.81304</v>
      </c>
      <c r="S19" s="33">
        <f>(R19/N19-1)*100</f>
        <v>11.323976659101387</v>
      </c>
      <c r="T19" s="39">
        <f>T$13</f>
        <v>51.759161738357797</v>
      </c>
      <c r="U19" s="87"/>
      <c r="V19" s="41">
        <f>+bal!M11+bal!M13+bal!M14</f>
        <v>3.2459630000000002</v>
      </c>
      <c r="W19" s="33">
        <f>(V19/R19-1)*100</f>
        <v>15.389862924096365</v>
      </c>
      <c r="X19" s="39">
        <f>X$13</f>
        <v>56.34990977815653</v>
      </c>
      <c r="Y19" s="27"/>
      <c r="Z19" s="41">
        <f>+bal!O11+bal!O13+bal!O14</f>
        <v>4.4133560000000003</v>
      </c>
      <c r="AA19" s="33">
        <f>(Z19/V19-1)*100</f>
        <v>35.964458005220635</v>
      </c>
      <c r="AB19" s="39">
        <f>AB$13</f>
        <v>74.951006067132226</v>
      </c>
      <c r="AC19" s="27"/>
      <c r="AD19" s="129">
        <f>2.08347+3.796798+4.4</f>
        <v>10.280268</v>
      </c>
      <c r="AE19" s="33">
        <f>(AD19/Z19-1)*100</f>
        <v>132.93538975781695</v>
      </c>
      <c r="AF19" s="39">
        <f>$AF13</f>
        <v>38.643373960552353</v>
      </c>
      <c r="AG19" s="27"/>
      <c r="AH19" s="129">
        <f>2.226068+6.222526+7.125</f>
        <v>15.573594</v>
      </c>
      <c r="AI19" s="33">
        <f>(AH19/AD19-1)*100</f>
        <v>51.490155704111999</v>
      </c>
      <c r="AJ19" s="39">
        <f>AJ$13</f>
        <v>36.439837187251037</v>
      </c>
      <c r="AK19" s="27"/>
      <c r="AL19" s="129">
        <f>6.368+8.655+7.525</f>
        <v>22.548000000000002</v>
      </c>
      <c r="AM19" s="33">
        <f>(AL19/AH19-1)*100</f>
        <v>44.783535515308806</v>
      </c>
      <c r="AN19" s="39">
        <f>AN$13</f>
        <v>55.798553234807471</v>
      </c>
      <c r="AO19" s="27"/>
      <c r="AP19" s="129">
        <f>5.106+9.429+11.184</f>
        <v>25.719000000000001</v>
      </c>
      <c r="AQ19" s="33">
        <f>(AP19/AL19-1)*100</f>
        <v>14.063331559340075</v>
      </c>
      <c r="AR19" s="39">
        <f>+AR13</f>
        <v>32.500730827946867</v>
      </c>
      <c r="AS19" s="27"/>
      <c r="AT19" s="129">
        <f>7.24+13.497+12.327</f>
        <v>33.064</v>
      </c>
      <c r="AU19" s="33">
        <f>(AT19/AP19-1)*100</f>
        <v>28.558653135813984</v>
      </c>
      <c r="AV19" s="39">
        <f>+AV13</f>
        <v>31.580698369117965</v>
      </c>
      <c r="AW19" s="27"/>
      <c r="AX19" s="129">
        <f>14.246+15.774+17.337</f>
        <v>47.356999999999999</v>
      </c>
      <c r="AY19" s="33">
        <f>(AX19/AT19-1)*100</f>
        <v>43.228284539075723</v>
      </c>
      <c r="AZ19" s="39">
        <f>+AZ$13</f>
        <v>18.337902217017522</v>
      </c>
      <c r="BA19" s="27"/>
      <c r="BB19" s="129">
        <f>11.924+18.999+13.306</f>
        <v>44.228999999999999</v>
      </c>
      <c r="BC19" s="33">
        <f>(BB19/AX19-1)*100</f>
        <v>-6.605148130160277</v>
      </c>
      <c r="BD19" s="39">
        <f>+BD$13</f>
        <v>-7.9468143246872014</v>
      </c>
      <c r="BE19" s="27"/>
      <c r="BF19" s="129">
        <f>33.993+21.702+17.859</f>
        <v>73.554000000000002</v>
      </c>
      <c r="BG19" s="33">
        <f>(BF19/BB19-1)*100</f>
        <v>66.302652106084253</v>
      </c>
      <c r="BH19" s="39">
        <f>+BH$13</f>
        <v>-8.7755346362177082</v>
      </c>
      <c r="BI19" s="27"/>
      <c r="BJ19" s="129">
        <f>3.922+0.312+24.023+9.664</f>
        <v>37.920999999999999</v>
      </c>
      <c r="BK19" s="33">
        <f>(BJ19/BF19-1)*100</f>
        <v>-48.444680098974899</v>
      </c>
      <c r="BL19" s="39">
        <f>+BL$13</f>
        <v>16.699118054309437</v>
      </c>
      <c r="BM19" s="27"/>
      <c r="BN19" s="129">
        <f>3.845+6.565+26.851+10.976</f>
        <v>48.236999999999995</v>
      </c>
      <c r="BO19" s="33">
        <f>(BN19/BJ19-1)*100</f>
        <v>27.203923947153275</v>
      </c>
      <c r="BP19" s="39">
        <f>+BP13</f>
        <v>9.006494847726799</v>
      </c>
      <c r="BQ19" s="27"/>
      <c r="BR19" s="129">
        <v>55.103999999999999</v>
      </c>
      <c r="BS19" s="33">
        <f>(BR19/BN19-1)*100</f>
        <v>14.235959947757948</v>
      </c>
      <c r="BT19" s="39">
        <f>+BT13</f>
        <v>19.839612273513918</v>
      </c>
      <c r="BU19" s="27"/>
      <c r="BV19" s="195">
        <v>61.786000000000001</v>
      </c>
      <c r="BW19" s="33">
        <f>(BV19/BR19-1)*100</f>
        <v>12.126161440185834</v>
      </c>
      <c r="BX19" s="39">
        <f>+BX13</f>
        <v>14.519498179045588</v>
      </c>
      <c r="BY19" s="39"/>
      <c r="BZ19" s="195">
        <v>50.698</v>
      </c>
      <c r="CA19" s="33">
        <f>(BZ19/BV19-1)*100</f>
        <v>-17.945812967338881</v>
      </c>
      <c r="CB19" s="39">
        <f>+CB13</f>
        <v>-6.384875117549516</v>
      </c>
      <c r="CC19" s="39"/>
      <c r="CD19" s="195">
        <v>51.088000000000001</v>
      </c>
      <c r="CE19" s="33">
        <f>(CD19/BZ19-1)*100</f>
        <v>0.76926111483688331</v>
      </c>
      <c r="CF19" s="39">
        <f>+CF13</f>
        <v>4.3113040428820026</v>
      </c>
      <c r="CH19" s="195">
        <f>45.66+16.525</f>
        <v>62.184999999999995</v>
      </c>
      <c r="CI19" s="33">
        <f>(CH19/CD19-1)*100</f>
        <v>21.721343564046336</v>
      </c>
      <c r="CJ19" s="39">
        <f>'qtrP&amp;L'!CK13</f>
        <v>-3.4062167146865385</v>
      </c>
      <c r="CL19" s="195">
        <v>52.758000000000003</v>
      </c>
      <c r="CM19" s="33">
        <f>(CL19/CH19-1)*100</f>
        <v>-15.159604406207272</v>
      </c>
      <c r="CN19" s="39">
        <f>'qtrP&amp;L'!CO13</f>
        <v>-2.2884884363920333</v>
      </c>
    </row>
    <row r="20" spans="1:100">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33"/>
      <c r="AR20" s="39"/>
      <c r="AS20" s="27"/>
      <c r="AT20" s="27"/>
      <c r="AU20" s="33"/>
      <c r="AV20" s="39"/>
      <c r="AW20" s="27"/>
      <c r="AX20" s="27"/>
      <c r="AY20" s="33"/>
      <c r="AZ20" s="39"/>
      <c r="BA20" s="27"/>
      <c r="BB20" s="27"/>
      <c r="BC20" s="33"/>
      <c r="BD20" s="39"/>
      <c r="BE20" s="27"/>
      <c r="BF20" s="27"/>
      <c r="BG20" s="33"/>
      <c r="BH20" s="39"/>
      <c r="BI20" s="27"/>
      <c r="BJ20" s="27"/>
      <c r="BK20" s="33"/>
      <c r="BL20" s="39"/>
      <c r="BM20" s="27"/>
      <c r="BN20" s="27"/>
      <c r="BO20" s="33"/>
      <c r="BP20" s="39"/>
      <c r="BQ20" s="27"/>
      <c r="BR20" s="27"/>
      <c r="BS20" s="33"/>
      <c r="BT20" s="39"/>
      <c r="BU20" s="27"/>
      <c r="BV20" s="27"/>
      <c r="BW20" s="33"/>
      <c r="BX20" s="39"/>
      <c r="BY20" s="39"/>
      <c r="BZ20" s="27"/>
      <c r="CC20" s="39"/>
    </row>
    <row r="21" spans="1:100">
      <c r="A21" s="118" t="s">
        <v>410</v>
      </c>
      <c r="B21" s="30"/>
      <c r="C21" s="27"/>
      <c r="D21" s="27"/>
      <c r="E21" s="27"/>
      <c r="F21" s="32"/>
      <c r="G21" s="32"/>
      <c r="H21" s="32"/>
      <c r="I21" s="32"/>
      <c r="J21" s="32"/>
      <c r="K21" s="32"/>
      <c r="L21" s="32"/>
      <c r="M21" s="32"/>
      <c r="N21" s="116"/>
      <c r="O21" s="32"/>
      <c r="P21" s="32"/>
      <c r="Q21" s="32"/>
      <c r="R21" s="32"/>
      <c r="S21" s="32"/>
      <c r="T21" s="32"/>
      <c r="U21" s="32"/>
      <c r="V21" s="32"/>
      <c r="W21" s="32"/>
      <c r="X21" s="32"/>
      <c r="Y21" s="27"/>
      <c r="Z21" s="32"/>
      <c r="AA21" s="32"/>
      <c r="AB21" s="32"/>
      <c r="AC21" s="27"/>
      <c r="AD21" s="32"/>
      <c r="AE21" s="32"/>
      <c r="AF21" s="32"/>
      <c r="AG21" s="27"/>
      <c r="AH21" s="32"/>
      <c r="AI21" s="32"/>
      <c r="AJ21" s="32"/>
      <c r="AK21" s="27"/>
      <c r="AL21" s="32"/>
      <c r="AM21" s="32"/>
      <c r="AN21" s="32"/>
      <c r="AO21" s="27"/>
      <c r="AP21" s="32"/>
      <c r="AQ21" s="32"/>
      <c r="AR21" s="32"/>
      <c r="AS21" s="27"/>
      <c r="AT21" s="32"/>
      <c r="AU21" s="32"/>
      <c r="AV21" s="32"/>
      <c r="AW21" s="27"/>
      <c r="AX21" s="32"/>
      <c r="AY21" s="32"/>
      <c r="AZ21" s="32"/>
      <c r="BA21" s="27"/>
      <c r="BB21" s="32"/>
      <c r="BC21" s="32"/>
      <c r="BD21" s="32"/>
      <c r="BE21" s="27"/>
      <c r="BF21" s="32"/>
      <c r="BG21" s="32"/>
      <c r="BH21" s="32"/>
      <c r="BI21" s="27"/>
      <c r="BJ21" s="32"/>
      <c r="BK21" s="32"/>
      <c r="BL21" s="32"/>
      <c r="BM21" s="27"/>
      <c r="BN21" s="32"/>
      <c r="BO21" s="32"/>
      <c r="BP21" s="32"/>
      <c r="BQ21" s="27"/>
      <c r="BR21" s="32"/>
      <c r="BS21" s="32"/>
      <c r="BT21" s="32"/>
      <c r="BU21" s="27"/>
      <c r="BV21" s="32"/>
      <c r="BW21" s="32"/>
      <c r="BX21" s="32"/>
      <c r="BY21" s="32"/>
      <c r="BZ21" s="32"/>
      <c r="CC21" s="32"/>
    </row>
    <row r="22" spans="1:100">
      <c r="A22" s="27" t="str">
        <f>$A$10</f>
        <v>1Q</v>
      </c>
      <c r="B22" s="27" t="str">
        <f>$B$10</f>
        <v>Apr</v>
      </c>
      <c r="C22" s="27"/>
      <c r="D22" s="121">
        <v>2.7848609999999998</v>
      </c>
      <c r="E22" s="27"/>
      <c r="F22" s="121">
        <v>2.4107189999999998</v>
      </c>
      <c r="G22" s="33">
        <f>(F22/D22-1)*100</f>
        <v>-13.434853660559721</v>
      </c>
      <c r="H22" s="39">
        <f>H$10</f>
        <v>5.3038769278509035</v>
      </c>
      <c r="I22" s="87"/>
      <c r="J22" s="121">
        <v>3.3524660000000002</v>
      </c>
      <c r="K22" s="33">
        <f>(J22/F22-1)*100</f>
        <v>39.06498434699359</v>
      </c>
      <c r="L22" s="39">
        <f>L$10</f>
        <v>18.025802774275036</v>
      </c>
      <c r="M22" s="87"/>
      <c r="N22" s="121">
        <v>3.0496400000000001</v>
      </c>
      <c r="O22" s="33">
        <f>(N22/J22-1)*100</f>
        <v>-9.0329327724725577</v>
      </c>
      <c r="P22" s="39">
        <f>P$10</f>
        <v>8.1909593451879203</v>
      </c>
      <c r="Q22" s="87"/>
      <c r="R22" s="121">
        <v>2.8153480000000002</v>
      </c>
      <c r="S22" s="33">
        <f>(R22/N22-1)*100</f>
        <v>-7.6826117181044262</v>
      </c>
      <c r="T22" s="39">
        <f>T$10</f>
        <v>38.334341980311002</v>
      </c>
      <c r="U22" s="87"/>
      <c r="V22" s="121">
        <v>6.0316169999999998</v>
      </c>
      <c r="W22" s="33">
        <f>(V22/R22-1)*100</f>
        <v>114.24054859292703</v>
      </c>
      <c r="X22" s="39">
        <f>X$10</f>
        <v>40.659215347845709</v>
      </c>
      <c r="Y22" s="27"/>
      <c r="Z22" s="121">
        <v>8.8999279999999992</v>
      </c>
      <c r="AA22" s="33">
        <f>(Z22/V22-1)*100</f>
        <v>47.554594398152261</v>
      </c>
      <c r="AB22" s="39">
        <f>AB$10</f>
        <v>55.642672812924722</v>
      </c>
      <c r="AC22" s="27"/>
      <c r="AD22" s="121">
        <v>16.073969999999999</v>
      </c>
      <c r="AE22" s="33">
        <f>(AD22/Z22-1)*100</f>
        <v>80.607865591721634</v>
      </c>
      <c r="AF22" s="39">
        <f>AF$10</f>
        <v>64.452962239623531</v>
      </c>
      <c r="AG22" s="27"/>
      <c r="AH22" s="121">
        <v>23.62424</v>
      </c>
      <c r="AI22" s="33">
        <f>(AH22/AD22-1)*100</f>
        <v>46.972029934110871</v>
      </c>
      <c r="AJ22" s="39">
        <f>AJ$10</f>
        <v>39.922156542577426</v>
      </c>
      <c r="AK22" s="27"/>
      <c r="AL22" s="121">
        <v>25.932355000000001</v>
      </c>
      <c r="AM22" s="33">
        <f>(AL22/AH22-1)*100</f>
        <v>9.7701132396216686</v>
      </c>
      <c r="AN22" s="39">
        <f>+AN16</f>
        <v>29.536129236898788</v>
      </c>
      <c r="AO22" s="27"/>
      <c r="AP22" s="121">
        <v>35.575000000000003</v>
      </c>
      <c r="AQ22" s="33">
        <f>(AP22/AL22-1)*100</f>
        <v>37.183838490565165</v>
      </c>
      <c r="AR22" s="39">
        <f>+AR16</f>
        <v>51.961187326440196</v>
      </c>
      <c r="AS22" s="27"/>
      <c r="AT22" s="121">
        <v>53.198</v>
      </c>
      <c r="AU22" s="33">
        <f>(AT22/AP22-1)*100</f>
        <v>49.537596626844696</v>
      </c>
      <c r="AV22" s="39">
        <f>+AV16</f>
        <v>27.4402140261925</v>
      </c>
      <c r="AW22" s="27"/>
      <c r="AX22" s="121">
        <v>64.778999999999996</v>
      </c>
      <c r="AY22" s="33">
        <f>(AX22/AT22-1)*100</f>
        <v>21.769615399075136</v>
      </c>
      <c r="AZ22" s="39">
        <f>+AZ16</f>
        <v>19.375716184626679</v>
      </c>
      <c r="BA22" s="27"/>
      <c r="BB22" s="121">
        <v>73.561000000000007</v>
      </c>
      <c r="BC22" s="33">
        <f>(BB22/AX22-1)*100</f>
        <v>13.556862563485094</v>
      </c>
      <c r="BD22" s="39">
        <f>+BD16</f>
        <v>15.979245538993968</v>
      </c>
      <c r="BE22" s="27"/>
      <c r="BF22" s="121">
        <v>68.905000000000001</v>
      </c>
      <c r="BG22" s="33">
        <f>(BF22/BB22-1)*100</f>
        <v>-6.3294408722013085</v>
      </c>
      <c r="BH22" s="39">
        <f>+BH16</f>
        <v>-9.6060809379193479</v>
      </c>
      <c r="BI22" s="27"/>
      <c r="BJ22" s="121">
        <v>69.114000000000004</v>
      </c>
      <c r="BK22" s="33">
        <f>(BJ22/BF22-1)*100</f>
        <v>0.30331615993033356</v>
      </c>
      <c r="BL22" s="39">
        <f>+BL16</f>
        <v>0.26345088923829252</v>
      </c>
      <c r="BM22" s="27"/>
      <c r="BN22" s="159">
        <v>101.57</v>
      </c>
      <c r="BO22" s="33">
        <f>(BN22/BJ22-1)*100</f>
        <v>46.960094915646586</v>
      </c>
      <c r="BP22" s="39">
        <f>+BP16</f>
        <v>17.276563827947889</v>
      </c>
      <c r="BQ22" s="27"/>
      <c r="BR22" s="159">
        <v>127.758</v>
      </c>
      <c r="BS22" s="33">
        <f>(BR22/BN22-1)*100</f>
        <v>25.783203701880474</v>
      </c>
      <c r="BT22" s="39">
        <f>+BT16</f>
        <v>11.538908776796752</v>
      </c>
      <c r="BU22" s="27"/>
      <c r="BV22" s="159">
        <v>147.92500000000001</v>
      </c>
      <c r="BW22" s="33">
        <f>(BV22/BR22-1)*100</f>
        <v>15.785312857120504</v>
      </c>
      <c r="BX22" s="39">
        <f>+BX16</f>
        <v>21.159323699916975</v>
      </c>
      <c r="BY22" s="39"/>
      <c r="BZ22" s="159">
        <v>152.12299999999999</v>
      </c>
      <c r="CA22" s="33">
        <f>(BZ22/BV22-1)*100</f>
        <v>2.8379246239648381</v>
      </c>
      <c r="CB22" s="39">
        <f>+CB16</f>
        <v>3.0584634390312448</v>
      </c>
      <c r="CC22" s="39"/>
      <c r="CD22" s="159">
        <v>148.858</v>
      </c>
      <c r="CE22" s="33">
        <f>(CD22/BZ22-1)*100</f>
        <v>-2.1462895157208228</v>
      </c>
      <c r="CF22" s="39">
        <f>+CF16</f>
        <v>-1.6702896281917012</v>
      </c>
      <c r="CH22" s="159">
        <v>147.32300000000001</v>
      </c>
      <c r="CI22" s="33">
        <f>(CH22/CD22-1)*100</f>
        <v>-1.0311840814736128</v>
      </c>
      <c r="CJ22" s="39">
        <f>'qtrP&amp;L'!CK10</f>
        <v>1.9634005995278203</v>
      </c>
      <c r="CL22" s="159">
        <v>144.767</v>
      </c>
      <c r="CM22" s="33">
        <f>(CL22/CH22-1)*100</f>
        <v>-1.7349633119065011</v>
      </c>
      <c r="CN22" s="39">
        <f>'qtrP&amp;L'!CO10</f>
        <v>-4.3854874878804573</v>
      </c>
      <c r="CP22" s="159">
        <v>133.27799999999999</v>
      </c>
      <c r="CQ22" s="33">
        <f>(CP22/CL22-1)*100</f>
        <v>-7.9362009297699103</v>
      </c>
      <c r="CR22" s="39">
        <f>'qtrP&amp;L'!CS10</f>
        <v>-9.2147930641376057</v>
      </c>
      <c r="CT22" s="159"/>
      <c r="CU22" s="33"/>
      <c r="CV22" s="39"/>
    </row>
    <row r="23" spans="1:100">
      <c r="A23" s="27" t="str">
        <f>$A$11</f>
        <v>2Q</v>
      </c>
      <c r="B23" s="27" t="str">
        <f>$B$11</f>
        <v>Jul</v>
      </c>
      <c r="C23" s="27"/>
      <c r="D23" s="129">
        <v>2.007393</v>
      </c>
      <c r="E23" s="87"/>
      <c r="F23" s="129">
        <v>2.6336940000000002</v>
      </c>
      <c r="G23" s="33">
        <f>(F23/D23-1)*100</f>
        <v>31.199720234154448</v>
      </c>
      <c r="H23" s="39">
        <f>H$11</f>
        <v>-2.8366010347987247</v>
      </c>
      <c r="I23" s="87"/>
      <c r="J23" s="129">
        <v>3.004607</v>
      </c>
      <c r="K23" s="33">
        <f>(J23/F23-1)*100</f>
        <v>14.083374909917401</v>
      </c>
      <c r="L23" s="39">
        <f>L$11</f>
        <v>3.5170097678936862</v>
      </c>
      <c r="M23" s="87"/>
      <c r="N23" s="129">
        <v>3.6773389999999999</v>
      </c>
      <c r="O23" s="33">
        <f>(N23/J23-1)*100</f>
        <v>22.390016398151236</v>
      </c>
      <c r="P23" s="39">
        <f>P$11</f>
        <v>24.931331726817074</v>
      </c>
      <c r="Q23" s="87"/>
      <c r="R23" s="129">
        <v>3.3218899999999998</v>
      </c>
      <c r="S23" s="33">
        <f>(R23/N23-1)*100</f>
        <v>-9.6659296300939381</v>
      </c>
      <c r="T23" s="39">
        <f>T$11</f>
        <v>36.243824504219859</v>
      </c>
      <c r="U23" s="87"/>
      <c r="V23" s="129">
        <v>6.7799740000000002</v>
      </c>
      <c r="W23" s="33">
        <f>(V23/R23-1)*100</f>
        <v>104.09989493932672</v>
      </c>
      <c r="X23" s="39">
        <f>X$11</f>
        <v>34.40516311139681</v>
      </c>
      <c r="Y23" s="27"/>
      <c r="Z23" s="129">
        <v>12.564037000000001</v>
      </c>
      <c r="AA23" s="33">
        <f>(Z23/V23-1)*100</f>
        <v>85.310990868106586</v>
      </c>
      <c r="AB23" s="39">
        <f>AB$11</f>
        <v>64.906673257315163</v>
      </c>
      <c r="AC23" s="27"/>
      <c r="AD23" s="129">
        <v>12.797022999999999</v>
      </c>
      <c r="AE23" s="33">
        <f>(AD23/Z23-1)*100</f>
        <v>1.8543880442249527</v>
      </c>
      <c r="AF23" s="39">
        <f>AF$11</f>
        <v>47.583611985530716</v>
      </c>
      <c r="AG23" s="27"/>
      <c r="AH23" s="129">
        <v>23.781248000000001</v>
      </c>
      <c r="AI23" s="33">
        <f>(AH23/AD23-1)*100</f>
        <v>85.834220974675148</v>
      </c>
      <c r="AJ23" s="39">
        <f>AJ$11</f>
        <v>39.753072605185324</v>
      </c>
      <c r="AK23" s="27"/>
      <c r="AL23" s="129">
        <v>31.129044</v>
      </c>
      <c r="AM23" s="33">
        <f>(AL23/AH23-1)*100</f>
        <v>30.897436501229869</v>
      </c>
      <c r="AN23" s="39">
        <f>+AN17</f>
        <v>38.673605903560258</v>
      </c>
      <c r="AO23" s="27"/>
      <c r="AP23" s="129">
        <v>31.963000000000001</v>
      </c>
      <c r="AQ23" s="33">
        <f>(AP23/AL23-1)*100</f>
        <v>2.679028626770541</v>
      </c>
      <c r="AR23" s="39">
        <f>+AR17</f>
        <v>46.893551965389335</v>
      </c>
      <c r="AS23" s="27"/>
      <c r="AT23" s="129">
        <v>38.229999999999997</v>
      </c>
      <c r="AU23" s="33">
        <f>(AT23/AP23-1)*100</f>
        <v>19.607045646528775</v>
      </c>
      <c r="AV23" s="39">
        <f>+AV17</f>
        <v>34.603382698701182</v>
      </c>
      <c r="AW23" s="27"/>
      <c r="AX23" s="129">
        <v>53.082000000000001</v>
      </c>
      <c r="AY23" s="33">
        <f>(AX23/AT23-1)*100</f>
        <v>38.849071409887536</v>
      </c>
      <c r="AZ23" s="39">
        <f>+AZ17</f>
        <v>17.639133921411386</v>
      </c>
      <c r="BA23" s="27"/>
      <c r="BB23" s="129">
        <v>61.183</v>
      </c>
      <c r="BC23" s="33">
        <f>(BB23/AX23-1)*100</f>
        <v>15.261293847255185</v>
      </c>
      <c r="BD23" s="39">
        <f>+BD17</f>
        <v>8.0847466870262341</v>
      </c>
      <c r="BE23" s="27"/>
      <c r="BF23" s="129">
        <v>65.811000000000007</v>
      </c>
      <c r="BG23" s="33">
        <f>(BF23/BB23-1)*100</f>
        <v>7.5641926678979621</v>
      </c>
      <c r="BH23" s="39">
        <f>+BH17</f>
        <v>-7.0662731148616214</v>
      </c>
      <c r="BI23" s="27"/>
      <c r="BJ23" s="129">
        <v>82.826999999999998</v>
      </c>
      <c r="BK23" s="33">
        <f>(BJ23/BF23-1)*100</f>
        <v>25.855859962620208</v>
      </c>
      <c r="BL23" s="39">
        <f>+BL17</f>
        <v>3.6269366118977908</v>
      </c>
      <c r="BM23" s="27"/>
      <c r="BN23" s="129">
        <v>101.584</v>
      </c>
      <c r="BO23" s="33">
        <f>(BN23/BJ23-1)*100</f>
        <v>22.645997078247436</v>
      </c>
      <c r="BP23" s="39">
        <f>+BP17</f>
        <v>10.831954085945949</v>
      </c>
      <c r="BQ23" s="27"/>
      <c r="BR23" s="129">
        <v>132.703</v>
      </c>
      <c r="BS23" s="33">
        <f>(BR23/BN23-1)*100</f>
        <v>30.63376122223973</v>
      </c>
      <c r="BT23" s="39">
        <f>+BT17</f>
        <v>18.489256553502376</v>
      </c>
      <c r="BU23" s="27"/>
      <c r="BV23" s="129">
        <v>139.80000000000001</v>
      </c>
      <c r="BW23" s="33">
        <f>(BV23/BR23-1)*100</f>
        <v>5.3480328251810594</v>
      </c>
      <c r="BX23" s="39">
        <f>+BX17</f>
        <v>16.370144836603195</v>
      </c>
      <c r="BY23" s="39"/>
      <c r="BZ23" s="129">
        <v>139.727</v>
      </c>
      <c r="CA23" s="33">
        <f>(BZ23/BV23-1)*100</f>
        <v>-5.221745350501017E-2</v>
      </c>
      <c r="CB23" s="39">
        <f>+CB17</f>
        <v>1.212518816559216</v>
      </c>
      <c r="CC23" s="39"/>
      <c r="CD23" s="129">
        <v>156.09100000000001</v>
      </c>
      <c r="CE23" s="33">
        <f>(CD23/BZ23-1)*100</f>
        <v>11.711408675488633</v>
      </c>
      <c r="CF23" s="39">
        <f>+CF17</f>
        <v>-0.11254759408347859</v>
      </c>
      <c r="CH23" s="195">
        <v>148.28800000000001</v>
      </c>
      <c r="CI23" s="33">
        <f>(CH23/CD23-1)*100</f>
        <v>-4.9990069895125222</v>
      </c>
      <c r="CJ23" s="39">
        <f>'qtrP&amp;L'!CK11</f>
        <v>1.6571307023114379</v>
      </c>
      <c r="CL23" s="195">
        <v>136.761</v>
      </c>
      <c r="CM23" s="33">
        <f>(CL23/CH23-1)*100</f>
        <v>-7.7733869227449404</v>
      </c>
      <c r="CN23" s="39">
        <f>'qtrP&amp;L'!CO11</f>
        <v>-3.607304066727024</v>
      </c>
      <c r="CP23" s="195">
        <v>125.94499999999999</v>
      </c>
      <c r="CQ23" s="33">
        <f>(CP23/CL23-1)*100</f>
        <v>-7.9086874181967133</v>
      </c>
      <c r="CR23" s="39">
        <f>'qtrP&amp;L'!CS11</f>
        <v>-8.9897944416829638</v>
      </c>
      <c r="CT23" s="195"/>
      <c r="CU23" s="33"/>
      <c r="CV23" s="39"/>
    </row>
    <row r="24" spans="1:100">
      <c r="A24" s="27" t="str">
        <f>$A$12</f>
        <v>3Q</v>
      </c>
      <c r="B24" s="27" t="str">
        <f>$B$12</f>
        <v>Oct</v>
      </c>
      <c r="C24" s="27"/>
      <c r="D24" s="129">
        <v>2.7484250000000001</v>
      </c>
      <c r="E24" s="87"/>
      <c r="F24" s="129">
        <v>2.9009839999999998</v>
      </c>
      <c r="G24" s="33">
        <f>(F24/D24-1)*100</f>
        <v>5.5507790825654491</v>
      </c>
      <c r="H24" s="39">
        <f>H$12</f>
        <v>-4.3749033600026799E-2</v>
      </c>
      <c r="I24" s="87"/>
      <c r="J24" s="129">
        <v>3.4391569999999998</v>
      </c>
      <c r="K24" s="33">
        <f>(J24/F24-1)*100</f>
        <v>18.551394974946444</v>
      </c>
      <c r="L24" s="39">
        <f>L$12</f>
        <v>3.000697553350129</v>
      </c>
      <c r="M24" s="87"/>
      <c r="N24" s="129">
        <v>3.8460190000000001</v>
      </c>
      <c r="O24" s="33">
        <f>(N24/J24-1)*100</f>
        <v>11.830282828030247</v>
      </c>
      <c r="P24" s="39">
        <f>P$12</f>
        <v>20.322113283291145</v>
      </c>
      <c r="Q24" s="87"/>
      <c r="R24" s="129">
        <v>4.2690760000000001</v>
      </c>
      <c r="S24" s="33">
        <f>(R24/N24-1)*100</f>
        <v>10.999867655360006</v>
      </c>
      <c r="T24" s="39">
        <f>T$12</f>
        <v>41.381494653120555</v>
      </c>
      <c r="U24" s="87"/>
      <c r="V24" s="129">
        <v>7.8206129999999998</v>
      </c>
      <c r="W24" s="33">
        <f>(V24/R24-1)*100</f>
        <v>83.192170858518338</v>
      </c>
      <c r="X24" s="39">
        <f>X$12</f>
        <v>49.543141888011455</v>
      </c>
      <c r="Y24" s="27"/>
      <c r="Z24" s="129">
        <v>15.316139</v>
      </c>
      <c r="AA24" s="33">
        <f>(Z24/V24-1)*100</f>
        <v>95.843203083952616</v>
      </c>
      <c r="AB24" s="39">
        <f>AB$12</f>
        <v>72.437405638407057</v>
      </c>
      <c r="AC24" s="27"/>
      <c r="AD24" s="129">
        <v>16.163788</v>
      </c>
      <c r="AE24" s="33">
        <f>(AD24/Z24-1)*100</f>
        <v>5.5343517057399483</v>
      </c>
      <c r="AF24" s="39">
        <f>AF$12</f>
        <v>36.218987801402669</v>
      </c>
      <c r="AG24" s="27"/>
      <c r="AH24" s="129">
        <v>30.516698999999999</v>
      </c>
      <c r="AI24" s="33">
        <f>(AH24/AD24-1)*100</f>
        <v>88.796704089412685</v>
      </c>
      <c r="AJ24" s="39">
        <f>AJ$12</f>
        <v>46.056291781266047</v>
      </c>
      <c r="AK24" s="27"/>
      <c r="AL24" s="129">
        <v>38.283000000000001</v>
      </c>
      <c r="AM24" s="33">
        <f>(AL24/AH24-1)*100</f>
        <v>25.449348240450263</v>
      </c>
      <c r="AN24" s="39">
        <f>AN$12</f>
        <v>53.407782808576073</v>
      </c>
      <c r="AO24" s="27"/>
      <c r="AP24" s="129">
        <v>45.976999999999997</v>
      </c>
      <c r="AQ24" s="33">
        <f>(AP24/AL24-1)*100</f>
        <v>20.09769349319539</v>
      </c>
      <c r="AR24" s="39">
        <f>+AR18</f>
        <v>28.116199440563449</v>
      </c>
      <c r="AS24" s="27"/>
      <c r="AT24" s="129">
        <v>67.519000000000005</v>
      </c>
      <c r="AU24" s="33">
        <f>(AT24/AP24-1)*100</f>
        <v>46.853861713465463</v>
      </c>
      <c r="AV24" s="39">
        <f>+AV18</f>
        <v>32.950665930245052</v>
      </c>
      <c r="AW24" s="27"/>
      <c r="AX24" s="129">
        <v>77.536000000000001</v>
      </c>
      <c r="AY24" s="33">
        <f>(AX24/AT24-1)*100</f>
        <v>14.835823990284203</v>
      </c>
      <c r="AZ24" s="39">
        <f>+AZ$12</f>
        <v>12.143364978461779</v>
      </c>
      <c r="BA24" s="27"/>
      <c r="BB24" s="129">
        <v>96.765000000000001</v>
      </c>
      <c r="BC24" s="33">
        <f>(BB24/AX24-1)*100</f>
        <v>24.800092860090793</v>
      </c>
      <c r="BD24" s="39">
        <f>+BD$12</f>
        <v>3.4046129098824318</v>
      </c>
      <c r="BE24" s="27"/>
      <c r="BF24" s="129">
        <v>81.947999999999993</v>
      </c>
      <c r="BG24" s="33">
        <f>(BF24/BB24-1)*100</f>
        <v>-15.312354673694006</v>
      </c>
      <c r="BH24" s="39">
        <f>+BH$12</f>
        <v>-5.2102242536299688</v>
      </c>
      <c r="BI24" s="27"/>
      <c r="BJ24" s="129">
        <v>97.238</v>
      </c>
      <c r="BK24" s="33">
        <f>(BJ24/BF24-1)*100</f>
        <v>18.65817347586276</v>
      </c>
      <c r="BL24" s="39">
        <f>+BL$12</f>
        <v>13.347098109541577</v>
      </c>
      <c r="BM24" s="27"/>
      <c r="BN24" s="129">
        <v>100.65</v>
      </c>
      <c r="BO24" s="33">
        <f>(BN24/BJ24-1)*100</f>
        <v>3.5089162673029195</v>
      </c>
      <c r="BP24" s="39">
        <f>+BP18</f>
        <v>8.0917417642543565</v>
      </c>
      <c r="BQ24" s="27"/>
      <c r="BR24" s="129">
        <v>144.196</v>
      </c>
      <c r="BS24" s="33">
        <f>(BR24/BN24-1)*100</f>
        <v>43.264778936910076</v>
      </c>
      <c r="BT24" s="39">
        <f>+BT18</f>
        <v>11.495128586275595</v>
      </c>
      <c r="BU24" s="27"/>
      <c r="BV24" s="129">
        <v>137.6</v>
      </c>
      <c r="BW24" s="33">
        <f>(BV24/BR24-1)*100</f>
        <v>-4.5743293850037503</v>
      </c>
      <c r="BX24" s="39">
        <f>+BX18</f>
        <v>18.219242181726326</v>
      </c>
      <c r="BY24" s="39"/>
      <c r="BZ24" s="129">
        <v>152.69800000000001</v>
      </c>
      <c r="CA24" s="33">
        <f>(BZ24/BV24-1)*100</f>
        <v>10.972383720930235</v>
      </c>
      <c r="CB24" s="39">
        <f>+CB18</f>
        <v>2.9707931172594737</v>
      </c>
      <c r="CC24" s="39"/>
      <c r="CD24" s="129">
        <v>162.64099999999999</v>
      </c>
      <c r="CE24" s="33">
        <f>(CD24/BZ24-1)*100</f>
        <v>6.5115456653001225</v>
      </c>
      <c r="CF24" s="39">
        <f>+CF18</f>
        <v>-1.5372670570594771</v>
      </c>
      <c r="CH24" s="195">
        <v>147.52600000000001</v>
      </c>
      <c r="CI24" s="33">
        <f>(CH24/CD24-1)*100</f>
        <v>-9.2934745851292018</v>
      </c>
      <c r="CJ24" s="39">
        <f>'qtrP&amp;L'!CK12</f>
        <v>-2.9071992142537306</v>
      </c>
      <c r="CL24" s="195">
        <v>125.532</v>
      </c>
      <c r="CM24" s="33">
        <f>(CL24/CH24-1)*100</f>
        <v>-14.908558491384582</v>
      </c>
      <c r="CN24" s="39">
        <f>'qtrP&amp;L'!CO12</f>
        <v>-4.7584704859310545</v>
      </c>
      <c r="CP24" s="195">
        <v>135.00399999999999</v>
      </c>
      <c r="CQ24" s="33">
        <f>(CP24/CL24-1)*100</f>
        <v>7.545486409839719</v>
      </c>
      <c r="CR24" s="39">
        <f>'qtrP&amp;L'!CS12</f>
        <v>-10.826553997909238</v>
      </c>
      <c r="CT24" s="195"/>
      <c r="CU24" s="33"/>
      <c r="CV24" s="39"/>
    </row>
    <row r="25" spans="1:100">
      <c r="A25" s="27" t="str">
        <f>$A$13</f>
        <v>4Q</v>
      </c>
      <c r="B25" s="27" t="str">
        <f>$B$13</f>
        <v>Jan</v>
      </c>
      <c r="C25" s="27"/>
      <c r="D25" s="41">
        <f>+bal!E37</f>
        <v>3.2734299999999998</v>
      </c>
      <c r="E25" s="87"/>
      <c r="F25" s="41">
        <f>bal!G37</f>
        <v>2.0350739999999998</v>
      </c>
      <c r="G25" s="33">
        <f>(F25/D25-1)*100</f>
        <v>-37.830532499549406</v>
      </c>
      <c r="H25" s="39">
        <f>H$13</f>
        <v>5.6290968527330065</v>
      </c>
      <c r="I25" s="86"/>
      <c r="J25" s="41">
        <f>bal!I37</f>
        <v>3.30199</v>
      </c>
      <c r="K25" s="33">
        <f>(J25/F25-1)*100</f>
        <v>62.254050712652223</v>
      </c>
      <c r="L25" s="39">
        <f>L$13</f>
        <v>0.5546272620925663</v>
      </c>
      <c r="M25" s="86"/>
      <c r="N25" s="41">
        <f>bal!K37</f>
        <v>3.5202650000000002</v>
      </c>
      <c r="O25" s="33">
        <f>(N25/J25-1)*100</f>
        <v>6.6104076632576225</v>
      </c>
      <c r="P25" s="39">
        <f>P$13</f>
        <v>17.675304094952526</v>
      </c>
      <c r="Q25" s="86"/>
      <c r="R25" s="41">
        <f>bal!M37</f>
        <v>3.995123</v>
      </c>
      <c r="S25" s="33">
        <f>(R25/N25-1)*100</f>
        <v>13.489268563588253</v>
      </c>
      <c r="T25" s="39">
        <f>T$13</f>
        <v>51.759161738357797</v>
      </c>
      <c r="U25" s="86"/>
      <c r="V25" s="41">
        <f>bal!O37</f>
        <v>5.9826839999999999</v>
      </c>
      <c r="W25" s="33">
        <f>(V25/R25-1)*100</f>
        <v>49.74968230014445</v>
      </c>
      <c r="X25" s="39">
        <f>X$13</f>
        <v>56.34990977815653</v>
      </c>
      <c r="Y25" s="27"/>
      <c r="Z25" s="41">
        <f>+bal!Q37</f>
        <v>13.751761999999999</v>
      </c>
      <c r="AA25" s="33">
        <f>(Z25/V25-1)*100</f>
        <v>129.85940758361966</v>
      </c>
      <c r="AB25" s="39">
        <f>AB$13</f>
        <v>74.951006067132226</v>
      </c>
      <c r="AC25" s="27"/>
      <c r="AD25" s="41">
        <f>+bal!S37</f>
        <v>18.054137000000001</v>
      </c>
      <c r="AE25" s="33">
        <f>(AD25/Z25-1)*100</f>
        <v>31.285990842482605</v>
      </c>
      <c r="AF25" s="39">
        <f>$AF19</f>
        <v>38.643373960552353</v>
      </c>
      <c r="AG25" s="27"/>
      <c r="AH25" s="129">
        <v>28.488471000000001</v>
      </c>
      <c r="AI25" s="33">
        <f>(AH25/AD25-1)*100</f>
        <v>57.794698245615386</v>
      </c>
      <c r="AJ25" s="39">
        <f>AJ$13</f>
        <v>36.439837187251037</v>
      </c>
      <c r="AK25" s="27"/>
      <c r="AL25" s="129">
        <v>27.795999999999999</v>
      </c>
      <c r="AM25" s="33">
        <f>(AL25/AH25-1)*100</f>
        <v>-2.4307060915975454</v>
      </c>
      <c r="AN25" s="39">
        <f>AN$13</f>
        <v>55.798553234807471</v>
      </c>
      <c r="AO25" s="27"/>
      <c r="AP25" s="129">
        <v>36.725000000000001</v>
      </c>
      <c r="AQ25" s="33">
        <f>(AP25/AL25-1)*100</f>
        <v>32.123327097424095</v>
      </c>
      <c r="AR25" s="39">
        <f>+AR19</f>
        <v>32.500730827946867</v>
      </c>
      <c r="AS25" s="27"/>
      <c r="AT25" s="129">
        <v>47.433999999999997</v>
      </c>
      <c r="AU25" s="33">
        <f>(AT25/AP25-1)*100</f>
        <v>29.159972770592233</v>
      </c>
      <c r="AV25" s="39">
        <f>+AV19</f>
        <v>31.580698369117965</v>
      </c>
      <c r="AW25" s="27"/>
      <c r="AX25" s="129">
        <v>55.695999999999998</v>
      </c>
      <c r="AY25" s="33">
        <f>(AX25/AT25-1)*100</f>
        <v>17.417885904625386</v>
      </c>
      <c r="AZ25" s="39">
        <f>+AZ$13</f>
        <v>18.337902217017522</v>
      </c>
      <c r="BA25" s="27"/>
      <c r="BB25" s="129">
        <v>79.03</v>
      </c>
      <c r="BC25" s="33">
        <f>(BB25/AX25-1)*100</f>
        <v>41.895288710140768</v>
      </c>
      <c r="BD25" s="39">
        <f>+BD$13</f>
        <v>-7.9468143246872014</v>
      </c>
      <c r="BE25" s="27"/>
      <c r="BF25" s="129">
        <v>56.542000000000002</v>
      </c>
      <c r="BG25" s="33">
        <f>(BF25/BB25-1)*100</f>
        <v>-28.455017082120715</v>
      </c>
      <c r="BH25" s="39">
        <f>+BH$13</f>
        <v>-8.7755346362177082</v>
      </c>
      <c r="BI25" s="27"/>
      <c r="BJ25" s="129">
        <v>79.218999999999994</v>
      </c>
      <c r="BK25" s="33">
        <f>(BJ25/BF25-1)*100</f>
        <v>40.106469527077195</v>
      </c>
      <c r="BL25" s="39">
        <f>+BL$13</f>
        <v>16.699118054309437</v>
      </c>
      <c r="BM25" s="27"/>
      <c r="BN25" s="129">
        <v>106.66500000000001</v>
      </c>
      <c r="BO25" s="33">
        <f>(BN25/BJ25-1)*100</f>
        <v>34.645728928666131</v>
      </c>
      <c r="BP25" s="39">
        <f>+BP19</f>
        <v>9.006494847726799</v>
      </c>
      <c r="BQ25" s="27"/>
      <c r="BR25" s="129">
        <v>100.395</v>
      </c>
      <c r="BS25" s="33">
        <f>(BR25/BN25-1)*100</f>
        <v>-5.8782168471382512</v>
      </c>
      <c r="BT25" s="39">
        <f>+BT19</f>
        <v>19.839612273513918</v>
      </c>
      <c r="BU25" s="27"/>
      <c r="BV25" s="129">
        <v>129.387</v>
      </c>
      <c r="BW25" s="33">
        <f>(BV25/BR25-1)*100</f>
        <v>28.87793216793666</v>
      </c>
      <c r="BX25" s="39">
        <f>+BX19</f>
        <v>14.519498179045588</v>
      </c>
      <c r="BY25" s="39"/>
      <c r="BZ25" s="129">
        <v>131.25399999999999</v>
      </c>
      <c r="CA25" s="33">
        <f>(BZ25/BV25-1)*100</f>
        <v>1.4429579478618226</v>
      </c>
      <c r="CB25" s="39">
        <f>+CB19</f>
        <v>-6.384875117549516</v>
      </c>
      <c r="CC25" s="39"/>
      <c r="CD25" s="129">
        <v>144.53399999999999</v>
      </c>
      <c r="CE25" s="33">
        <f>(CD25/BZ25-1)*100</f>
        <v>10.117786886494894</v>
      </c>
      <c r="CF25" s="39">
        <f>+CF19</f>
        <v>4.3113040428820026</v>
      </c>
      <c r="CH25" s="129">
        <v>129.34299999999999</v>
      </c>
      <c r="CI25" s="33">
        <f>(CH25/CD25-1)*100</f>
        <v>-10.510329749401526</v>
      </c>
      <c r="CJ25" s="39">
        <f>'qtrP&amp;L'!CK13</f>
        <v>-3.4062167146865385</v>
      </c>
      <c r="CL25" s="195">
        <v>116.378</v>
      </c>
      <c r="CM25" s="33">
        <f>(CL25/CH25-1)*100</f>
        <v>-10.023735339368955</v>
      </c>
      <c r="CN25" s="39">
        <f>'qtrP&amp;L'!CO13</f>
        <v>-2.2884884363920333</v>
      </c>
    </row>
    <row r="26" spans="1:100">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C26" s="27"/>
    </row>
    <row r="27" spans="1:100">
      <c r="A27" s="118" t="s">
        <v>411</v>
      </c>
      <c r="B27" s="30"/>
      <c r="C27" s="27"/>
      <c r="D27" s="27"/>
      <c r="E27" s="27"/>
      <c r="F27" s="117"/>
      <c r="G27" s="117"/>
      <c r="H27" s="117"/>
      <c r="I27" s="117"/>
      <c r="J27" s="117"/>
      <c r="K27" s="117"/>
      <c r="L27" s="117"/>
      <c r="M27" s="117"/>
      <c r="N27" s="116"/>
      <c r="O27" s="117"/>
      <c r="P27" s="117"/>
      <c r="Q27" s="117"/>
      <c r="R27" s="117"/>
      <c r="S27" s="117"/>
      <c r="T27" s="117"/>
      <c r="U27" s="117"/>
      <c r="V27" s="117"/>
      <c r="W27" s="117"/>
      <c r="X27" s="117"/>
      <c r="Y27" s="27"/>
      <c r="Z27" s="117"/>
      <c r="AA27" s="117"/>
      <c r="AB27" s="117"/>
      <c r="AC27" s="27"/>
      <c r="AD27" s="117"/>
      <c r="AE27" s="117"/>
      <c r="AF27" s="117"/>
      <c r="AG27" s="27"/>
      <c r="AH27" s="117"/>
      <c r="AI27" s="117"/>
      <c r="AJ27" s="117"/>
      <c r="AK27" s="27"/>
      <c r="AL27" s="117"/>
      <c r="AM27" s="117"/>
      <c r="AN27" s="117"/>
      <c r="AO27" s="27"/>
      <c r="AP27" s="117"/>
      <c r="AQ27" s="117"/>
      <c r="AR27" s="117"/>
      <c r="AS27" s="27"/>
      <c r="AT27" s="117"/>
      <c r="AU27" s="117"/>
      <c r="AV27" s="117"/>
      <c r="AW27" s="27"/>
      <c r="AX27" s="117"/>
      <c r="AY27" s="117"/>
      <c r="AZ27" s="117"/>
      <c r="BA27" s="27"/>
      <c r="BB27" s="117"/>
      <c r="BC27" s="117"/>
      <c r="BD27" s="117"/>
      <c r="BE27" s="27"/>
      <c r="BF27" s="117"/>
      <c r="BG27" s="117"/>
      <c r="BH27" s="117"/>
      <c r="BI27" s="27"/>
      <c r="BJ27" s="117"/>
      <c r="BK27" s="117"/>
      <c r="BL27" s="117"/>
      <c r="BM27" s="27"/>
      <c r="BN27" s="117"/>
      <c r="BO27" s="117"/>
      <c r="BP27" s="117"/>
      <c r="BQ27" s="27"/>
      <c r="BR27" s="117"/>
      <c r="BS27" s="117"/>
      <c r="BT27" s="117"/>
      <c r="BU27" s="27"/>
      <c r="BV27" s="117"/>
      <c r="BW27" s="117"/>
      <c r="BX27" s="117"/>
      <c r="BY27" s="117"/>
      <c r="BZ27" s="117"/>
      <c r="CC27" s="117"/>
    </row>
    <row r="28" spans="1:100">
      <c r="A28" s="27" t="str">
        <f>$A$10</f>
        <v>1Q</v>
      </c>
      <c r="B28" s="27" t="str">
        <f>$B$10</f>
        <v>Apr</v>
      </c>
      <c r="C28" s="27"/>
      <c r="D28" s="121">
        <v>2.2014170000000002</v>
      </c>
      <c r="E28" s="27"/>
      <c r="F28" s="121">
        <f>2.563085+0.70467</f>
        <v>3.2677550000000002</v>
      </c>
      <c r="G28" s="33">
        <f>(F28/D28-1)*100</f>
        <v>48.438710158048195</v>
      </c>
      <c r="H28" s="39">
        <f>H$10</f>
        <v>5.3038769278509035</v>
      </c>
      <c r="I28" s="87"/>
      <c r="J28" s="121">
        <f>2.271975+0.078035</f>
        <v>2.3500099999999997</v>
      </c>
      <c r="K28" s="33">
        <f>(J28/F28-1)*100</f>
        <v>-28.08487784426924</v>
      </c>
      <c r="L28" s="39">
        <f>L$10</f>
        <v>18.025802774275036</v>
      </c>
      <c r="M28" s="87"/>
      <c r="N28" s="121">
        <f>2.752736+0.588851</f>
        <v>3.3415870000000001</v>
      </c>
      <c r="O28" s="33">
        <f>(N28/J28-1)*100</f>
        <v>42.194586406015318</v>
      </c>
      <c r="P28" s="39">
        <f>P$10</f>
        <v>8.1909593451879203</v>
      </c>
      <c r="Q28" s="87"/>
      <c r="R28" s="121">
        <f>3.346298+1.819572</f>
        <v>5.16587</v>
      </c>
      <c r="S28" s="33">
        <f>(R28/N28-1)*100</f>
        <v>54.593311501391398</v>
      </c>
      <c r="T28" s="39">
        <f>T$10</f>
        <v>38.334341980311002</v>
      </c>
      <c r="U28" s="87"/>
      <c r="V28" s="121">
        <v>6.297339</v>
      </c>
      <c r="W28" s="33">
        <f>(V28/R28-1)*100</f>
        <v>21.902777266946316</v>
      </c>
      <c r="X28" s="39">
        <f>X$10</f>
        <v>40.659215347845709</v>
      </c>
      <c r="Y28" s="27"/>
      <c r="Z28" s="121">
        <f>6.400892+4.576691</f>
        <v>10.977582999999999</v>
      </c>
      <c r="AA28" s="33">
        <f>(Z28/V28-1)*100</f>
        <v>74.320979067507693</v>
      </c>
      <c r="AB28" s="39">
        <f>AB$10</f>
        <v>55.642672812924722</v>
      </c>
      <c r="AC28" s="27"/>
      <c r="AD28" s="121">
        <v>11.438089</v>
      </c>
      <c r="AE28" s="33">
        <f>(AD28/Z28-1)*100</f>
        <v>4.1949671434959868</v>
      </c>
      <c r="AF28" s="39">
        <f>AF$10</f>
        <v>64.452962239623531</v>
      </c>
      <c r="AG28" s="27"/>
      <c r="AH28" s="121">
        <f>15.81048+11.428308</f>
        <v>27.238788</v>
      </c>
      <c r="AI28" s="33">
        <f>(AH28/AD28-1)*100</f>
        <v>138.14107409026107</v>
      </c>
      <c r="AJ28" s="39">
        <f>AJ$10</f>
        <v>39.922156542577426</v>
      </c>
      <c r="AK28" s="27"/>
      <c r="AL28" s="121">
        <f>22.919011+13.855451+0.176255</f>
        <v>36.950716999999997</v>
      </c>
      <c r="AM28" s="33">
        <f>(AL28/AH28-1)*100</f>
        <v>35.65477656347997</v>
      </c>
      <c r="AN28" s="39">
        <f>AN$10</f>
        <v>29.536129236898788</v>
      </c>
      <c r="AO28" s="27"/>
      <c r="AP28" s="121">
        <v>41.305</v>
      </c>
      <c r="AQ28" s="33">
        <f>(AP28/AL28-1)*100</f>
        <v>11.784028439827043</v>
      </c>
      <c r="AR28" s="39">
        <f>AR$10</f>
        <v>51.961187326440196</v>
      </c>
      <c r="AS28" s="27"/>
      <c r="AT28" s="121">
        <f>80.221+0.361</f>
        <v>80.582000000000008</v>
      </c>
      <c r="AU28" s="33">
        <f>(AT28/AP28-1)*100</f>
        <v>95.090182786587604</v>
      </c>
      <c r="AV28" s="39">
        <f>AV$10</f>
        <v>27.4402140261925</v>
      </c>
      <c r="AW28" s="27"/>
      <c r="AX28" s="121">
        <v>91.807000000000002</v>
      </c>
      <c r="AY28" s="33">
        <f>(AX28/AT28-1)*100</f>
        <v>13.929909905437921</v>
      </c>
      <c r="AZ28" s="39">
        <f>AZ$10</f>
        <v>19.375716184626679</v>
      </c>
      <c r="BA28" s="27"/>
      <c r="BB28" s="121">
        <v>112.583</v>
      </c>
      <c r="BC28" s="33">
        <f>(BB28/AX28-1)*100</f>
        <v>22.630082673434494</v>
      </c>
      <c r="BD28" s="39">
        <f>BD$10</f>
        <v>15.979245538993968</v>
      </c>
      <c r="BE28" s="27"/>
      <c r="BF28" s="121">
        <v>99.277000000000001</v>
      </c>
      <c r="BG28" s="33">
        <f>(BF28/BB28-1)*100</f>
        <v>-11.81883588108329</v>
      </c>
      <c r="BH28" s="39">
        <f>BH$10</f>
        <v>-9.6060809379193479</v>
      </c>
      <c r="BI28" s="27"/>
      <c r="BJ28" s="121">
        <v>102.16</v>
      </c>
      <c r="BK28" s="33">
        <f>(BJ28/BF28-1)*100</f>
        <v>2.9039958902867591</v>
      </c>
      <c r="BL28" s="39">
        <f>BL$10</f>
        <v>0.26345088923829252</v>
      </c>
      <c r="BM28" s="27"/>
      <c r="BN28" s="159">
        <v>126.72</v>
      </c>
      <c r="BO28" s="33">
        <f>(BN28/BJ28-1)*100</f>
        <v>24.040720438527806</v>
      </c>
      <c r="BP28" s="39">
        <f>BP$10</f>
        <v>17.276563827947889</v>
      </c>
      <c r="BQ28" s="27"/>
      <c r="BR28" s="159">
        <v>121.974</v>
      </c>
      <c r="BS28" s="33">
        <f>(BR28/BN28-1)*100</f>
        <v>-3.7452651515151425</v>
      </c>
      <c r="BT28" s="39">
        <f>BT$10</f>
        <v>11.538908776796752</v>
      </c>
      <c r="BU28" s="27"/>
      <c r="BV28" s="159">
        <v>164.74600000000001</v>
      </c>
      <c r="BW28" s="33">
        <f>(BV28/BR28-1)*100</f>
        <v>35.066489579746495</v>
      </c>
      <c r="BX28" s="39">
        <f>BX22</f>
        <v>21.159323699916975</v>
      </c>
      <c r="BY28" s="39"/>
      <c r="BZ28" s="159">
        <v>160.00399999999999</v>
      </c>
      <c r="CA28" s="33">
        <f>(BZ28/BV28-1)*100</f>
        <v>-2.8783703397958216</v>
      </c>
      <c r="CB28" s="39">
        <f>+CB22</f>
        <v>3.0584634390312448</v>
      </c>
      <c r="CC28" s="39"/>
      <c r="CD28" s="159">
        <v>155.57900000000001</v>
      </c>
      <c r="CE28" s="33">
        <f>(CD28/BZ28-1)*100</f>
        <v>-2.7655558611034636</v>
      </c>
      <c r="CF28" s="39">
        <f>+CF22</f>
        <v>-1.6702896281917012</v>
      </c>
      <c r="CH28" s="159">
        <v>171.161</v>
      </c>
      <c r="CI28" s="33">
        <f>(CH28/CD28-1)*100</f>
        <v>10.015490522499814</v>
      </c>
      <c r="CJ28" s="39">
        <f>'qtrP&amp;L'!CK10</f>
        <v>1.9634005995278203</v>
      </c>
      <c r="CL28" s="159">
        <v>142.09100000000001</v>
      </c>
      <c r="CM28" s="33">
        <f>(CL28/CH28-1)*100</f>
        <v>-16.984009207705022</v>
      </c>
      <c r="CN28" s="39">
        <f>'qtrP&amp;L'!CO10</f>
        <v>-4.3854874878804573</v>
      </c>
      <c r="CP28" s="159">
        <v>149.15100000000001</v>
      </c>
      <c r="CQ28" s="33">
        <f>(CP28/CL28-1)*100</f>
        <v>4.9686468530730332</v>
      </c>
      <c r="CR28" s="39">
        <f>'qtrP&amp;L'!CS10</f>
        <v>-9.2147930641376057</v>
      </c>
      <c r="CT28" s="159"/>
      <c r="CU28" s="33"/>
      <c r="CV28" s="39"/>
    </row>
    <row r="29" spans="1:100">
      <c r="A29" s="27" t="str">
        <f>$A$11</f>
        <v>2Q</v>
      </c>
      <c r="B29" s="27" t="str">
        <f>$B$11</f>
        <v>Jul</v>
      </c>
      <c r="C29" s="27"/>
      <c r="D29" s="129">
        <f>2.788174+0.067534</f>
        <v>2.8557080000000004</v>
      </c>
      <c r="E29" s="87"/>
      <c r="F29" s="129">
        <f>3.160925+0.32722</f>
        <v>3.4881450000000003</v>
      </c>
      <c r="G29" s="33">
        <f>(F29/D29-1)*100</f>
        <v>22.146416930582525</v>
      </c>
      <c r="H29" s="39">
        <f>H$11</f>
        <v>-2.8366010347987247</v>
      </c>
      <c r="I29" s="87"/>
      <c r="J29" s="129">
        <f>2.867836+0.86343</f>
        <v>3.7312660000000002</v>
      </c>
      <c r="K29" s="33">
        <f>(J29/F29-1)*100</f>
        <v>6.9699224086154699</v>
      </c>
      <c r="L29" s="39">
        <f>L$11</f>
        <v>3.5170097678936862</v>
      </c>
      <c r="M29" s="87"/>
      <c r="N29" s="129">
        <v>2.8578649999999999</v>
      </c>
      <c r="O29" s="33">
        <f>(N29/J29-1)*100</f>
        <v>-23.407631618866098</v>
      </c>
      <c r="P29" s="39">
        <f>P$11</f>
        <v>24.931331726817074</v>
      </c>
      <c r="Q29" s="87"/>
      <c r="R29" s="129">
        <v>3.4748869999999998</v>
      </c>
      <c r="S29" s="33">
        <f>(R29/N29-1)*100</f>
        <v>21.59031304837702</v>
      </c>
      <c r="T29" s="39">
        <f>T$11</f>
        <v>36.243824504219859</v>
      </c>
      <c r="U29" s="87"/>
      <c r="V29" s="129">
        <v>3.4422830000000002</v>
      </c>
      <c r="W29" s="33">
        <f>(V29/R29-1)*100</f>
        <v>-0.9382751151332247</v>
      </c>
      <c r="X29" s="39">
        <f>X$11</f>
        <v>34.40516311139681</v>
      </c>
      <c r="Y29" s="27"/>
      <c r="Z29" s="129">
        <v>7.4263019999999997</v>
      </c>
      <c r="AA29" s="33">
        <f>(Z29/V29-1)*100</f>
        <v>115.73769501229268</v>
      </c>
      <c r="AB29" s="39">
        <f>AB$11</f>
        <v>64.906673257315163</v>
      </c>
      <c r="AC29" s="27"/>
      <c r="AD29" s="129">
        <v>12.816630999999999</v>
      </c>
      <c r="AE29" s="33">
        <f>(AD29/Z29-1)*100</f>
        <v>72.584295656169104</v>
      </c>
      <c r="AF29" s="39">
        <f>AF$11</f>
        <v>47.583611985530716</v>
      </c>
      <c r="AG29" s="27"/>
      <c r="AH29" s="129">
        <v>18.237445999999998</v>
      </c>
      <c r="AI29" s="33">
        <f>(AH29/AD29-1)*100</f>
        <v>42.295163214108285</v>
      </c>
      <c r="AJ29" s="39">
        <f>AJ$11</f>
        <v>39.753072605185324</v>
      </c>
      <c r="AK29" s="27"/>
      <c r="AL29" s="129">
        <f>29.18686+0.191866</f>
        <v>29.378726</v>
      </c>
      <c r="AM29" s="33">
        <f>(AL29/AH29-1)*100</f>
        <v>61.090132905671133</v>
      </c>
      <c r="AN29" s="39">
        <f>AN$11</f>
        <v>38.673605903560258</v>
      </c>
      <c r="AO29" s="27"/>
      <c r="AP29" s="129">
        <v>45.488</v>
      </c>
      <c r="AQ29" s="33">
        <f>(AP29/AL29-1)*100</f>
        <v>54.833126528359323</v>
      </c>
      <c r="AR29" s="39">
        <f>AR$11</f>
        <v>46.893551965389335</v>
      </c>
      <c r="AS29" s="27"/>
      <c r="AT29" s="129">
        <f>69.688+0.433</f>
        <v>70.121000000000009</v>
      </c>
      <c r="AU29" s="33">
        <f>(AT29/AP29-1)*100</f>
        <v>54.152743580724618</v>
      </c>
      <c r="AV29" s="39">
        <f>AV$11</f>
        <v>34.603382698701182</v>
      </c>
      <c r="AW29" s="27"/>
      <c r="AX29" s="129">
        <v>72.528000000000006</v>
      </c>
      <c r="AY29" s="33">
        <f>(AX29/AT29-1)*100</f>
        <v>3.4326378688267267</v>
      </c>
      <c r="AZ29" s="39">
        <f>AZ$11</f>
        <v>17.639133921411386</v>
      </c>
      <c r="BA29" s="27"/>
      <c r="BB29" s="129">
        <v>81.561000000000007</v>
      </c>
      <c r="BC29" s="33">
        <f>(BB29/AX29-1)*100</f>
        <v>12.454500330906694</v>
      </c>
      <c r="BD29" s="39">
        <f>+BD23</f>
        <v>8.0847466870262341</v>
      </c>
      <c r="BE29" s="27"/>
      <c r="BF29" s="129">
        <v>80.338999999999999</v>
      </c>
      <c r="BG29" s="33">
        <f>(BF29/BB29-1)*100</f>
        <v>-1.4982651021934634</v>
      </c>
      <c r="BH29" s="39">
        <f>+BH23</f>
        <v>-7.0662731148616214</v>
      </c>
      <c r="BI29" s="27"/>
      <c r="BJ29" s="129">
        <v>108.71899999999999</v>
      </c>
      <c r="BK29" s="33">
        <f>(BJ29/BF29-1)*100</f>
        <v>35.325309003099356</v>
      </c>
      <c r="BL29" s="39">
        <f>+BL23</f>
        <v>3.6269366118977908</v>
      </c>
      <c r="BM29" s="27"/>
      <c r="BN29" s="129">
        <v>93.602999999999994</v>
      </c>
      <c r="BO29" s="33">
        <f>(BN29/BJ29-1)*100</f>
        <v>-13.903733478048919</v>
      </c>
      <c r="BP29" s="39">
        <f>+BP23</f>
        <v>10.831954085945949</v>
      </c>
      <c r="BQ29" s="27"/>
      <c r="BR29" s="129">
        <v>91.885000000000005</v>
      </c>
      <c r="BS29" s="33">
        <f>(BR29/BN29-1)*100</f>
        <v>-1.8354112581861592</v>
      </c>
      <c r="BT29" s="39">
        <f>+BT23</f>
        <v>18.489256553502376</v>
      </c>
      <c r="BU29" s="27"/>
      <c r="BV29" s="195">
        <v>151.93600000000001</v>
      </c>
      <c r="BW29" s="33">
        <f>(BV29/BR29-1)*100</f>
        <v>65.354519236001522</v>
      </c>
      <c r="BX29" s="39">
        <f>BX23</f>
        <v>16.370144836603195</v>
      </c>
      <c r="BY29" s="39"/>
      <c r="BZ29" s="195">
        <v>140.197</v>
      </c>
      <c r="CA29" s="33">
        <f>(BZ29/BV29-1)*100</f>
        <v>-7.7262794860994077</v>
      </c>
      <c r="CB29" s="39">
        <f>+CB23</f>
        <v>1.212518816559216</v>
      </c>
      <c r="CC29" s="39"/>
      <c r="CD29" s="195">
        <v>140.54499999999999</v>
      </c>
      <c r="CE29" s="33">
        <f>(CD29/BZ29-1)*100</f>
        <v>0.24822214455373359</v>
      </c>
      <c r="CF29" s="39">
        <f>+CF23</f>
        <v>-0.11254759408347859</v>
      </c>
      <c r="CH29" s="195">
        <v>150.43299999999999</v>
      </c>
      <c r="CI29" s="33">
        <f>(CH29/CD29-1)*100</f>
        <v>7.0354690668469111</v>
      </c>
      <c r="CJ29" s="39">
        <f>'qtrP&amp;L'!CK11</f>
        <v>1.6571307023114379</v>
      </c>
      <c r="CL29" s="195">
        <v>151.82300000000001</v>
      </c>
      <c r="CM29" s="33">
        <f>(CL29/CH29-1)*100</f>
        <v>0.92399938843206186</v>
      </c>
      <c r="CN29" s="39">
        <f>'qtrP&amp;L'!CO11</f>
        <v>-3.607304066727024</v>
      </c>
      <c r="CP29" s="195">
        <v>123.137</v>
      </c>
      <c r="CQ29" s="33">
        <f>(CP29/CL29-1)*100</f>
        <v>-18.894370418184337</v>
      </c>
      <c r="CR29" s="39">
        <f>'qtrP&amp;L'!CS11</f>
        <v>-8.9897944416829638</v>
      </c>
      <c r="CT29" s="195"/>
      <c r="CU29" s="33"/>
      <c r="CV29" s="39"/>
    </row>
    <row r="30" spans="1:100">
      <c r="A30" s="27" t="str">
        <f>$A$12</f>
        <v>3Q</v>
      </c>
      <c r="B30" s="27" t="str">
        <f>$B$12</f>
        <v>Oct</v>
      </c>
      <c r="C30" s="27"/>
      <c r="D30" s="129">
        <f>2.763987+0.134268</f>
        <v>2.8982550000000002</v>
      </c>
      <c r="E30" s="87"/>
      <c r="F30" s="129">
        <f>2.666069+0.187351</f>
        <v>2.8534199999999998</v>
      </c>
      <c r="G30" s="33">
        <f>(F30/D30-1)*100</f>
        <v>-1.5469653291377172</v>
      </c>
      <c r="H30" s="39">
        <f>H$12</f>
        <v>-4.3749033600026799E-2</v>
      </c>
      <c r="I30" s="87"/>
      <c r="J30" s="129">
        <f>2.452779+0.333748</f>
        <v>2.786527</v>
      </c>
      <c r="K30" s="33">
        <f>(J30/F30-1)*100</f>
        <v>-2.3443096354549886</v>
      </c>
      <c r="L30" s="39">
        <f>L$12</f>
        <v>3.000697553350129</v>
      </c>
      <c r="M30" s="87"/>
      <c r="N30" s="129">
        <v>3.1333510000000002</v>
      </c>
      <c r="O30" s="33">
        <f>(N30/J30-1)*100</f>
        <v>12.446461132441943</v>
      </c>
      <c r="P30" s="39">
        <f>P$12</f>
        <v>20.322113283291145</v>
      </c>
      <c r="Q30" s="87"/>
      <c r="R30" s="129">
        <v>4.5304460000000004</v>
      </c>
      <c r="S30" s="33">
        <f>(R30/N30-1)*100</f>
        <v>44.587886898084506</v>
      </c>
      <c r="T30" s="39">
        <f>T$12</f>
        <v>41.381494653120555</v>
      </c>
      <c r="U30" s="87"/>
      <c r="V30" s="129">
        <v>5.3902520000000003</v>
      </c>
      <c r="W30" s="33">
        <f>(V30/R30-1)*100</f>
        <v>18.978396387463835</v>
      </c>
      <c r="X30" s="39">
        <f>X$12</f>
        <v>49.543141888011455</v>
      </c>
      <c r="Y30" s="27"/>
      <c r="Z30" s="129">
        <v>9.746855</v>
      </c>
      <c r="AA30" s="33">
        <f>(Z30/V30-1)*100</f>
        <v>80.82373514262413</v>
      </c>
      <c r="AB30" s="39">
        <f>AB$12</f>
        <v>72.437405638407057</v>
      </c>
      <c r="AC30" s="27"/>
      <c r="AD30" s="129">
        <v>12.150245999999999</v>
      </c>
      <c r="AE30" s="33">
        <f>(AD30/Z30-1)*100</f>
        <v>24.658117926243882</v>
      </c>
      <c r="AF30" s="39">
        <f>$AF12</f>
        <v>36.218987801402669</v>
      </c>
      <c r="AG30" s="27"/>
      <c r="AH30" s="129">
        <v>19.208625999999999</v>
      </c>
      <c r="AI30" s="33">
        <f>(AH30/AD30-1)*100</f>
        <v>58.092486357889371</v>
      </c>
      <c r="AJ30" s="39">
        <f>AJ$12</f>
        <v>46.056291781266047</v>
      </c>
      <c r="AK30" s="27"/>
      <c r="AL30" s="129">
        <f>35.509+0.833</f>
        <v>36.341999999999999</v>
      </c>
      <c r="AM30" s="33">
        <f>(AL30/AH30-1)*100</f>
        <v>89.196249643259222</v>
      </c>
      <c r="AN30" s="39">
        <f>AN$12</f>
        <v>53.407782808576073</v>
      </c>
      <c r="AO30" s="27"/>
      <c r="AP30" s="129">
        <f>51.753+0.286</f>
        <v>52.039000000000001</v>
      </c>
      <c r="AQ30" s="33">
        <f>(AP30/AL30-1)*100</f>
        <v>43.192449507456956</v>
      </c>
      <c r="AR30" s="39">
        <f>AR$12</f>
        <v>28.116199440563449</v>
      </c>
      <c r="AS30" s="27"/>
      <c r="AT30" s="129">
        <f>83+0.524</f>
        <v>83.524000000000001</v>
      </c>
      <c r="AU30" s="33">
        <f>(AT30/AP30-1)*100</f>
        <v>60.50269989815331</v>
      </c>
      <c r="AV30" s="39">
        <f>AV$12</f>
        <v>32.950665930245052</v>
      </c>
      <c r="AW30" s="27"/>
      <c r="AX30" s="129">
        <v>83.664000000000001</v>
      </c>
      <c r="AY30" s="33">
        <f>(AX30/AT30-1)*100</f>
        <v>0.16761649346295204</v>
      </c>
      <c r="AZ30" s="39">
        <f>+AZ$12</f>
        <v>12.143364978461779</v>
      </c>
      <c r="BA30" s="27"/>
      <c r="BB30" s="129">
        <v>89.822999999999993</v>
      </c>
      <c r="BC30" s="33">
        <f>(BB30/AX30-1)*100</f>
        <v>7.3615892139988537</v>
      </c>
      <c r="BD30" s="39">
        <f>+BD$12</f>
        <v>3.4046129098824318</v>
      </c>
      <c r="BE30" s="27"/>
      <c r="BF30" s="129">
        <v>83.882999999999996</v>
      </c>
      <c r="BG30" s="33">
        <f>(BF30/BB30-1)*100</f>
        <v>-6.6130055776360113</v>
      </c>
      <c r="BH30" s="39">
        <f>+BH$12</f>
        <v>-5.2102242536299688</v>
      </c>
      <c r="BI30" s="27"/>
      <c r="BJ30" s="129">
        <v>123.069</v>
      </c>
      <c r="BK30" s="33">
        <f>(BJ30/BF30-1)*100</f>
        <v>46.715067415328512</v>
      </c>
      <c r="BL30" s="39">
        <f>+BL$12</f>
        <v>13.347098109541577</v>
      </c>
      <c r="BM30" s="27"/>
      <c r="BN30" s="129">
        <v>108.377</v>
      </c>
      <c r="BO30" s="33">
        <f>(BN30/BJ30-1)*100</f>
        <v>-11.938018509941584</v>
      </c>
      <c r="BP30" s="39">
        <f>+BP24</f>
        <v>8.0917417642543565</v>
      </c>
      <c r="BQ30" s="27"/>
      <c r="BR30" s="129">
        <v>114.232</v>
      </c>
      <c r="BS30" s="33">
        <f>(BR30/BN30-1)*100</f>
        <v>5.402437786615244</v>
      </c>
      <c r="BT30" s="39">
        <f>+BT24</f>
        <v>11.495128586275595</v>
      </c>
      <c r="BU30" s="27"/>
      <c r="BV30" s="195">
        <v>178.685</v>
      </c>
      <c r="BW30" s="33">
        <f>(BV30/BR30-1)*100</f>
        <v>56.42289376006724</v>
      </c>
      <c r="BX30" s="39">
        <f>BX24</f>
        <v>18.219242181726326</v>
      </c>
      <c r="BY30" s="39"/>
      <c r="BZ30" s="195">
        <v>121.79600000000001</v>
      </c>
      <c r="CA30" s="33">
        <f>(BZ30/BV30-1)*100</f>
        <v>-31.837591291938327</v>
      </c>
      <c r="CB30" s="39">
        <f>+CB24</f>
        <v>2.9707931172594737</v>
      </c>
      <c r="CC30" s="39"/>
      <c r="CD30" s="195">
        <v>145.97200000000001</v>
      </c>
      <c r="CE30" s="33">
        <f>(CD30/BZ30-1)*100</f>
        <v>19.849584551216793</v>
      </c>
      <c r="CF30" s="39">
        <f>+CF24</f>
        <v>-1.5372670570594771</v>
      </c>
      <c r="CH30" s="195">
        <v>140.55699999999999</v>
      </c>
      <c r="CI30" s="33">
        <f>(CH30/CD30-1)*100</f>
        <v>-3.7096155427068345</v>
      </c>
      <c r="CJ30" s="39">
        <f>'qtrP&amp;L'!CK12</f>
        <v>-2.9071992142537306</v>
      </c>
      <c r="CL30" s="195">
        <v>148.70599999999999</v>
      </c>
      <c r="CM30" s="33">
        <f>(CL30/CH30-1)*100</f>
        <v>5.7976479293098127</v>
      </c>
      <c r="CN30" s="39">
        <f>'qtrP&amp;L'!CO12</f>
        <v>-4.7584704859310545</v>
      </c>
      <c r="CP30" s="195">
        <v>118.495</v>
      </c>
      <c r="CQ30" s="33">
        <f>(CP30/CL30-1)*100</f>
        <v>-20.315925382970413</v>
      </c>
      <c r="CR30" s="39">
        <f>'qtrP&amp;L'!CS12</f>
        <v>-10.826553997909238</v>
      </c>
      <c r="CT30" s="195"/>
      <c r="CU30" s="33"/>
      <c r="CV30" s="39"/>
    </row>
    <row r="31" spans="1:100">
      <c r="A31" s="27" t="str">
        <f>$A$13</f>
        <v>4Q</v>
      </c>
      <c r="B31" s="27" t="str">
        <f>$B$13</f>
        <v>Jan</v>
      </c>
      <c r="C31" s="27"/>
      <c r="D31" s="41">
        <f>+bal!E38</f>
        <v>2.824503</v>
      </c>
      <c r="E31" s="87"/>
      <c r="F31" s="41">
        <f>bal!G38</f>
        <v>2.467231</v>
      </c>
      <c r="G31" s="33">
        <f>(F31/D31-1)*100</f>
        <v>-12.64902179250651</v>
      </c>
      <c r="H31" s="39">
        <f>H$13</f>
        <v>5.6290968527330065</v>
      </c>
      <c r="I31" s="86"/>
      <c r="J31" s="41">
        <f>bal!I38</f>
        <v>2.4610259999999999</v>
      </c>
      <c r="K31" s="33">
        <f>(J31/F31-1)*100</f>
        <v>-0.25149651572957676</v>
      </c>
      <c r="L31" s="39">
        <f>L$13</f>
        <v>0.5546272620925663</v>
      </c>
      <c r="M31" s="86"/>
      <c r="N31" s="41">
        <f>bal!K38</f>
        <v>2.540375</v>
      </c>
      <c r="O31" s="33">
        <f>(N31/J31-1)*100</f>
        <v>3.2242243682106597</v>
      </c>
      <c r="P31" s="39">
        <f>P$13</f>
        <v>17.675304094952526</v>
      </c>
      <c r="Q31" s="86"/>
      <c r="R31" s="41">
        <f>bal!M38</f>
        <v>3.6793550000000002</v>
      </c>
      <c r="S31" s="33">
        <f>(R31/N31-1)*100</f>
        <v>44.835112926241209</v>
      </c>
      <c r="T31" s="39">
        <f>T$13</f>
        <v>51.759161738357797</v>
      </c>
      <c r="U31" s="86"/>
      <c r="V31" s="41">
        <f>bal!O38</f>
        <v>4.5931040000000003</v>
      </c>
      <c r="W31" s="33">
        <f>(V31/R31-1)*100</f>
        <v>24.834488653581953</v>
      </c>
      <c r="X31" s="39">
        <f>X$13</f>
        <v>56.34990977815653</v>
      </c>
      <c r="Y31" s="27"/>
      <c r="Z31" s="41">
        <f>+bal!Q38</f>
        <v>11.299352000000001</v>
      </c>
      <c r="AA31" s="33">
        <f>(Z31/V31-1)*100</f>
        <v>146.00688336253654</v>
      </c>
      <c r="AB31" s="39">
        <f>AB$13</f>
        <v>74.951006067132226</v>
      </c>
      <c r="AC31" s="27"/>
      <c r="AD31" s="129">
        <v>16.585156999999999</v>
      </c>
      <c r="AE31" s="33">
        <f>(AD31/Z31-1)*100</f>
        <v>46.779717987367754</v>
      </c>
      <c r="AF31" s="39">
        <f>$AF13</f>
        <v>38.643373960552353</v>
      </c>
      <c r="AG31" s="27"/>
      <c r="AH31" s="129">
        <v>26.200081000000001</v>
      </c>
      <c r="AI31" s="33">
        <f>(AH31/AD31-1)*100</f>
        <v>57.973065916710965</v>
      </c>
      <c r="AJ31" s="39">
        <f>AJ$13</f>
        <v>36.439837187251037</v>
      </c>
      <c r="AK31" s="27"/>
      <c r="AL31" s="129">
        <f>43.187+0.599</f>
        <v>43.785999999999994</v>
      </c>
      <c r="AM31" s="33">
        <f>(AL31/AH31-1)*100</f>
        <v>67.121620730867178</v>
      </c>
      <c r="AN31" s="39">
        <f>AN$13</f>
        <v>55.798553234807471</v>
      </c>
      <c r="AO31" s="27"/>
      <c r="AP31" s="129">
        <f>58.258+0.332</f>
        <v>58.59</v>
      </c>
      <c r="AQ31" s="33">
        <f>(AP31/AL31-1)*100</f>
        <v>33.809893573288299</v>
      </c>
      <c r="AR31" s="39">
        <f>AR$13</f>
        <v>32.500730827946867</v>
      </c>
      <c r="AS31" s="27"/>
      <c r="AT31" s="129">
        <v>74.585999999999999</v>
      </c>
      <c r="AU31" s="33">
        <f>(AT31/AP31-1)*100</f>
        <v>27.301587301587293</v>
      </c>
      <c r="AV31" s="39">
        <f>AV$13</f>
        <v>31.580698369117965</v>
      </c>
      <c r="AW31" s="27"/>
      <c r="AX31" s="129">
        <v>82.971000000000004</v>
      </c>
      <c r="AY31" s="33">
        <f>(AX31/AT31-1)*100</f>
        <v>11.242056149947711</v>
      </c>
      <c r="AZ31" s="39">
        <f>+AZ$13</f>
        <v>18.337902217017522</v>
      </c>
      <c r="BA31" s="27"/>
      <c r="BB31" s="129">
        <v>100.726</v>
      </c>
      <c r="BC31" s="33">
        <f>(BB31/AX31-1)*100</f>
        <v>21.399043039134156</v>
      </c>
      <c r="BD31" s="39">
        <f>+BD$13</f>
        <v>-7.9468143246872014</v>
      </c>
      <c r="BE31" s="27"/>
      <c r="BF31" s="129">
        <v>88.445999999999998</v>
      </c>
      <c r="BG31" s="33">
        <f>(BF31/BB31-1)*100</f>
        <v>-12.191489784166954</v>
      </c>
      <c r="BH31" s="39">
        <f>+BH$13</f>
        <v>-8.7755346362177082</v>
      </c>
      <c r="BI31" s="27"/>
      <c r="BJ31" s="129">
        <v>95.861999999999995</v>
      </c>
      <c r="BK31" s="33">
        <f>(BJ31/BF31-1)*100</f>
        <v>8.3847771521606376</v>
      </c>
      <c r="BL31" s="39">
        <f>+BL$13</f>
        <v>16.699118054309437</v>
      </c>
      <c r="BM31" s="27"/>
      <c r="BN31" s="129">
        <v>114.61199999999999</v>
      </c>
      <c r="BO31" s="33">
        <f>(BN31/BJ31-1)*100</f>
        <v>19.559366589472372</v>
      </c>
      <c r="BP31" s="39">
        <f>+BP25</f>
        <v>9.006494847726799</v>
      </c>
      <c r="BQ31" s="27"/>
      <c r="BR31" s="129">
        <v>137.714</v>
      </c>
      <c r="BS31" s="33">
        <f>(BR31/BN31-1)*100</f>
        <v>20.156702614036924</v>
      </c>
      <c r="BT31" s="39">
        <f>+BT25</f>
        <v>19.839612273513918</v>
      </c>
      <c r="BU31" s="27"/>
      <c r="BV31" s="195">
        <v>173.024</v>
      </c>
      <c r="BW31" s="33">
        <f>(BV31/BR31-1)*100</f>
        <v>25.64009468899313</v>
      </c>
      <c r="BX31" s="39">
        <f>BX25</f>
        <v>14.519498179045588</v>
      </c>
      <c r="BY31" s="39"/>
      <c r="BZ31" s="195">
        <v>142.07300000000001</v>
      </c>
      <c r="CA31" s="33">
        <f>(BZ31/BV31-1)*100</f>
        <v>-17.888269835398553</v>
      </c>
      <c r="CB31" s="39">
        <f>+CB25</f>
        <v>-6.384875117549516</v>
      </c>
      <c r="CC31" s="39"/>
      <c r="CD31" s="195">
        <v>158.39599999999999</v>
      </c>
      <c r="CE31" s="33">
        <f>(CD31/BZ31-1)*100</f>
        <v>11.48916402131297</v>
      </c>
      <c r="CF31" s="39">
        <f>+CF25</f>
        <v>4.3113040428820026</v>
      </c>
      <c r="CH31" s="195">
        <v>158.78800000000001</v>
      </c>
      <c r="CI31" s="33">
        <f>(CH31/CD31-1)*100</f>
        <v>0.24748099699489767</v>
      </c>
      <c r="CJ31" s="39">
        <f>'qtrP&amp;L'!CK13</f>
        <v>-3.4062167146865385</v>
      </c>
      <c r="CL31" s="195">
        <v>170.232</v>
      </c>
      <c r="CM31" s="33">
        <f>(CL31/CH31-1)*100</f>
        <v>7.2070937350429354</v>
      </c>
      <c r="CN31" s="39">
        <f>'qtrP&amp;L'!CO13</f>
        <v>-2.2884884363920333</v>
      </c>
    </row>
    <row r="32" spans="1:100">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7"/>
      <c r="BR32" s="27"/>
      <c r="BS32" s="27"/>
      <c r="BT32" s="27"/>
      <c r="BU32" s="27"/>
      <c r="BV32" s="27"/>
      <c r="BW32" s="27"/>
      <c r="BX32" s="27"/>
      <c r="BY32" s="27"/>
      <c r="BZ32" s="27"/>
      <c r="CC32" s="27"/>
    </row>
    <row r="33" spans="1:100">
      <c r="A33" s="119" t="s">
        <v>408</v>
      </c>
      <c r="B33" s="30"/>
      <c r="C33" s="27"/>
      <c r="D33" s="27"/>
      <c r="E33" s="27"/>
      <c r="F33" s="27"/>
      <c r="G33" s="27"/>
      <c r="H33" s="27"/>
      <c r="I33" s="27"/>
      <c r="J33" s="27"/>
      <c r="K33" s="27"/>
      <c r="L33" s="27"/>
      <c r="M33" s="27"/>
      <c r="N33" s="88"/>
      <c r="O33" s="27"/>
      <c r="P33" s="27"/>
      <c r="Q33" s="27"/>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7"/>
      <c r="BR33" s="27"/>
      <c r="BS33" s="27"/>
      <c r="BT33" s="27"/>
      <c r="BU33" s="27"/>
      <c r="BV33" s="27"/>
      <c r="BW33" s="27"/>
      <c r="BX33" s="27"/>
      <c r="BY33" s="27"/>
      <c r="BZ33" s="27"/>
      <c r="CC33" s="27"/>
    </row>
    <row r="34" spans="1:100">
      <c r="A34" s="27" t="str">
        <f>$A$10</f>
        <v>1Q</v>
      </c>
      <c r="B34" s="27" t="str">
        <f>$B$10</f>
        <v>Apr</v>
      </c>
      <c r="C34" s="27"/>
      <c r="D34" s="40">
        <f>D10+D16-D22-D28</f>
        <v>3.4030359999999993</v>
      </c>
      <c r="E34" s="27"/>
      <c r="F34" s="40">
        <f>F10+F16-F22-F28</f>
        <v>1.1314909999999996</v>
      </c>
      <c r="G34" s="33">
        <f>IF(B34&lt;0,"NM",(F34/D34-1)*100)</f>
        <v>-66.750542750649728</v>
      </c>
      <c r="H34" s="39">
        <f>H$10</f>
        <v>5.3038769278509035</v>
      </c>
      <c r="I34" s="86"/>
      <c r="J34" s="40">
        <f>J10+J16-J22-J28</f>
        <v>2.0959060000000007</v>
      </c>
      <c r="K34" s="153">
        <f>IF(F34&lt;0,"NM",(J34/F34-1)*100)</f>
        <v>85.233996558523344</v>
      </c>
      <c r="L34" s="39">
        <f>L$10</f>
        <v>18.025802774275036</v>
      </c>
      <c r="M34" s="86"/>
      <c r="N34" s="40">
        <f>N10+N16-N22-N28</f>
        <v>2.679395</v>
      </c>
      <c r="O34" s="33">
        <f>IF(J34&lt;0,"NM",(N34/J34-1)*100)</f>
        <v>27.839464174442895</v>
      </c>
      <c r="P34" s="39">
        <f>P$10</f>
        <v>8.1909593451879203</v>
      </c>
      <c r="Q34" s="86"/>
      <c r="R34" s="40">
        <f>R10+R16-R22-R28</f>
        <v>1.3913899999999995</v>
      </c>
      <c r="S34" s="33">
        <f>IF(N34&lt;0,"NM",(R34/N34-1)*100)</f>
        <v>-48.070739849854185</v>
      </c>
      <c r="T34" s="39">
        <f>T$10</f>
        <v>38.334341980311002</v>
      </c>
      <c r="U34" s="86"/>
      <c r="V34" s="40">
        <f>V10+V16-V22-V28</f>
        <v>1.5426970000000004</v>
      </c>
      <c r="W34" s="33">
        <f>IF(R34&lt;0,"NM",(V34/R34-1)*100)</f>
        <v>10.874521162291018</v>
      </c>
      <c r="X34" s="39">
        <f>X$10</f>
        <v>40.659215347845709</v>
      </c>
      <c r="Y34" s="27"/>
      <c r="Z34" s="40">
        <f>Z10+Z16-Z22-Z28</f>
        <v>-0.39444599999999852</v>
      </c>
      <c r="AA34" s="33">
        <f>IF(V34&lt;0,"NM",(Z34/V34-1)*100)</f>
        <v>-125.56859837025667</v>
      </c>
      <c r="AB34" s="39">
        <f>AB$10</f>
        <v>55.642672812924722</v>
      </c>
      <c r="AC34" s="27"/>
      <c r="AD34" s="40">
        <f>AD10+AD16-AD22-AD28</f>
        <v>9.0233560000000015</v>
      </c>
      <c r="AE34" s="153" t="str">
        <f>IF(Z34&lt;0,"NM",(AD34/Z34-1)*100)</f>
        <v>NM</v>
      </c>
      <c r="AF34" s="39">
        <f>AF$10</f>
        <v>64.452962239623531</v>
      </c>
      <c r="AG34" s="27"/>
      <c r="AH34" s="40">
        <f>AH10+AH16-AH22-AH28</f>
        <v>-2.4283999999999963</v>
      </c>
      <c r="AI34" s="153">
        <f>IF(AD34&lt;0,"NM",(AH34/AD34-1)*100)</f>
        <v>-126.91238160170113</v>
      </c>
      <c r="AJ34" s="39">
        <f>AJ$10</f>
        <v>39.922156542577426</v>
      </c>
      <c r="AK34" s="27"/>
      <c r="AL34" s="40">
        <f>AL10+AL16-AL22-AL28</f>
        <v>-5.6977999999993756E-2</v>
      </c>
      <c r="AM34" s="33">
        <f>(AL34/AH34-1)*100</f>
        <v>-97.653681436336939</v>
      </c>
      <c r="AN34" s="39">
        <f>AN$10</f>
        <v>29.536129236898788</v>
      </c>
      <c r="AO34" s="27"/>
      <c r="AP34" s="40">
        <f>AP10+AP16-AP22-AP28</f>
        <v>7.3449999999999918</v>
      </c>
      <c r="AQ34" s="33" t="s">
        <v>512</v>
      </c>
      <c r="AR34" s="39">
        <f>AR$10</f>
        <v>51.961187326440196</v>
      </c>
      <c r="AS34" s="27"/>
      <c r="AT34" s="40">
        <f>AT10+AT16-AT22-AT28</f>
        <v>-9.0050000000000097</v>
      </c>
      <c r="AU34" s="33" t="s">
        <v>512</v>
      </c>
      <c r="AV34" s="39">
        <f>AV$10</f>
        <v>27.4402140261925</v>
      </c>
      <c r="AW34" s="27"/>
      <c r="AX34" s="40">
        <f>AX10+AX16-AX22-AX28</f>
        <v>-4.9779999999999944</v>
      </c>
      <c r="AY34" s="33" t="s">
        <v>512</v>
      </c>
      <c r="AZ34" s="39">
        <f>AZ$10</f>
        <v>19.375716184626679</v>
      </c>
      <c r="BA34" s="27"/>
      <c r="BB34" s="40">
        <f>BB10+BB16-BB22-BB28</f>
        <v>1.9259999999999877</v>
      </c>
      <c r="BC34" s="33" t="s">
        <v>512</v>
      </c>
      <c r="BD34" s="39">
        <f>BD$10</f>
        <v>15.979245538993968</v>
      </c>
      <c r="BE34" s="27"/>
      <c r="BF34" s="40">
        <f>BF10+BF16-BF22-BF28</f>
        <v>43.909999999999982</v>
      </c>
      <c r="BG34" s="33">
        <f>(BF34/BB34-1)*100</f>
        <v>2179.8546209761298</v>
      </c>
      <c r="BH34" s="39">
        <f>BH$10</f>
        <v>-9.6060809379193479</v>
      </c>
      <c r="BI34" s="27"/>
      <c r="BJ34" s="40">
        <f>BJ10+BJ16-BJ22-BJ28</f>
        <v>46.947000000000003</v>
      </c>
      <c r="BK34" s="33">
        <f>(BJ34/BF34-1)*100</f>
        <v>6.9164199498975565</v>
      </c>
      <c r="BL34" s="39">
        <f>BL$10</f>
        <v>0.26345088923829252</v>
      </c>
      <c r="BM34" s="27"/>
      <c r="BN34" s="40">
        <f>BN10+BN16-BN22-BN28</f>
        <v>-27.754999999999995</v>
      </c>
      <c r="BO34" s="33">
        <f>(BN34/BJ34-1)*100</f>
        <v>-159.11985856391249</v>
      </c>
      <c r="BP34" s="39">
        <f>BP10</f>
        <v>17.276563827947889</v>
      </c>
      <c r="BQ34" s="27"/>
      <c r="BR34" s="40">
        <f>BR10+BR16-BR22-BR28</f>
        <v>-6.7510000000000048</v>
      </c>
      <c r="BS34" s="33">
        <f>(BR34/BN34-1)*100</f>
        <v>-75.676454692848111</v>
      </c>
      <c r="BT34" s="39">
        <f>BT10</f>
        <v>11.538908776796752</v>
      </c>
      <c r="BU34" s="27"/>
      <c r="BV34" s="40">
        <f>BV10+BV16-BV22-BV28</f>
        <v>-48.02200000000002</v>
      </c>
      <c r="BW34" s="33">
        <f>(BV34/BR34-1)*100</f>
        <v>611.33165456969311</v>
      </c>
      <c r="BX34" s="39">
        <f>BX10</f>
        <v>21.159323699916975</v>
      </c>
      <c r="BY34" s="39"/>
      <c r="BZ34" s="40">
        <f>BZ10+BZ16-BZ22-BZ28</f>
        <v>-13.374999999999972</v>
      </c>
      <c r="CA34" s="33">
        <f>(BZ34/BV34-1)*100</f>
        <v>-72.148182083211935</v>
      </c>
      <c r="CB34" s="39">
        <f>+CB28</f>
        <v>3.0584634390312448</v>
      </c>
      <c r="CC34" s="39"/>
      <c r="CD34" s="40">
        <f>CD10+CD16-CD22-CD28</f>
        <v>16.280999999999949</v>
      </c>
      <c r="CE34" s="33">
        <f>(CD34/BZ34-1)*100</f>
        <v>-221.72710280373821</v>
      </c>
      <c r="CF34" s="39">
        <f>+CF28</f>
        <v>-1.6702896281917012</v>
      </c>
      <c r="CH34" s="40">
        <f>CH10+CH16-CH22-CH28</f>
        <v>5.3129999999999598</v>
      </c>
      <c r="CI34" s="33">
        <f>(CH34/CD34-1)*100</f>
        <v>-67.366869356919238</v>
      </c>
      <c r="CJ34" s="39">
        <f>'qtrP&amp;L'!CK10</f>
        <v>1.9634005995278203</v>
      </c>
      <c r="CL34" s="40">
        <f>CL10+CL16-CL22-CL28</f>
        <v>45.759999999999991</v>
      </c>
      <c r="CM34" s="33">
        <f>(CL34/CH34-1)*100</f>
        <v>761.28364389234594</v>
      </c>
      <c r="CN34" s="39">
        <f>'qtrP&amp;L'!CO10</f>
        <v>-4.3854874878804573</v>
      </c>
      <c r="CP34" s="40">
        <f>CP10+CP16-CP22-CP28</f>
        <v>36.631999999999977</v>
      </c>
      <c r="CQ34" s="33">
        <f>(CP34/CL34-1)*100</f>
        <v>-19.947552447552486</v>
      </c>
      <c r="CR34" s="39">
        <f>'qtrP&amp;L'!CS10</f>
        <v>-9.2147930641376057</v>
      </c>
      <c r="CT34" s="40"/>
      <c r="CU34" s="33"/>
      <c r="CV34" s="39"/>
    </row>
    <row r="35" spans="1:100">
      <c r="A35" s="27" t="str">
        <f>$A$11</f>
        <v>2Q</v>
      </c>
      <c r="B35" s="27" t="str">
        <f>$B$11</f>
        <v>Jul</v>
      </c>
      <c r="C35" s="27"/>
      <c r="D35" s="41">
        <f>D11+D17-D23-D29</f>
        <v>3.1894629999999995</v>
      </c>
      <c r="E35" s="41"/>
      <c r="F35" s="41">
        <f>F11+F17-F23-F29</f>
        <v>2.1802919999999988</v>
      </c>
      <c r="G35" s="33">
        <f>IF(B35&lt;0,"NM",(F35/D35-1)*100)</f>
        <v>-31.640780908886569</v>
      </c>
      <c r="H35" s="39">
        <f>H$11</f>
        <v>-2.8366010347987247</v>
      </c>
      <c r="I35" s="86"/>
      <c r="J35" s="41">
        <f>J11+J17-J23-J29</f>
        <v>1.992594</v>
      </c>
      <c r="K35" s="33">
        <f>IF(F35&lt;0,"NM",(J35/F35-1)*100)</f>
        <v>-8.6088468883983804</v>
      </c>
      <c r="L35" s="39">
        <f>L$11</f>
        <v>3.5170097678936862</v>
      </c>
      <c r="M35" s="86"/>
      <c r="N35" s="41">
        <f>N11+N17-N23-N29</f>
        <v>1.9420600000000001</v>
      </c>
      <c r="O35" s="33">
        <f>IF(J35&lt;0,"NM",(N35/J35-1)*100)</f>
        <v>-2.5360911455118207</v>
      </c>
      <c r="P35" s="39">
        <f>P$11</f>
        <v>24.931331726817074</v>
      </c>
      <c r="Q35" s="86"/>
      <c r="R35" s="41">
        <f>R11+R17-R23-R29</f>
        <v>4.2236080000000014</v>
      </c>
      <c r="S35" s="33">
        <f>IF(N35&lt;0,"NM",(R35/N35-1)*100)</f>
        <v>117.48081933616885</v>
      </c>
      <c r="T35" s="39">
        <f>T$11</f>
        <v>36.243824504219859</v>
      </c>
      <c r="U35" s="86"/>
      <c r="V35" s="41">
        <f>V11+V17-V23-V29</f>
        <v>6.5966039999999992</v>
      </c>
      <c r="W35" s="33">
        <f>IF(R35&lt;0,"NM",(V35/R35-1)*100)</f>
        <v>56.184096630179624</v>
      </c>
      <c r="X35" s="39">
        <f>X$11</f>
        <v>34.40516311139681</v>
      </c>
      <c r="Y35" s="27"/>
      <c r="Z35" s="41">
        <f>Z11+Z17-Z23-Z29</f>
        <v>7.8564549999999986</v>
      </c>
      <c r="AA35" s="33">
        <f>IF(V35&lt;0,"NM",(Z35/V35-1)*100)</f>
        <v>19.098478550478394</v>
      </c>
      <c r="AB35" s="39">
        <f>AB$11</f>
        <v>64.906673257315163</v>
      </c>
      <c r="AC35" s="27"/>
      <c r="AD35" s="41">
        <f>AD11+AD17-AD23-AD29</f>
        <v>14.589927999999999</v>
      </c>
      <c r="AE35" s="33">
        <f>IF(Z35&lt;0,"NM",(AD35/Z35-1)*100)</f>
        <v>85.706250465381672</v>
      </c>
      <c r="AF35" s="39">
        <f>AF$11</f>
        <v>47.583611985530716</v>
      </c>
      <c r="AG35" s="27"/>
      <c r="AH35" s="41">
        <f>AH11+AH17-AH23-AH29</f>
        <v>12.359745999999998</v>
      </c>
      <c r="AI35" s="33">
        <f>IF(AD35&lt;0,"NM",(AH35/AD35-1)*100)</f>
        <v>-15.285764261482315</v>
      </c>
      <c r="AJ35" s="39">
        <f>AJ$11</f>
        <v>39.753072605185324</v>
      </c>
      <c r="AK35" s="27"/>
      <c r="AL35" s="41">
        <f>AL11+AL17-AL23-AL29</f>
        <v>7.2885209999999958</v>
      </c>
      <c r="AM35" s="33">
        <f>IF(AH35&lt;0,"NM",(AL35/AH35-1)*100)</f>
        <v>-41.030171655631129</v>
      </c>
      <c r="AN35" s="39">
        <f>AN$11</f>
        <v>38.673605903560258</v>
      </c>
      <c r="AO35" s="27"/>
      <c r="AP35" s="41">
        <f>AP11+AP17-AP23-AP29</f>
        <v>8.7040000000000006</v>
      </c>
      <c r="AQ35" s="33">
        <f>(AP35/AL35-1)*100</f>
        <v>19.420661612966541</v>
      </c>
      <c r="AR35" s="39">
        <f>AR$11</f>
        <v>46.893551965389335</v>
      </c>
      <c r="AS35" s="27"/>
      <c r="AT35" s="41">
        <f>AT11+AT17-AT23-AT29</f>
        <v>6.1409999999999911</v>
      </c>
      <c r="AU35" s="33">
        <f>(AT35/AP35-1)*100</f>
        <v>-29.446231617647168</v>
      </c>
      <c r="AV35" s="39">
        <f>AV$11</f>
        <v>34.603382698701182</v>
      </c>
      <c r="AW35" s="27"/>
      <c r="AX35" s="41">
        <f>AX11+AX17-AX23-AX29</f>
        <v>19.823999999999998</v>
      </c>
      <c r="AY35" s="33">
        <f>(AX35/AT35-1)*100</f>
        <v>222.81387396189589</v>
      </c>
      <c r="AZ35" s="39">
        <f>AZ$11</f>
        <v>17.639133921411386</v>
      </c>
      <c r="BA35" s="27"/>
      <c r="BB35" s="41">
        <f>BB11+BB17-BB23-BB29</f>
        <v>26.296000000000021</v>
      </c>
      <c r="BC35" s="33">
        <f>(BB35/AX35-1)*100</f>
        <v>32.64729620661835</v>
      </c>
      <c r="BD35" s="39">
        <f>+BD29</f>
        <v>8.0847466870262341</v>
      </c>
      <c r="BE35" s="27"/>
      <c r="BF35" s="41">
        <f>BF11+BF17-BF23-BF29</f>
        <v>73.290999999999968</v>
      </c>
      <c r="BG35" s="33">
        <f>(BF35/BB35-1)*100</f>
        <v>178.71539397626984</v>
      </c>
      <c r="BH35" s="39">
        <f>+BH29</f>
        <v>-7.0662731148616214</v>
      </c>
      <c r="BI35" s="27"/>
      <c r="BJ35" s="41">
        <f>BJ11+BJ17-BJ23-BJ29</f>
        <v>-13.555000000000007</v>
      </c>
      <c r="BK35" s="33">
        <f>(BJ35/BF35-1)*100</f>
        <v>-118.49476743392779</v>
      </c>
      <c r="BL35" s="39">
        <f>+BL29</f>
        <v>3.6269366118977908</v>
      </c>
      <c r="BM35" s="27"/>
      <c r="BN35" s="41">
        <f>BN11+BN17-BN23-BN29</f>
        <v>-3.9639999999999844</v>
      </c>
      <c r="BO35" s="33">
        <f>(BN35/BJ35-1)*100</f>
        <v>-70.756178531907182</v>
      </c>
      <c r="BP35" s="39">
        <f>BP11</f>
        <v>10.831954085945949</v>
      </c>
      <c r="BQ35" s="27"/>
      <c r="BR35" s="41">
        <f>BR11+BR17-BR23-BR29</f>
        <v>12.043999999999997</v>
      </c>
      <c r="BS35" s="33">
        <f>(BR35/BN35-1)*100</f>
        <v>-403.8345105953594</v>
      </c>
      <c r="BT35" s="39">
        <f>BT11</f>
        <v>18.489256553502376</v>
      </c>
      <c r="BU35" s="27"/>
      <c r="BV35" s="41">
        <f>BV11+BV17-BV23-BV29</f>
        <v>-47.400000000000034</v>
      </c>
      <c r="BW35" s="33">
        <f>(BV35/BR35-1)*100</f>
        <v>-493.55695782132221</v>
      </c>
      <c r="BX35" s="39">
        <f>BX11</f>
        <v>16.370144836603195</v>
      </c>
      <c r="BY35" s="39"/>
      <c r="BZ35" s="41">
        <f>BZ11+BZ17-BZ23-BZ29</f>
        <v>-11.28400000000002</v>
      </c>
      <c r="CA35" s="33">
        <f>(BZ35/BV35-1)*100</f>
        <v>-76.194092827004198</v>
      </c>
      <c r="CB35" s="39">
        <f>+CB29</f>
        <v>1.212518816559216</v>
      </c>
      <c r="CC35" s="39"/>
      <c r="CD35" s="41">
        <f>CD11+CD17-CD23-CD29</f>
        <v>-7.8199999999999648</v>
      </c>
      <c r="CE35" s="33">
        <f>(CD35/BZ35-1)*100</f>
        <v>-30.698333924140808</v>
      </c>
      <c r="CF35" s="39">
        <f>+CF29</f>
        <v>-0.11254759408347859</v>
      </c>
      <c r="CH35" s="41">
        <f>CH11+CH17-CH23-CH29</f>
        <v>76.452999999999975</v>
      </c>
      <c r="CI35" s="33">
        <f>(CH35/CD35-1)*100</f>
        <v>-1077.6598465473187</v>
      </c>
      <c r="CJ35" s="39">
        <f>+CJ29</f>
        <v>1.6571307023114379</v>
      </c>
      <c r="CL35" s="41">
        <f>CL11+CL17-CL23-CL29</f>
        <v>11.923999999999978</v>
      </c>
      <c r="CM35" s="33">
        <f>(CL35/CH35-1)*100</f>
        <v>-84.403489725713854</v>
      </c>
      <c r="CN35" s="39">
        <f>'qtrP&amp;L'!CO11</f>
        <v>-3.607304066727024</v>
      </c>
      <c r="CP35" s="41">
        <f>CP11+CP17-CP23-CP29</f>
        <v>35.466000000000008</v>
      </c>
      <c r="CQ35" s="33">
        <f>(CP35/CL35-1)*100</f>
        <v>197.43374706474398</v>
      </c>
      <c r="CR35" s="39">
        <f>'qtrP&amp;L'!CS11</f>
        <v>-8.9897944416829638</v>
      </c>
      <c r="CT35" s="41"/>
      <c r="CU35" s="33"/>
      <c r="CV35" s="39"/>
    </row>
    <row r="36" spans="1:100">
      <c r="A36" s="27" t="str">
        <f>$A$12</f>
        <v>3Q</v>
      </c>
      <c r="B36" s="27" t="str">
        <f>$B$12</f>
        <v>Oct</v>
      </c>
      <c r="C36" s="27"/>
      <c r="D36" s="41">
        <f>D12+D18-D24-D30</f>
        <v>2.3324179999999992</v>
      </c>
      <c r="E36" s="41"/>
      <c r="F36" s="41">
        <f>F12+F18-F24-F30</f>
        <v>4.5625170000000015</v>
      </c>
      <c r="G36" s="33">
        <f>IF(B36&lt;0,"NM",(F36/D36-1)*100)</f>
        <v>95.613179112834956</v>
      </c>
      <c r="H36" s="39">
        <f>H$12</f>
        <v>-4.3749033600026799E-2</v>
      </c>
      <c r="I36" s="86"/>
      <c r="J36" s="41">
        <f>J12+J18-J24-J30</f>
        <v>3.5251870000000003</v>
      </c>
      <c r="K36" s="33">
        <f>IF(F36&lt;0,"NM",(J36/F36-1)*100)</f>
        <v>-22.735915285356768</v>
      </c>
      <c r="L36" s="39">
        <f>L$12</f>
        <v>3.000697553350129</v>
      </c>
      <c r="M36" s="86"/>
      <c r="N36" s="41">
        <f>N12+N18-N24-N30</f>
        <v>4.1904270000000006</v>
      </c>
      <c r="O36" s="33">
        <f>IF(J36&lt;0,"NM",(N36/J36-1)*100)</f>
        <v>18.87105563477909</v>
      </c>
      <c r="P36" s="39">
        <f>P$12</f>
        <v>20.322113283291145</v>
      </c>
      <c r="Q36" s="86"/>
      <c r="R36" s="41">
        <f>R12+R18-R24-R30</f>
        <v>3.4959680000000004</v>
      </c>
      <c r="S36" s="33">
        <f>IF(N36&lt;0,"NM",(R36/N36-1)*100)</f>
        <v>-16.572511584141669</v>
      </c>
      <c r="T36" s="39">
        <f>T$12</f>
        <v>41.381494653120555</v>
      </c>
      <c r="U36" s="86"/>
      <c r="V36" s="41">
        <f>V12+V18-V24-V30</f>
        <v>6.9025980000000029</v>
      </c>
      <c r="W36" s="33">
        <f>IF(R36&lt;0,"NM",(V36/R36-1)*100)</f>
        <v>97.444541826469873</v>
      </c>
      <c r="X36" s="39">
        <f>X$12</f>
        <v>49.543141888011455</v>
      </c>
      <c r="Y36" s="27"/>
      <c r="Z36" s="41">
        <f>Z12+Z18-Z24-Z30</f>
        <v>8.6353699999999982</v>
      </c>
      <c r="AA36" s="33">
        <f>IF(V36&lt;0,"NM",(Z36/V36-1)*100)</f>
        <v>25.103185785989488</v>
      </c>
      <c r="AB36" s="39">
        <f>AB$12</f>
        <v>72.437405638407057</v>
      </c>
      <c r="AC36" s="27"/>
      <c r="AD36" s="41">
        <f>AD12+AD18-AD24-AD30</f>
        <v>15.589384000000003</v>
      </c>
      <c r="AE36" s="33">
        <f>IF(Z36&lt;0,"NM",(AD36/Z36-1)*100)</f>
        <v>80.529427227785334</v>
      </c>
      <c r="AF36" s="39">
        <f>AF$12</f>
        <v>36.218987801402669</v>
      </c>
      <c r="AG36" s="27"/>
      <c r="AH36" s="41">
        <f>AH12+AH18-AH24-AH30</f>
        <v>9.3012659999999983</v>
      </c>
      <c r="AI36" s="33">
        <f>IF(AD36&lt;0,"NM",(AH36/AD36-1)*100)</f>
        <v>-40.335897813537748</v>
      </c>
      <c r="AJ36" s="39">
        <f>AJ$12</f>
        <v>46.056291781266047</v>
      </c>
      <c r="AK36" s="27"/>
      <c r="AL36" s="41">
        <f>AL12+AL18-AL24-AL30</f>
        <v>9.3729999999999905</v>
      </c>
      <c r="AM36" s="33">
        <f>IF(AH36&lt;0,"NM",(AL36/AH36-1)*100)</f>
        <v>0.77122834676475183</v>
      </c>
      <c r="AN36" s="39">
        <f>AN$12</f>
        <v>53.407782808576073</v>
      </c>
      <c r="AO36" s="27"/>
      <c r="AP36" s="41">
        <f>AP12+AP18-AP24-AP30</f>
        <v>9.3759999999999977</v>
      </c>
      <c r="AQ36" s="33">
        <f>(AP36/AL36-1)*100</f>
        <v>3.2006828123409825E-2</v>
      </c>
      <c r="AR36" s="39">
        <f>AR$12</f>
        <v>28.116199440563449</v>
      </c>
      <c r="AS36" s="27"/>
      <c r="AT36" s="41">
        <f>AT12+AT18-AT24-AT30</f>
        <v>-10.793999999999983</v>
      </c>
      <c r="AU36" s="33">
        <f>(AT36/AP36-1)*100</f>
        <v>-215.12372013651859</v>
      </c>
      <c r="AV36" s="39">
        <f>AV$12</f>
        <v>32.950665930245052</v>
      </c>
      <c r="AW36" s="27"/>
      <c r="AX36" s="41">
        <f>AX12+AX18-AX24-AX30</f>
        <v>29.926000000000002</v>
      </c>
      <c r="AY36" s="33">
        <f>(AX36/AT36-1)*100</f>
        <v>-377.24661849175516</v>
      </c>
      <c r="AZ36" s="39">
        <f>+AZ$12</f>
        <v>12.143364978461779</v>
      </c>
      <c r="BA36" s="27"/>
      <c r="BB36" s="41">
        <f>BB12+BB18-BB24-BB30</f>
        <v>35.890999999999991</v>
      </c>
      <c r="BC36" s="33">
        <f>(BB36/AX36-1)*100</f>
        <v>19.93250016707875</v>
      </c>
      <c r="BD36" s="39">
        <f>+BD$12</f>
        <v>3.4046129098824318</v>
      </c>
      <c r="BE36" s="27"/>
      <c r="BF36" s="41">
        <f>BF12+BF18-BF24-BF30</f>
        <v>102.92099999999998</v>
      </c>
      <c r="BG36" s="33">
        <f>(BF36/BB36-1)*100</f>
        <v>186.75991195564347</v>
      </c>
      <c r="BH36" s="39">
        <f>+BH$12</f>
        <v>-5.2102242536299688</v>
      </c>
      <c r="BI36" s="27"/>
      <c r="BJ36" s="41">
        <f>BJ12+BJ18-BJ24-BJ30</f>
        <v>-22.028000000000006</v>
      </c>
      <c r="BK36" s="33">
        <f>(BJ36/BF36-1)*100</f>
        <v>-121.40282352483945</v>
      </c>
      <c r="BL36" s="39">
        <f>+BL$12</f>
        <v>13.347098109541577</v>
      </c>
      <c r="BM36" s="27"/>
      <c r="BN36" s="41">
        <f>BN12+BN18-BN24-BN30</f>
        <v>25.587000000000003</v>
      </c>
      <c r="BO36" s="33">
        <f>(BN36/BJ36-1)*100</f>
        <v>-216.15670964227346</v>
      </c>
      <c r="BP36" s="39">
        <f>+BP30</f>
        <v>8.0917417642543565</v>
      </c>
      <c r="BQ36" s="27"/>
      <c r="BR36" s="41">
        <f>BR12+BR18-BR24-BR30</f>
        <v>45.326000000000022</v>
      </c>
      <c r="BS36" s="33">
        <f>(BR36/BN36-1)*100</f>
        <v>77.144643764411683</v>
      </c>
      <c r="BT36" s="39">
        <f>+BT30</f>
        <v>11.495128586275595</v>
      </c>
      <c r="BU36" s="27"/>
      <c r="BV36" s="41">
        <f>BV12+BV18-BV24-BV30</f>
        <v>-24.650000000000006</v>
      </c>
      <c r="BW36" s="33">
        <f>(BV36/BR36-1)*100</f>
        <v>-154.38379737898777</v>
      </c>
      <c r="BX36" s="39">
        <f>BX12</f>
        <v>18.219242181726326</v>
      </c>
      <c r="BY36" s="39"/>
      <c r="BZ36" s="41">
        <f>BZ12+BZ18-BZ24-BZ30</f>
        <v>48.770999999999972</v>
      </c>
      <c r="CA36" s="33">
        <f>(BZ36/BV36-1)*100</f>
        <v>-297.85395537525341</v>
      </c>
      <c r="CB36" s="39">
        <f>+CB30</f>
        <v>2.9707931172594737</v>
      </c>
      <c r="CC36" s="39"/>
      <c r="CD36" s="41">
        <f>CD12+CD18-CD24-CD30</f>
        <v>37.682999999999993</v>
      </c>
      <c r="CE36" s="33">
        <f>(CD36/BZ36-1)*100</f>
        <v>-22.734821922863969</v>
      </c>
      <c r="CF36" s="39">
        <f>+CF30</f>
        <v>-1.5372670570594771</v>
      </c>
      <c r="CH36" s="41">
        <f>CH12+CH18-CH24-CH30</f>
        <v>79.190000000000026</v>
      </c>
      <c r="CI36" s="33">
        <f>(CH36/CD36-1)*100</f>
        <v>110.14781201072114</v>
      </c>
      <c r="CJ36" s="39">
        <f>+CJ30</f>
        <v>-2.9071992142537306</v>
      </c>
      <c r="CL36" s="41">
        <f>CL12+CL18-CL24-CL30</f>
        <v>52.25800000000001</v>
      </c>
      <c r="CM36" s="33">
        <f>(CL36/CH36-1)*100</f>
        <v>-34.009344614218975</v>
      </c>
      <c r="CN36" s="39">
        <f>'qtrP&amp;L'!CO12</f>
        <v>-4.7584704859310545</v>
      </c>
      <c r="CP36" s="41">
        <f>CP12+CP18-CP24-CP30</f>
        <v>60.400000000000006</v>
      </c>
      <c r="CQ36" s="33">
        <f>(CP36/CL36-1)*100</f>
        <v>15.580389605419253</v>
      </c>
      <c r="CR36" s="39">
        <f>'qtrP&amp;L'!CS12</f>
        <v>-10.826553997909238</v>
      </c>
      <c r="CT36" s="40"/>
      <c r="CU36" s="33"/>
      <c r="CV36" s="39"/>
    </row>
    <row r="37" spans="1:100">
      <c r="A37" s="27" t="str">
        <f>$A$13</f>
        <v>4Q</v>
      </c>
      <c r="B37" s="27" t="str">
        <f>$B$13</f>
        <v>Jan</v>
      </c>
      <c r="C37" s="27"/>
      <c r="D37" s="41">
        <f>D13+D19-D25-D31</f>
        <v>3.0182310000000001</v>
      </c>
      <c r="E37" s="41"/>
      <c r="F37" s="41">
        <f>F13+F19-F25-F31</f>
        <v>4.0885379999999998</v>
      </c>
      <c r="G37" s="33">
        <f>IF(B37&lt;0,"NM",(F37/D37-1)*100)</f>
        <v>35.461401065723599</v>
      </c>
      <c r="H37" s="39">
        <f>H$13</f>
        <v>5.6290968527330065</v>
      </c>
      <c r="I37" s="86"/>
      <c r="J37" s="41">
        <f>J13+J19-J25-J31</f>
        <v>3.897815</v>
      </c>
      <c r="K37" s="33">
        <f>IF(F37&lt;0,"NM",(J37/F37-1)*100)</f>
        <v>-4.6648215083240014</v>
      </c>
      <c r="L37" s="39">
        <f>L$13</f>
        <v>0.5546272620925663</v>
      </c>
      <c r="M37" s="86"/>
      <c r="N37" s="41">
        <f>N13+N19-N25-N31</f>
        <v>5.991727</v>
      </c>
      <c r="O37" s="33">
        <f>IF(J37&lt;0,"NM",(N37/J37-1)*100)</f>
        <v>53.720148339518417</v>
      </c>
      <c r="P37" s="39">
        <f>P$13</f>
        <v>17.675304094952526</v>
      </c>
      <c r="Q37" s="86"/>
      <c r="R37" s="41">
        <f>R13+R19-R25-R31</f>
        <v>5.243714999999999</v>
      </c>
      <c r="S37" s="33">
        <f>IF(N37&lt;0,"NM",(R37/N37-1)*100)</f>
        <v>-12.48408013248936</v>
      </c>
      <c r="T37" s="39">
        <f>T$13</f>
        <v>51.759161738357797</v>
      </c>
      <c r="U37" s="86"/>
      <c r="V37" s="41">
        <f>V13+V19-V25-V31</f>
        <v>7.5049750000000017</v>
      </c>
      <c r="W37" s="33">
        <f>IF(R37&lt;0,"NM",(V37/R37-1)*100)</f>
        <v>43.1232437308283</v>
      </c>
      <c r="X37" s="39">
        <f>X$13</f>
        <v>56.34990977815653</v>
      </c>
      <c r="Y37" s="27"/>
      <c r="Z37" s="41">
        <f>Z13+Z19-Z25-Z31</f>
        <v>3.7564040000000016</v>
      </c>
      <c r="AA37" s="33">
        <f>IF(V37&lt;0,"NM",(Z37/V37-1)*100)</f>
        <v>-49.947814616304512</v>
      </c>
      <c r="AB37" s="39">
        <f>AB$13</f>
        <v>74.951006067132226</v>
      </c>
      <c r="AC37" s="27"/>
      <c r="AD37" s="41">
        <f>AD13+AD19-AD25-AD31</f>
        <v>4.5460399999999979</v>
      </c>
      <c r="AE37" s="33">
        <f>IF(Z37&lt;0,"NM",(AD37/Z37-1)*100)</f>
        <v>21.021061632348271</v>
      </c>
      <c r="AF37" s="39">
        <f>AF$13</f>
        <v>38.643373960552353</v>
      </c>
      <c r="AG37" s="27"/>
      <c r="AH37" s="41">
        <f>AH13+AH19-AH25-AH31</f>
        <v>5.7925460000000015</v>
      </c>
      <c r="AI37" s="33">
        <f>IF(AD37&lt;0,"NM",(AH37/AD37-1)*100)</f>
        <v>27.419600355474305</v>
      </c>
      <c r="AJ37" s="39">
        <f>AJ$13</f>
        <v>36.439837187251037</v>
      </c>
      <c r="AK37" s="27"/>
      <c r="AL37" s="41">
        <f>AL13+AL19-AL25-AL31</f>
        <v>5.862000000000009</v>
      </c>
      <c r="AM37" s="33">
        <f>IF(AH37&lt;0,"NM",(AL37/AH37-1)*100)</f>
        <v>1.1990237108174373</v>
      </c>
      <c r="AN37" s="39">
        <f>AN$13</f>
        <v>55.798553234807471</v>
      </c>
      <c r="AO37" s="27"/>
      <c r="AP37" s="41">
        <f>AP13+AP19-AP25-AP31</f>
        <v>3.6270000000000024</v>
      </c>
      <c r="AQ37" s="33">
        <f>(AP37/AL37-1)*100</f>
        <v>-38.126919140225233</v>
      </c>
      <c r="AR37" s="39">
        <f>AR$13</f>
        <v>32.500730827946867</v>
      </c>
      <c r="AS37" s="27"/>
      <c r="AT37" s="41">
        <f>AT13+AT19-AT25-AT31</f>
        <v>6.4650000000000176</v>
      </c>
      <c r="AU37" s="33">
        <f>(AT37/AP37-1)*100</f>
        <v>78.246484698097959</v>
      </c>
      <c r="AV37" s="39">
        <f>AV$13</f>
        <v>31.580698369117965</v>
      </c>
      <c r="AW37" s="27"/>
      <c r="AX37" s="41">
        <f>AX13+AX19-AX25-AX31</f>
        <v>19.53</v>
      </c>
      <c r="AY37" s="33">
        <f>(AX37/AT37-1)*100</f>
        <v>202.08816705336346</v>
      </c>
      <c r="AZ37" s="39">
        <f>+AZ$13</f>
        <v>18.337902217017522</v>
      </c>
      <c r="BA37" s="27"/>
      <c r="BB37" s="41">
        <f>BB13+BB19-BB25-BB31</f>
        <v>8.7340000000000089</v>
      </c>
      <c r="BC37" s="33">
        <f>(BB37/AX37-1)*100</f>
        <v>-55.279057859702974</v>
      </c>
      <c r="BD37" s="39">
        <f>+BD$13</f>
        <v>-7.9468143246872014</v>
      </c>
      <c r="BE37" s="27"/>
      <c r="BF37" s="41">
        <f>BF13+BF19-BF25-BF31</f>
        <v>60.979000000000013</v>
      </c>
      <c r="BG37" s="33">
        <f>(BF37/BB37-1)*100</f>
        <v>598.17952828028331</v>
      </c>
      <c r="BH37" s="39">
        <f>+BH$13</f>
        <v>-8.7755346362177082</v>
      </c>
      <c r="BI37" s="27"/>
      <c r="BJ37" s="41">
        <f>BJ13+BJ19-BJ25-BJ31</f>
        <v>1.3559999999999945</v>
      </c>
      <c r="BK37" s="33">
        <f>(BJ37/BF37-1)*100</f>
        <v>-97.776283638629707</v>
      </c>
      <c r="BL37" s="39">
        <f>+BL$13</f>
        <v>16.699118054309437</v>
      </c>
      <c r="BM37" s="27"/>
      <c r="BN37" s="41">
        <f>BN13+BN19-BN25-BN31</f>
        <v>-13.226000000000013</v>
      </c>
      <c r="BO37" s="33">
        <f>(BN37/BJ37-1)*100</f>
        <v>-1075.3687315634265</v>
      </c>
      <c r="BP37" s="39">
        <f>+BP31</f>
        <v>9.006494847726799</v>
      </c>
      <c r="BQ37" s="27"/>
      <c r="BR37" s="41">
        <f>BR13+BR19-BR25-BR31</f>
        <v>11.463999999999999</v>
      </c>
      <c r="BS37" s="33">
        <f>(BR37/BN37-1)*100</f>
        <v>-186.6777559352789</v>
      </c>
      <c r="BT37" s="39">
        <f>+BT31</f>
        <v>19.839612273513918</v>
      </c>
      <c r="BU37" s="27"/>
      <c r="BV37" s="41">
        <f>BV13+BV19-BV25-BV31</f>
        <v>-33.77600000000001</v>
      </c>
      <c r="BW37" s="33">
        <f>(BV37/BR37-1)*100</f>
        <v>-394.62665736217735</v>
      </c>
      <c r="BX37" s="39">
        <f>BX13</f>
        <v>14.519498179045588</v>
      </c>
      <c r="BY37" s="39"/>
      <c r="BZ37" s="41">
        <f>BZ13+BZ19-BZ25-BZ31</f>
        <v>15.51600000000002</v>
      </c>
      <c r="CA37" s="33">
        <f>(BZ37/BV37-1)*100</f>
        <v>-145.93794410232121</v>
      </c>
      <c r="CB37" s="39">
        <f>+CB31</f>
        <v>-6.384875117549516</v>
      </c>
      <c r="CC37" s="39"/>
      <c r="CD37" s="41">
        <f>CD13+CD19-CD25-CD31</f>
        <v>-16.682999999999964</v>
      </c>
      <c r="CE37" s="33">
        <f>(CD37/BZ37-1)*100</f>
        <v>-207.52126836813574</v>
      </c>
      <c r="CF37" s="39">
        <f>+CF31</f>
        <v>4.3113040428820026</v>
      </c>
      <c r="CH37" s="41">
        <f>CH13+CH19-CH25-CH31</f>
        <v>7.8880000000000052</v>
      </c>
      <c r="CI37" s="33">
        <f>(CH37/CD37-1)*100</f>
        <v>-147.28166396931019</v>
      </c>
      <c r="CJ37" s="39">
        <f>+CJ31</f>
        <v>-3.4062167146865385</v>
      </c>
      <c r="CL37" s="41">
        <f>CL13+CL19-CL25-CL31</f>
        <v>-1.4890000000000043</v>
      </c>
      <c r="CM37" s="33">
        <f>(CL37/CH37-1)*100</f>
        <v>-118.87677484787022</v>
      </c>
      <c r="CN37" s="39">
        <f>'qtrP&amp;L'!CO13</f>
        <v>-2.2884884363920333</v>
      </c>
    </row>
    <row r="38" spans="1:100">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7"/>
      <c r="BR38" s="27"/>
      <c r="BS38" s="27"/>
      <c r="BT38" s="27"/>
      <c r="BU38" s="27"/>
      <c r="BV38" s="27"/>
      <c r="BW38" s="27"/>
      <c r="BX38" s="27"/>
      <c r="BY38" s="27"/>
      <c r="BZ38" s="27"/>
      <c r="CC38" s="27"/>
    </row>
    <row r="39" spans="1:100">
      <c r="A39" s="119" t="s">
        <v>128</v>
      </c>
      <c r="B39" s="30"/>
      <c r="C39" s="27"/>
      <c r="D39" s="27"/>
      <c r="E39" s="27"/>
      <c r="F39" s="27"/>
      <c r="G39" s="27"/>
      <c r="H39" s="27"/>
      <c r="I39" s="27"/>
      <c r="J39" s="27"/>
      <c r="K39" s="27"/>
      <c r="L39" s="27"/>
      <c r="M39" s="27"/>
      <c r="N39" s="88"/>
      <c r="O39" s="27"/>
      <c r="P39" s="27"/>
      <c r="Q39" s="27"/>
      <c r="R39" s="27"/>
      <c r="S39" s="27"/>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7"/>
      <c r="BO39" s="27"/>
      <c r="BP39" s="27"/>
      <c r="BQ39" s="27"/>
      <c r="BR39" s="27"/>
      <c r="BS39" s="27"/>
      <c r="BT39" s="27"/>
      <c r="BU39" s="27"/>
      <c r="BV39" s="27"/>
      <c r="BW39" s="27"/>
      <c r="BX39" s="27"/>
      <c r="BY39" s="27"/>
      <c r="BZ39" s="27"/>
      <c r="CC39" s="27"/>
    </row>
    <row r="40" spans="1:100">
      <c r="A40" s="27" t="str">
        <f>$A$10</f>
        <v>1Q</v>
      </c>
      <c r="B40" s="27" t="str">
        <f>$B$10</f>
        <v>Apr</v>
      </c>
      <c r="C40" s="27"/>
      <c r="D40" s="40"/>
      <c r="E40" s="27"/>
      <c r="F40" s="40">
        <f>F34-D34</f>
        <v>-2.2715449999999997</v>
      </c>
      <c r="G40" s="33"/>
      <c r="H40" s="39"/>
      <c r="I40" s="86"/>
      <c r="J40" s="40">
        <f>J34-F34</f>
        <v>0.96441500000000113</v>
      </c>
      <c r="K40" s="33"/>
      <c r="L40" s="39"/>
      <c r="M40" s="86"/>
      <c r="N40" s="40">
        <f>N34-J34</f>
        <v>0.58348899999999926</v>
      </c>
      <c r="O40" s="33"/>
      <c r="P40" s="39"/>
      <c r="Q40" s="86"/>
      <c r="R40" s="40">
        <f>R34-N34</f>
        <v>-1.2880050000000005</v>
      </c>
      <c r="S40" s="33"/>
      <c r="T40" s="39"/>
      <c r="U40" s="86"/>
      <c r="V40" s="40">
        <f>V34-R34</f>
        <v>0.15130700000000097</v>
      </c>
      <c r="W40" s="33"/>
      <c r="X40" s="39"/>
      <c r="Y40" s="27"/>
      <c r="Z40" s="40">
        <f>Z34-V34</f>
        <v>-1.9371429999999989</v>
      </c>
      <c r="AA40" s="33"/>
      <c r="AB40" s="39"/>
      <c r="AC40" s="27"/>
      <c r="AD40" s="40">
        <f>AD34-Z34</f>
        <v>9.417802</v>
      </c>
      <c r="AE40" s="33"/>
      <c r="AF40" s="39"/>
      <c r="AG40" s="27"/>
      <c r="AH40" s="40">
        <f>AH34-AD34</f>
        <v>-11.451755999999998</v>
      </c>
      <c r="AI40" s="33"/>
      <c r="AJ40" s="39"/>
      <c r="AK40" s="27"/>
      <c r="AL40" s="40">
        <f>AL34-AH34</f>
        <v>2.3714220000000026</v>
      </c>
      <c r="AM40" s="33"/>
      <c r="AN40" s="39"/>
      <c r="AO40" s="27"/>
      <c r="AP40" s="40">
        <f>AP34-AL34</f>
        <v>7.4019779999999855</v>
      </c>
      <c r="AQ40" s="33"/>
      <c r="AR40" s="39"/>
      <c r="AS40" s="27"/>
      <c r="AT40" s="40">
        <f>AT34-AP34</f>
        <v>-16.350000000000001</v>
      </c>
      <c r="AU40" s="33"/>
      <c r="AV40" s="39"/>
      <c r="AW40" s="27"/>
      <c r="AX40" s="40">
        <f>AX34-AT34</f>
        <v>4.0270000000000152</v>
      </c>
      <c r="AY40" s="33"/>
      <c r="AZ40" s="39"/>
      <c r="BA40" s="27"/>
      <c r="BB40" s="40">
        <f>BB34-AX34</f>
        <v>6.9039999999999822</v>
      </c>
      <c r="BC40" s="33"/>
      <c r="BD40" s="39"/>
      <c r="BE40" s="27"/>
      <c r="BF40" s="40">
        <f>BF34-BB34</f>
        <v>41.983999999999995</v>
      </c>
      <c r="BG40" s="33"/>
      <c r="BH40" s="39"/>
      <c r="BI40" s="27"/>
      <c r="BJ40" s="40">
        <f>BJ34-BF34</f>
        <v>3.0370000000000203</v>
      </c>
      <c r="BK40" s="33"/>
      <c r="BL40" s="39"/>
      <c r="BM40" s="27"/>
      <c r="BN40" s="40">
        <f>BN34-BJ34</f>
        <v>-74.701999999999998</v>
      </c>
      <c r="BO40" s="33"/>
      <c r="BP40" s="39"/>
      <c r="BQ40" s="27"/>
      <c r="BR40" s="40">
        <f>BR34-BN34</f>
        <v>21.003999999999991</v>
      </c>
      <c r="BS40" s="33"/>
      <c r="BT40" s="39"/>
      <c r="BU40" s="27"/>
      <c r="BV40" s="40">
        <f>BV34-BR34</f>
        <v>-41.271000000000015</v>
      </c>
      <c r="BW40" s="33"/>
      <c r="BX40" s="39"/>
      <c r="BY40" s="39"/>
      <c r="BZ40" s="40">
        <f>BZ34-BV34</f>
        <v>34.647000000000048</v>
      </c>
      <c r="CC40" s="39"/>
      <c r="CD40" s="40">
        <f>CD34-BZ34</f>
        <v>29.655999999999921</v>
      </c>
      <c r="CH40" s="40">
        <f>CH34-CD34</f>
        <v>-10.967999999999989</v>
      </c>
      <c r="CL40" s="40">
        <f>CL34-CH34</f>
        <v>40.447000000000031</v>
      </c>
      <c r="CP40" s="40">
        <f>CP34-CL34</f>
        <v>-9.1280000000000143</v>
      </c>
      <c r="CT40" s="40"/>
    </row>
    <row r="41" spans="1:100">
      <c r="A41" s="27" t="str">
        <f>$A$11</f>
        <v>2Q</v>
      </c>
      <c r="B41" s="27" t="str">
        <f>$B$11</f>
        <v>Jul</v>
      </c>
      <c r="C41" s="27"/>
      <c r="D41" s="41"/>
      <c r="E41" s="41"/>
      <c r="F41" s="41">
        <f>F35-D35</f>
        <v>-1.0091710000000007</v>
      </c>
      <c r="G41" s="41"/>
      <c r="H41" s="41"/>
      <c r="I41" s="41"/>
      <c r="J41" s="41">
        <f>J35-F35</f>
        <v>-0.18769799999999881</v>
      </c>
      <c r="K41" s="41"/>
      <c r="L41" s="41"/>
      <c r="M41" s="41"/>
      <c r="N41" s="41">
        <f>N35-J35</f>
        <v>-5.0533999999999857E-2</v>
      </c>
      <c r="O41" s="41"/>
      <c r="P41" s="41"/>
      <c r="Q41" s="41"/>
      <c r="R41" s="41">
        <f>R35-N35</f>
        <v>2.2815480000000012</v>
      </c>
      <c r="S41" s="41"/>
      <c r="T41" s="41"/>
      <c r="U41" s="41"/>
      <c r="V41" s="41">
        <f>V35-R35</f>
        <v>2.3729959999999979</v>
      </c>
      <c r="W41" s="86"/>
      <c r="X41" s="86"/>
      <c r="Y41" s="27"/>
      <c r="Z41" s="41">
        <f>Z35-V35</f>
        <v>1.2598509999999994</v>
      </c>
      <c r="AA41" s="86"/>
      <c r="AB41" s="86"/>
      <c r="AC41" s="27"/>
      <c r="AD41" s="41">
        <f>AD35-Z35</f>
        <v>6.733473</v>
      </c>
      <c r="AE41" s="86"/>
      <c r="AF41" s="86"/>
      <c r="AG41" s="27"/>
      <c r="AH41" s="41">
        <f>AH35-AD35</f>
        <v>-2.230182000000001</v>
      </c>
      <c r="AI41" s="86"/>
      <c r="AJ41" s="86"/>
      <c r="AK41" s="27"/>
      <c r="AL41" s="41">
        <f>AL35-AH35</f>
        <v>-5.0712250000000019</v>
      </c>
      <c r="AM41" s="86"/>
      <c r="AN41" s="86"/>
      <c r="AO41" s="27"/>
      <c r="AP41" s="41">
        <f>AP35-AL35</f>
        <v>1.4154790000000048</v>
      </c>
      <c r="AQ41" s="86"/>
      <c r="AR41" s="86"/>
      <c r="AS41" s="27"/>
      <c r="AT41" s="41">
        <f>AT35-AP35</f>
        <v>-2.5630000000000095</v>
      </c>
      <c r="AU41" s="86"/>
      <c r="AV41" s="86"/>
      <c r="AW41" s="27"/>
      <c r="AX41" s="41">
        <f>AX35-AT35</f>
        <v>13.683000000000007</v>
      </c>
      <c r="AY41" s="86"/>
      <c r="AZ41" s="86"/>
      <c r="BA41" s="27"/>
      <c r="BB41" s="41">
        <f>BB35-AX35</f>
        <v>6.4720000000000226</v>
      </c>
      <c r="BC41" s="86"/>
      <c r="BD41" s="86"/>
      <c r="BE41" s="27"/>
      <c r="BF41" s="41">
        <f>BF35-BB35</f>
        <v>46.994999999999948</v>
      </c>
      <c r="BG41" s="86"/>
      <c r="BH41" s="86"/>
      <c r="BI41" s="27"/>
      <c r="BJ41" s="41">
        <f>BJ35-BF35</f>
        <v>-86.845999999999975</v>
      </c>
      <c r="BK41" s="86"/>
      <c r="BL41" s="86"/>
      <c r="BM41" s="27"/>
      <c r="BN41" s="41">
        <f>BN35-BJ35</f>
        <v>9.5910000000000224</v>
      </c>
      <c r="BO41" s="86"/>
      <c r="BP41" s="86"/>
      <c r="BQ41" s="27"/>
      <c r="BR41" s="41">
        <f>BR35-BN35</f>
        <v>16.007999999999981</v>
      </c>
      <c r="BS41" s="86"/>
      <c r="BT41" s="86"/>
      <c r="BU41" s="27"/>
      <c r="BV41" s="41">
        <f>BV35-BR35</f>
        <v>-59.444000000000031</v>
      </c>
      <c r="BW41" s="86"/>
      <c r="BX41" s="86"/>
      <c r="BY41" s="86"/>
      <c r="BZ41" s="41">
        <f>BZ35-BV35</f>
        <v>36.116000000000014</v>
      </c>
      <c r="CC41" s="86"/>
      <c r="CD41" s="41">
        <f>CD35-BZ35</f>
        <v>3.4640000000000555</v>
      </c>
      <c r="CH41" s="40">
        <f>CH35-CD35</f>
        <v>84.272999999999939</v>
      </c>
      <c r="CL41" s="40">
        <f>CL35-CH35</f>
        <v>-64.528999999999996</v>
      </c>
      <c r="CP41" s="40">
        <f>CP35-CL35</f>
        <v>23.54200000000003</v>
      </c>
      <c r="CT41" s="40"/>
    </row>
    <row r="42" spans="1:100">
      <c r="A42" s="27" t="str">
        <f>$A$12</f>
        <v>3Q</v>
      </c>
      <c r="B42" s="27" t="str">
        <f>$B$12</f>
        <v>Oct</v>
      </c>
      <c r="C42" s="27"/>
      <c r="D42" s="41"/>
      <c r="E42" s="41"/>
      <c r="F42" s="41">
        <f>F36-D36</f>
        <v>2.2300990000000023</v>
      </c>
      <c r="G42" s="41"/>
      <c r="H42" s="41"/>
      <c r="I42" s="41"/>
      <c r="J42" s="41">
        <f>J36-F36</f>
        <v>-1.0373300000000012</v>
      </c>
      <c r="K42" s="41"/>
      <c r="L42" s="41"/>
      <c r="M42" s="41"/>
      <c r="N42" s="41">
        <f>N36-J36</f>
        <v>0.66524000000000028</v>
      </c>
      <c r="O42" s="41"/>
      <c r="P42" s="41"/>
      <c r="Q42" s="41"/>
      <c r="R42" s="41">
        <f>R36-N36</f>
        <v>-0.69445900000000016</v>
      </c>
      <c r="S42" s="41"/>
      <c r="T42" s="41"/>
      <c r="U42" s="41"/>
      <c r="V42" s="41">
        <f>V36-R36</f>
        <v>3.4066300000000025</v>
      </c>
      <c r="W42" s="86"/>
      <c r="X42" s="86"/>
      <c r="Y42" s="27"/>
      <c r="Z42" s="41">
        <f>Z36-V36</f>
        <v>1.7327719999999953</v>
      </c>
      <c r="AA42" s="86"/>
      <c r="AB42" s="86"/>
      <c r="AC42" s="27"/>
      <c r="AD42" s="41">
        <f>AD36-Z36</f>
        <v>6.9540140000000044</v>
      </c>
      <c r="AE42" s="86"/>
      <c r="AF42" s="86"/>
      <c r="AG42" s="27"/>
      <c r="AH42" s="41">
        <f>AH36-AD36</f>
        <v>-6.2881180000000043</v>
      </c>
      <c r="AI42" s="86"/>
      <c r="AJ42" s="86"/>
      <c r="AK42" s="27"/>
      <c r="AL42" s="41">
        <f>AL36-AH36</f>
        <v>7.1733999999992193E-2</v>
      </c>
      <c r="AM42" s="86"/>
      <c r="AN42" s="86"/>
      <c r="AO42" s="27"/>
      <c r="AP42" s="41">
        <f>AP36-AL36</f>
        <v>3.0000000000072191E-3</v>
      </c>
      <c r="AQ42" s="86"/>
      <c r="AR42" s="86"/>
      <c r="AS42" s="27"/>
      <c r="AT42" s="41">
        <f>AT36-AP36</f>
        <v>-20.16999999999998</v>
      </c>
      <c r="AU42" s="86"/>
      <c r="AV42" s="86"/>
      <c r="AW42" s="27"/>
      <c r="AX42" s="41">
        <f>AX36-AT36</f>
        <v>40.719999999999985</v>
      </c>
      <c r="AY42" s="86"/>
      <c r="AZ42" s="86"/>
      <c r="BA42" s="27"/>
      <c r="BB42" s="41">
        <f>BB36-AX36</f>
        <v>5.9649999999999892</v>
      </c>
      <c r="BC42" s="86"/>
      <c r="BD42" s="86"/>
      <c r="BE42" s="27"/>
      <c r="BF42" s="41">
        <f>BF36-BB36</f>
        <v>67.029999999999987</v>
      </c>
      <c r="BG42" s="86"/>
      <c r="BH42" s="86"/>
      <c r="BI42" s="27"/>
      <c r="BJ42" s="41">
        <f>BJ36-BF36</f>
        <v>-124.94899999999998</v>
      </c>
      <c r="BK42" s="86"/>
      <c r="BL42" s="86"/>
      <c r="BM42" s="27"/>
      <c r="BN42" s="41">
        <f>BN36-BJ36</f>
        <v>47.615000000000009</v>
      </c>
      <c r="BO42" s="86"/>
      <c r="BP42" s="86"/>
      <c r="BQ42" s="27"/>
      <c r="BR42" s="41">
        <f>BR36-BN36</f>
        <v>19.739000000000019</v>
      </c>
      <c r="BS42" s="86"/>
      <c r="BT42" s="86"/>
      <c r="BU42" s="27"/>
      <c r="BV42" s="41">
        <f>BV36-BR36</f>
        <v>-69.976000000000028</v>
      </c>
      <c r="BW42" s="86"/>
      <c r="BX42" s="86"/>
      <c r="BY42" s="86"/>
      <c r="BZ42" s="41">
        <f>BZ36-BV36</f>
        <v>73.420999999999978</v>
      </c>
      <c r="CC42" s="86"/>
      <c r="CD42" s="41">
        <f>CD36-BZ36</f>
        <v>-11.08799999999998</v>
      </c>
      <c r="CH42" s="40">
        <f>CH36-CD36</f>
        <v>41.507000000000033</v>
      </c>
      <c r="CL42" s="40">
        <f>CL36-CH36</f>
        <v>-26.932000000000016</v>
      </c>
      <c r="CP42" s="40">
        <f>CP36-CL36</f>
        <v>8.1419999999999959</v>
      </c>
      <c r="CT42" s="40"/>
    </row>
    <row r="43" spans="1:100">
      <c r="A43" s="27" t="str">
        <f>$A$13</f>
        <v>4Q</v>
      </c>
      <c r="B43" s="27" t="str">
        <f>$B$13</f>
        <v>Jan</v>
      </c>
      <c r="C43" s="27"/>
      <c r="D43" s="41"/>
      <c r="E43" s="41"/>
      <c r="F43" s="41">
        <f>F37-D37</f>
        <v>1.0703069999999997</v>
      </c>
      <c r="G43" s="41"/>
      <c r="H43" s="41"/>
      <c r="I43" s="41"/>
      <c r="J43" s="41">
        <f>J37-F37</f>
        <v>-0.19072299999999975</v>
      </c>
      <c r="K43" s="41"/>
      <c r="L43" s="41"/>
      <c r="M43" s="41"/>
      <c r="N43" s="41">
        <f>N37-J37</f>
        <v>2.093912</v>
      </c>
      <c r="O43" s="41"/>
      <c r="P43" s="41"/>
      <c r="Q43" s="41"/>
      <c r="R43" s="41">
        <f>R37-N37</f>
        <v>-0.74801200000000101</v>
      </c>
      <c r="S43" s="41"/>
      <c r="T43" s="41"/>
      <c r="U43" s="41"/>
      <c r="V43" s="41">
        <f>V37-R37</f>
        <v>2.2612600000000027</v>
      </c>
      <c r="W43" s="86"/>
      <c r="X43" s="86"/>
      <c r="Y43" s="27"/>
      <c r="Z43" s="41">
        <f>Z37-V37</f>
        <v>-3.7485710000000001</v>
      </c>
      <c r="AA43" s="86"/>
      <c r="AB43" s="86"/>
      <c r="AC43" s="27"/>
      <c r="AD43" s="41">
        <f>AD37-Z37</f>
        <v>0.78963599999999623</v>
      </c>
      <c r="AE43" s="86"/>
      <c r="AF43" s="86"/>
      <c r="AG43" s="27"/>
      <c r="AH43" s="41">
        <f>AH37-AD37</f>
        <v>1.2465060000000037</v>
      </c>
      <c r="AI43" s="86"/>
      <c r="AJ43" s="86"/>
      <c r="AK43" s="27"/>
      <c r="AL43" s="41">
        <f>AL37-AH37</f>
        <v>6.9454000000007454E-2</v>
      </c>
      <c r="AM43" s="86"/>
      <c r="AN43" s="86"/>
      <c r="AO43" s="27"/>
      <c r="AP43" s="41">
        <f>AP37-AL37</f>
        <v>-2.2350000000000065</v>
      </c>
      <c r="AQ43" s="86"/>
      <c r="AR43" s="86"/>
      <c r="AS43" s="27"/>
      <c r="AT43" s="41">
        <f>AT37-AP37</f>
        <v>2.8380000000000152</v>
      </c>
      <c r="AU43" s="86"/>
      <c r="AV43" s="86"/>
      <c r="AW43" s="27"/>
      <c r="AX43" s="41">
        <f>AX37-AT37</f>
        <v>13.064999999999984</v>
      </c>
      <c r="AY43" s="86"/>
      <c r="AZ43" s="86"/>
      <c r="BA43" s="27"/>
      <c r="BB43" s="41">
        <f>BB37-AX37</f>
        <v>-10.795999999999992</v>
      </c>
      <c r="BC43" s="86"/>
      <c r="BD43" s="86"/>
      <c r="BE43" s="27"/>
      <c r="BF43" s="41">
        <f>BF37-BB37</f>
        <v>52.245000000000005</v>
      </c>
      <c r="BG43" s="86"/>
      <c r="BH43" s="86"/>
      <c r="BI43" s="27"/>
      <c r="BJ43" s="41">
        <f>BJ37-BF37</f>
        <v>-59.623000000000019</v>
      </c>
      <c r="BK43" s="86"/>
      <c r="BL43" s="86"/>
      <c r="BM43" s="27"/>
      <c r="BN43" s="41">
        <f>BN37-BJ37</f>
        <v>-14.582000000000008</v>
      </c>
      <c r="BO43" s="86"/>
      <c r="BP43" s="86"/>
      <c r="BQ43" s="27"/>
      <c r="BR43" s="41">
        <f>BR37-BN37</f>
        <v>24.690000000000012</v>
      </c>
      <c r="BS43" s="86"/>
      <c r="BT43" s="86"/>
      <c r="BU43" s="27"/>
      <c r="BV43" s="41">
        <f>BV37-BR37</f>
        <v>-45.240000000000009</v>
      </c>
      <c r="BW43" s="86"/>
      <c r="BX43" s="86"/>
      <c r="BY43" s="86"/>
      <c r="BZ43" s="41">
        <f>BZ37-BV37</f>
        <v>49.29200000000003</v>
      </c>
      <c r="CC43" s="86"/>
      <c r="CD43" s="41">
        <f>CD37-BZ37</f>
        <v>-32.198999999999984</v>
      </c>
      <c r="CH43" s="40">
        <f>CH37-CD37</f>
        <v>24.57099999999997</v>
      </c>
      <c r="CL43" s="40">
        <f>CL37-CH37</f>
        <v>-9.3770000000000095</v>
      </c>
    </row>
    <row r="44" spans="1:100">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C44" s="27"/>
    </row>
    <row r="45" spans="1:100">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c r="AT45" s="27"/>
      <c r="AU45" s="27"/>
      <c r="AV45" s="27"/>
      <c r="AW45" s="27"/>
      <c r="AX45" s="27"/>
      <c r="AY45" s="27"/>
      <c r="AZ45" s="27"/>
      <c r="BA45" s="27"/>
      <c r="BB45" s="27"/>
      <c r="BC45" s="27"/>
      <c r="BD45" s="27"/>
      <c r="BE45" s="27"/>
      <c r="BF45" s="27"/>
      <c r="BG45" s="27"/>
      <c r="BH45" s="27"/>
      <c r="BI45" s="27"/>
      <c r="BJ45" s="27"/>
      <c r="BK45" s="27"/>
      <c r="BL45" s="27"/>
      <c r="BM45" s="27"/>
      <c r="BN45" s="27"/>
      <c r="BO45" s="27"/>
      <c r="BP45" s="27"/>
      <c r="BQ45" s="27"/>
      <c r="BR45" s="27"/>
      <c r="BS45" s="27"/>
      <c r="BT45" s="27"/>
      <c r="BU45" s="27"/>
      <c r="BV45" s="27"/>
      <c r="BW45" s="27"/>
      <c r="BX45" s="27"/>
      <c r="BY45" s="27"/>
      <c r="BZ45" s="27"/>
      <c r="CC45" s="27"/>
    </row>
    <row r="46" spans="1:100">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7"/>
      <c r="BO46" s="27"/>
      <c r="BP46" s="27"/>
      <c r="BQ46" s="27"/>
      <c r="BR46" s="27"/>
      <c r="BS46" s="27"/>
      <c r="BT46" s="27"/>
      <c r="BU46" s="27"/>
      <c r="BV46" s="27"/>
      <c r="BW46" s="27"/>
      <c r="BX46" s="27"/>
      <c r="BY46" s="27"/>
      <c r="BZ46" s="27"/>
      <c r="CC46" s="27"/>
    </row>
    <row r="47" spans="1:100">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C47" s="27"/>
    </row>
    <row r="48" spans="1:100">
      <c r="A48" s="27" t="s">
        <v>244</v>
      </c>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27"/>
      <c r="BJ48" s="27"/>
      <c r="BK48" s="27"/>
      <c r="BL48" s="27"/>
      <c r="BM48" s="27"/>
      <c r="BN48" s="27"/>
      <c r="BO48" s="27"/>
      <c r="BP48" s="27"/>
      <c r="BQ48" s="27"/>
      <c r="BR48" s="27"/>
      <c r="BS48" s="27"/>
      <c r="BT48" s="27"/>
      <c r="BU48" s="27"/>
      <c r="BV48" s="27"/>
      <c r="BW48" s="27"/>
      <c r="BX48" s="27"/>
      <c r="BY48" s="27"/>
      <c r="BZ48" s="27"/>
      <c r="CC48" s="27"/>
    </row>
  </sheetData>
  <mergeCells count="1">
    <mergeCell ref="CT7:CV7"/>
  </mergeCells>
  <phoneticPr fontId="0" type="noConversion"/>
  <printOptions horizontalCentered="1"/>
  <pageMargins left="0.25" right="0.25" top="0.75" bottom="0.25" header="0.5" footer="0.5"/>
  <pageSetup scale="90" orientation="landscape" r:id="rId1"/>
  <headerFooter alignWithMargins="0">
    <oddFooter>&amp;R&amp;8&amp;D/&amp;T
&amp;F/&amp;A</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B1:O61"/>
  <sheetViews>
    <sheetView showGridLines="0" zoomScale="85" zoomScaleNormal="85" workbookViewId="0">
      <selection activeCell="O37" sqref="O37"/>
    </sheetView>
  </sheetViews>
  <sheetFormatPr defaultRowHeight="12.75" outlineLevelRow="1"/>
  <cols>
    <col min="1" max="1" width="2" style="1133" customWidth="1"/>
    <col min="2" max="2" width="32.140625" style="1132" customWidth="1"/>
    <col min="3" max="3" width="10.5703125" style="1133" customWidth="1"/>
    <col min="4" max="10" width="10.28515625" style="1133" bestFit="1" customWidth="1"/>
    <col min="11" max="11" width="11.28515625" style="1133" bestFit="1" customWidth="1"/>
    <col min="12" max="16384" width="9.140625" style="1133"/>
  </cols>
  <sheetData>
    <row r="1" spans="2:15">
      <c r="C1" s="1680" t="s">
        <v>727</v>
      </c>
      <c r="D1" s="1680"/>
      <c r="E1" s="1680"/>
      <c r="F1" s="1680"/>
      <c r="G1" s="1680"/>
      <c r="H1" s="1681" t="s">
        <v>728</v>
      </c>
      <c r="I1" s="1681"/>
      <c r="J1" s="1681"/>
    </row>
    <row r="2" spans="2:15" s="1135" customFormat="1">
      <c r="B2" s="1134" t="s">
        <v>729</v>
      </c>
      <c r="C2" s="194">
        <f>'yrP&amp;L'!Z5</f>
        <v>2018</v>
      </c>
      <c r="D2" s="194">
        <f>'yrP&amp;L'!AA5</f>
        <v>2019</v>
      </c>
      <c r="E2" s="194">
        <f>'yrP&amp;L'!AB5</f>
        <v>2020</v>
      </c>
      <c r="F2" s="194">
        <f>'yrP&amp;L'!AC5</f>
        <v>2021</v>
      </c>
      <c r="G2" s="194">
        <f>'yrP&amp;L'!AD5</f>
        <v>2022</v>
      </c>
      <c r="H2" s="1545">
        <f>G2+1</f>
        <v>2023</v>
      </c>
      <c r="I2" s="1545">
        <f>H2+1</f>
        <v>2024</v>
      </c>
      <c r="J2" s="1545">
        <f>I2+1</f>
        <v>2025</v>
      </c>
      <c r="L2" s="1136"/>
      <c r="M2" s="1136"/>
      <c r="N2" s="1136"/>
      <c r="O2" s="1136"/>
    </row>
    <row r="3" spans="2:15" s="1135" customFormat="1">
      <c r="B3" s="1137"/>
      <c r="C3" s="1136"/>
      <c r="D3" s="1136"/>
      <c r="E3" s="1136"/>
      <c r="F3" s="1136"/>
      <c r="G3" s="1136"/>
      <c r="H3" s="1546"/>
      <c r="I3" s="1546"/>
      <c r="J3" s="1546"/>
      <c r="L3" s="1136"/>
      <c r="M3" s="1136"/>
      <c r="N3" s="1136"/>
      <c r="O3" s="1136"/>
    </row>
    <row r="4" spans="2:15">
      <c r="B4" s="1132" t="s">
        <v>338</v>
      </c>
      <c r="C4" s="1138">
        <f>'yrP&amp;L'!Z7</f>
        <v>2185.2027758056843</v>
      </c>
      <c r="D4" s="1138">
        <f>'yrP&amp;L'!Z7</f>
        <v>2185.2027758056843</v>
      </c>
      <c r="E4" s="1138">
        <f>'yrP&amp;L'!AA7</f>
        <v>2146.131521367869</v>
      </c>
      <c r="F4" s="1138">
        <f>'yrP&amp;L'!AB7</f>
        <v>2142.0178120702999</v>
      </c>
      <c r="G4" s="1138">
        <f>'yrP&amp;L'!AC7</f>
        <v>2139.7259010729567</v>
      </c>
      <c r="H4" s="1547">
        <f>G4*(1+H5)</f>
        <v>2129.0272715675919</v>
      </c>
      <c r="I4" s="1547">
        <f>H4*(1+I5)</f>
        <v>2118.3821352097539</v>
      </c>
      <c r="J4" s="1547">
        <f>I4*(1+J5)</f>
        <v>2107.790224533705</v>
      </c>
    </row>
    <row r="5" spans="2:15">
      <c r="B5" s="1132" t="s">
        <v>23</v>
      </c>
      <c r="C5" s="1140">
        <f>'yrP&amp;L'!Z8</f>
        <v>-4.257672551066919E-2</v>
      </c>
      <c r="D5" s="1140">
        <f>D4/C4-1</f>
        <v>0</v>
      </c>
      <c r="E5" s="1140">
        <f>E4/D4-1</f>
        <v>-1.7879921657801168E-2</v>
      </c>
      <c r="F5" s="1140">
        <f>F4/E4-1</f>
        <v>-1.9168020489942483E-3</v>
      </c>
      <c r="G5" s="1140">
        <f>G4/F4-1</f>
        <v>-1.0699775624778418E-3</v>
      </c>
      <c r="H5" s="1548">
        <v>-5.0000000000000001E-3</v>
      </c>
      <c r="I5" s="1548">
        <v>-5.0000000000000001E-3</v>
      </c>
      <c r="J5" s="1548">
        <v>-5.0000000000000001E-3</v>
      </c>
    </row>
    <row r="6" spans="2:15">
      <c r="B6" s="1132" t="s">
        <v>150</v>
      </c>
      <c r="C6" s="1138">
        <f>'yrP&amp;L'!Z37</f>
        <v>143.48855509623695</v>
      </c>
      <c r="D6" s="1138">
        <f>'yrP&amp;L'!Z37</f>
        <v>143.48855509623695</v>
      </c>
      <c r="E6" s="1138">
        <f>'yrP&amp;L'!AA37</f>
        <v>165.03751399318924</v>
      </c>
      <c r="F6" s="1138">
        <f>'yrP&amp;L'!AB37</f>
        <v>173.71764455890116</v>
      </c>
      <c r="G6" s="1138">
        <f>'yrP&amp;L'!AC37</f>
        <v>181.87670159120137</v>
      </c>
      <c r="H6" s="1547">
        <f>H4*H7</f>
        <v>215.03175442832679</v>
      </c>
      <c r="I6" s="1547">
        <f>I4*I7</f>
        <v>207.60144925055587</v>
      </c>
      <c r="J6" s="1547">
        <f>J4*J7</f>
        <v>200.24007133070197</v>
      </c>
    </row>
    <row r="7" spans="2:15">
      <c r="B7" s="1132" t="s">
        <v>171</v>
      </c>
      <c r="C7" s="1140">
        <f>C6/C4</f>
        <v>6.5663725437714912E-2</v>
      </c>
      <c r="D7" s="1140">
        <f>D6/D4</f>
        <v>6.5663725437714912E-2</v>
      </c>
      <c r="E7" s="1140">
        <f>E6/E4</f>
        <v>7.6900000000000052E-2</v>
      </c>
      <c r="F7" s="1140">
        <f>F6/F4</f>
        <v>8.1099999999999922E-2</v>
      </c>
      <c r="G7" s="1140">
        <f>G6/G4</f>
        <v>8.500000000000002E-2</v>
      </c>
      <c r="H7" s="1548">
        <v>0.10100000000000001</v>
      </c>
      <c r="I7" s="1548">
        <v>9.8000000000000004E-2</v>
      </c>
      <c r="J7" s="1548">
        <v>9.5000000000000001E-2</v>
      </c>
    </row>
    <row r="8" spans="2:15" s="1143" customFormat="1">
      <c r="B8" s="1141" t="s">
        <v>265</v>
      </c>
      <c r="C8" s="1142">
        <f>'yrP&amp;L'!Z47</f>
        <v>0.27000000000000041</v>
      </c>
      <c r="D8" s="1142">
        <f>'yrP&amp;L'!Z47</f>
        <v>0.27000000000000041</v>
      </c>
      <c r="E8" s="1142">
        <f>'yrP&amp;L'!AA47</f>
        <v>0.27000000000000041</v>
      </c>
      <c r="F8" s="1142">
        <f>'yrP&amp;L'!AB47</f>
        <v>0.27000000000000041</v>
      </c>
      <c r="G8" s="1142">
        <f>'yrP&amp;L'!AC47</f>
        <v>0.27000000000000041</v>
      </c>
      <c r="H8" s="1549">
        <f>G8</f>
        <v>0.27000000000000041</v>
      </c>
      <c r="I8" s="1549">
        <f>H8</f>
        <v>0.27000000000000041</v>
      </c>
      <c r="J8" s="1549">
        <f>I8</f>
        <v>0.27000000000000041</v>
      </c>
    </row>
    <row r="9" spans="2:15">
      <c r="B9" s="1132" t="s">
        <v>730</v>
      </c>
      <c r="C9" s="1144">
        <f t="shared" ref="C9:J9" si="0">-C6*C8</f>
        <v>-38.741909875984035</v>
      </c>
      <c r="D9" s="1144">
        <f t="shared" si="0"/>
        <v>-38.741909875984035</v>
      </c>
      <c r="E9" s="1144">
        <f t="shared" si="0"/>
        <v>-44.560128778161157</v>
      </c>
      <c r="F9" s="1144">
        <f t="shared" si="0"/>
        <v>-46.903764030903382</v>
      </c>
      <c r="G9" s="1144">
        <f t="shared" si="0"/>
        <v>-49.106709429624445</v>
      </c>
      <c r="H9" s="1550">
        <f t="shared" si="0"/>
        <v>-58.05857369564832</v>
      </c>
      <c r="I9" s="1550">
        <f t="shared" si="0"/>
        <v>-56.052391297650168</v>
      </c>
      <c r="J9" s="1550">
        <f t="shared" si="0"/>
        <v>-54.064819259289614</v>
      </c>
    </row>
    <row r="10" spans="2:15">
      <c r="B10" s="1132" t="s">
        <v>175</v>
      </c>
      <c r="C10" s="1145">
        <f>C6+C9</f>
        <v>104.74664522025292</v>
      </c>
      <c r="D10" s="1145">
        <f t="shared" ref="D10:J10" si="1">D6+D9</f>
        <v>104.74664522025292</v>
      </c>
      <c r="E10" s="1145">
        <f t="shared" si="1"/>
        <v>120.47738521502808</v>
      </c>
      <c r="F10" s="1145">
        <f t="shared" si="1"/>
        <v>126.81388052799778</v>
      </c>
      <c r="G10" s="1145">
        <f>G6+G9</f>
        <v>132.76999216157691</v>
      </c>
      <c r="H10" s="1551">
        <f t="shared" si="1"/>
        <v>156.97318073267849</v>
      </c>
      <c r="I10" s="1551">
        <f t="shared" si="1"/>
        <v>151.54905795290571</v>
      </c>
      <c r="J10" s="1551">
        <f t="shared" si="1"/>
        <v>146.17525207141236</v>
      </c>
    </row>
    <row r="11" spans="2:15" s="1148" customFormat="1" hidden="1">
      <c r="B11" s="1146" t="s">
        <v>731</v>
      </c>
      <c r="C11" s="1147">
        <f t="shared" ref="C11:J11" si="2">C10/C4</f>
        <v>4.7934519569531861E-2</v>
      </c>
      <c r="D11" s="1147">
        <f t="shared" si="2"/>
        <v>4.7934519569531861E-2</v>
      </c>
      <c r="E11" s="1147">
        <f t="shared" si="2"/>
        <v>5.6137000000000006E-2</v>
      </c>
      <c r="F11" s="1147">
        <f t="shared" si="2"/>
        <v>5.9202999999999915E-2</v>
      </c>
      <c r="G11" s="1147">
        <f t="shared" si="2"/>
        <v>6.2049999999999973E-2</v>
      </c>
      <c r="H11" s="1552">
        <f t="shared" si="2"/>
        <v>7.3729999999999962E-2</v>
      </c>
      <c r="I11" s="1552">
        <f t="shared" si="2"/>
        <v>7.1539999999999965E-2</v>
      </c>
      <c r="J11" s="1552">
        <f t="shared" si="2"/>
        <v>6.9349999999999967E-2</v>
      </c>
    </row>
    <row r="12" spans="2:15" ht="6.75" customHeight="1">
      <c r="H12" s="1553"/>
      <c r="I12" s="1553"/>
      <c r="J12" s="1553"/>
    </row>
    <row r="13" spans="2:15">
      <c r="B13" s="1149" t="s">
        <v>732</v>
      </c>
      <c r="C13" s="1144">
        <f>'yrP&amp;L'!Z34</f>
        <v>94</v>
      </c>
      <c r="D13" s="1144">
        <f>'yrP&amp;L'!Z34</f>
        <v>94</v>
      </c>
      <c r="E13" s="1144">
        <f>'yrP&amp;L'!AA34</f>
        <v>96</v>
      </c>
      <c r="F13" s="1144">
        <f>'yrP&amp;L'!AB34</f>
        <v>98</v>
      </c>
      <c r="G13" s="1144">
        <f>'yrP&amp;L'!AC34</f>
        <v>100</v>
      </c>
      <c r="H13" s="1550">
        <f>G13*(1+H5)</f>
        <v>99.5</v>
      </c>
      <c r="I13" s="1550">
        <f>H13*(1+I5)</f>
        <v>99.002499999999998</v>
      </c>
      <c r="J13" s="1550">
        <f>I13*(1+J5)</f>
        <v>98.507487499999996</v>
      </c>
    </row>
    <row r="14" spans="2:15">
      <c r="C14" s="1140">
        <f t="shared" ref="C14:J14" si="3">C13/C4</f>
        <v>4.3016602871256283E-2</v>
      </c>
      <c r="D14" s="1140">
        <f t="shared" si="3"/>
        <v>4.3016602871256283E-2</v>
      </c>
      <c r="E14" s="1140">
        <f t="shared" si="3"/>
        <v>4.4731648104591917E-2</v>
      </c>
      <c r="F14" s="1140">
        <f t="shared" si="3"/>
        <v>4.5751253536627311E-2</v>
      </c>
      <c r="G14" s="1140">
        <f t="shared" si="3"/>
        <v>4.6734957944779477E-2</v>
      </c>
      <c r="H14" s="1554">
        <f t="shared" si="3"/>
        <v>4.6734957944779477E-2</v>
      </c>
      <c r="I14" s="1554">
        <f t="shared" si="3"/>
        <v>4.6734957944779477E-2</v>
      </c>
      <c r="J14" s="1554">
        <f t="shared" si="3"/>
        <v>4.6734957944779477E-2</v>
      </c>
    </row>
    <row r="15" spans="2:15">
      <c r="B15" s="1149" t="s">
        <v>235</v>
      </c>
      <c r="C15" s="1138">
        <f>-flow!AX18</f>
        <v>-75</v>
      </c>
      <c r="D15" s="1138">
        <f>-flow!AZ18</f>
        <v>-75</v>
      </c>
      <c r="E15" s="1138">
        <f>-flow!BB18</f>
        <v>-75</v>
      </c>
      <c r="F15" s="1138">
        <f>-flow!BD18</f>
        <v>-75</v>
      </c>
      <c r="G15" s="1138">
        <f>-flow!BF18</f>
        <v>-75</v>
      </c>
      <c r="H15" s="1547">
        <f>G15</f>
        <v>-75</v>
      </c>
      <c r="I15" s="1555">
        <f>H15</f>
        <v>-75</v>
      </c>
      <c r="J15" s="1547">
        <f>I15</f>
        <v>-75</v>
      </c>
    </row>
    <row r="16" spans="2:15">
      <c r="B16" s="1149"/>
      <c r="C16" s="1138"/>
      <c r="D16" s="1139"/>
      <c r="E16" s="1139"/>
      <c r="F16" s="1139"/>
      <c r="G16" s="1139"/>
      <c r="H16" s="1554"/>
      <c r="I16" s="1554"/>
      <c r="J16" s="1554"/>
    </row>
    <row r="17" spans="2:10">
      <c r="B17" s="1149" t="s">
        <v>733</v>
      </c>
      <c r="C17" s="1144">
        <f>flow!AX30</f>
        <v>-65.867324713985212</v>
      </c>
      <c r="D17" s="1144">
        <f>flow!AZ30</f>
        <v>10.264886545361584</v>
      </c>
      <c r="E17" s="1144">
        <f>flow!BB30</f>
        <v>1.342731214782269</v>
      </c>
      <c r="F17" s="1144">
        <f>flow!BD30</f>
        <v>1.733669776957008</v>
      </c>
      <c r="G17" s="1144">
        <f>flow!BF30</f>
        <v>1.2165377020627375</v>
      </c>
      <c r="H17" s="1550">
        <f>G17</f>
        <v>1.2165377020627375</v>
      </c>
      <c r="I17" s="1550">
        <f>H17</f>
        <v>1.2165377020627375</v>
      </c>
      <c r="J17" s="1550">
        <f>I17</f>
        <v>1.2165377020627375</v>
      </c>
    </row>
    <row r="18" spans="2:10">
      <c r="B18" s="1132" t="s">
        <v>734</v>
      </c>
      <c r="C18" s="1145">
        <f t="shared" ref="C18:J18" si="4">SUM(C15:C17)</f>
        <v>-140.86732471398523</v>
      </c>
      <c r="D18" s="1145">
        <f t="shared" si="4"/>
        <v>-64.735113454638423</v>
      </c>
      <c r="E18" s="1145">
        <f t="shared" si="4"/>
        <v>-73.657268785217724</v>
      </c>
      <c r="F18" s="1145">
        <f t="shared" si="4"/>
        <v>-73.266330223042985</v>
      </c>
      <c r="G18" s="1145">
        <f t="shared" si="4"/>
        <v>-73.783462297937263</v>
      </c>
      <c r="H18" s="1551">
        <f t="shared" si="4"/>
        <v>-73.783462297937263</v>
      </c>
      <c r="I18" s="1551">
        <f t="shared" si="4"/>
        <v>-73.783462297937263</v>
      </c>
      <c r="J18" s="1551">
        <f t="shared" si="4"/>
        <v>-73.783462297937263</v>
      </c>
    </row>
    <row r="19" spans="2:10" s="1148" customFormat="1">
      <c r="B19" s="1148" t="s">
        <v>735</v>
      </c>
      <c r="C19" s="1150"/>
      <c r="D19" s="1150"/>
      <c r="E19" s="1150"/>
      <c r="F19" s="1150"/>
      <c r="G19" s="1150"/>
      <c r="H19" s="1556"/>
      <c r="I19" s="1556"/>
      <c r="J19" s="1556"/>
    </row>
    <row r="20" spans="2:10" ht="9" customHeight="1">
      <c r="C20" s="1151"/>
      <c r="D20" s="1151"/>
      <c r="E20" s="1151"/>
      <c r="F20" s="1151"/>
      <c r="G20" s="1151"/>
      <c r="H20" s="1557"/>
      <c r="I20" s="1557"/>
      <c r="J20" s="1557"/>
    </row>
    <row r="21" spans="2:10">
      <c r="B21" s="1137" t="s">
        <v>736</v>
      </c>
      <c r="C21" s="1152">
        <f t="shared" ref="C21:J21" si="5">C10+C13+C18</f>
        <v>57.879320506267675</v>
      </c>
      <c r="D21" s="1152">
        <f t="shared" si="5"/>
        <v>134.01153176561448</v>
      </c>
      <c r="E21" s="1152">
        <f t="shared" si="5"/>
        <v>142.82011642981035</v>
      </c>
      <c r="F21" s="1152">
        <f t="shared" si="5"/>
        <v>151.5475503049548</v>
      </c>
      <c r="G21" s="1152">
        <f t="shared" si="5"/>
        <v>158.98652986363965</v>
      </c>
      <c r="H21" s="1558">
        <f t="shared" si="5"/>
        <v>182.68971843474122</v>
      </c>
      <c r="I21" s="1558">
        <f t="shared" si="5"/>
        <v>176.76809565496845</v>
      </c>
      <c r="J21" s="1558">
        <f t="shared" si="5"/>
        <v>170.89927727347509</v>
      </c>
    </row>
    <row r="22" spans="2:10" s="1154" customFormat="1">
      <c r="B22" s="1150"/>
      <c r="C22" s="1150"/>
      <c r="D22" s="1150"/>
      <c r="E22" s="1150"/>
      <c r="F22" s="1150"/>
      <c r="G22" s="1150"/>
      <c r="H22" s="1153"/>
      <c r="I22" s="1153"/>
      <c r="J22" s="1153"/>
    </row>
    <row r="23" spans="2:10" s="1157" customFormat="1" ht="11.25">
      <c r="B23" s="1155"/>
      <c r="C23" s="1156">
        <v>0</v>
      </c>
      <c r="D23" s="1156">
        <v>1</v>
      </c>
      <c r="E23" s="1156">
        <f t="shared" ref="E23:J23" si="6">D23+1</f>
        <v>2</v>
      </c>
      <c r="F23" s="1156">
        <f t="shared" si="6"/>
        <v>3</v>
      </c>
      <c r="G23" s="1156">
        <f t="shared" si="6"/>
        <v>4</v>
      </c>
      <c r="H23" s="1156">
        <f t="shared" si="6"/>
        <v>5</v>
      </c>
      <c r="I23" s="1156">
        <f t="shared" si="6"/>
        <v>6</v>
      </c>
      <c r="J23" s="1156">
        <f t="shared" si="6"/>
        <v>7</v>
      </c>
    </row>
    <row r="24" spans="2:10">
      <c r="B24" s="1158" t="s">
        <v>737</v>
      </c>
      <c r="C24" s="1159">
        <f>1/(1+$H$39)^C23</f>
        <v>1</v>
      </c>
      <c r="D24" s="1159">
        <f t="shared" ref="D24:J24" si="7">1/(1+$H$39)^D23</f>
        <v>0.91742538839177057</v>
      </c>
      <c r="E24" s="1159">
        <f t="shared" si="7"/>
        <v>0.84166934326579101</v>
      </c>
      <c r="F24" s="1159">
        <f t="shared" si="7"/>
        <v>0.77216882414306476</v>
      </c>
      <c r="G24" s="1159">
        <f t="shared" si="7"/>
        <v>0.70840728339346792</v>
      </c>
      <c r="H24" s="1159">
        <f t="shared" si="7"/>
        <v>0.64991082710681136</v>
      </c>
      <c r="I24" s="1159">
        <f>1/(1+$H$39)^I23</f>
        <v>0.59624469297848337</v>
      </c>
      <c r="J24" s="1159">
        <f t="shared" si="7"/>
        <v>0.54701001903231705</v>
      </c>
    </row>
    <row r="25" spans="2:10">
      <c r="B25" s="1160" t="s">
        <v>738</v>
      </c>
      <c r="C25" s="1161">
        <f t="shared" ref="C25:J25" si="8">C21*C24</f>
        <v>57.879320506267675</v>
      </c>
      <c r="D25" s="1161">
        <f t="shared" si="8"/>
        <v>122.94558157904495</v>
      </c>
      <c r="E25" s="1161">
        <f t="shared" si="8"/>
        <v>120.20731360062229</v>
      </c>
      <c r="F25" s="1161">
        <f t="shared" si="8"/>
        <v>117.02029372073891</v>
      </c>
      <c r="G25" s="1161">
        <f t="shared" si="8"/>
        <v>112.62721571685542</v>
      </c>
      <c r="H25" s="1161">
        <f t="shared" si="8"/>
        <v>118.73202601183316</v>
      </c>
      <c r="I25" s="1161">
        <f t="shared" si="8"/>
        <v>105.39703892218785</v>
      </c>
      <c r="J25" s="1162">
        <f t="shared" si="8"/>
        <v>93.483616913972838</v>
      </c>
    </row>
    <row r="26" spans="2:10">
      <c r="B26" s="1158" t="s">
        <v>739</v>
      </c>
      <c r="J26" s="1158">
        <f>(J21*(1+C28))/(H39-C28)</f>
        <v>1522.4617516961262</v>
      </c>
    </row>
    <row r="27" spans="2:10">
      <c r="B27" s="1163" t="s">
        <v>740</v>
      </c>
      <c r="C27" s="1164"/>
      <c r="D27" s="1164"/>
      <c r="E27" s="1164"/>
      <c r="F27" s="1164"/>
      <c r="G27" s="1164"/>
      <c r="H27" s="1164"/>
      <c r="I27" s="1164"/>
      <c r="J27" s="1162">
        <f>J26*J24</f>
        <v>832.80183177127276</v>
      </c>
    </row>
    <row r="28" spans="2:10">
      <c r="B28" s="1158" t="s">
        <v>741</v>
      </c>
      <c r="C28" s="1559">
        <v>-0.02</v>
      </c>
    </row>
    <row r="29" spans="2:10">
      <c r="B29" s="1158"/>
      <c r="H29" s="1140"/>
    </row>
    <row r="30" spans="2:10">
      <c r="B30" s="1158" t="s">
        <v>742</v>
      </c>
      <c r="C30" s="1158">
        <f>bal!BA43</f>
        <v>53.600999999999999</v>
      </c>
      <c r="D30" s="1158"/>
      <c r="E30" s="1158" t="s">
        <v>743</v>
      </c>
      <c r="F30" s="1158"/>
      <c r="H30" s="1560">
        <v>2.9499999999999998E-2</v>
      </c>
    </row>
    <row r="31" spans="2:10">
      <c r="B31" s="1562" t="s">
        <v>788</v>
      </c>
      <c r="C31" s="1166">
        <f>bal!BA9</f>
        <v>248.43663660090482</v>
      </c>
      <c r="D31" s="1158"/>
      <c r="E31" s="1158" t="s">
        <v>744</v>
      </c>
      <c r="F31" s="1158"/>
      <c r="H31" s="1561">
        <v>5.0799999999999998E-2</v>
      </c>
    </row>
    <row r="32" spans="2:10">
      <c r="B32" s="1167" t="s">
        <v>519</v>
      </c>
      <c r="C32" s="1167">
        <f>C30-C31</f>
        <v>-194.83563660090482</v>
      </c>
      <c r="D32" s="1167"/>
      <c r="E32" s="1158" t="s">
        <v>745</v>
      </c>
      <c r="F32" s="1167"/>
      <c r="H32">
        <v>1.25</v>
      </c>
    </row>
    <row r="33" spans="2:11">
      <c r="B33" s="1168" t="s">
        <v>746</v>
      </c>
      <c r="C33" s="1563">
        <v>0.04</v>
      </c>
      <c r="D33" s="1158"/>
      <c r="E33" s="1158" t="s">
        <v>747</v>
      </c>
      <c r="F33" s="1158"/>
      <c r="H33" s="1165">
        <f>H30+H32*(H31)</f>
        <v>9.2999999999999999E-2</v>
      </c>
    </row>
    <row r="34" spans="2:11">
      <c r="B34" s="1168" t="s">
        <v>802</v>
      </c>
      <c r="C34" s="1169">
        <f>C33*(1-0.21)</f>
        <v>3.1600000000000003E-2</v>
      </c>
      <c r="D34" s="1158"/>
      <c r="E34" s="1158"/>
      <c r="F34" s="1158"/>
      <c r="G34" s="1158"/>
      <c r="H34" s="1158"/>
    </row>
    <row r="35" spans="2:11">
      <c r="B35" s="1158"/>
      <c r="C35" s="1158"/>
      <c r="D35" s="1158"/>
      <c r="E35" s="1158"/>
      <c r="F35" s="1158"/>
      <c r="G35" s="1158"/>
      <c r="H35" s="1158"/>
    </row>
    <row r="36" spans="2:11">
      <c r="B36" s="1158" t="s">
        <v>748</v>
      </c>
      <c r="C36" s="1158">
        <f>'yrP&amp;L'!Z57</f>
        <v>120.64133333333332</v>
      </c>
      <c r="D36" s="1158"/>
      <c r="E36" s="1158"/>
      <c r="F36" s="1170"/>
      <c r="G36" s="1171"/>
      <c r="H36" s="1171"/>
    </row>
    <row r="37" spans="2:11">
      <c r="B37" s="1158" t="s">
        <v>749</v>
      </c>
      <c r="C37">
        <v>8.67</v>
      </c>
      <c r="D37" s="1158"/>
      <c r="E37" s="1172"/>
      <c r="F37" s="1173"/>
      <c r="G37" s="1171"/>
      <c r="H37" s="1171"/>
    </row>
    <row r="38" spans="2:11">
      <c r="B38" s="1167" t="s">
        <v>426</v>
      </c>
      <c r="C38" s="1167">
        <f>C36*C37</f>
        <v>1045.9603599999998</v>
      </c>
      <c r="D38" s="1158"/>
      <c r="E38" s="1171"/>
      <c r="F38" s="1173"/>
      <c r="G38" s="1171"/>
      <c r="H38" s="1171"/>
    </row>
    <row r="39" spans="2:11">
      <c r="B39" s="1167" t="s">
        <v>750</v>
      </c>
      <c r="C39" s="1167">
        <f>C32+C38</f>
        <v>851.12472339909505</v>
      </c>
      <c r="D39" s="1158"/>
      <c r="E39" s="1160" t="s">
        <v>517</v>
      </c>
      <c r="F39" s="1174"/>
      <c r="G39" s="1174"/>
      <c r="H39" s="1175">
        <f>(C30/(C30+C38))*C34 + (C38/(C30+C38))*H33</f>
        <v>9.0006896095366606E-2</v>
      </c>
    </row>
    <row r="40" spans="2:11">
      <c r="B40" s="1158"/>
      <c r="C40" s="1158"/>
      <c r="D40" s="1158"/>
      <c r="E40" s="1158"/>
      <c r="F40" s="1158"/>
      <c r="G40" s="1158"/>
      <c r="H40" s="1158"/>
    </row>
    <row r="41" spans="2:11">
      <c r="B41" s="1158" t="s">
        <v>751</v>
      </c>
      <c r="C41" s="1158">
        <f>SUM(C25:J25)</f>
        <v>848.29240697152295</v>
      </c>
      <c r="D41" s="1158"/>
      <c r="E41" s="1158"/>
      <c r="F41" s="1158"/>
      <c r="G41" s="1158"/>
      <c r="H41" s="1158"/>
    </row>
    <row r="42" spans="2:11">
      <c r="B42" s="1158" t="s">
        <v>740</v>
      </c>
      <c r="C42" s="1166">
        <f>J27</f>
        <v>832.80183177127276</v>
      </c>
      <c r="D42" s="1158"/>
      <c r="E42" s="1158"/>
      <c r="F42" s="1158"/>
      <c r="G42" s="1158"/>
      <c r="H42" s="1158"/>
    </row>
    <row r="43" spans="2:11">
      <c r="B43" s="1167" t="s">
        <v>752</v>
      </c>
      <c r="C43" s="1167">
        <f>SUM(C41:C42)</f>
        <v>1681.0942387427958</v>
      </c>
      <c r="D43" s="1158"/>
      <c r="E43" s="1158"/>
      <c r="F43" s="1158"/>
      <c r="G43" s="1158"/>
      <c r="H43" s="1158"/>
    </row>
    <row r="44" spans="2:11">
      <c r="B44" s="1158" t="s">
        <v>753</v>
      </c>
      <c r="C44" s="1158">
        <f>-C30</f>
        <v>-53.600999999999999</v>
      </c>
      <c r="D44" s="1172"/>
      <c r="E44" s="1172"/>
      <c r="F44" s="1172"/>
      <c r="G44" s="1172"/>
      <c r="H44" s="1172"/>
      <c r="I44" s="1172"/>
      <c r="J44" s="1172"/>
      <c r="K44" s="1172"/>
    </row>
    <row r="45" spans="2:11">
      <c r="B45" s="1158" t="s">
        <v>754</v>
      </c>
      <c r="C45" s="1176">
        <f>+C31</f>
        <v>248.43663660090482</v>
      </c>
      <c r="D45" s="1158"/>
      <c r="E45" s="1158"/>
      <c r="F45" s="1158"/>
      <c r="G45" s="1158"/>
      <c r="H45" s="1158"/>
    </row>
    <row r="46" spans="2:11" hidden="1" outlineLevel="1">
      <c r="B46" s="1158" t="s">
        <v>755</v>
      </c>
      <c r="C46" s="1176">
        <v>0</v>
      </c>
      <c r="D46" s="1158"/>
      <c r="E46" s="1158"/>
      <c r="F46" s="1158"/>
      <c r="G46" s="1158"/>
      <c r="H46" s="1158"/>
    </row>
    <row r="47" spans="2:11" hidden="1" outlineLevel="1">
      <c r="B47" s="1158" t="s">
        <v>756</v>
      </c>
      <c r="C47" s="1177" t="s">
        <v>653</v>
      </c>
      <c r="D47" s="1158"/>
      <c r="E47" s="1158"/>
      <c r="F47" s="1158"/>
      <c r="G47" s="1158"/>
      <c r="H47" s="1158"/>
    </row>
    <row r="48" spans="2:11" collapsed="1">
      <c r="B48" s="1167" t="s">
        <v>631</v>
      </c>
      <c r="C48" s="1167">
        <f>SUM(C43:C47)</f>
        <v>1875.9298753437006</v>
      </c>
      <c r="D48" s="1158"/>
      <c r="E48" s="1158"/>
      <c r="F48" s="1158"/>
      <c r="G48" s="1158"/>
      <c r="H48" s="1158"/>
    </row>
    <row r="49" spans="2:11">
      <c r="B49" s="1160" t="s">
        <v>757</v>
      </c>
      <c r="C49" s="1564">
        <f>C48/C36</f>
        <v>15.549644748707193</v>
      </c>
      <c r="D49" s="1174"/>
      <c r="E49" s="1175"/>
      <c r="F49" s="1158"/>
      <c r="G49" s="1158"/>
      <c r="H49" s="1158"/>
    </row>
    <row r="50" spans="2:11">
      <c r="B50" s="1158"/>
      <c r="C50" s="1139"/>
    </row>
    <row r="51" spans="2:11">
      <c r="B51" s="1158"/>
    </row>
    <row r="52" spans="2:11">
      <c r="B52" s="1158"/>
    </row>
    <row r="53" spans="2:11">
      <c r="B53" s="1158"/>
      <c r="C53" s="1140"/>
      <c r="D53" s="1140"/>
      <c r="E53" s="1140"/>
      <c r="F53" s="1140"/>
      <c r="G53" s="1140"/>
      <c r="H53" s="1140"/>
      <c r="I53" s="1140"/>
      <c r="J53" s="1140"/>
      <c r="K53" s="1140"/>
    </row>
    <row r="54" spans="2:11">
      <c r="B54" s="1158"/>
    </row>
    <row r="55" spans="2:11">
      <c r="B55" s="1158"/>
    </row>
    <row r="56" spans="2:11">
      <c r="B56" s="1158"/>
    </row>
    <row r="57" spans="2:11">
      <c r="B57" s="1158"/>
    </row>
    <row r="58" spans="2:11">
      <c r="B58" s="1158"/>
    </row>
    <row r="59" spans="2:11">
      <c r="B59" s="1158"/>
    </row>
    <row r="60" spans="2:11">
      <c r="B60" s="1158"/>
    </row>
    <row r="61" spans="2:11">
      <c r="B61" s="1158"/>
    </row>
  </sheetData>
  <mergeCells count="2">
    <mergeCell ref="C1:G1"/>
    <mergeCell ref="H1:J1"/>
  </mergeCells>
  <pageMargins left="0" right="0" top="0" bottom="0" header="0" footer="0"/>
  <pageSetup paperSize="5"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C2:J22"/>
  <sheetViews>
    <sheetView workbookViewId="0"/>
  </sheetViews>
  <sheetFormatPr defaultRowHeight="12.75" outlineLevelCol="1"/>
  <cols>
    <col min="3" max="3" width="35" bestFit="1" customWidth="1"/>
    <col min="4" max="4" width="9.140625" hidden="1" customWidth="1" outlineLevel="1"/>
    <col min="5" max="5" width="8.28515625" customWidth="1" collapsed="1"/>
    <col min="6" max="6" width="2.7109375" customWidth="1"/>
    <col min="7" max="8" width="7.85546875" bestFit="1" customWidth="1"/>
  </cols>
  <sheetData>
    <row r="2" spans="3:8" ht="15">
      <c r="G2" s="134">
        <v>2019</v>
      </c>
      <c r="H2" s="134">
        <f>G2</f>
        <v>2019</v>
      </c>
    </row>
    <row r="3" spans="3:8" ht="15">
      <c r="C3" s="133"/>
      <c r="D3" s="463">
        <f>'yrP&amp;L'!Y5</f>
        <v>2017</v>
      </c>
      <c r="E3" s="463">
        <f>'yrP&amp;L'!AA5</f>
        <v>2019</v>
      </c>
      <c r="G3" s="464" t="s">
        <v>340</v>
      </c>
      <c r="H3" s="464" t="s">
        <v>341</v>
      </c>
    </row>
    <row r="4" spans="3:8">
      <c r="C4" t="s">
        <v>701</v>
      </c>
      <c r="D4" s="479">
        <f>sumry!DK36</f>
        <v>241.47999999999985</v>
      </c>
      <c r="E4" s="479">
        <f>sumry!DM36</f>
        <v>261.03751399318924</v>
      </c>
      <c r="G4" s="465">
        <f>BullBaseBear!R65</f>
        <v>291.7140437127689</v>
      </c>
      <c r="H4" s="465">
        <f>BullBaseBear!R106</f>
        <v>147.64435084224976</v>
      </c>
    </row>
    <row r="5" spans="3:8">
      <c r="C5" t="s">
        <v>239</v>
      </c>
      <c r="D5" s="1072">
        <v>4</v>
      </c>
      <c r="E5" s="1641">
        <v>5</v>
      </c>
      <c r="F5" s="1642"/>
      <c r="G5" s="1641">
        <v>6</v>
      </c>
      <c r="H5" s="1641">
        <v>3</v>
      </c>
    </row>
    <row r="6" spans="3:8">
      <c r="C6" s="135" t="s">
        <v>702</v>
      </c>
      <c r="D6" s="467">
        <f>D5*D4</f>
        <v>965.91999999999939</v>
      </c>
      <c r="E6" s="467">
        <f>E5*E4</f>
        <v>1305.1875699659463</v>
      </c>
      <c r="F6" s="135"/>
      <c r="G6" s="467">
        <f>G5*G4</f>
        <v>1750.2842622766134</v>
      </c>
      <c r="H6" s="467">
        <f>H5*H4</f>
        <v>442.93305252674929</v>
      </c>
    </row>
    <row r="7" spans="3:8">
      <c r="D7" s="468"/>
      <c r="E7" s="468"/>
      <c r="G7" s="190"/>
      <c r="H7" s="190"/>
    </row>
    <row r="8" spans="3:8">
      <c r="C8" t="s">
        <v>703</v>
      </c>
      <c r="D8" s="469">
        <f>flow!AV52</f>
        <v>160.07000000000005</v>
      </c>
      <c r="E8" s="469">
        <f>flow!AX52</f>
        <v>248.43663660090482</v>
      </c>
      <c r="F8" s="26"/>
      <c r="G8" s="469">
        <f>E8+(G4-E4)</f>
        <v>279.11316632048448</v>
      </c>
      <c r="H8" s="469">
        <f>E8+(H4-E4)</f>
        <v>135.04347344996535</v>
      </c>
    </row>
    <row r="9" spans="3:8">
      <c r="C9" t="s">
        <v>704</v>
      </c>
      <c r="D9" s="472">
        <f>bal!AY43</f>
        <v>53.600999999999999</v>
      </c>
      <c r="E9" s="472">
        <f>bal!BA43+bal!BA39</f>
        <v>68.600999999999999</v>
      </c>
      <c r="F9" s="26"/>
      <c r="G9" s="469">
        <f>E9</f>
        <v>68.600999999999999</v>
      </c>
      <c r="H9" s="469">
        <f>G9</f>
        <v>68.600999999999999</v>
      </c>
    </row>
    <row r="10" spans="3:8">
      <c r="C10" s="135" t="s">
        <v>705</v>
      </c>
      <c r="D10" s="478">
        <f>D9-D8</f>
        <v>-106.46900000000005</v>
      </c>
      <c r="E10" s="478">
        <f>E9-E8</f>
        <v>-179.83563660090482</v>
      </c>
      <c r="F10" s="135"/>
      <c r="G10" s="478">
        <f>G9-G8</f>
        <v>-210.51216632048448</v>
      </c>
      <c r="H10" s="478">
        <f>H9-H8</f>
        <v>-66.442473449965348</v>
      </c>
    </row>
    <row r="11" spans="3:8">
      <c r="D11" s="468"/>
      <c r="E11" s="468"/>
      <c r="G11" s="190"/>
      <c r="H11" s="190"/>
    </row>
    <row r="12" spans="3:8">
      <c r="C12" s="135" t="s">
        <v>631</v>
      </c>
      <c r="D12" s="467">
        <f>D6-D10</f>
        <v>1072.3889999999994</v>
      </c>
      <c r="E12" s="467">
        <f>E6-E10</f>
        <v>1485.0232065668511</v>
      </c>
      <c r="F12" s="480"/>
      <c r="G12" s="470">
        <f>G6-G10</f>
        <v>1960.7964285970979</v>
      </c>
      <c r="H12" s="470">
        <f>H6-H10</f>
        <v>509.37552597671464</v>
      </c>
    </row>
    <row r="13" spans="3:8">
      <c r="C13" t="s">
        <v>706</v>
      </c>
      <c r="D13" s="479">
        <f>'yrP&amp;L'!Y57</f>
        <v>125.40300000000001</v>
      </c>
      <c r="E13" s="479">
        <f>'yrP&amp;L'!Z57</f>
        <v>120.64133333333332</v>
      </c>
      <c r="F13" s="481"/>
      <c r="G13" s="482">
        <f>E13</f>
        <v>120.64133333333332</v>
      </c>
      <c r="H13" s="482">
        <f>G13</f>
        <v>120.64133333333332</v>
      </c>
    </row>
    <row r="14" spans="3:8">
      <c r="C14" s="135" t="s">
        <v>707</v>
      </c>
      <c r="D14" s="483">
        <f>D12/D13</f>
        <v>8.5515418291428382</v>
      </c>
      <c r="E14" s="483">
        <f>E12/E13</f>
        <v>12.309406449145548</v>
      </c>
      <c r="F14" s="484"/>
      <c r="G14" s="483">
        <f>G12/G13</f>
        <v>16.253106414029727</v>
      </c>
      <c r="H14" s="483">
        <f>H12/H13</f>
        <v>4.2222305730765139</v>
      </c>
    </row>
    <row r="15" spans="3:8">
      <c r="C15" s="135"/>
      <c r="D15" s="466"/>
      <c r="E15" s="466"/>
      <c r="F15" s="135"/>
      <c r="G15" s="470"/>
      <c r="H15" s="470"/>
    </row>
    <row r="16" spans="3:8">
      <c r="C16" t="s">
        <v>708</v>
      </c>
      <c r="D16" s="471">
        <v>0.15</v>
      </c>
      <c r="E16" s="471">
        <f>D16</f>
        <v>0.15</v>
      </c>
      <c r="G16" s="219">
        <f>E16</f>
        <v>0.15</v>
      </c>
      <c r="H16" s="219">
        <f>G16</f>
        <v>0.15</v>
      </c>
    </row>
    <row r="17" spans="3:10" ht="13.5" thickBot="1">
      <c r="C17" s="26" t="s">
        <v>709</v>
      </c>
      <c r="D17" s="473">
        <v>0</v>
      </c>
      <c r="E17" s="473">
        <v>0</v>
      </c>
      <c r="F17" s="190"/>
      <c r="G17" s="473">
        <v>0</v>
      </c>
      <c r="H17" s="473">
        <f>G17</f>
        <v>0</v>
      </c>
    </row>
    <row r="18" spans="3:10" ht="13.5" thickBot="1">
      <c r="C18" s="474" t="s">
        <v>787</v>
      </c>
      <c r="D18" s="475">
        <f>D14/((1+D16)^D17)</f>
        <v>8.5515418291428382</v>
      </c>
      <c r="E18" s="475">
        <f>E14/((1+E16)^E17)</f>
        <v>12.309406449145548</v>
      </c>
      <c r="F18" s="476"/>
      <c r="G18" s="475">
        <f>G14/((1+G16)^G17)</f>
        <v>16.253106414029727</v>
      </c>
      <c r="H18" s="477">
        <f>H14/((1+H16)^H17)</f>
        <v>4.2222305730765139</v>
      </c>
    </row>
    <row r="20" spans="3:10">
      <c r="J20" s="28"/>
    </row>
    <row r="21" spans="3:10">
      <c r="J21" s="28"/>
    </row>
    <row r="22" spans="3:10">
      <c r="J22" s="28"/>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M203"/>
  <sheetViews>
    <sheetView showGridLines="0" zoomScale="85" workbookViewId="0">
      <selection activeCell="AA15" sqref="AA15"/>
    </sheetView>
  </sheetViews>
  <sheetFormatPr defaultColWidth="6.7109375" defaultRowHeight="12.75" outlineLevelRow="1" outlineLevelCol="1"/>
  <cols>
    <col min="1" max="1" width="1" style="1317" customWidth="1"/>
    <col min="2" max="2" width="1.140625" style="1316" customWidth="1"/>
    <col min="3" max="4" width="13.42578125" style="1315" customWidth="1"/>
    <col min="5" max="5" width="13.28515625" style="1315" customWidth="1"/>
    <col min="6" max="6" width="12.42578125" style="1315" customWidth="1"/>
    <col min="7" max="7" width="9.42578125" style="1315" customWidth="1"/>
    <col min="8" max="8" width="9.5703125" style="1314" customWidth="1"/>
    <col min="9" max="9" width="12" style="1314" customWidth="1"/>
    <col min="10" max="19" width="9.5703125" style="1314" customWidth="1"/>
    <col min="20" max="23" width="9.5703125" style="1312" customWidth="1"/>
    <col min="24" max="26" width="6.7109375" style="1312" customWidth="1"/>
    <col min="27" max="27" width="46.5703125" customWidth="1" outlineLevel="1"/>
    <col min="28" max="28" width="6.7109375" customWidth="1" outlineLevel="1"/>
    <col min="29" max="29" width="32.85546875" customWidth="1" outlineLevel="1"/>
    <col min="30" max="32" width="6.7109375" customWidth="1" outlineLevel="1"/>
    <col min="33" max="35" width="6.7109375" style="1312"/>
    <col min="36" max="36" width="6.7109375" style="1313"/>
    <col min="37" max="16384" width="6.7109375" style="1312"/>
  </cols>
  <sheetData>
    <row r="1" spans="1:36" s="1530" customFormat="1" ht="45" customHeight="1" thickBot="1">
      <c r="A1" s="1538"/>
      <c r="B1" s="1537"/>
      <c r="C1" s="1536"/>
      <c r="D1" s="1533"/>
      <c r="E1" s="1533"/>
      <c r="F1" s="1536"/>
      <c r="G1" s="1536" t="s">
        <v>182</v>
      </c>
      <c r="H1" s="1534"/>
      <c r="I1" s="1534"/>
      <c r="J1" s="1534"/>
      <c r="K1" s="1534"/>
      <c r="L1" s="1534"/>
      <c r="M1" s="1534"/>
      <c r="N1" s="1535"/>
      <c r="O1" s="1534"/>
      <c r="P1" s="1534"/>
      <c r="Q1" s="1534"/>
      <c r="R1" s="1534"/>
      <c r="S1" s="1534"/>
      <c r="T1" s="1533"/>
      <c r="U1" s="1533"/>
      <c r="V1" s="1533"/>
      <c r="W1" s="1532"/>
      <c r="AA1"/>
      <c r="AB1"/>
      <c r="AC1"/>
      <c r="AD1"/>
      <c r="AE1"/>
      <c r="AF1"/>
      <c r="AJ1" s="1531"/>
    </row>
    <row r="2" spans="1:36" ht="32.25" customHeight="1" thickBot="1">
      <c r="A2" s="1529"/>
      <c r="B2" s="1528"/>
      <c r="C2" s="1527"/>
      <c r="D2" s="1527"/>
      <c r="E2" s="1527"/>
      <c r="F2" s="1527"/>
      <c r="G2" s="1527"/>
      <c r="H2" s="1525"/>
      <c r="I2" s="1525"/>
      <c r="J2" s="1525"/>
      <c r="K2" s="1525"/>
      <c r="L2" s="1525"/>
      <c r="M2" s="1525"/>
      <c r="N2" s="1526"/>
      <c r="O2" s="1526"/>
      <c r="P2" s="1526" t="s">
        <v>225</v>
      </c>
      <c r="Q2" s="1526"/>
      <c r="R2" s="1525"/>
      <c r="S2" s="1525"/>
      <c r="T2" s="1524"/>
      <c r="U2" s="1524"/>
      <c r="V2" s="1524"/>
      <c r="W2" s="1524"/>
    </row>
    <row r="3" spans="1:36" s="1334" customFormat="1" ht="15.75" customHeight="1" thickBot="1">
      <c r="A3" s="1337"/>
      <c r="B3" s="1336"/>
      <c r="C3" s="1335"/>
      <c r="D3" s="1335"/>
      <c r="E3" s="1335"/>
      <c r="F3" s="1335"/>
      <c r="G3" s="1335"/>
      <c r="H3" s="1343"/>
      <c r="I3" s="1523" t="s">
        <v>455</v>
      </c>
      <c r="J3" s="1522" t="s">
        <v>225</v>
      </c>
      <c r="L3" s="1521"/>
      <c r="M3" s="1520"/>
      <c r="N3" s="1519"/>
      <c r="O3" s="1518"/>
      <c r="P3" s="1517"/>
      <c r="Q3" s="1343"/>
      <c r="R3" s="1343"/>
      <c r="S3" s="1343"/>
      <c r="AA3"/>
      <c r="AB3"/>
      <c r="AC3"/>
      <c r="AD3"/>
      <c r="AE3"/>
      <c r="AF3"/>
      <c r="AJ3" s="1345"/>
    </row>
    <row r="4" spans="1:36" ht="15.75" customHeight="1">
      <c r="C4" s="1516" t="str">
        <f>_xll.ThomsonONEAddinShim.SpreadsheetFormulas.TF($F$4,"TextAv(TF.CompanyName(sdate=0D),-)")</f>
        <v>Chico's FAS Inc</v>
      </c>
      <c r="D4" s="1515"/>
      <c r="E4" s="1335"/>
      <c r="F4" s="1514" t="s">
        <v>564</v>
      </c>
      <c r="G4" s="1513"/>
      <c r="H4" s="1512" t="str">
        <f>MONTH(I4)&amp;"/"&amp;YEAR(I4)</f>
        <v>1/2017</v>
      </c>
      <c r="I4" s="1512">
        <f>_xll.ThomsonONEAddinShim.SpreadsheetFormulas.TF($F$4,"TF.FN.FiscalYearEndDate(period=FY0)")</f>
        <v>42763</v>
      </c>
      <c r="K4" s="1343"/>
      <c r="AJ4" s="1313" t="s">
        <v>781</v>
      </c>
    </row>
    <row r="5" spans="1:36" ht="15.75" customHeight="1">
      <c r="C5" s="1511" t="s">
        <v>183</v>
      </c>
      <c r="D5" s="1508"/>
      <c r="F5" s="1510">
        <f>H8</f>
        <v>2009</v>
      </c>
      <c r="H5" s="1509" t="str">
        <f t="shared" ref="H5:P5" si="0">"FY"&amp;H7</f>
        <v>FY-8</v>
      </c>
      <c r="I5" s="1509" t="str">
        <f t="shared" si="0"/>
        <v>FY-7</v>
      </c>
      <c r="J5" s="1509" t="str">
        <f t="shared" si="0"/>
        <v>FY-6</v>
      </c>
      <c r="K5" s="1509" t="str">
        <f t="shared" si="0"/>
        <v>FY-5</v>
      </c>
      <c r="L5" s="1509" t="str">
        <f t="shared" si="0"/>
        <v>FY-4</v>
      </c>
      <c r="M5" s="1509" t="str">
        <f t="shared" si="0"/>
        <v>FY-3</v>
      </c>
      <c r="N5" s="1509" t="str">
        <f t="shared" si="0"/>
        <v>FY-2</v>
      </c>
      <c r="O5" s="1509" t="str">
        <f t="shared" si="0"/>
        <v>FY-1</v>
      </c>
      <c r="P5" s="1509" t="str">
        <f t="shared" si="0"/>
        <v>FY0</v>
      </c>
      <c r="AJ5" s="1457"/>
    </row>
    <row r="6" spans="1:36" customFormat="1" ht="13.5" customHeight="1"/>
    <row r="7" spans="1:36">
      <c r="C7" s="1507"/>
      <c r="H7" s="1506">
        <f t="shared" ref="H7:O7" si="1">I7-1</f>
        <v>-8</v>
      </c>
      <c r="I7" s="1506">
        <f t="shared" si="1"/>
        <v>-7</v>
      </c>
      <c r="J7" s="1506">
        <f t="shared" si="1"/>
        <v>-6</v>
      </c>
      <c r="K7" s="1506">
        <f t="shared" si="1"/>
        <v>-5</v>
      </c>
      <c r="L7" s="1506">
        <f t="shared" si="1"/>
        <v>-4</v>
      </c>
      <c r="M7" s="1506">
        <f t="shared" si="1"/>
        <v>-3</v>
      </c>
      <c r="N7" s="1506">
        <f t="shared" si="1"/>
        <v>-2</v>
      </c>
      <c r="O7" s="1506">
        <f t="shared" si="1"/>
        <v>-1</v>
      </c>
      <c r="P7" s="1506">
        <v>0</v>
      </c>
      <c r="Q7" s="1506">
        <f t="shared" ref="Q7:W7" si="2">P7+1</f>
        <v>1</v>
      </c>
      <c r="R7" s="1506">
        <f t="shared" si="2"/>
        <v>2</v>
      </c>
      <c r="S7" s="1506">
        <f t="shared" si="2"/>
        <v>3</v>
      </c>
      <c r="T7" s="1506">
        <f t="shared" si="2"/>
        <v>4</v>
      </c>
      <c r="U7" s="1506">
        <f t="shared" si="2"/>
        <v>5</v>
      </c>
      <c r="V7" s="1506">
        <f t="shared" si="2"/>
        <v>6</v>
      </c>
      <c r="W7" s="1506">
        <f t="shared" si="2"/>
        <v>7</v>
      </c>
    </row>
    <row r="8" spans="1:36" s="1316" customFormat="1" outlineLevel="1">
      <c r="A8" s="1505"/>
      <c r="C8" s="1504"/>
      <c r="D8" s="1504"/>
      <c r="E8" s="1504"/>
      <c r="F8" s="1504"/>
      <c r="G8" s="1504"/>
      <c r="H8" s="1503">
        <f t="shared" ref="H8:W8" si="3">YEAR(H9)</f>
        <v>2009</v>
      </c>
      <c r="I8" s="1503">
        <f t="shared" si="3"/>
        <v>2010</v>
      </c>
      <c r="J8" s="1503">
        <f t="shared" si="3"/>
        <v>2011</v>
      </c>
      <c r="K8" s="1503">
        <f t="shared" si="3"/>
        <v>2012</v>
      </c>
      <c r="L8" s="1503">
        <f t="shared" si="3"/>
        <v>2013</v>
      </c>
      <c r="M8" s="1503">
        <f t="shared" si="3"/>
        <v>2014</v>
      </c>
      <c r="N8" s="1503">
        <f t="shared" si="3"/>
        <v>2015</v>
      </c>
      <c r="O8" s="1503">
        <f t="shared" si="3"/>
        <v>2016</v>
      </c>
      <c r="P8" s="1503">
        <f t="shared" si="3"/>
        <v>2017</v>
      </c>
      <c r="Q8" s="1503">
        <f t="shared" si="3"/>
        <v>2018</v>
      </c>
      <c r="R8" s="1503">
        <f t="shared" si="3"/>
        <v>2019</v>
      </c>
      <c r="S8" s="1503">
        <f t="shared" si="3"/>
        <v>2020</v>
      </c>
      <c r="T8" s="1503">
        <f t="shared" si="3"/>
        <v>2021</v>
      </c>
      <c r="U8" s="1503">
        <f t="shared" si="3"/>
        <v>2022</v>
      </c>
      <c r="V8" s="1503">
        <f t="shared" si="3"/>
        <v>2023</v>
      </c>
      <c r="W8" s="1503">
        <f t="shared" si="3"/>
        <v>2024</v>
      </c>
      <c r="AA8"/>
      <c r="AB8"/>
      <c r="AC8"/>
      <c r="AD8"/>
      <c r="AE8"/>
      <c r="AF8"/>
      <c r="AJ8" s="1313"/>
    </row>
    <row r="9" spans="1:36" ht="14.25" customHeight="1">
      <c r="C9" s="1491" t="s">
        <v>250</v>
      </c>
      <c r="D9" s="1501"/>
      <c r="E9" s="1501"/>
      <c r="F9" s="1501"/>
      <c r="G9" s="1501"/>
      <c r="H9" s="1502">
        <f t="shared" ref="H9:W9" si="4">DATE(YEAR($I$4)+H7,MONTH($I$4),DAY($I$4))</f>
        <v>39841</v>
      </c>
      <c r="I9" s="1502">
        <f t="shared" si="4"/>
        <v>40206</v>
      </c>
      <c r="J9" s="1502">
        <f t="shared" si="4"/>
        <v>40571</v>
      </c>
      <c r="K9" s="1502">
        <f t="shared" si="4"/>
        <v>40936</v>
      </c>
      <c r="L9" s="1502">
        <f t="shared" si="4"/>
        <v>41302</v>
      </c>
      <c r="M9" s="1502">
        <f t="shared" si="4"/>
        <v>41667</v>
      </c>
      <c r="N9" s="1502">
        <f t="shared" si="4"/>
        <v>42032</v>
      </c>
      <c r="O9" s="1502">
        <f t="shared" si="4"/>
        <v>42397</v>
      </c>
      <c r="P9" s="1502">
        <f t="shared" si="4"/>
        <v>42763</v>
      </c>
      <c r="Q9" s="1502">
        <f t="shared" si="4"/>
        <v>43128</v>
      </c>
      <c r="R9" s="1502">
        <f t="shared" si="4"/>
        <v>43493</v>
      </c>
      <c r="S9" s="1502">
        <f t="shared" si="4"/>
        <v>43858</v>
      </c>
      <c r="T9" s="1502">
        <f t="shared" si="4"/>
        <v>44224</v>
      </c>
      <c r="U9" s="1502">
        <f t="shared" si="4"/>
        <v>44589</v>
      </c>
      <c r="V9" s="1502">
        <f t="shared" si="4"/>
        <v>44954</v>
      </c>
      <c r="W9" s="1502">
        <f t="shared" si="4"/>
        <v>45319</v>
      </c>
    </row>
    <row r="10" spans="1:36">
      <c r="C10" s="1490"/>
      <c r="D10" s="1501"/>
      <c r="E10" s="1501"/>
      <c r="F10" s="1501"/>
      <c r="G10" s="1500"/>
      <c r="N10" s="1499"/>
      <c r="T10" s="1314"/>
      <c r="U10" s="1314"/>
      <c r="V10" s="1314"/>
      <c r="W10" s="1314"/>
    </row>
    <row r="11" spans="1:36">
      <c r="C11" s="1476" t="s">
        <v>200</v>
      </c>
      <c r="D11" s="1476"/>
      <c r="E11" s="1476"/>
      <c r="F11" s="1476"/>
      <c r="G11" s="1476"/>
      <c r="H11" s="1386"/>
      <c r="I11" s="1406">
        <f t="shared" ref="I11:W11" si="5">IF(I8&gt;$F$5,I76,0)</f>
        <v>161.6</v>
      </c>
      <c r="J11" s="1406">
        <f t="shared" si="5"/>
        <v>172.1</v>
      </c>
      <c r="K11" s="1406">
        <f t="shared" si="5"/>
        <v>184.5</v>
      </c>
      <c r="L11" s="1406">
        <f t="shared" si="5"/>
        <v>206</v>
      </c>
      <c r="M11" s="1406">
        <f t="shared" si="5"/>
        <v>230</v>
      </c>
      <c r="N11" s="1406">
        <f t="shared" si="5"/>
        <v>253.2</v>
      </c>
      <c r="O11" s="1406">
        <f t="shared" si="5"/>
        <v>266.2</v>
      </c>
      <c r="P11" s="1406">
        <f t="shared" si="5"/>
        <v>268.5</v>
      </c>
      <c r="Q11" s="1406">
        <f t="shared" si="5"/>
        <v>273.87</v>
      </c>
      <c r="R11" s="1406">
        <f t="shared" si="5"/>
        <v>279.34739999999999</v>
      </c>
      <c r="S11" s="1406">
        <f t="shared" si="5"/>
        <v>284.934348</v>
      </c>
      <c r="T11" s="1406">
        <f t="shared" si="5"/>
        <v>290.63303496000003</v>
      </c>
      <c r="U11" s="1406">
        <f t="shared" si="5"/>
        <v>296.44569565920006</v>
      </c>
      <c r="V11" s="1406">
        <f t="shared" si="5"/>
        <v>302.37460957238409</v>
      </c>
      <c r="W11" s="1406">
        <f t="shared" si="5"/>
        <v>308.42210176383179</v>
      </c>
    </row>
    <row r="12" spans="1:36">
      <c r="C12" s="1356" t="s">
        <v>204</v>
      </c>
      <c r="D12" s="1356"/>
      <c r="E12" s="1356"/>
      <c r="F12" s="1356"/>
      <c r="G12" s="1356"/>
      <c r="H12" s="1386"/>
      <c r="I12" s="1498">
        <f t="shared" ref="I12:W12" si="6">IF(I8&gt;$F$5,I23,0)</f>
        <v>-109.91504863941552</v>
      </c>
      <c r="J12" s="1498">
        <f t="shared" si="6"/>
        <v>-119.28443312960836</v>
      </c>
      <c r="K12" s="1498">
        <f t="shared" si="6"/>
        <v>-139.56739931097076</v>
      </c>
      <c r="L12" s="1498">
        <f t="shared" si="6"/>
        <v>-172.09938631024318</v>
      </c>
      <c r="M12" s="1498">
        <f t="shared" si="6"/>
        <v>-126.49905408223148</v>
      </c>
      <c r="N12" s="1498">
        <f t="shared" si="6"/>
        <v>-133.73571223721754</v>
      </c>
      <c r="O12" s="1498">
        <f t="shared" si="6"/>
        <v>-61.752197143301714</v>
      </c>
      <c r="P12" s="1498">
        <f t="shared" si="6"/>
        <v>-169.80871893593115</v>
      </c>
      <c r="Q12" s="1498">
        <f t="shared" si="6"/>
        <v>-196.30530649867106</v>
      </c>
      <c r="R12" s="1498">
        <f t="shared" si="6"/>
        <v>-223.33182581266578</v>
      </c>
      <c r="S12" s="1498">
        <f t="shared" si="6"/>
        <v>-242.11037765935913</v>
      </c>
      <c r="T12" s="1498">
        <f t="shared" si="6"/>
        <v>-258.83685284772969</v>
      </c>
      <c r="U12" s="1498">
        <f t="shared" si="6"/>
        <v>-265.25256477913069</v>
      </c>
      <c r="V12" s="1498">
        <f t="shared" si="6"/>
        <v>-260.03251267069294</v>
      </c>
      <c r="W12" s="1498">
        <f t="shared" si="6"/>
        <v>-260.52222672440672</v>
      </c>
    </row>
    <row r="13" spans="1:36">
      <c r="C13" s="1497" t="s">
        <v>217</v>
      </c>
      <c r="D13" s="1476"/>
      <c r="E13" s="1476"/>
      <c r="F13" s="1476"/>
      <c r="G13" s="1476"/>
      <c r="H13" s="1386"/>
      <c r="I13" s="1475">
        <f t="shared" ref="I13:W13" si="7">SUM(I11:I12)</f>
        <v>51.684951360584478</v>
      </c>
      <c r="J13" s="1475">
        <f t="shared" si="7"/>
        <v>52.815566870391635</v>
      </c>
      <c r="K13" s="1475">
        <f t="shared" si="7"/>
        <v>44.932600689029243</v>
      </c>
      <c r="L13" s="1475">
        <f t="shared" si="7"/>
        <v>33.900613689756824</v>
      </c>
      <c r="M13" s="1475">
        <f t="shared" si="7"/>
        <v>103.50094591776852</v>
      </c>
      <c r="N13" s="1475">
        <f t="shared" si="7"/>
        <v>119.46428776278245</v>
      </c>
      <c r="O13" s="1475">
        <f t="shared" si="7"/>
        <v>204.44780285669827</v>
      </c>
      <c r="P13" s="1475">
        <f t="shared" si="7"/>
        <v>98.691281064068846</v>
      </c>
      <c r="Q13" s="1475">
        <f t="shared" si="7"/>
        <v>77.564693501328946</v>
      </c>
      <c r="R13" s="1475">
        <f t="shared" si="7"/>
        <v>56.015574187334209</v>
      </c>
      <c r="S13" s="1475">
        <f t="shared" si="7"/>
        <v>42.823970340640869</v>
      </c>
      <c r="T13" s="1475">
        <f t="shared" si="7"/>
        <v>31.796182112270344</v>
      </c>
      <c r="U13" s="1475">
        <f t="shared" si="7"/>
        <v>31.193130880069361</v>
      </c>
      <c r="V13" s="1475">
        <f t="shared" si="7"/>
        <v>42.34209690169115</v>
      </c>
      <c r="W13" s="1475">
        <f t="shared" si="7"/>
        <v>47.899875039425069</v>
      </c>
    </row>
    <row r="14" spans="1:36">
      <c r="C14" s="1476"/>
      <c r="D14" s="1476"/>
      <c r="E14" s="1476"/>
      <c r="F14" s="1476"/>
      <c r="G14" s="1476"/>
      <c r="H14" s="1386"/>
      <c r="I14" s="1386"/>
      <c r="J14" s="1386"/>
      <c r="K14" s="1386"/>
      <c r="L14" s="1386"/>
      <c r="M14" s="1386"/>
      <c r="N14" s="1386"/>
      <c r="O14" s="1386"/>
      <c r="P14" s="1386"/>
      <c r="Q14" s="1386"/>
      <c r="R14" s="1386"/>
      <c r="S14" s="1386"/>
      <c r="T14" s="1386"/>
      <c r="U14" s="1386"/>
      <c r="V14" s="1386"/>
      <c r="W14" s="1386"/>
    </row>
    <row r="15" spans="1:36">
      <c r="C15" s="1476" t="s">
        <v>466</v>
      </c>
      <c r="D15" s="1476"/>
      <c r="E15" s="1476"/>
      <c r="F15" s="1476"/>
      <c r="G15" s="1476"/>
      <c r="H15" s="1386"/>
      <c r="I15" s="1498">
        <f t="shared" ref="I15:W15" si="8">IF(OR(I8&gt;$F$5,I8=$F$5),-I30,0)</f>
        <v>-48.715109646688362</v>
      </c>
      <c r="J15" s="1498">
        <f t="shared" si="8"/>
        <v>-47.21080031993661</v>
      </c>
      <c r="K15" s="1498">
        <f t="shared" si="8"/>
        <v>-48.496852919809221</v>
      </c>
      <c r="L15" s="1498">
        <f t="shared" si="8"/>
        <v>-57.957161575493615</v>
      </c>
      <c r="M15" s="1498">
        <f t="shared" si="8"/>
        <v>-72.865040812672689</v>
      </c>
      <c r="N15" s="1498">
        <f t="shared" si="8"/>
        <v>-83.533670731592764</v>
      </c>
      <c r="O15" s="1498">
        <f t="shared" si="8"/>
        <v>-71.948321089941587</v>
      </c>
      <c r="P15" s="1498">
        <f t="shared" si="8"/>
        <v>-37.649402017960128</v>
      </c>
      <c r="Q15" s="1498">
        <f t="shared" si="8"/>
        <v>-87.496779217395684</v>
      </c>
      <c r="R15" s="1498">
        <f>IF(OR(R8&gt;$F$5,R8=$F$5),-R30,0)</f>
        <v>-93.986102694125634</v>
      </c>
      <c r="S15" s="1498">
        <f t="shared" si="8"/>
        <v>-100.98910305967313</v>
      </c>
      <c r="T15" s="1498">
        <f t="shared" si="8"/>
        <v>-108.54714897577641</v>
      </c>
      <c r="U15" s="1498">
        <f t="shared" si="8"/>
        <v>-116.70495518244948</v>
      </c>
      <c r="V15" s="1498">
        <f t="shared" si="8"/>
        <v>-125.51085343465574</v>
      </c>
      <c r="W15" s="1498">
        <f t="shared" si="8"/>
        <v>-135.01708538293929</v>
      </c>
    </row>
    <row r="16" spans="1:36">
      <c r="C16" s="1497" t="s">
        <v>468</v>
      </c>
      <c r="D16" s="1497"/>
      <c r="E16" s="1497"/>
      <c r="F16" s="1497"/>
      <c r="G16" s="1497"/>
      <c r="H16" s="1386"/>
      <c r="I16" s="1475">
        <f t="shared" ref="I16:W16" si="9">I13+I15</f>
        <v>2.9698417138961162</v>
      </c>
      <c r="J16" s="1475">
        <f t="shared" si="9"/>
        <v>5.6047665504550253</v>
      </c>
      <c r="K16" s="1475">
        <f t="shared" si="9"/>
        <v>-3.564252230779978</v>
      </c>
      <c r="L16" s="1475">
        <f t="shared" si="9"/>
        <v>-24.056547885736791</v>
      </c>
      <c r="M16" s="1475">
        <f t="shared" si="9"/>
        <v>30.63590510509583</v>
      </c>
      <c r="N16" s="1475">
        <f t="shared" si="9"/>
        <v>35.930617031189684</v>
      </c>
      <c r="O16" s="1475">
        <f t="shared" si="9"/>
        <v>132.49948176675667</v>
      </c>
      <c r="P16" s="1475">
        <f t="shared" si="9"/>
        <v>61.041879046108718</v>
      </c>
      <c r="Q16" s="1475">
        <f t="shared" si="9"/>
        <v>-9.9320857160667373</v>
      </c>
      <c r="R16" s="1475">
        <f t="shared" si="9"/>
        <v>-37.970528506791425</v>
      </c>
      <c r="S16" s="1475">
        <f t="shared" si="9"/>
        <v>-58.165132719032258</v>
      </c>
      <c r="T16" s="1475">
        <f t="shared" si="9"/>
        <v>-76.750966863506065</v>
      </c>
      <c r="U16" s="1475">
        <f t="shared" si="9"/>
        <v>-85.51182430238012</v>
      </c>
      <c r="V16" s="1475">
        <f t="shared" si="9"/>
        <v>-83.168756532964593</v>
      </c>
      <c r="W16" s="1475">
        <f t="shared" si="9"/>
        <v>-87.117210343514216</v>
      </c>
    </row>
    <row r="17" spans="1:36">
      <c r="C17" s="1476"/>
      <c r="D17" s="1476"/>
      <c r="E17" s="1476"/>
      <c r="F17" s="1476"/>
      <c r="G17" s="1476"/>
      <c r="H17" s="1386"/>
      <c r="I17" s="1406"/>
      <c r="J17" s="1406"/>
      <c r="K17" s="1406"/>
      <c r="L17" s="1406"/>
      <c r="M17" s="1406"/>
      <c r="N17" s="1406"/>
      <c r="O17" s="1406"/>
      <c r="P17" s="1406"/>
      <c r="Q17" s="1406"/>
      <c r="R17" s="1406"/>
      <c r="S17" s="1406"/>
      <c r="T17" s="1406"/>
      <c r="U17" s="1406"/>
      <c r="V17" s="1406"/>
      <c r="W17" s="1406"/>
    </row>
    <row r="18" spans="1:36">
      <c r="C18" s="1476"/>
      <c r="D18" s="1476"/>
      <c r="E18" s="1476"/>
      <c r="F18" s="1476"/>
      <c r="G18" s="1476"/>
      <c r="H18" s="1496"/>
      <c r="I18" s="1495"/>
      <c r="J18" s="1495"/>
      <c r="K18" s="1495"/>
      <c r="L18" s="1495"/>
      <c r="M18" s="1495"/>
      <c r="N18" s="1495"/>
      <c r="O18" s="1495"/>
      <c r="P18" s="1495"/>
      <c r="Q18" s="1495"/>
      <c r="R18" s="1495"/>
      <c r="S18" s="1495"/>
      <c r="T18" s="1495"/>
      <c r="U18" s="1495"/>
      <c r="V18" s="1495"/>
      <c r="W18" s="1495"/>
    </row>
    <row r="19" spans="1:36" s="1315" customFormat="1" ht="14.25" customHeight="1">
      <c r="A19" s="1471"/>
      <c r="C19" s="1491" t="s">
        <v>620</v>
      </c>
      <c r="D19" s="1372"/>
      <c r="E19" s="1372"/>
      <c r="F19" s="1372"/>
      <c r="G19" s="1372"/>
      <c r="H19" s="1494"/>
      <c r="I19" s="1494"/>
      <c r="J19" s="1494"/>
      <c r="K19" s="1494"/>
      <c r="L19" s="1494"/>
      <c r="M19" s="1494"/>
      <c r="N19" s="1494"/>
      <c r="O19" s="1494"/>
      <c r="P19" s="1493"/>
      <c r="Q19" s="1493"/>
      <c r="R19" s="1493"/>
      <c r="S19" s="1493"/>
      <c r="T19" s="1493"/>
      <c r="U19" s="1493"/>
      <c r="V19" s="1493"/>
      <c r="W19" s="1493"/>
      <c r="AA19"/>
      <c r="AB19"/>
      <c r="AC19"/>
      <c r="AD19"/>
      <c r="AE19"/>
      <c r="AF19"/>
      <c r="AJ19" s="1313"/>
    </row>
    <row r="20" spans="1:36" s="1315" customFormat="1">
      <c r="A20" s="1471"/>
      <c r="B20" s="1387"/>
      <c r="C20" s="1490"/>
      <c r="D20" s="1372"/>
      <c r="E20" s="1372"/>
      <c r="F20" s="1372"/>
      <c r="G20" s="1372"/>
      <c r="H20" s="1494"/>
      <c r="I20" s="1494"/>
      <c r="J20" s="1494"/>
      <c r="K20" s="1494"/>
      <c r="L20" s="1494"/>
      <c r="M20" s="1494"/>
      <c r="N20" s="1494"/>
      <c r="O20" s="1494"/>
      <c r="P20" s="1493"/>
      <c r="Q20" s="1493"/>
      <c r="R20" s="1493"/>
      <c r="S20" s="1493"/>
      <c r="T20" s="1493"/>
      <c r="U20" s="1493"/>
      <c r="V20" s="1493"/>
      <c r="W20" s="1493"/>
      <c r="AA20"/>
      <c r="AB20"/>
      <c r="AC20"/>
      <c r="AD20"/>
      <c r="AE20"/>
      <c r="AF20"/>
      <c r="AJ20" s="1313"/>
    </row>
    <row r="21" spans="1:36">
      <c r="C21" s="1489" t="s">
        <v>286</v>
      </c>
      <c r="D21" s="1489"/>
      <c r="E21" s="1489"/>
      <c r="F21" s="1489"/>
      <c r="G21" s="1489"/>
      <c r="H21" s="1473"/>
      <c r="I21" s="1473">
        <f t="shared" ref="I21:W21" si="10">H24</f>
        <v>515.95178972364408</v>
      </c>
      <c r="J21" s="1473">
        <f t="shared" si="10"/>
        <v>493.92171962004136</v>
      </c>
      <c r="K21" s="1473">
        <f t="shared" si="10"/>
        <v>488.55644154952824</v>
      </c>
      <c r="L21" s="1473">
        <f t="shared" si="10"/>
        <v>571.63950800620478</v>
      </c>
      <c r="M21" s="1473">
        <f t="shared" si="10"/>
        <v>744.28437956362905</v>
      </c>
      <c r="N21" s="1473">
        <f t="shared" si="10"/>
        <v>911.28279646321596</v>
      </c>
      <c r="O21" s="1473">
        <f t="shared" si="10"/>
        <v>1052.2078783861327</v>
      </c>
      <c r="P21" s="1473">
        <f t="shared" si="10"/>
        <v>270.62053030367269</v>
      </c>
      <c r="Q21" s="1473">
        <f t="shared" si="10"/>
        <v>1181.377029294036</v>
      </c>
      <c r="R21" s="1473">
        <f t="shared" si="10"/>
        <v>1250.0375984227639</v>
      </c>
      <c r="S21" s="1473">
        <f t="shared" si="10"/>
        <v>1296.9709657500455</v>
      </c>
      <c r="T21" s="1473">
        <f t="shared" si="10"/>
        <v>1330.5310850934325</v>
      </c>
      <c r="U21" s="1473">
        <f t="shared" si="10"/>
        <v>1352.8781391885038</v>
      </c>
      <c r="V21" s="1473">
        <f t="shared" si="10"/>
        <v>1374.43315949103</v>
      </c>
      <c r="W21" s="1473">
        <f t="shared" si="10"/>
        <v>1406.9443836036271</v>
      </c>
    </row>
    <row r="22" spans="1:36">
      <c r="B22" s="1492"/>
      <c r="C22" s="1488" t="s">
        <v>297</v>
      </c>
      <c r="D22" s="1488"/>
      <c r="E22" s="1488"/>
      <c r="F22" s="1488"/>
      <c r="G22" s="1488"/>
      <c r="H22" s="1473"/>
      <c r="I22" s="1473">
        <f t="shared" ref="I22:W22" si="11">IF((I8&gt;$F$5),I143,0)</f>
        <v>87.88497853581282</v>
      </c>
      <c r="J22" s="1473">
        <f t="shared" si="11"/>
        <v>113.91915505909529</v>
      </c>
      <c r="K22" s="1473">
        <f t="shared" si="11"/>
        <v>222.65046576764732</v>
      </c>
      <c r="L22" s="1473">
        <f t="shared" si="11"/>
        <v>344.74425786766744</v>
      </c>
      <c r="M22" s="1473">
        <f t="shared" si="11"/>
        <v>293.49747098181831</v>
      </c>
      <c r="N22" s="1473">
        <f t="shared" si="11"/>
        <v>274.66079416013429</v>
      </c>
      <c r="O22" s="1473">
        <f t="shared" si="11"/>
        <v>-719.83515093915832</v>
      </c>
      <c r="P22" s="1473">
        <f t="shared" si="11"/>
        <v>1080.5652179262945</v>
      </c>
      <c r="Q22" s="1473">
        <f t="shared" si="11"/>
        <v>264.96587562739916</v>
      </c>
      <c r="R22" s="1473">
        <f t="shared" si="11"/>
        <v>270.2651931399472</v>
      </c>
      <c r="S22" s="1473">
        <f t="shared" si="11"/>
        <v>275.67049700274606</v>
      </c>
      <c r="T22" s="1473">
        <f t="shared" si="11"/>
        <v>281.18390694280106</v>
      </c>
      <c r="U22" s="1473">
        <f t="shared" si="11"/>
        <v>286.80758508165707</v>
      </c>
      <c r="V22" s="1473">
        <f t="shared" si="11"/>
        <v>292.54373678329023</v>
      </c>
      <c r="W22" s="1473">
        <f t="shared" si="11"/>
        <v>298.39461151895597</v>
      </c>
    </row>
    <row r="23" spans="1:36">
      <c r="C23" s="1488" t="s">
        <v>298</v>
      </c>
      <c r="D23" s="1335"/>
      <c r="E23" s="1335"/>
      <c r="F23" s="1335"/>
      <c r="G23" s="1335"/>
      <c r="H23" s="1486"/>
      <c r="I23" s="1486">
        <f t="shared" ref="I23:W23" si="12">IF(I8&gt;$F$5,-I171,0)</f>
        <v>-109.91504863941552</v>
      </c>
      <c r="J23" s="1486">
        <f t="shared" si="12"/>
        <v>-119.28443312960836</v>
      </c>
      <c r="K23" s="1486">
        <f t="shared" si="12"/>
        <v>-139.56739931097076</v>
      </c>
      <c r="L23" s="1486">
        <f t="shared" si="12"/>
        <v>-172.09938631024318</v>
      </c>
      <c r="M23" s="1486">
        <f t="shared" si="12"/>
        <v>-126.49905408223148</v>
      </c>
      <c r="N23" s="1486">
        <f t="shared" si="12"/>
        <v>-133.73571223721754</v>
      </c>
      <c r="O23" s="1486">
        <f t="shared" si="12"/>
        <v>-61.752197143301714</v>
      </c>
      <c r="P23" s="1486">
        <f t="shared" si="12"/>
        <v>-169.80871893593115</v>
      </c>
      <c r="Q23" s="1486">
        <f t="shared" si="12"/>
        <v>-196.30530649867106</v>
      </c>
      <c r="R23" s="1486">
        <f t="shared" si="12"/>
        <v>-223.33182581266578</v>
      </c>
      <c r="S23" s="1486">
        <f t="shared" si="12"/>
        <v>-242.11037765935913</v>
      </c>
      <c r="T23" s="1486">
        <f t="shared" si="12"/>
        <v>-258.83685284772969</v>
      </c>
      <c r="U23" s="1486">
        <f t="shared" si="12"/>
        <v>-265.25256477913069</v>
      </c>
      <c r="V23" s="1486">
        <f t="shared" si="12"/>
        <v>-260.03251267069294</v>
      </c>
      <c r="W23" s="1486">
        <f t="shared" si="12"/>
        <v>-260.52222672440672</v>
      </c>
    </row>
    <row r="24" spans="1:36">
      <c r="C24" s="1372" t="s">
        <v>299</v>
      </c>
      <c r="D24" s="1372"/>
      <c r="E24" s="1372"/>
      <c r="F24" s="1372"/>
      <c r="G24" s="1372"/>
      <c r="H24" s="1477">
        <f t="shared" ref="H24:W24" si="13">IF(H8=$F$5,H33*H35,IF(H8&gt;$F$5,SUM(H21:H23),0))</f>
        <v>515.95178972364408</v>
      </c>
      <c r="I24" s="1477">
        <f t="shared" si="13"/>
        <v>493.92171962004136</v>
      </c>
      <c r="J24" s="1477">
        <f t="shared" si="13"/>
        <v>488.55644154952824</v>
      </c>
      <c r="K24" s="1477">
        <f t="shared" si="13"/>
        <v>571.63950800620478</v>
      </c>
      <c r="L24" s="1477">
        <f t="shared" si="13"/>
        <v>744.28437956362905</v>
      </c>
      <c r="M24" s="1477">
        <f t="shared" si="13"/>
        <v>911.28279646321596</v>
      </c>
      <c r="N24" s="1477">
        <f t="shared" si="13"/>
        <v>1052.2078783861327</v>
      </c>
      <c r="O24" s="1477">
        <f t="shared" si="13"/>
        <v>270.62053030367269</v>
      </c>
      <c r="P24" s="1477">
        <f t="shared" si="13"/>
        <v>1181.377029294036</v>
      </c>
      <c r="Q24" s="1477">
        <f t="shared" si="13"/>
        <v>1250.0375984227639</v>
      </c>
      <c r="R24" s="1477">
        <f t="shared" si="13"/>
        <v>1296.9709657500455</v>
      </c>
      <c r="S24" s="1477">
        <f t="shared" si="13"/>
        <v>1330.5310850934325</v>
      </c>
      <c r="T24" s="1477">
        <f t="shared" si="13"/>
        <v>1352.8781391885038</v>
      </c>
      <c r="U24" s="1477">
        <f t="shared" si="13"/>
        <v>1374.43315949103</v>
      </c>
      <c r="V24" s="1477">
        <f t="shared" si="13"/>
        <v>1406.9443836036271</v>
      </c>
      <c r="W24" s="1477">
        <f t="shared" si="13"/>
        <v>1444.8167683981765</v>
      </c>
    </row>
    <row r="25" spans="1:36">
      <c r="C25" s="1335"/>
      <c r="D25" s="1335"/>
      <c r="E25" s="1335"/>
      <c r="F25" s="1335"/>
      <c r="G25" s="1335"/>
      <c r="I25" s="1473"/>
      <c r="J25" s="1473"/>
      <c r="K25" s="1473"/>
      <c r="L25" s="1473"/>
      <c r="M25" s="1473"/>
      <c r="N25" s="1473"/>
      <c r="O25" s="1473"/>
      <c r="P25" s="1473"/>
      <c r="Q25" s="1473"/>
      <c r="R25" s="1473"/>
      <c r="S25" s="1473"/>
      <c r="T25" s="1473"/>
      <c r="U25" s="1473"/>
      <c r="V25" s="1473"/>
      <c r="W25" s="1473"/>
    </row>
    <row r="26" spans="1:36">
      <c r="C26" s="1335"/>
      <c r="D26" s="1335"/>
      <c r="E26" s="1335"/>
      <c r="F26" s="1335"/>
      <c r="G26" s="1335"/>
      <c r="H26" s="1473"/>
      <c r="I26" s="1473"/>
      <c r="J26" s="1473"/>
      <c r="K26" s="1473"/>
      <c r="L26" s="1473"/>
      <c r="M26" s="1473"/>
      <c r="N26" s="1473"/>
      <c r="O26" s="1473"/>
      <c r="P26" s="1473"/>
      <c r="Q26" s="1473"/>
      <c r="R26" s="1473"/>
      <c r="S26" s="1473"/>
      <c r="T26" s="1473"/>
      <c r="U26" s="1473"/>
      <c r="V26" s="1473"/>
      <c r="W26" s="1473"/>
    </row>
    <row r="27" spans="1:36" s="1315" customFormat="1" ht="14.25" customHeight="1">
      <c r="A27" s="1471"/>
      <c r="B27" s="1387"/>
      <c r="C27" s="1491" t="s">
        <v>300</v>
      </c>
      <c r="D27" s="1372"/>
      <c r="E27" s="1372"/>
      <c r="F27" s="1372"/>
      <c r="G27" s="1372"/>
      <c r="H27" s="1377"/>
      <c r="I27" s="1377"/>
      <c r="J27" s="1377"/>
      <c r="K27" s="1377"/>
      <c r="L27" s="1377"/>
      <c r="M27" s="1377"/>
      <c r="N27" s="1377"/>
      <c r="O27" s="1377"/>
      <c r="P27" s="1376"/>
      <c r="Q27" s="1376"/>
      <c r="R27" s="1376"/>
      <c r="S27" s="1376"/>
      <c r="T27" s="1376"/>
      <c r="U27" s="1376"/>
      <c r="V27" s="1376"/>
      <c r="W27" s="1376"/>
      <c r="AA27"/>
      <c r="AB27"/>
      <c r="AC27"/>
      <c r="AD27"/>
      <c r="AE27"/>
      <c r="AF27"/>
      <c r="AJ27" s="1313"/>
    </row>
    <row r="28" spans="1:36" s="1315" customFormat="1">
      <c r="A28" s="1471"/>
      <c r="B28" s="1387"/>
      <c r="C28" s="1490"/>
      <c r="D28" s="1372"/>
      <c r="E28" s="1372"/>
      <c r="F28" s="1372"/>
      <c r="G28" s="1372"/>
      <c r="H28" s="1377"/>
      <c r="I28" s="1377"/>
      <c r="J28" s="1377"/>
      <c r="K28" s="1377"/>
      <c r="L28" s="1377"/>
      <c r="M28" s="1377"/>
      <c r="N28" s="1377"/>
      <c r="O28" s="1377"/>
      <c r="P28" s="1376"/>
      <c r="Q28" s="1376"/>
      <c r="R28" s="1376"/>
      <c r="S28" s="1376"/>
      <c r="T28" s="1376"/>
      <c r="U28" s="1376"/>
      <c r="V28" s="1376"/>
      <c r="W28" s="1376"/>
      <c r="AA28"/>
      <c r="AB28"/>
      <c r="AC28"/>
      <c r="AD28"/>
      <c r="AE28"/>
      <c r="AF28"/>
      <c r="AJ28" s="1313"/>
    </row>
    <row r="29" spans="1:36">
      <c r="C29" s="1489" t="s">
        <v>301</v>
      </c>
      <c r="D29" s="1483"/>
      <c r="E29" s="1483"/>
      <c r="F29" s="1483"/>
      <c r="G29" s="1483"/>
      <c r="H29" s="1473"/>
      <c r="I29" s="1473">
        <f t="shared" ref="I29:W29" si="14">H33</f>
        <v>579.72111204903831</v>
      </c>
      <c r="J29" s="1473">
        <f t="shared" si="14"/>
        <v>554.72120023153946</v>
      </c>
      <c r="K29" s="1473">
        <f t="shared" si="14"/>
        <v>543.75115561057135</v>
      </c>
      <c r="L29" s="1473">
        <f t="shared" si="14"/>
        <v>630.39847429802796</v>
      </c>
      <c r="M29" s="1473">
        <f t="shared" si="14"/>
        <v>827.09989374118902</v>
      </c>
      <c r="N29" s="1473">
        <f t="shared" si="14"/>
        <v>963.46240553567998</v>
      </c>
      <c r="O29" s="1473">
        <f t="shared" si="14"/>
        <v>1068.456870427407</v>
      </c>
      <c r="P29" s="1473">
        <f t="shared" si="14"/>
        <v>154.37004057819024</v>
      </c>
      <c r="Q29" s="1473">
        <f t="shared" si="14"/>
        <v>1004.0846605224449</v>
      </c>
      <c r="R29" s="1473">
        <f t="shared" si="14"/>
        <v>1082.6773153672398</v>
      </c>
      <c r="S29" s="1473">
        <f t="shared" si="14"/>
        <v>1167.5812112013127</v>
      </c>
      <c r="T29" s="1473">
        <f t="shared" si="14"/>
        <v>1259.306463263732</v>
      </c>
      <c r="U29" s="1473">
        <f t="shared" si="14"/>
        <v>1358.4044842223095</v>
      </c>
      <c r="V29" s="1473">
        <f t="shared" si="14"/>
        <v>1465.471328827216</v>
      </c>
      <c r="W29" s="1473">
        <f t="shared" si="14"/>
        <v>1581.1513094727779</v>
      </c>
    </row>
    <row r="30" spans="1:36">
      <c r="C30" s="1488" t="s">
        <v>302</v>
      </c>
      <c r="D30" s="1487"/>
      <c r="E30" s="1487"/>
      <c r="F30" s="1487"/>
      <c r="G30" s="1487"/>
      <c r="H30" s="1473">
        <f t="shared" ref="H30:W30" si="15">IF(H8=$F$5,0,IF(H8&gt;$F$5,H29*G44+H45*H32,0))</f>
        <v>0</v>
      </c>
      <c r="I30" s="1473">
        <f t="shared" si="15"/>
        <v>48.715109646688362</v>
      </c>
      <c r="J30" s="1473">
        <f t="shared" si="15"/>
        <v>47.21080031993661</v>
      </c>
      <c r="K30" s="1473">
        <f t="shared" si="15"/>
        <v>48.496852919809221</v>
      </c>
      <c r="L30" s="1473">
        <f t="shared" si="15"/>
        <v>57.957161575493615</v>
      </c>
      <c r="M30" s="1473">
        <f t="shared" si="15"/>
        <v>72.865040812672689</v>
      </c>
      <c r="N30" s="1473">
        <f t="shared" si="15"/>
        <v>83.533670731592764</v>
      </c>
      <c r="O30" s="1473">
        <f t="shared" si="15"/>
        <v>71.948321089941587</v>
      </c>
      <c r="P30" s="1473">
        <f>IF(P8=$F$5,0,IF(P8&gt;$F$5,P29*O44+P45*P32,0))</f>
        <v>37.649402017960128</v>
      </c>
      <c r="Q30" s="1473">
        <f t="shared" si="15"/>
        <v>87.496779217395684</v>
      </c>
      <c r="R30" s="1473">
        <f t="shared" si="15"/>
        <v>93.986102694125634</v>
      </c>
      <c r="S30" s="1473">
        <f>IF(S8=$F$5,0,IF(S8&gt;$F$5,S29*R44+S45*S32,0))</f>
        <v>100.98910305967313</v>
      </c>
      <c r="T30" s="1473">
        <f t="shared" si="15"/>
        <v>108.54714897577641</v>
      </c>
      <c r="U30" s="1473">
        <f t="shared" si="15"/>
        <v>116.70495518244948</v>
      </c>
      <c r="V30" s="1473">
        <f t="shared" si="15"/>
        <v>125.51085343465574</v>
      </c>
      <c r="W30" s="1473">
        <f t="shared" si="15"/>
        <v>135.01708538293929</v>
      </c>
    </row>
    <row r="31" spans="1:36">
      <c r="C31" s="1488" t="s">
        <v>303</v>
      </c>
      <c r="D31" s="1487"/>
      <c r="E31" s="1487"/>
      <c r="F31" s="1487"/>
      <c r="G31" s="1487"/>
      <c r="H31" s="1473"/>
      <c r="I31" s="1473">
        <f t="shared" ref="I31:W31" si="16">-I11</f>
        <v>-161.6</v>
      </c>
      <c r="J31" s="1473">
        <f t="shared" si="16"/>
        <v>-172.1</v>
      </c>
      <c r="K31" s="1473">
        <f t="shared" si="16"/>
        <v>-184.5</v>
      </c>
      <c r="L31" s="1473">
        <f t="shared" si="16"/>
        <v>-206</v>
      </c>
      <c r="M31" s="1473">
        <f t="shared" si="16"/>
        <v>-230</v>
      </c>
      <c r="N31" s="1473">
        <f t="shared" si="16"/>
        <v>-253.2</v>
      </c>
      <c r="O31" s="1473">
        <f t="shared" si="16"/>
        <v>-266.2</v>
      </c>
      <c r="P31" s="1473">
        <f t="shared" si="16"/>
        <v>-268.5</v>
      </c>
      <c r="Q31" s="1473">
        <f t="shared" si="16"/>
        <v>-273.87</v>
      </c>
      <c r="R31" s="1473">
        <f t="shared" si="16"/>
        <v>-279.34739999999999</v>
      </c>
      <c r="S31" s="1473">
        <f t="shared" si="16"/>
        <v>-284.934348</v>
      </c>
      <c r="T31" s="1473">
        <f t="shared" si="16"/>
        <v>-290.63303496000003</v>
      </c>
      <c r="U31" s="1473">
        <f t="shared" si="16"/>
        <v>-296.44569565920006</v>
      </c>
      <c r="V31" s="1473">
        <f t="shared" si="16"/>
        <v>-302.37460957238409</v>
      </c>
      <c r="W31" s="1473">
        <f t="shared" si="16"/>
        <v>-308.42210176383179</v>
      </c>
    </row>
    <row r="32" spans="1:36">
      <c r="C32" s="1488" t="s">
        <v>304</v>
      </c>
      <c r="D32" s="1487"/>
      <c r="E32" s="1487"/>
      <c r="F32" s="1487"/>
      <c r="G32" s="1487"/>
      <c r="H32" s="1486"/>
      <c r="I32" s="1486">
        <f t="shared" ref="I32:W32" si="17">IF(I8&gt;$F$5,I22,0)</f>
        <v>87.88497853581282</v>
      </c>
      <c r="J32" s="1486">
        <f t="shared" si="17"/>
        <v>113.91915505909529</v>
      </c>
      <c r="K32" s="1486">
        <f t="shared" si="17"/>
        <v>222.65046576764732</v>
      </c>
      <c r="L32" s="1486">
        <f t="shared" si="17"/>
        <v>344.74425786766744</v>
      </c>
      <c r="M32" s="1486">
        <f t="shared" si="17"/>
        <v>293.49747098181831</v>
      </c>
      <c r="N32" s="1486">
        <f t="shared" si="17"/>
        <v>274.66079416013429</v>
      </c>
      <c r="O32" s="1486">
        <f t="shared" si="17"/>
        <v>-719.83515093915832</v>
      </c>
      <c r="P32" s="1486">
        <f t="shared" si="17"/>
        <v>1080.5652179262945</v>
      </c>
      <c r="Q32" s="1486">
        <f t="shared" si="17"/>
        <v>264.96587562739916</v>
      </c>
      <c r="R32" s="1486">
        <f t="shared" si="17"/>
        <v>270.2651931399472</v>
      </c>
      <c r="S32" s="1486">
        <f t="shared" si="17"/>
        <v>275.67049700274606</v>
      </c>
      <c r="T32" s="1486">
        <f t="shared" si="17"/>
        <v>281.18390694280106</v>
      </c>
      <c r="U32" s="1486">
        <f t="shared" si="17"/>
        <v>286.80758508165707</v>
      </c>
      <c r="V32" s="1486">
        <f t="shared" si="17"/>
        <v>292.54373678329023</v>
      </c>
      <c r="W32" s="1486">
        <f t="shared" si="17"/>
        <v>298.39461151895597</v>
      </c>
    </row>
    <row r="33" spans="1:36" s="1438" customFormat="1">
      <c r="A33" s="1442"/>
      <c r="B33" s="1485"/>
      <c r="C33" s="1372" t="s">
        <v>305</v>
      </c>
      <c r="D33" s="1484"/>
      <c r="E33" s="1484"/>
      <c r="F33" s="1484"/>
      <c r="G33" s="1484"/>
      <c r="H33" s="1477">
        <f t="shared" ref="H33:W33" si="18">IF(H8=$F$5,NPV(H44,H77:H95),IF(H8&lt;$F$5,0,SUM(H29:H32)))</f>
        <v>579.72111204903831</v>
      </c>
      <c r="I33" s="1477">
        <f t="shared" si="18"/>
        <v>554.72120023153946</v>
      </c>
      <c r="J33" s="1477">
        <f t="shared" si="18"/>
        <v>543.75115561057135</v>
      </c>
      <c r="K33" s="1477">
        <f t="shared" si="18"/>
        <v>630.39847429802796</v>
      </c>
      <c r="L33" s="1477">
        <f t="shared" si="18"/>
        <v>827.09989374118902</v>
      </c>
      <c r="M33" s="1477">
        <f t="shared" si="18"/>
        <v>963.46240553567998</v>
      </c>
      <c r="N33" s="1477">
        <f t="shared" si="18"/>
        <v>1068.456870427407</v>
      </c>
      <c r="O33" s="1477">
        <f t="shared" si="18"/>
        <v>154.37004057819024</v>
      </c>
      <c r="P33" s="1477">
        <f t="shared" si="18"/>
        <v>1004.0846605224449</v>
      </c>
      <c r="Q33" s="1477">
        <f t="shared" si="18"/>
        <v>1082.6773153672398</v>
      </c>
      <c r="R33" s="1477">
        <f t="shared" si="18"/>
        <v>1167.5812112013127</v>
      </c>
      <c r="S33" s="1477">
        <f t="shared" si="18"/>
        <v>1259.306463263732</v>
      </c>
      <c r="T33" s="1477">
        <f t="shared" si="18"/>
        <v>1358.4044842223095</v>
      </c>
      <c r="U33" s="1477">
        <f>IF(U8=$F$5,NPV(U44,U77:U95),IF(U8&lt;$F$5,0,SUM(U29:U32)))</f>
        <v>1465.471328827216</v>
      </c>
      <c r="V33" s="1477">
        <f t="shared" si="18"/>
        <v>1581.1513094727779</v>
      </c>
      <c r="W33" s="1477">
        <f t="shared" si="18"/>
        <v>1706.1409046108415</v>
      </c>
      <c r="AA33"/>
      <c r="AB33"/>
      <c r="AC33"/>
      <c r="AD33"/>
      <c r="AE33"/>
      <c r="AF33"/>
      <c r="AJ33" s="1439"/>
    </row>
    <row r="34" spans="1:36">
      <c r="C34" s="1483"/>
      <c r="D34" s="1483"/>
      <c r="E34" s="1483"/>
      <c r="F34" s="1483"/>
      <c r="G34" s="1483"/>
      <c r="H34" s="1482"/>
      <c r="I34" s="1482"/>
      <c r="J34" s="1482"/>
      <c r="K34" s="1482"/>
      <c r="L34" s="1482"/>
      <c r="M34" s="1482"/>
      <c r="N34" s="1482"/>
      <c r="O34" s="1482"/>
      <c r="P34" s="1482"/>
      <c r="Q34" s="1482"/>
      <c r="R34" s="1482"/>
      <c r="S34" s="1482"/>
      <c r="T34" s="1482"/>
      <c r="U34" s="1482"/>
      <c r="V34" s="1482"/>
      <c r="W34" s="1482"/>
    </row>
    <row r="35" spans="1:36" s="1318" customFormat="1">
      <c r="A35" s="1326"/>
      <c r="B35" s="1325"/>
      <c r="C35" s="1322" t="s">
        <v>306</v>
      </c>
      <c r="D35" s="1481"/>
      <c r="E35" s="1481"/>
      <c r="F35" s="1481"/>
      <c r="G35" s="1374">
        <v>0.89</v>
      </c>
      <c r="H35" s="1480">
        <f t="shared" ref="H35:W35" si="19">IF(ISERROR(IF($F$5=H8,$G$35,IF(H8&gt;$F$5,H24/H33,""))),0,IF($F$5=H8,$G$35,IF(H8&gt;$F$5,H24/H33,"")))</f>
        <v>0.89</v>
      </c>
      <c r="I35" s="1480">
        <f t="shared" si="19"/>
        <v>0.89039632776587496</v>
      </c>
      <c r="J35" s="1480">
        <f t="shared" si="19"/>
        <v>0.89849269561723388</v>
      </c>
      <c r="K35" s="1480">
        <f t="shared" si="19"/>
        <v>0.90679075428084832</v>
      </c>
      <c r="L35" s="1480">
        <f t="shared" si="19"/>
        <v>0.89987241589046307</v>
      </c>
      <c r="M35" s="1480">
        <f t="shared" si="19"/>
        <v>0.9458415722578688</v>
      </c>
      <c r="N35" s="1480">
        <f t="shared" si="19"/>
        <v>0.98479209363427622</v>
      </c>
      <c r="O35" s="1480">
        <f t="shared" si="19"/>
        <v>1.7530638023418812</v>
      </c>
      <c r="P35" s="1480">
        <f t="shared" si="19"/>
        <v>1.1765711356245023</v>
      </c>
      <c r="Q35" s="1480">
        <f t="shared" si="19"/>
        <v>1.1545800218403544</v>
      </c>
      <c r="R35" s="1480">
        <f t="shared" si="19"/>
        <v>1.110818633691103</v>
      </c>
      <c r="S35" s="1480">
        <f t="shared" si="19"/>
        <v>1.0565586089704553</v>
      </c>
      <c r="T35" s="1480">
        <f t="shared" si="19"/>
        <v>0.99593173822819825</v>
      </c>
      <c r="U35" s="1480">
        <f t="shared" si="19"/>
        <v>0.93787789119761089</v>
      </c>
      <c r="V35" s="1480">
        <f t="shared" si="19"/>
        <v>0.88982273560698077</v>
      </c>
      <c r="W35" s="1480">
        <f t="shared" si="19"/>
        <v>0.84683320380723703</v>
      </c>
      <c r="X35" s="1479"/>
      <c r="AA35"/>
      <c r="AB35"/>
      <c r="AC35"/>
      <c r="AD35"/>
      <c r="AE35"/>
      <c r="AF35"/>
      <c r="AJ35" s="1319"/>
    </row>
    <row r="36" spans="1:36">
      <c r="H36" s="1380"/>
      <c r="I36" s="1380"/>
      <c r="J36" s="1380"/>
      <c r="K36" s="1380"/>
      <c r="L36" s="1380"/>
      <c r="M36" s="1380"/>
      <c r="N36" s="1380"/>
      <c r="O36" s="1380"/>
      <c r="P36" s="1380"/>
      <c r="Q36" s="1380"/>
      <c r="R36" s="1380"/>
      <c r="S36" s="1380"/>
      <c r="T36" s="1380"/>
      <c r="U36" s="1380"/>
      <c r="V36" s="1380"/>
      <c r="W36" s="1380"/>
    </row>
    <row r="37" spans="1:36">
      <c r="C37" s="1478" t="s">
        <v>307</v>
      </c>
      <c r="D37" s="1478"/>
      <c r="E37" s="1478"/>
      <c r="F37" s="1478"/>
      <c r="G37" s="1478"/>
      <c r="H37" s="1477">
        <f t="shared" ref="H37:W37" si="20">(H24-H33)*(1-$G$56)</f>
        <v>-63.769322325394228</v>
      </c>
      <c r="I37" s="1477">
        <f t="shared" si="20"/>
        <v>-60.799480611498097</v>
      </c>
      <c r="J37" s="1477">
        <f t="shared" si="20"/>
        <v>-55.194714061043101</v>
      </c>
      <c r="K37" s="1477">
        <f t="shared" si="20"/>
        <v>-58.758966291823185</v>
      </c>
      <c r="L37" s="1477">
        <f t="shared" si="20"/>
        <v>-82.815514177559976</v>
      </c>
      <c r="M37" s="1477">
        <f t="shared" si="20"/>
        <v>-52.179609072464018</v>
      </c>
      <c r="N37" s="1477">
        <f t="shared" si="20"/>
        <v>-16.248992041274278</v>
      </c>
      <c r="O37" s="1477">
        <f t="shared" si="20"/>
        <v>116.25048972548245</v>
      </c>
      <c r="P37" s="1477">
        <f t="shared" si="20"/>
        <v>177.2923687715911</v>
      </c>
      <c r="Q37" s="1477">
        <f t="shared" si="20"/>
        <v>167.36028305552418</v>
      </c>
      <c r="R37" s="1477">
        <f t="shared" si="20"/>
        <v>129.38975454873275</v>
      </c>
      <c r="S37" s="1477">
        <f t="shared" si="20"/>
        <v>71.224621829700482</v>
      </c>
      <c r="T37" s="1477">
        <f t="shared" si="20"/>
        <v>-5.5263450338056828</v>
      </c>
      <c r="U37" s="1477">
        <f t="shared" si="20"/>
        <v>-91.038169336186002</v>
      </c>
      <c r="V37" s="1477">
        <f t="shared" si="20"/>
        <v>-174.20692586915084</v>
      </c>
      <c r="W37" s="1477">
        <f t="shared" si="20"/>
        <v>-261.32413621266505</v>
      </c>
    </row>
    <row r="38" spans="1:36">
      <c r="C38" s="1474" t="s">
        <v>308</v>
      </c>
      <c r="D38" s="1476"/>
      <c r="E38" s="1476"/>
      <c r="F38" s="1476"/>
      <c r="G38" s="1476"/>
      <c r="H38" s="1386"/>
      <c r="I38" s="1475">
        <f t="shared" ref="I38:W38" si="21">I11+I15</f>
        <v>112.88489035331163</v>
      </c>
      <c r="J38" s="1475">
        <f t="shared" si="21"/>
        <v>124.88919968006338</v>
      </c>
      <c r="K38" s="1475">
        <f t="shared" si="21"/>
        <v>136.00314708019079</v>
      </c>
      <c r="L38" s="1475">
        <f t="shared" si="21"/>
        <v>148.04283842450639</v>
      </c>
      <c r="M38" s="1475">
        <f t="shared" si="21"/>
        <v>157.1349591873273</v>
      </c>
      <c r="N38" s="1475">
        <f t="shared" si="21"/>
        <v>169.66632926840722</v>
      </c>
      <c r="O38" s="1475">
        <f t="shared" si="21"/>
        <v>194.25167891005839</v>
      </c>
      <c r="P38" s="1475">
        <f t="shared" si="21"/>
        <v>230.85059798203986</v>
      </c>
      <c r="Q38" s="1475">
        <f t="shared" si="21"/>
        <v>186.37322078260433</v>
      </c>
      <c r="R38" s="1475">
        <f t="shared" si="21"/>
        <v>185.36129730587436</v>
      </c>
      <c r="S38" s="1475">
        <f t="shared" si="21"/>
        <v>183.94524494032686</v>
      </c>
      <c r="T38" s="1475">
        <f t="shared" si="21"/>
        <v>182.08588598422364</v>
      </c>
      <c r="U38" s="1475">
        <f t="shared" si="21"/>
        <v>179.74074047675057</v>
      </c>
      <c r="V38" s="1475">
        <f t="shared" si="21"/>
        <v>176.86375613772833</v>
      </c>
      <c r="W38" s="1475">
        <f t="shared" si="21"/>
        <v>173.4050163808925</v>
      </c>
    </row>
    <row r="39" spans="1:36">
      <c r="C39" s="1432" t="s">
        <v>309</v>
      </c>
      <c r="D39" s="1474"/>
      <c r="E39" s="1474"/>
      <c r="F39" s="1474"/>
      <c r="G39" s="1474"/>
      <c r="H39" s="1473"/>
      <c r="I39" s="1473">
        <f t="shared" ref="I39:W39" si="22">I37-H37</f>
        <v>2.9698417138961304</v>
      </c>
      <c r="J39" s="1473">
        <f t="shared" si="22"/>
        <v>5.6047665504549968</v>
      </c>
      <c r="K39" s="1473">
        <f t="shared" si="22"/>
        <v>-3.5642522307800846</v>
      </c>
      <c r="L39" s="1473">
        <f t="shared" si="22"/>
        <v>-24.056547885736791</v>
      </c>
      <c r="M39" s="1473">
        <f t="shared" si="22"/>
        <v>30.635905105095958</v>
      </c>
      <c r="N39" s="1473">
        <f t="shared" si="22"/>
        <v>35.93061703118974</v>
      </c>
      <c r="O39" s="1473">
        <f t="shared" si="22"/>
        <v>132.49948176675673</v>
      </c>
      <c r="P39" s="1473">
        <f t="shared" si="22"/>
        <v>61.041879046108647</v>
      </c>
      <c r="Q39" s="1473">
        <f t="shared" si="22"/>
        <v>-9.932085716066922</v>
      </c>
      <c r="R39" s="1473">
        <f t="shared" si="22"/>
        <v>-37.970528506791425</v>
      </c>
      <c r="S39" s="1473">
        <f t="shared" si="22"/>
        <v>-58.165132719032272</v>
      </c>
      <c r="T39" s="1473">
        <f t="shared" si="22"/>
        <v>-76.750966863506164</v>
      </c>
      <c r="U39" s="1473">
        <f t="shared" si="22"/>
        <v>-85.511824302380319</v>
      </c>
      <c r="V39" s="1473">
        <f t="shared" si="22"/>
        <v>-83.168756532964835</v>
      </c>
      <c r="W39" s="1473">
        <f t="shared" si="22"/>
        <v>-87.117210343514216</v>
      </c>
    </row>
    <row r="40" spans="1:36">
      <c r="Q40" s="1380"/>
      <c r="R40" s="1380"/>
      <c r="S40" s="1380"/>
      <c r="T40" s="1380"/>
      <c r="U40" s="1380"/>
      <c r="V40" s="1380"/>
      <c r="W40" s="1380"/>
    </row>
    <row r="41" spans="1:36">
      <c r="Q41" s="1472"/>
      <c r="R41" s="1380"/>
      <c r="S41" s="1380"/>
      <c r="T41" s="1380"/>
      <c r="U41" s="1380"/>
      <c r="V41" s="1380"/>
      <c r="W41" s="1380"/>
    </row>
    <row r="42" spans="1:36" s="1315" customFormat="1" ht="14.25" customHeight="1">
      <c r="A42" s="1471"/>
      <c r="B42" s="1387"/>
      <c r="C42" s="1470" t="s">
        <v>633</v>
      </c>
      <c r="D42" s="1379"/>
      <c r="Q42" s="1376"/>
      <c r="R42" s="1376"/>
      <c r="S42" s="1376"/>
      <c r="T42" s="1376"/>
      <c r="U42" s="1376"/>
      <c r="V42" s="1376"/>
      <c r="W42" s="1376"/>
      <c r="AA42"/>
      <c r="AB42"/>
      <c r="AC42"/>
      <c r="AD42"/>
      <c r="AE42"/>
      <c r="AF42"/>
      <c r="AJ42" s="1313"/>
    </row>
    <row r="43" spans="1:36" s="1465" customFormat="1">
      <c r="A43" s="1469"/>
      <c r="B43" s="1468"/>
      <c r="C43" s="1467"/>
      <c r="D43" s="1467"/>
      <c r="Q43" s="1467"/>
      <c r="R43" s="1467"/>
      <c r="S43" s="1467"/>
      <c r="T43" s="1467"/>
      <c r="U43" s="1467"/>
      <c r="V43" s="1467"/>
      <c r="W43" s="1467"/>
      <c r="AA43"/>
      <c r="AB43"/>
      <c r="AC43"/>
      <c r="AD43"/>
      <c r="AE43"/>
      <c r="AF43"/>
      <c r="AJ43" s="1466"/>
    </row>
    <row r="44" spans="1:36" s="1318" customFormat="1" ht="14.25" customHeight="1">
      <c r="A44" s="1461"/>
      <c r="B44" s="1461"/>
      <c r="C44" s="1463" t="s">
        <v>310</v>
      </c>
      <c r="D44" s="1462"/>
      <c r="E44" s="1462"/>
      <c r="F44" s="1462"/>
      <c r="G44" s="1461"/>
      <c r="H44" s="1464">
        <v>8.1000000000000003E-2</v>
      </c>
      <c r="I44" s="1464">
        <v>8.1000000000000003E-2</v>
      </c>
      <c r="J44" s="1464">
        <v>8.1000000000000003E-2</v>
      </c>
      <c r="K44" s="1464">
        <v>8.1000000000000003E-2</v>
      </c>
      <c r="L44" s="1464">
        <v>8.1000000000000003E-2</v>
      </c>
      <c r="M44" s="1464">
        <v>8.1000000000000003E-2</v>
      </c>
      <c r="N44" s="1464">
        <v>8.1000000000000003E-2</v>
      </c>
      <c r="O44" s="1464">
        <v>8.1000000000000003E-2</v>
      </c>
      <c r="P44" s="1464">
        <v>8.1000000000000003E-2</v>
      </c>
      <c r="Q44" s="1464">
        <v>8.1000000000000003E-2</v>
      </c>
      <c r="R44" s="1464">
        <v>8.1000000000000003E-2</v>
      </c>
      <c r="S44" s="1464">
        <v>8.1000000000000003E-2</v>
      </c>
      <c r="T44" s="1464">
        <v>8.1000000000000003E-2</v>
      </c>
      <c r="U44" s="1464">
        <v>8.1000000000000003E-2</v>
      </c>
      <c r="V44" s="1464">
        <v>8.1000000000000003E-2</v>
      </c>
      <c r="W44" s="1464">
        <v>8.1000000000000003E-2</v>
      </c>
      <c r="AA44"/>
      <c r="AB44"/>
      <c r="AC44"/>
      <c r="AD44"/>
      <c r="AE44"/>
      <c r="AF44"/>
      <c r="AJ44" s="1457" t="s">
        <v>777</v>
      </c>
    </row>
    <row r="45" spans="1:36" s="1318" customFormat="1" ht="15" customHeight="1">
      <c r="A45" s="1461"/>
      <c r="B45" s="1461"/>
      <c r="C45" s="1463" t="s">
        <v>311</v>
      </c>
      <c r="D45" s="1462"/>
      <c r="E45" s="1462"/>
      <c r="F45" s="1462"/>
      <c r="G45" s="1461"/>
      <c r="H45" s="1460"/>
      <c r="I45" s="1459">
        <v>0.02</v>
      </c>
      <c r="J45" s="1459">
        <v>0.02</v>
      </c>
      <c r="K45" s="1459">
        <v>0.02</v>
      </c>
      <c r="L45" s="1459">
        <v>0.02</v>
      </c>
      <c r="M45" s="1459">
        <v>0.02</v>
      </c>
      <c r="N45" s="1459">
        <v>0.02</v>
      </c>
      <c r="O45" s="1459">
        <v>2.0277816935772453E-2</v>
      </c>
      <c r="P45" s="1459">
        <v>2.3270625700300761E-2</v>
      </c>
      <c r="Q45" s="1458">
        <f t="shared" ref="Q45:W45" si="23">P45</f>
        <v>2.3270625700300761E-2</v>
      </c>
      <c r="R45" s="1458">
        <f t="shared" si="23"/>
        <v>2.3270625700300761E-2</v>
      </c>
      <c r="S45" s="1458">
        <f t="shared" si="23"/>
        <v>2.3270625700300761E-2</v>
      </c>
      <c r="T45" s="1458">
        <f t="shared" si="23"/>
        <v>2.3270625700300761E-2</v>
      </c>
      <c r="U45" s="1458">
        <f t="shared" si="23"/>
        <v>2.3270625700300761E-2</v>
      </c>
      <c r="V45" s="1458">
        <f t="shared" si="23"/>
        <v>2.3270625700300761E-2</v>
      </c>
      <c r="W45" s="1458">
        <f t="shared" si="23"/>
        <v>2.3270625700300761E-2</v>
      </c>
      <c r="AA45"/>
      <c r="AB45"/>
      <c r="AC45"/>
      <c r="AD45"/>
      <c r="AE45"/>
      <c r="AF45"/>
      <c r="AJ45" s="1457" t="s">
        <v>775</v>
      </c>
    </row>
    <row r="46" spans="1:36">
      <c r="C46" s="1456"/>
      <c r="I46" s="1455"/>
      <c r="J46" s="1455"/>
      <c r="K46" s="1455"/>
      <c r="L46" s="1455"/>
      <c r="M46" s="1455"/>
      <c r="N46" s="1455"/>
      <c r="O46" s="1455"/>
      <c r="P46" s="1455"/>
      <c r="Q46" s="1454"/>
      <c r="R46" s="1343"/>
      <c r="T46" s="1314"/>
      <c r="U46" s="1314"/>
      <c r="V46" s="1314"/>
      <c r="W46" s="1314"/>
    </row>
    <row r="47" spans="1:36">
      <c r="C47" s="1335" t="s">
        <v>312</v>
      </c>
      <c r="D47" s="1379"/>
      <c r="E47" s="1379"/>
      <c r="F47" s="1379"/>
      <c r="G47" s="1379"/>
      <c r="H47" s="1453">
        <v>10</v>
      </c>
      <c r="I47" s="1453">
        <v>10</v>
      </c>
      <c r="J47" s="1453">
        <v>10</v>
      </c>
      <c r="K47" s="1453">
        <v>10</v>
      </c>
      <c r="L47" s="1453">
        <v>10</v>
      </c>
      <c r="M47" s="1453">
        <v>10</v>
      </c>
      <c r="N47" s="1453">
        <v>10</v>
      </c>
      <c r="O47" s="1453">
        <v>10</v>
      </c>
      <c r="P47" s="1453">
        <v>10</v>
      </c>
      <c r="Q47" s="1452">
        <f t="shared" ref="Q47:W47" si="24">P47*(1+Q48)</f>
        <v>10.1</v>
      </c>
      <c r="R47" s="1452">
        <f t="shared" si="24"/>
        <v>10.201000000000001</v>
      </c>
      <c r="S47" s="1452">
        <f t="shared" si="24"/>
        <v>10.30301</v>
      </c>
      <c r="T47" s="1452">
        <f t="shared" si="24"/>
        <v>10.4060401</v>
      </c>
      <c r="U47" s="1452">
        <f t="shared" si="24"/>
        <v>10.510100501</v>
      </c>
      <c r="V47" s="1452">
        <f t="shared" si="24"/>
        <v>10.615201506010001</v>
      </c>
      <c r="W47" s="1452">
        <f t="shared" si="24"/>
        <v>10.721353521070101</v>
      </c>
    </row>
    <row r="48" spans="1:36">
      <c r="B48" s="1387"/>
      <c r="C48" s="1315" t="s">
        <v>313</v>
      </c>
      <c r="H48" s="1447"/>
      <c r="I48" s="1447">
        <f t="shared" ref="I48:P48" si="25">I47/H47-1</f>
        <v>0</v>
      </c>
      <c r="J48" s="1447">
        <f t="shared" si="25"/>
        <v>0</v>
      </c>
      <c r="K48" s="1447">
        <f t="shared" si="25"/>
        <v>0</v>
      </c>
      <c r="L48" s="1447">
        <f t="shared" si="25"/>
        <v>0</v>
      </c>
      <c r="M48" s="1447">
        <f t="shared" si="25"/>
        <v>0</v>
      </c>
      <c r="N48" s="1447">
        <f t="shared" si="25"/>
        <v>0</v>
      </c>
      <c r="O48" s="1447">
        <f t="shared" si="25"/>
        <v>0</v>
      </c>
      <c r="P48" s="1447">
        <f t="shared" si="25"/>
        <v>0</v>
      </c>
      <c r="Q48" s="1430">
        <v>0.01</v>
      </c>
      <c r="R48" s="1430">
        <v>0.01</v>
      </c>
      <c r="S48" s="1430">
        <v>0.01</v>
      </c>
      <c r="T48" s="1430">
        <v>0.01</v>
      </c>
      <c r="U48" s="1430">
        <v>0.01</v>
      </c>
      <c r="V48" s="1430">
        <v>0.01</v>
      </c>
      <c r="W48" s="1430">
        <v>0.01</v>
      </c>
    </row>
    <row r="49" spans="1:36">
      <c r="B49" s="1387"/>
      <c r="C49" s="1315" t="s">
        <v>314</v>
      </c>
      <c r="H49" s="1450"/>
      <c r="I49" s="1451"/>
      <c r="J49" s="1450"/>
      <c r="K49" s="1450"/>
      <c r="L49" s="1450"/>
      <c r="M49" s="1450"/>
      <c r="N49" s="1449"/>
      <c r="O49" s="1449"/>
      <c r="P49" s="1449"/>
      <c r="Q49" s="1449"/>
      <c r="R49" s="1449"/>
      <c r="S49" s="1449"/>
      <c r="T49" s="1449"/>
      <c r="U49" s="1449"/>
      <c r="V49" s="1449"/>
      <c r="W49" s="1449"/>
    </row>
    <row r="50" spans="1:36">
      <c r="B50" s="1387"/>
      <c r="H50" s="1450"/>
      <c r="I50" s="1451"/>
      <c r="J50" s="1450"/>
      <c r="K50" s="1450"/>
      <c r="L50" s="1450"/>
      <c r="M50" s="1450"/>
      <c r="N50" s="1449"/>
      <c r="O50" s="1449"/>
      <c r="P50" s="1449"/>
      <c r="Q50" s="1449"/>
      <c r="R50" s="1449"/>
      <c r="S50" s="1449"/>
      <c r="T50" s="1449"/>
      <c r="U50" s="1449"/>
      <c r="V50" s="1449"/>
      <c r="W50" s="1449"/>
    </row>
    <row r="51" spans="1:36">
      <c r="B51" s="1387"/>
      <c r="C51" s="1315" t="s">
        <v>315</v>
      </c>
      <c r="H51" s="1448"/>
      <c r="I51" s="1448">
        <f t="shared" ref="I51:W51" si="26">IF(ISERROR(I54/I47),0,I54/I47)</f>
        <v>8.7884978535812817</v>
      </c>
      <c r="J51" s="1448">
        <f t="shared" si="26"/>
        <v>11.391915505909529</v>
      </c>
      <c r="K51" s="1448">
        <f t="shared" si="26"/>
        <v>22.265046576764732</v>
      </c>
      <c r="L51" s="1448">
        <f t="shared" si="26"/>
        <v>34.474425786766744</v>
      </c>
      <c r="M51" s="1448">
        <f t="shared" si="26"/>
        <v>29.34974709818183</v>
      </c>
      <c r="N51" s="1448">
        <f t="shared" si="26"/>
        <v>27.466079416013429</v>
      </c>
      <c r="O51" s="1448">
        <f t="shared" si="26"/>
        <v>-71.983515093915827</v>
      </c>
      <c r="P51" s="1448">
        <f t="shared" si="26"/>
        <v>108.05652179262945</v>
      </c>
      <c r="Q51" s="1448">
        <f t="shared" si="26"/>
        <v>26.234245111623679</v>
      </c>
      <c r="R51" s="1448">
        <f t="shared" si="26"/>
        <v>26.49399011272887</v>
      </c>
      <c r="S51" s="1448">
        <f t="shared" si="26"/>
        <v>26.756306846518257</v>
      </c>
      <c r="T51" s="1448">
        <f t="shared" si="26"/>
        <v>27.02122077569171</v>
      </c>
      <c r="U51" s="1448">
        <f t="shared" si="26"/>
        <v>27.288757615054994</v>
      </c>
      <c r="V51" s="1448">
        <f t="shared" si="26"/>
        <v>27.558943334015936</v>
      </c>
      <c r="W51" s="1448">
        <f t="shared" si="26"/>
        <v>27.831804159105193</v>
      </c>
    </row>
    <row r="52" spans="1:36">
      <c r="B52" s="1387"/>
      <c r="C52" s="1315" t="s">
        <v>316</v>
      </c>
      <c r="H52" s="1447"/>
      <c r="I52" s="1425"/>
      <c r="J52" s="1425">
        <f t="shared" ref="J52:W52" si="27">IF(ISERROR(J51/I51-1),0,J51/I51-1)</f>
        <v>0.29623010617990464</v>
      </c>
      <c r="K52" s="1425">
        <f t="shared" si="27"/>
        <v>0.95446029820136857</v>
      </c>
      <c r="L52" s="1425">
        <f t="shared" si="27"/>
        <v>0.54836531187603388</v>
      </c>
      <c r="M52" s="1425">
        <f t="shared" si="27"/>
        <v>-0.14865160395367805</v>
      </c>
      <c r="N52" s="1425">
        <f t="shared" si="27"/>
        <v>-6.4180031121463754E-2</v>
      </c>
      <c r="O52" s="1425">
        <f t="shared" si="27"/>
        <v>-3.6208150789787492</v>
      </c>
      <c r="P52" s="1425">
        <f t="shared" si="27"/>
        <v>-2.5011287188691704</v>
      </c>
      <c r="Q52" s="1425">
        <f t="shared" si="27"/>
        <v>-0.75721738330639921</v>
      </c>
      <c r="R52" s="1425">
        <f t="shared" si="27"/>
        <v>9.9009900990101318E-3</v>
      </c>
      <c r="S52" s="1425">
        <f t="shared" si="27"/>
        <v>9.9009900990096877E-3</v>
      </c>
      <c r="T52" s="1425">
        <f t="shared" si="27"/>
        <v>9.9009900990101318E-3</v>
      </c>
      <c r="U52" s="1425">
        <f t="shared" si="27"/>
        <v>9.9009900990099098E-3</v>
      </c>
      <c r="V52" s="1425">
        <f t="shared" si="27"/>
        <v>9.9009900990099098E-3</v>
      </c>
      <c r="W52" s="1425">
        <f t="shared" si="27"/>
        <v>9.9009900990094657E-3</v>
      </c>
    </row>
    <row r="53" spans="1:36">
      <c r="B53" s="1387"/>
      <c r="H53" s="1447"/>
      <c r="I53" s="1447"/>
      <c r="J53" s="1447"/>
      <c r="K53" s="1447"/>
      <c r="L53" s="1447"/>
      <c r="M53" s="1447"/>
      <c r="N53" s="1447"/>
      <c r="O53" s="1447"/>
      <c r="P53" s="1447"/>
      <c r="Q53" s="1447"/>
      <c r="R53" s="1447"/>
      <c r="S53" s="1447"/>
      <c r="T53" s="1447"/>
      <c r="U53" s="1447"/>
      <c r="V53" s="1447"/>
      <c r="W53" s="1447"/>
    </row>
    <row r="54" spans="1:36">
      <c r="B54" s="1387"/>
      <c r="C54" s="1315" t="s">
        <v>317</v>
      </c>
      <c r="H54" s="1433"/>
      <c r="I54" s="1433">
        <f t="shared" ref="I54:W54" si="28">IF(ISERROR(I143),0,I143)</f>
        <v>87.88497853581282</v>
      </c>
      <c r="J54" s="1433">
        <f t="shared" si="28"/>
        <v>113.91915505909529</v>
      </c>
      <c r="K54" s="1433">
        <f t="shared" si="28"/>
        <v>222.65046576764732</v>
      </c>
      <c r="L54" s="1433">
        <f t="shared" si="28"/>
        <v>344.74425786766744</v>
      </c>
      <c r="M54" s="1433">
        <f t="shared" si="28"/>
        <v>293.49747098181831</v>
      </c>
      <c r="N54" s="1433">
        <f t="shared" si="28"/>
        <v>274.66079416013429</v>
      </c>
      <c r="O54" s="1433">
        <f t="shared" si="28"/>
        <v>-719.83515093915832</v>
      </c>
      <c r="P54" s="1433">
        <f t="shared" si="28"/>
        <v>1080.5652179262945</v>
      </c>
      <c r="Q54" s="1433">
        <f t="shared" si="28"/>
        <v>264.96587562739916</v>
      </c>
      <c r="R54" s="1433">
        <f t="shared" si="28"/>
        <v>270.2651931399472</v>
      </c>
      <c r="S54" s="1433">
        <f t="shared" si="28"/>
        <v>275.67049700274606</v>
      </c>
      <c r="T54" s="1433">
        <f t="shared" si="28"/>
        <v>281.18390694280106</v>
      </c>
      <c r="U54" s="1433">
        <f t="shared" si="28"/>
        <v>286.80758508165707</v>
      </c>
      <c r="V54" s="1433">
        <f t="shared" si="28"/>
        <v>292.54373678329023</v>
      </c>
      <c r="W54" s="1433">
        <f t="shared" si="28"/>
        <v>298.39461151895597</v>
      </c>
    </row>
    <row r="55" spans="1:36">
      <c r="B55" s="1387"/>
      <c r="H55" s="1312"/>
      <c r="I55" s="1431"/>
      <c r="J55" s="1425">
        <f t="shared" ref="J55:W55" si="29">IF(ISERROR(J54/I54-1),0,J54/I54-1)</f>
        <v>0.29623010617990464</v>
      </c>
      <c r="K55" s="1425">
        <f t="shared" si="29"/>
        <v>0.95446029820136857</v>
      </c>
      <c r="L55" s="1425">
        <f t="shared" si="29"/>
        <v>0.54836531187603388</v>
      </c>
      <c r="M55" s="1425">
        <f t="shared" si="29"/>
        <v>-0.14865160395367794</v>
      </c>
      <c r="N55" s="1425">
        <f t="shared" si="29"/>
        <v>-6.4180031121463865E-2</v>
      </c>
      <c r="O55" s="1425">
        <f t="shared" si="29"/>
        <v>-3.6208150789787492</v>
      </c>
      <c r="P55" s="1425">
        <f t="shared" si="29"/>
        <v>-2.50112871886917</v>
      </c>
      <c r="Q55" s="1425">
        <f t="shared" si="29"/>
        <v>-0.75478955713946316</v>
      </c>
      <c r="R55" s="1425">
        <f t="shared" si="29"/>
        <v>2.000000000000024E-2</v>
      </c>
      <c r="S55" s="1425">
        <f t="shared" si="29"/>
        <v>1.9999999999999796E-2</v>
      </c>
      <c r="T55" s="1425">
        <f t="shared" si="29"/>
        <v>2.000000000000024E-2</v>
      </c>
      <c r="U55" s="1425">
        <f t="shared" si="29"/>
        <v>2.0000000000000018E-2</v>
      </c>
      <c r="V55" s="1425">
        <f t="shared" si="29"/>
        <v>2.0000000000000018E-2</v>
      </c>
      <c r="W55" s="1425">
        <f t="shared" si="29"/>
        <v>1.9999999999999796E-2</v>
      </c>
    </row>
    <row r="56" spans="1:36" ht="12" customHeight="1">
      <c r="B56" s="1387"/>
      <c r="C56" s="1335" t="s">
        <v>318</v>
      </c>
      <c r="D56" s="1372"/>
      <c r="E56" s="1372"/>
      <c r="F56" s="1372"/>
      <c r="G56" s="1446">
        <f>_xll.ThomsonONEAddinShim.SpreadsheetFormulas.TF(SedolTicker,"ZAV(TF.FN.TaxRate(period=FY0))")/100</f>
        <v>0</v>
      </c>
      <c r="I56" s="1445"/>
      <c r="J56" s="1431"/>
      <c r="K56" s="1431"/>
      <c r="L56" s="1431"/>
      <c r="M56" s="1431"/>
      <c r="N56" s="1431"/>
      <c r="O56" s="1431"/>
      <c r="P56" s="1431"/>
      <c r="Q56" s="1431"/>
      <c r="R56" s="1431"/>
      <c r="S56" s="1431"/>
      <c r="T56" s="1431"/>
      <c r="U56" s="1431"/>
      <c r="V56" s="1431"/>
      <c r="W56" s="1431"/>
    </row>
    <row r="57" spans="1:36">
      <c r="B57" s="1387"/>
      <c r="D57" s="1379"/>
      <c r="E57" s="1379"/>
      <c r="F57" s="1379"/>
      <c r="G57" s="1379"/>
      <c r="H57" s="1431"/>
      <c r="I57" s="1431"/>
      <c r="J57" s="1444"/>
      <c r="K57" s="1444"/>
      <c r="L57" s="1444"/>
      <c r="M57" s="1444"/>
      <c r="N57" s="1444"/>
      <c r="O57" s="1444"/>
      <c r="P57" s="1444"/>
      <c r="Q57" s="1444"/>
      <c r="R57" s="1444"/>
      <c r="S57" s="1444"/>
      <c r="T57" s="1444"/>
      <c r="U57" s="1444"/>
      <c r="V57" s="1444"/>
      <c r="W57" s="1444"/>
    </row>
    <row r="58" spans="1:36">
      <c r="B58" s="1387"/>
      <c r="C58" s="1315" t="s">
        <v>321</v>
      </c>
      <c r="D58" s="1379"/>
      <c r="E58" s="1379"/>
      <c r="F58" s="1379"/>
      <c r="G58" s="1379"/>
      <c r="H58" s="1431"/>
      <c r="I58" s="1431"/>
      <c r="J58" s="1443">
        <v>0.8</v>
      </c>
      <c r="K58" s="1443">
        <v>0.8</v>
      </c>
      <c r="L58" s="1443">
        <v>0.8</v>
      </c>
      <c r="M58" s="1443">
        <v>0.8</v>
      </c>
      <c r="N58" s="1443">
        <v>0.8</v>
      </c>
      <c r="O58" s="1443">
        <v>0.8</v>
      </c>
      <c r="P58" s="1443">
        <v>0.8</v>
      </c>
      <c r="Q58" s="1443">
        <v>0.8</v>
      </c>
      <c r="R58" s="1443">
        <v>0.8</v>
      </c>
      <c r="S58" s="1443">
        <v>0.8</v>
      </c>
      <c r="T58" s="1443">
        <v>0.8</v>
      </c>
      <c r="U58" s="1443">
        <v>0.8</v>
      </c>
      <c r="V58" s="1443">
        <v>0.8</v>
      </c>
      <c r="W58" s="1443">
        <v>0.8</v>
      </c>
    </row>
    <row r="59" spans="1:36" s="1438" customFormat="1">
      <c r="A59" s="1442"/>
      <c r="B59" s="1441"/>
      <c r="C59" s="1335" t="s">
        <v>322</v>
      </c>
      <c r="D59" s="1372"/>
      <c r="E59" s="1372"/>
      <c r="F59" s="1372"/>
      <c r="G59" s="1372"/>
      <c r="H59" s="1437"/>
      <c r="I59" s="1440"/>
      <c r="J59" s="1386">
        <f t="shared" ref="J59:W59" si="30">J54*J58</f>
        <v>91.135324047276242</v>
      </c>
      <c r="K59" s="1386">
        <f t="shared" si="30"/>
        <v>178.12037261411785</v>
      </c>
      <c r="L59" s="1386">
        <f t="shared" si="30"/>
        <v>275.79540629413395</v>
      </c>
      <c r="M59" s="1386">
        <f t="shared" si="30"/>
        <v>234.79797678545467</v>
      </c>
      <c r="N59" s="1386">
        <f t="shared" si="30"/>
        <v>219.72863532810743</v>
      </c>
      <c r="O59" s="1386">
        <f t="shared" si="30"/>
        <v>-575.86812075132673</v>
      </c>
      <c r="P59" s="1386">
        <f t="shared" si="30"/>
        <v>864.45217434103563</v>
      </c>
      <c r="Q59" s="1386">
        <f t="shared" si="30"/>
        <v>211.97270050191935</v>
      </c>
      <c r="R59" s="1386">
        <f t="shared" si="30"/>
        <v>216.21215451195778</v>
      </c>
      <c r="S59" s="1386">
        <f t="shared" si="30"/>
        <v>220.53639760219687</v>
      </c>
      <c r="T59" s="1386">
        <f t="shared" si="30"/>
        <v>224.94712555424087</v>
      </c>
      <c r="U59" s="1386">
        <f t="shared" si="30"/>
        <v>229.44606806532568</v>
      </c>
      <c r="V59" s="1386">
        <f t="shared" si="30"/>
        <v>234.03498942663219</v>
      </c>
      <c r="W59" s="1386">
        <f t="shared" si="30"/>
        <v>238.71568921516479</v>
      </c>
      <c r="X59" s="1412"/>
      <c r="Y59" s="1412"/>
      <c r="Z59" s="1412"/>
      <c r="AA59"/>
      <c r="AB59"/>
      <c r="AC59"/>
      <c r="AD59"/>
      <c r="AE59"/>
      <c r="AF59"/>
      <c r="AJ59" s="1439"/>
    </row>
    <row r="60" spans="1:36" s="1438" customFormat="1">
      <c r="A60" s="1442"/>
      <c r="B60" s="1441"/>
      <c r="C60" s="1335" t="s">
        <v>323</v>
      </c>
      <c r="D60" s="1372"/>
      <c r="E60" s="1372"/>
      <c r="F60" s="1372"/>
      <c r="G60" s="1372"/>
      <c r="H60" s="1437"/>
      <c r="I60" s="1440"/>
      <c r="J60" s="1433">
        <f t="shared" ref="J60:W60" si="31">J54-J59</f>
        <v>22.783831011819046</v>
      </c>
      <c r="K60" s="1433">
        <f t="shared" si="31"/>
        <v>44.530093153529464</v>
      </c>
      <c r="L60" s="1433">
        <f t="shared" si="31"/>
        <v>68.948851573533489</v>
      </c>
      <c r="M60" s="1433">
        <f t="shared" si="31"/>
        <v>58.699494196363645</v>
      </c>
      <c r="N60" s="1433">
        <f t="shared" si="31"/>
        <v>54.932158832026857</v>
      </c>
      <c r="O60" s="1433">
        <f t="shared" si="31"/>
        <v>-143.9670301878316</v>
      </c>
      <c r="P60" s="1433">
        <f t="shared" si="31"/>
        <v>216.11304358525888</v>
      </c>
      <c r="Q60" s="1433">
        <f t="shared" si="31"/>
        <v>52.993175125479809</v>
      </c>
      <c r="R60" s="1433">
        <f t="shared" si="31"/>
        <v>54.053038627989423</v>
      </c>
      <c r="S60" s="1433">
        <f t="shared" si="31"/>
        <v>55.134099400549189</v>
      </c>
      <c r="T60" s="1433">
        <f t="shared" si="31"/>
        <v>56.236781388560189</v>
      </c>
      <c r="U60" s="1433">
        <f t="shared" si="31"/>
        <v>57.361517016331391</v>
      </c>
      <c r="V60" s="1433">
        <f t="shared" si="31"/>
        <v>58.508747356658034</v>
      </c>
      <c r="W60" s="1433">
        <f t="shared" si="31"/>
        <v>59.678922303791182</v>
      </c>
      <c r="X60" s="1372"/>
      <c r="Y60" s="1372"/>
      <c r="Z60" s="1372"/>
      <c r="AA60"/>
      <c r="AB60"/>
      <c r="AC60"/>
      <c r="AD60"/>
      <c r="AE60"/>
      <c r="AF60"/>
      <c r="AJ60" s="1439"/>
    </row>
    <row r="61" spans="1:36">
      <c r="B61" s="1387"/>
      <c r="D61" s="1379"/>
      <c r="E61" s="1379"/>
      <c r="F61" s="1379"/>
      <c r="G61" s="1379"/>
      <c r="H61" s="1437"/>
      <c r="I61" s="1431"/>
      <c r="J61" s="1431"/>
      <c r="K61" s="1431"/>
      <c r="L61" s="1431"/>
      <c r="M61" s="1431"/>
      <c r="N61" s="1431"/>
      <c r="O61" s="1431"/>
      <c r="P61" s="1431"/>
      <c r="Q61" s="1431"/>
      <c r="R61" s="1431"/>
      <c r="S61" s="1431"/>
      <c r="T61" s="1431"/>
      <c r="U61" s="1431"/>
      <c r="V61" s="1431"/>
      <c r="W61" s="1431"/>
    </row>
    <row r="62" spans="1:36">
      <c r="B62" s="1387"/>
      <c r="H62" s="1436"/>
      <c r="I62" s="1436"/>
      <c r="J62" s="1436"/>
      <c r="K62" s="1436"/>
      <c r="L62" s="1436"/>
      <c r="M62" s="1436"/>
      <c r="N62" s="1435"/>
      <c r="O62" s="1435"/>
      <c r="P62" s="1435"/>
      <c r="Q62" s="1434"/>
      <c r="R62" s="1434"/>
      <c r="S62" s="1434"/>
      <c r="T62" s="1434"/>
      <c r="U62" s="1434"/>
      <c r="V62" s="1434"/>
      <c r="W62" s="1434"/>
    </row>
    <row r="63" spans="1:36">
      <c r="B63" s="1387"/>
      <c r="C63" s="1315" t="s">
        <v>326</v>
      </c>
      <c r="H63" s="1433">
        <f t="shared" ref="H63:P63" si="32">IF(ISERROR(H76),0,H76)</f>
        <v>155</v>
      </c>
      <c r="I63" s="1433">
        <f t="shared" si="32"/>
        <v>161.6</v>
      </c>
      <c r="J63" s="1433">
        <f t="shared" si="32"/>
        <v>172.1</v>
      </c>
      <c r="K63" s="1433">
        <f t="shared" si="32"/>
        <v>184.5</v>
      </c>
      <c r="L63" s="1433">
        <f t="shared" si="32"/>
        <v>206</v>
      </c>
      <c r="M63" s="1433">
        <f t="shared" si="32"/>
        <v>230</v>
      </c>
      <c r="N63" s="1433">
        <f t="shared" si="32"/>
        <v>253.2</v>
      </c>
      <c r="O63" s="1433">
        <f t="shared" si="32"/>
        <v>266.2</v>
      </c>
      <c r="P63" s="1433">
        <f t="shared" si="32"/>
        <v>268.5</v>
      </c>
      <c r="Q63" s="1433">
        <f t="shared" ref="Q63:W63" si="33">P63*(1+Q64)</f>
        <v>273.87</v>
      </c>
      <c r="R63" s="1433">
        <f t="shared" si="33"/>
        <v>279.34739999999999</v>
      </c>
      <c r="S63" s="1433">
        <f t="shared" si="33"/>
        <v>284.934348</v>
      </c>
      <c r="T63" s="1433">
        <f t="shared" si="33"/>
        <v>290.63303496000003</v>
      </c>
      <c r="U63" s="1433">
        <f t="shared" si="33"/>
        <v>296.44569565920006</v>
      </c>
      <c r="V63" s="1433">
        <f t="shared" si="33"/>
        <v>302.37460957238409</v>
      </c>
      <c r="W63" s="1433">
        <f t="shared" si="33"/>
        <v>308.42210176383179</v>
      </c>
    </row>
    <row r="64" spans="1:36">
      <c r="B64" s="1387"/>
      <c r="C64" s="1432" t="s">
        <v>327</v>
      </c>
      <c r="D64" s="1432"/>
      <c r="E64" s="1432"/>
      <c r="F64" s="1432"/>
      <c r="G64" s="1432"/>
      <c r="H64" s="1431"/>
      <c r="I64" s="1425">
        <f t="shared" ref="I64:P64" si="34">IF(ISERROR(I63/H63-1),0,I63/H63-1)</f>
        <v>4.2580645161290231E-2</v>
      </c>
      <c r="J64" s="1425">
        <f t="shared" si="34"/>
        <v>6.4975247524752477E-2</v>
      </c>
      <c r="K64" s="1425">
        <f t="shared" si="34"/>
        <v>7.2051133062173145E-2</v>
      </c>
      <c r="L64" s="1425">
        <f t="shared" si="34"/>
        <v>0.1165311653116532</v>
      </c>
      <c r="M64" s="1425">
        <f t="shared" si="34"/>
        <v>0.11650485436893199</v>
      </c>
      <c r="N64" s="1425">
        <f t="shared" si="34"/>
        <v>0.10086956521739121</v>
      </c>
      <c r="O64" s="1425">
        <f t="shared" si="34"/>
        <v>5.1342812006319072E-2</v>
      </c>
      <c r="P64" s="1425">
        <f t="shared" si="34"/>
        <v>8.6401202103680852E-3</v>
      </c>
      <c r="Q64" s="1430">
        <v>0.02</v>
      </c>
      <c r="R64" s="1430">
        <v>0.02</v>
      </c>
      <c r="S64" s="1430">
        <v>0.02</v>
      </c>
      <c r="T64" s="1430">
        <v>0.02</v>
      </c>
      <c r="U64" s="1430">
        <v>0.02</v>
      </c>
      <c r="V64" s="1430">
        <v>0.02</v>
      </c>
      <c r="W64" s="1430">
        <v>0.02</v>
      </c>
      <c r="X64" s="1420"/>
      <c r="Y64" s="1420"/>
      <c r="Z64" s="1420"/>
    </row>
    <row r="65" spans="1:36">
      <c r="B65" s="1387"/>
      <c r="H65" s="1429"/>
      <c r="I65" s="1429"/>
      <c r="J65" s="1429"/>
      <c r="K65" s="1429"/>
      <c r="L65" s="1429"/>
      <c r="M65" s="1429"/>
      <c r="N65" s="1429"/>
      <c r="O65" s="1429"/>
      <c r="P65" s="1429"/>
      <c r="Q65" s="1429"/>
      <c r="R65" s="1429"/>
      <c r="S65" s="1429"/>
      <c r="T65" s="1429"/>
      <c r="U65" s="1429"/>
      <c r="V65" s="1429"/>
      <c r="W65" s="1429"/>
    </row>
    <row r="66" spans="1:36">
      <c r="B66" s="1387"/>
      <c r="C66" s="1379" t="s">
        <v>328</v>
      </c>
      <c r="H66" s="1428">
        <f t="shared" ref="H66:W66" si="35">IF(ISERROR(H$68+SUM(H77:H81)),0,H$68+SUM(H77:H81))</f>
        <v>801</v>
      </c>
      <c r="I66" s="1428">
        <f t="shared" si="35"/>
        <v>735.20900000000006</v>
      </c>
      <c r="J66" s="1428">
        <f t="shared" si="35"/>
        <v>685.4</v>
      </c>
      <c r="K66" s="1428">
        <f t="shared" si="35"/>
        <v>744.56999999999994</v>
      </c>
      <c r="L66" s="1428">
        <f t="shared" si="35"/>
        <v>919.77099999999996</v>
      </c>
      <c r="M66" s="1428">
        <f t="shared" si="35"/>
        <v>1016.4530000000002</v>
      </c>
      <c r="N66" s="1428">
        <f t="shared" si="35"/>
        <v>1067.366</v>
      </c>
      <c r="O66" s="1428">
        <f t="shared" si="35"/>
        <v>0</v>
      </c>
      <c r="P66" s="1428">
        <f t="shared" si="35"/>
        <v>911.94499999999994</v>
      </c>
      <c r="Q66" s="1428">
        <f t="shared" si="35"/>
        <v>930.18389999999999</v>
      </c>
      <c r="R66" s="1428">
        <f t="shared" si="35"/>
        <v>948.78757799999994</v>
      </c>
      <c r="S66" s="1428">
        <f t="shared" si="35"/>
        <v>967.76332955999999</v>
      </c>
      <c r="T66" s="1428">
        <f t="shared" si="35"/>
        <v>987.11859615120011</v>
      </c>
      <c r="U66" s="1428">
        <f t="shared" si="35"/>
        <v>1006.860968074224</v>
      </c>
      <c r="V66" s="1428">
        <f t="shared" si="35"/>
        <v>1026.9981874357086</v>
      </c>
      <c r="W66" s="1428">
        <f t="shared" si="35"/>
        <v>1047.5381511844228</v>
      </c>
    </row>
    <row r="67" spans="1:36">
      <c r="C67" s="1427" t="s">
        <v>329</v>
      </c>
      <c r="D67" s="1427"/>
      <c r="E67" s="1427"/>
      <c r="F67" s="1427"/>
      <c r="G67" s="1427"/>
      <c r="H67" s="1426"/>
      <c r="I67" s="1425">
        <f t="shared" ref="I67:W67" si="36">IF(ISERROR(I66/H66-1),0,I66/H66-1)</f>
        <v>-8.2136079900124725E-2</v>
      </c>
      <c r="J67" s="1425">
        <f t="shared" si="36"/>
        <v>-6.7748082518032438E-2</v>
      </c>
      <c r="K67" s="1425">
        <f t="shared" si="36"/>
        <v>8.6329150860811055E-2</v>
      </c>
      <c r="L67" s="1425">
        <f t="shared" si="36"/>
        <v>0.23530494110694766</v>
      </c>
      <c r="M67" s="1425">
        <f t="shared" si="36"/>
        <v>0.10511529500277805</v>
      </c>
      <c r="N67" s="1425">
        <f t="shared" si="36"/>
        <v>5.0088887533412452E-2</v>
      </c>
      <c r="O67" s="1425">
        <f t="shared" si="36"/>
        <v>-1</v>
      </c>
      <c r="P67" s="1425">
        <f t="shared" si="36"/>
        <v>0</v>
      </c>
      <c r="Q67" s="1425">
        <f t="shared" si="36"/>
        <v>2.0000000000000018E-2</v>
      </c>
      <c r="R67" s="1425">
        <f t="shared" si="36"/>
        <v>2.0000000000000018E-2</v>
      </c>
      <c r="S67" s="1425">
        <f t="shared" si="36"/>
        <v>2.0000000000000018E-2</v>
      </c>
      <c r="T67" s="1425">
        <f t="shared" si="36"/>
        <v>2.0000000000000018E-2</v>
      </c>
      <c r="U67" s="1425">
        <f t="shared" si="36"/>
        <v>2.0000000000000018E-2</v>
      </c>
      <c r="V67" s="1425">
        <f t="shared" si="36"/>
        <v>2.0000000000000018E-2</v>
      </c>
      <c r="W67" s="1425">
        <f t="shared" si="36"/>
        <v>2.0000000000000018E-2</v>
      </c>
    </row>
    <row r="68" spans="1:36" s="1334" customFormat="1" ht="12.75" customHeight="1">
      <c r="A68" s="1337"/>
      <c r="B68" s="1336"/>
      <c r="C68" s="1335" t="s">
        <v>330</v>
      </c>
      <c r="D68" s="1335"/>
      <c r="E68" s="1335"/>
      <c r="F68" s="1335"/>
      <c r="G68" s="1335"/>
      <c r="H68" s="1424">
        <f>_xll.ThomsonONEAddinShim.SpreadsheetFormulas.TF(SedolTicker,"ZAV(TF.FN.LeaseCommitmentsOver5Yrs(period=FY0,sdate=FY-8,edate=FY0,,curn=#1,scale=6))","dataDir=across",$J$3)</f>
        <v>252</v>
      </c>
      <c r="I68" s="1424">
        <v>200.536</v>
      </c>
      <c r="J68" s="1424">
        <v>149.96799999999999</v>
      </c>
      <c r="K68" s="1424">
        <v>157.27000000000001</v>
      </c>
      <c r="L68" s="1424">
        <v>230.46299999999999</v>
      </c>
      <c r="M68" s="1424">
        <v>295.25200000000001</v>
      </c>
      <c r="N68" s="1424">
        <v>324.803</v>
      </c>
      <c r="O68" s="1424">
        <v>0</v>
      </c>
      <c r="P68" s="1424">
        <v>182.85599999999999</v>
      </c>
      <c r="Q68" s="1386">
        <f t="shared" ref="Q68:W68" si="37">SUM(Q82:Q95)</f>
        <v>186.51312000000001</v>
      </c>
      <c r="R68" s="1386">
        <f t="shared" si="37"/>
        <v>190.24338240000003</v>
      </c>
      <c r="S68" s="1386">
        <f t="shared" si="37"/>
        <v>194.04825004800003</v>
      </c>
      <c r="T68" s="1386">
        <f t="shared" si="37"/>
        <v>197.92921504896003</v>
      </c>
      <c r="U68" s="1386">
        <f t="shared" si="37"/>
        <v>201.88779934993926</v>
      </c>
      <c r="V68" s="1386">
        <f t="shared" si="37"/>
        <v>205.92555533693803</v>
      </c>
      <c r="W68" s="1386">
        <f t="shared" si="37"/>
        <v>210.0440664436768</v>
      </c>
      <c r="AA68"/>
      <c r="AB68"/>
      <c r="AC68"/>
      <c r="AD68"/>
      <c r="AE68"/>
      <c r="AF68"/>
      <c r="AJ68" s="1345"/>
    </row>
    <row r="69" spans="1:36">
      <c r="H69" s="1423"/>
      <c r="I69" s="1423"/>
      <c r="J69" s="1423"/>
      <c r="K69" s="1423"/>
      <c r="L69" s="1423"/>
      <c r="M69" s="1423"/>
      <c r="N69" s="1422"/>
      <c r="O69" s="1422"/>
      <c r="P69" s="1422"/>
      <c r="Q69" s="1422"/>
      <c r="R69" s="1422"/>
      <c r="S69" s="1422"/>
      <c r="T69" s="1422"/>
      <c r="U69" s="1422"/>
      <c r="V69" s="1422"/>
      <c r="W69" s="1422"/>
    </row>
    <row r="70" spans="1:36">
      <c r="C70" s="1335" t="s">
        <v>331</v>
      </c>
      <c r="H70" s="1412">
        <v>10</v>
      </c>
      <c r="I70" s="1412">
        <v>10</v>
      </c>
      <c r="J70" s="1412">
        <v>10</v>
      </c>
      <c r="K70" s="1412">
        <v>10</v>
      </c>
      <c r="L70" s="1412">
        <v>10</v>
      </c>
      <c r="M70" s="1412">
        <v>10</v>
      </c>
      <c r="N70" s="1412">
        <v>10</v>
      </c>
      <c r="O70" s="1412">
        <v>10</v>
      </c>
      <c r="P70" s="1412">
        <v>10</v>
      </c>
      <c r="Q70" s="1335"/>
      <c r="R70" s="1335"/>
      <c r="S70" s="1335"/>
      <c r="T70" s="1335"/>
      <c r="U70" s="1335"/>
      <c r="V70" s="1335"/>
      <c r="W70" s="1335"/>
    </row>
    <row r="71" spans="1:36">
      <c r="C71" s="1315" t="s">
        <v>136</v>
      </c>
      <c r="H71" s="1412">
        <v>5</v>
      </c>
      <c r="I71" s="1412">
        <v>5</v>
      </c>
      <c r="J71" s="1412">
        <v>5</v>
      </c>
      <c r="K71" s="1412">
        <v>5</v>
      </c>
      <c r="L71" s="1412">
        <v>5</v>
      </c>
      <c r="M71" s="1412">
        <v>5</v>
      </c>
      <c r="N71" s="1412">
        <v>5</v>
      </c>
      <c r="O71" s="1412">
        <v>5</v>
      </c>
      <c r="P71" s="1412">
        <v>5</v>
      </c>
      <c r="Q71" s="1335"/>
      <c r="R71" s="1335"/>
      <c r="S71" s="1335"/>
      <c r="T71" s="1335"/>
      <c r="U71" s="1335"/>
      <c r="V71" s="1335"/>
      <c r="W71" s="1335"/>
    </row>
    <row r="72" spans="1:36">
      <c r="C72" s="1315" t="s">
        <v>137</v>
      </c>
      <c r="H72" s="1120">
        <f t="shared" ref="H72:P72" si="38">1-H71/H70</f>
        <v>0.5</v>
      </c>
      <c r="I72" s="1120">
        <f t="shared" si="38"/>
        <v>0.5</v>
      </c>
      <c r="J72" s="1120">
        <f t="shared" si="38"/>
        <v>0.5</v>
      </c>
      <c r="K72" s="1120">
        <f t="shared" si="38"/>
        <v>0.5</v>
      </c>
      <c r="L72" s="1120">
        <f t="shared" si="38"/>
        <v>0.5</v>
      </c>
      <c r="M72" s="1120">
        <f t="shared" si="38"/>
        <v>0.5</v>
      </c>
      <c r="N72" s="1120">
        <f t="shared" si="38"/>
        <v>0.5</v>
      </c>
      <c r="O72" s="1120">
        <f t="shared" si="38"/>
        <v>0.5</v>
      </c>
      <c r="P72" s="1120">
        <f t="shared" si="38"/>
        <v>0.5</v>
      </c>
      <c r="Q72" s="1419"/>
      <c r="R72" s="1419"/>
      <c r="S72" s="1419"/>
      <c r="T72" s="1419"/>
      <c r="U72" s="1419"/>
      <c r="V72" s="1419"/>
      <c r="W72" s="1419"/>
    </row>
    <row r="73" spans="1:36">
      <c r="H73" s="1421"/>
      <c r="I73" s="1421"/>
      <c r="J73" s="1421"/>
      <c r="K73" s="1420"/>
      <c r="L73" s="1420"/>
      <c r="M73" s="1420"/>
      <c r="N73" s="1420"/>
      <c r="O73" s="1419"/>
      <c r="P73" s="1419"/>
      <c r="Q73" s="1419"/>
      <c r="R73" s="1419"/>
      <c r="S73" s="1419"/>
      <c r="T73" s="1419"/>
      <c r="U73" s="1419"/>
      <c r="V73" s="1419"/>
      <c r="W73" s="1419"/>
    </row>
    <row r="74" spans="1:36" outlineLevel="1">
      <c r="B74" s="1387"/>
      <c r="C74" s="1379" t="s">
        <v>138</v>
      </c>
      <c r="D74" s="1379"/>
      <c r="E74" s="1379"/>
      <c r="F74" s="1379"/>
      <c r="G74" s="1379"/>
      <c r="H74" s="1378">
        <f t="shared" ref="H74:W74" si="39">H9</f>
        <v>39841</v>
      </c>
      <c r="I74" s="1378">
        <f t="shared" si="39"/>
        <v>40206</v>
      </c>
      <c r="J74" s="1378">
        <f t="shared" si="39"/>
        <v>40571</v>
      </c>
      <c r="K74" s="1378">
        <f t="shared" si="39"/>
        <v>40936</v>
      </c>
      <c r="L74" s="1378">
        <f t="shared" si="39"/>
        <v>41302</v>
      </c>
      <c r="M74" s="1378">
        <f t="shared" si="39"/>
        <v>41667</v>
      </c>
      <c r="N74" s="1378">
        <f t="shared" si="39"/>
        <v>42032</v>
      </c>
      <c r="O74" s="1378">
        <f t="shared" si="39"/>
        <v>42397</v>
      </c>
      <c r="P74" s="1378">
        <f t="shared" si="39"/>
        <v>42763</v>
      </c>
      <c r="Q74" s="1378">
        <f t="shared" si="39"/>
        <v>43128</v>
      </c>
      <c r="R74" s="1378">
        <f t="shared" si="39"/>
        <v>43493</v>
      </c>
      <c r="S74" s="1378">
        <f t="shared" si="39"/>
        <v>43858</v>
      </c>
      <c r="T74" s="1378">
        <f t="shared" si="39"/>
        <v>44224</v>
      </c>
      <c r="U74" s="1378">
        <f t="shared" si="39"/>
        <v>44589</v>
      </c>
      <c r="V74" s="1378">
        <f t="shared" si="39"/>
        <v>44954</v>
      </c>
      <c r="W74" s="1378">
        <f t="shared" si="39"/>
        <v>45319</v>
      </c>
    </row>
    <row r="75" spans="1:36" outlineLevel="1">
      <c r="B75" s="1387"/>
      <c r="C75" s="1418"/>
      <c r="D75" s="1418"/>
      <c r="E75" s="1418"/>
      <c r="F75" s="1418"/>
      <c r="G75" s="1418"/>
      <c r="H75" s="1417"/>
      <c r="I75" s="1417"/>
      <c r="J75" s="1417"/>
      <c r="K75" s="1417"/>
      <c r="L75" s="1417"/>
      <c r="M75" s="1417"/>
      <c r="N75" s="1417"/>
      <c r="O75" s="1417"/>
      <c r="P75" s="1417"/>
      <c r="Q75" s="1417"/>
      <c r="R75" s="1417"/>
      <c r="S75" s="1417"/>
      <c r="T75" s="1417"/>
      <c r="U75" s="1417"/>
      <c r="V75" s="1417"/>
      <c r="W75" s="1417"/>
    </row>
    <row r="76" spans="1:36" s="1389" customFormat="1" ht="12" customHeight="1" outlineLevel="1">
      <c r="A76" s="1391"/>
      <c r="B76" s="1316"/>
      <c r="C76" s="1356" t="s">
        <v>139</v>
      </c>
      <c r="D76" s="1407"/>
      <c r="E76" s="1407"/>
      <c r="F76" s="1407"/>
      <c r="G76" s="1407"/>
      <c r="H76" s="1416">
        <f>_xll.ThomsonONEAddinShim.SpreadsheetFormulas.TF(SedolTicker,"ZAV(TF.FN.RentalAndOperLeaseExpense(period=FY0,sdate=FY-8,edate=FY0,curn=#1,Scale=6)@TF.RF.RentalExpenseSupplemental(period=FY0,sdate=FY-8,edate=FY0,curn=#1,Scale=6))","dataDir=across",$J$3)</f>
        <v>155</v>
      </c>
      <c r="I76" s="1415">
        <v>161.6</v>
      </c>
      <c r="J76" s="1415">
        <v>172.1</v>
      </c>
      <c r="K76" s="1415">
        <v>184.5</v>
      </c>
      <c r="L76" s="1415">
        <v>206</v>
      </c>
      <c r="M76" s="1415">
        <v>230</v>
      </c>
      <c r="N76" s="1415">
        <v>253.2</v>
      </c>
      <c r="O76" s="1415">
        <v>266.2</v>
      </c>
      <c r="P76" s="1414">
        <v>268.5</v>
      </c>
      <c r="Q76" s="1386">
        <f t="shared" ref="Q76:W85" si="40">P76*(1+Q$64)</f>
        <v>273.87</v>
      </c>
      <c r="R76" s="1386">
        <f t="shared" si="40"/>
        <v>279.34739999999999</v>
      </c>
      <c r="S76" s="1386">
        <f t="shared" si="40"/>
        <v>284.934348</v>
      </c>
      <c r="T76" s="1386">
        <f t="shared" si="40"/>
        <v>290.63303496000003</v>
      </c>
      <c r="U76" s="1386">
        <f t="shared" si="40"/>
        <v>296.44569565920006</v>
      </c>
      <c r="V76" s="1386">
        <f t="shared" si="40"/>
        <v>302.37460957238409</v>
      </c>
      <c r="W76" s="1386">
        <f t="shared" si="40"/>
        <v>308.42210176383179</v>
      </c>
      <c r="AA76"/>
      <c r="AB76"/>
      <c r="AC76"/>
      <c r="AD76"/>
      <c r="AE76"/>
      <c r="AF76"/>
      <c r="AJ76" s="1384"/>
    </row>
    <row r="77" spans="1:36" s="1389" customFormat="1" ht="12" customHeight="1" outlineLevel="1">
      <c r="A77" s="1391"/>
      <c r="B77" s="1316"/>
      <c r="C77" s="1356" t="s">
        <v>140</v>
      </c>
      <c r="D77" s="1407"/>
      <c r="E77" s="1407"/>
      <c r="F77" s="1407"/>
      <c r="G77" s="1407"/>
      <c r="H77" s="1413">
        <f>_xll.ThomsonONEAddinShim.SpreadsheetFormulas.TF(SedolTicker,"ZAV(TF.FN.LeaseCommitmentsYr1(period=FY0,sdate=FY-8,edate=FY0,curn=#1,Scale=6))","dataDir=across",$J$3)</f>
        <v>128</v>
      </c>
      <c r="I77" s="1412">
        <v>129.244</v>
      </c>
      <c r="J77" s="1412">
        <v>133.19499999999999</v>
      </c>
      <c r="K77" s="1412">
        <v>143.161</v>
      </c>
      <c r="L77" s="1412">
        <v>164.01</v>
      </c>
      <c r="M77" s="1412">
        <v>180.173</v>
      </c>
      <c r="N77" s="1412">
        <v>194.36500000000001</v>
      </c>
      <c r="O77" s="1412">
        <v>0</v>
      </c>
      <c r="P77" s="1411">
        <v>189.13399999999999</v>
      </c>
      <c r="Q77" s="1386">
        <f t="shared" si="40"/>
        <v>192.91667999999999</v>
      </c>
      <c r="R77" s="1386">
        <f t="shared" si="40"/>
        <v>196.77501359999999</v>
      </c>
      <c r="S77" s="1386">
        <f t="shared" si="40"/>
        <v>200.71051387200001</v>
      </c>
      <c r="T77" s="1386">
        <f t="shared" si="40"/>
        <v>204.72472414944002</v>
      </c>
      <c r="U77" s="1386">
        <f t="shared" si="40"/>
        <v>208.81921863242883</v>
      </c>
      <c r="V77" s="1386">
        <f t="shared" si="40"/>
        <v>212.99560300507741</v>
      </c>
      <c r="W77" s="1386">
        <f t="shared" si="40"/>
        <v>217.25551506517897</v>
      </c>
      <c r="AA77"/>
      <c r="AB77"/>
      <c r="AC77"/>
      <c r="AD77"/>
      <c r="AE77"/>
      <c r="AF77"/>
      <c r="AJ77" s="1384"/>
    </row>
    <row r="78" spans="1:36" s="1389" customFormat="1" ht="12" customHeight="1" outlineLevel="1">
      <c r="A78" s="1391"/>
      <c r="B78" s="1316"/>
      <c r="C78" s="1356" t="s">
        <v>141</v>
      </c>
      <c r="D78" s="1407"/>
      <c r="E78" s="1407"/>
      <c r="F78" s="1407"/>
      <c r="G78" s="1407"/>
      <c r="H78" s="1413">
        <f>_xll.ThomsonONEAddinShim.SpreadsheetFormulas.TF(SedolTicker,"ZAV(TF.FN.LeaseCommitmentsYr2(period=FY0,sdate=FY-8,edate=FY0,curn=#1,Scale=6))","dataDir=across",$J$3)</f>
        <v>122</v>
      </c>
      <c r="I78" s="1412">
        <v>120.21299999999999</v>
      </c>
      <c r="J78" s="1412">
        <v>118.717</v>
      </c>
      <c r="K78" s="1412">
        <v>128.97399999999999</v>
      </c>
      <c r="L78" s="1412">
        <v>158.791</v>
      </c>
      <c r="M78" s="1412">
        <v>172.68299999999999</v>
      </c>
      <c r="N78" s="1412">
        <v>178.74600000000001</v>
      </c>
      <c r="O78" s="1412">
        <v>0</v>
      </c>
      <c r="P78" s="1411">
        <v>162.035</v>
      </c>
      <c r="Q78" s="1386">
        <f t="shared" si="40"/>
        <v>165.2757</v>
      </c>
      <c r="R78" s="1386">
        <f t="shared" si="40"/>
        <v>168.58121400000002</v>
      </c>
      <c r="S78" s="1386">
        <f t="shared" si="40"/>
        <v>171.95283828000001</v>
      </c>
      <c r="T78" s="1386">
        <f t="shared" si="40"/>
        <v>175.39189504560002</v>
      </c>
      <c r="U78" s="1386">
        <f t="shared" si="40"/>
        <v>178.89973294651202</v>
      </c>
      <c r="V78" s="1386">
        <f t="shared" si="40"/>
        <v>182.47772760544225</v>
      </c>
      <c r="W78" s="1386">
        <f t="shared" si="40"/>
        <v>186.12728215755109</v>
      </c>
      <c r="AA78"/>
      <c r="AB78"/>
      <c r="AC78"/>
      <c r="AD78"/>
      <c r="AE78"/>
      <c r="AF78"/>
      <c r="AJ78" s="1384"/>
    </row>
    <row r="79" spans="1:36" s="1389" customFormat="1" ht="12" customHeight="1" outlineLevel="1">
      <c r="A79" s="1391"/>
      <c r="B79" s="1316"/>
      <c r="C79" s="1356" t="s">
        <v>142</v>
      </c>
      <c r="D79" s="1407"/>
      <c r="E79" s="1407"/>
      <c r="F79" s="1407"/>
      <c r="G79" s="1407"/>
      <c r="H79" s="1413">
        <f>_xll.ThomsonONEAddinShim.SpreadsheetFormulas.TF(SedolTicker,"ZAV(TF.FN.LeaseCommitmentsYr3(period=FY0,sdate=FY-8,edate=FY0,curn=#1,Scale=6))","dataDir=across",$J$3)</f>
        <v>113</v>
      </c>
      <c r="I79" s="1412">
        <v>107.041</v>
      </c>
      <c r="J79" s="1412">
        <v>104.02800000000001</v>
      </c>
      <c r="K79" s="1412">
        <v>119.05800000000001</v>
      </c>
      <c r="L79" s="1412">
        <v>146.511</v>
      </c>
      <c r="M79" s="1412">
        <v>154.18100000000001</v>
      </c>
      <c r="N79" s="1412">
        <v>147.21199999999999</v>
      </c>
      <c r="O79" s="1412">
        <v>0</v>
      </c>
      <c r="P79" s="1411">
        <v>141.16999999999999</v>
      </c>
      <c r="Q79" s="1386">
        <f t="shared" si="40"/>
        <v>143.99339999999998</v>
      </c>
      <c r="R79" s="1386">
        <f t="shared" si="40"/>
        <v>146.873268</v>
      </c>
      <c r="S79" s="1386">
        <f t="shared" si="40"/>
        <v>149.81073336</v>
      </c>
      <c r="T79" s="1386">
        <f t="shared" si="40"/>
        <v>152.80694802720001</v>
      </c>
      <c r="U79" s="1386">
        <f t="shared" si="40"/>
        <v>155.863086987744</v>
      </c>
      <c r="V79" s="1386">
        <f t="shared" si="40"/>
        <v>158.98034872749889</v>
      </c>
      <c r="W79" s="1386">
        <f t="shared" si="40"/>
        <v>162.15995570204888</v>
      </c>
      <c r="AA79"/>
      <c r="AB79"/>
      <c r="AC79"/>
      <c r="AD79"/>
      <c r="AE79"/>
      <c r="AF79"/>
      <c r="AJ79" s="1384"/>
    </row>
    <row r="80" spans="1:36" s="1389" customFormat="1" ht="12" customHeight="1" outlineLevel="1">
      <c r="A80" s="1391"/>
      <c r="B80" s="1316"/>
      <c r="C80" s="1356" t="s">
        <v>143</v>
      </c>
      <c r="D80" s="1407"/>
      <c r="E80" s="1407"/>
      <c r="F80" s="1407"/>
      <c r="G80" s="1407"/>
      <c r="H80" s="1413">
        <f>_xll.ThomsonONEAddinShim.SpreadsheetFormulas.TF(SedolTicker,"ZAV(TF.FN.LeaseCommitmentsYr4(period=FY0,sdate=FY-8,edate=FY0,curn=#1,Scale=6))","dataDir=across",$J$3)</f>
        <v>100</v>
      </c>
      <c r="I80" s="1412">
        <v>93.271000000000001</v>
      </c>
      <c r="J80" s="1412">
        <v>95.08</v>
      </c>
      <c r="K80" s="1412">
        <v>107.71599999999999</v>
      </c>
      <c r="L80" s="1412">
        <v>126.84099999999999</v>
      </c>
      <c r="M80" s="1412">
        <v>121.38200000000001</v>
      </c>
      <c r="N80" s="1412">
        <v>119.017</v>
      </c>
      <c r="O80" s="1412">
        <v>0</v>
      </c>
      <c r="P80" s="1411">
        <v>127.559</v>
      </c>
      <c r="Q80" s="1386">
        <f t="shared" si="40"/>
        <v>130.11017999999999</v>
      </c>
      <c r="R80" s="1386">
        <f t="shared" si="40"/>
        <v>132.71238359999998</v>
      </c>
      <c r="S80" s="1386">
        <f t="shared" si="40"/>
        <v>135.36663127199998</v>
      </c>
      <c r="T80" s="1386">
        <f t="shared" si="40"/>
        <v>138.07396389743997</v>
      </c>
      <c r="U80" s="1386">
        <f t="shared" si="40"/>
        <v>140.83544317538878</v>
      </c>
      <c r="V80" s="1386">
        <f t="shared" si="40"/>
        <v>143.65215203889656</v>
      </c>
      <c r="W80" s="1386">
        <f t="shared" si="40"/>
        <v>146.52519507967449</v>
      </c>
      <c r="AA80"/>
      <c r="AB80"/>
      <c r="AC80"/>
      <c r="AD80"/>
      <c r="AE80"/>
      <c r="AF80"/>
      <c r="AJ80" s="1384"/>
    </row>
    <row r="81" spans="1:36" s="1389" customFormat="1" ht="12" customHeight="1" outlineLevel="1">
      <c r="A81" s="1391"/>
      <c r="B81" s="1316"/>
      <c r="C81" s="1356" t="s">
        <v>144</v>
      </c>
      <c r="D81" s="1407"/>
      <c r="E81" s="1407"/>
      <c r="F81" s="1407"/>
      <c r="G81" s="1407"/>
      <c r="H81" s="1410">
        <f>_xll.ThomsonONEAddinShim.SpreadsheetFormulas.TF(SedolTicker,"ZAV(TF.FN.LeaseCommitmentsYr5(period=FY0,sdate=FY-8,edate=FY0,curn=#1,Scale=6))","dataDir=across",$J$3)</f>
        <v>86</v>
      </c>
      <c r="I81" s="1409">
        <v>84.903999999999996</v>
      </c>
      <c r="J81" s="1409">
        <v>84.412000000000006</v>
      </c>
      <c r="K81" s="1409">
        <v>88.391000000000005</v>
      </c>
      <c r="L81" s="1409">
        <v>93.155000000000001</v>
      </c>
      <c r="M81" s="1409">
        <v>92.781999999999996</v>
      </c>
      <c r="N81" s="1409">
        <v>103.223</v>
      </c>
      <c r="O81" s="1409">
        <v>0</v>
      </c>
      <c r="P81" s="1408">
        <v>109.191</v>
      </c>
      <c r="Q81" s="1386">
        <f t="shared" si="40"/>
        <v>111.37482</v>
      </c>
      <c r="R81" s="1386">
        <f t="shared" si="40"/>
        <v>113.60231640000001</v>
      </c>
      <c r="S81" s="1386">
        <f t="shared" si="40"/>
        <v>115.87436272800001</v>
      </c>
      <c r="T81" s="1386">
        <f t="shared" si="40"/>
        <v>118.19184998256002</v>
      </c>
      <c r="U81" s="1386">
        <f t="shared" si="40"/>
        <v>120.55568698221121</v>
      </c>
      <c r="V81" s="1386">
        <f t="shared" si="40"/>
        <v>122.96680072185544</v>
      </c>
      <c r="W81" s="1386">
        <f t="shared" si="40"/>
        <v>125.42613673629255</v>
      </c>
      <c r="AA81"/>
      <c r="AB81"/>
      <c r="AC81"/>
      <c r="AD81"/>
      <c r="AE81"/>
      <c r="AF81"/>
      <c r="AJ81" s="1384"/>
    </row>
    <row r="82" spans="1:36" s="1389" customFormat="1" outlineLevel="1">
      <c r="A82" s="1391"/>
      <c r="B82" s="1316"/>
      <c r="C82" s="1407" t="s">
        <v>145</v>
      </c>
      <c r="D82" s="1407"/>
      <c r="E82" s="1407"/>
      <c r="F82" s="1407"/>
      <c r="G82" s="1407"/>
      <c r="H82" s="1406">
        <f t="shared" ref="H82:P82" si="41">IF(ISERROR(H68/H71),"NA",H68/H71)</f>
        <v>50.4</v>
      </c>
      <c r="I82" s="1406">
        <f t="shared" si="41"/>
        <v>40.107199999999999</v>
      </c>
      <c r="J82" s="1406">
        <f t="shared" si="41"/>
        <v>29.993599999999997</v>
      </c>
      <c r="K82" s="1406">
        <f t="shared" si="41"/>
        <v>31.454000000000001</v>
      </c>
      <c r="L82" s="1406">
        <f t="shared" si="41"/>
        <v>46.092599999999997</v>
      </c>
      <c r="M82" s="1406">
        <f t="shared" si="41"/>
        <v>59.050400000000003</v>
      </c>
      <c r="N82" s="1406">
        <f t="shared" si="41"/>
        <v>64.960599999999999</v>
      </c>
      <c r="O82" s="1406">
        <f t="shared" si="41"/>
        <v>0</v>
      </c>
      <c r="P82" s="1406">
        <f t="shared" si="41"/>
        <v>36.571199999999997</v>
      </c>
      <c r="Q82" s="1386">
        <f t="shared" si="40"/>
        <v>37.302624000000002</v>
      </c>
      <c r="R82" s="1386">
        <f t="shared" si="40"/>
        <v>38.048676480000005</v>
      </c>
      <c r="S82" s="1386">
        <f t="shared" si="40"/>
        <v>38.809650009600006</v>
      </c>
      <c r="T82" s="1386">
        <f t="shared" si="40"/>
        <v>39.585843009792008</v>
      </c>
      <c r="U82" s="1386">
        <f t="shared" si="40"/>
        <v>40.377559869987849</v>
      </c>
      <c r="V82" s="1386">
        <f t="shared" si="40"/>
        <v>41.185111067387609</v>
      </c>
      <c r="W82" s="1386">
        <f t="shared" si="40"/>
        <v>42.008813288735361</v>
      </c>
      <c r="AA82"/>
      <c r="AB82"/>
      <c r="AC82"/>
      <c r="AD82"/>
      <c r="AE82"/>
      <c r="AF82"/>
      <c r="AJ82" s="1384"/>
    </row>
    <row r="83" spans="1:36" s="1389" customFormat="1" outlineLevel="1">
      <c r="A83" s="1391"/>
      <c r="B83" s="1316"/>
      <c r="C83" s="1407" t="s">
        <v>146</v>
      </c>
      <c r="D83" s="1407"/>
      <c r="E83" s="1407"/>
      <c r="F83" s="1407"/>
      <c r="G83" s="1407"/>
      <c r="H83" s="1406">
        <f>IF(ISERROR(IF(ROUND(SUM(H$82:H82),3)&gt;=ROUND(H$68,3),0,H$68/H$71)),"NA",IF(ROUND(SUM(H$82:H82),3)&gt;=ROUND(H$68,3),0,H$68/H$71))</f>
        <v>50.4</v>
      </c>
      <c r="I83" s="1406">
        <f>IF(ISERROR(IF(ROUND(SUM(I$82:I82),3)&gt;=ROUND(I$68,3),0,I$68/I$71)),"NA",IF(ROUND(SUM(I$82:I82),3)&gt;=ROUND(I$68,3),0,I$68/I$71))</f>
        <v>40.107199999999999</v>
      </c>
      <c r="J83" s="1406">
        <f>IF(ISERROR(IF(ROUND(SUM(J$82:J82),3)&gt;=ROUND(J$68,3),0,J$68/J$71)),"NA",IF(ROUND(SUM(J$82:J82),3)&gt;=ROUND(J$68,3),0,J$68/J$71))</f>
        <v>29.993599999999997</v>
      </c>
      <c r="K83" s="1406">
        <f>IF(ISERROR(IF(ROUND(SUM(K$82:K82),3)&gt;=ROUND(K$68,3),0,K$68/K$71)),"NA",IF(ROUND(SUM(K$82:K82),3)&gt;=ROUND(K$68,3),0,K$68/K$71))</f>
        <v>31.454000000000001</v>
      </c>
      <c r="L83" s="1406">
        <f>IF(ISERROR(IF(ROUND(SUM(L$82:L82),3)&gt;=ROUND(L$68,3),0,L$68/L$71)),"NA",IF(ROUND(SUM(L$82:L82),3)&gt;=ROUND(L$68,3),0,L$68/L$71))</f>
        <v>46.092599999999997</v>
      </c>
      <c r="M83" s="1406">
        <f>IF(ISERROR(IF(ROUND(SUM(M$82:M82),3)&gt;=ROUND(M$68,3),0,M$68/M$71)),"NA",IF(ROUND(SUM(M$82:M82),3)&gt;=ROUND(M$68,3),0,M$68/M$71))</f>
        <v>59.050400000000003</v>
      </c>
      <c r="N83" s="1406">
        <f>IF(ISERROR(IF(ROUND(SUM(N$82:N82),3)&gt;=ROUND(N$68,3),0,N$68/N$71)),"NA",IF(ROUND(SUM(N$82:N82),3)&gt;=ROUND(N$68,3),0,N$68/N$71))</f>
        <v>64.960599999999999</v>
      </c>
      <c r="O83" s="1406">
        <f>IF(ISERROR(IF(ROUND(SUM(O$82:O82),3)&gt;=ROUND(O$68,3),0,O$68/O$71)),"NA",IF(ROUND(SUM(O$82:O82),3)&gt;=ROUND(O$68,3),0,O$68/O$71))</f>
        <v>0</v>
      </c>
      <c r="P83" s="1406">
        <f>IF(ISERROR(IF(ROUND(SUM(P$82:P82),3)&gt;=ROUND(P$68,3),0,P$68/P$71)),"NA",IF(ROUND(SUM(P$82:P82),3)&gt;=ROUND(P$68,3),0,P$68/P$71))</f>
        <v>36.571199999999997</v>
      </c>
      <c r="Q83" s="1386">
        <f t="shared" si="40"/>
        <v>37.302624000000002</v>
      </c>
      <c r="R83" s="1386">
        <f t="shared" si="40"/>
        <v>38.048676480000005</v>
      </c>
      <c r="S83" s="1386">
        <f t="shared" si="40"/>
        <v>38.809650009600006</v>
      </c>
      <c r="T83" s="1386">
        <f t="shared" si="40"/>
        <v>39.585843009792008</v>
      </c>
      <c r="U83" s="1386">
        <f t="shared" si="40"/>
        <v>40.377559869987849</v>
      </c>
      <c r="V83" s="1386">
        <f t="shared" si="40"/>
        <v>41.185111067387609</v>
      </c>
      <c r="W83" s="1386">
        <f t="shared" si="40"/>
        <v>42.008813288735361</v>
      </c>
      <c r="AA83"/>
      <c r="AB83"/>
      <c r="AC83"/>
      <c r="AD83"/>
      <c r="AE83"/>
      <c r="AF83"/>
      <c r="AJ83" s="1384"/>
    </row>
    <row r="84" spans="1:36" s="1389" customFormat="1" outlineLevel="1">
      <c r="A84" s="1391"/>
      <c r="B84" s="1316"/>
      <c r="C84" s="1407" t="s">
        <v>147</v>
      </c>
      <c r="D84" s="1407"/>
      <c r="E84" s="1407"/>
      <c r="F84" s="1407"/>
      <c r="G84" s="1407"/>
      <c r="H84" s="1406">
        <f>IF(ISERROR(IF(ROUND(SUM(H$82:H83),3)&gt;=ROUND(H$68,3),0,H$68/H$71)),"NA",IF(ROUND(SUM(H$82:H83),3)&gt;=ROUND(H$68,3),0,H$68/H$71))</f>
        <v>50.4</v>
      </c>
      <c r="I84" s="1406">
        <f>IF(ISERROR(IF(ROUND(SUM(I$82:I83),3)&gt;=ROUND(I$68,3),0,I$68/I$71)),"NA",IF(ROUND(SUM(I$82:I83),3)&gt;=ROUND(I$68,3),0,I$68/I$71))</f>
        <v>40.107199999999999</v>
      </c>
      <c r="J84" s="1406">
        <f>IF(ISERROR(IF(ROUND(SUM(J$82:J83),3)&gt;=ROUND(J$68,3),0,J$68/J$71)),"NA",IF(ROUND(SUM(J$82:J83),3)&gt;=ROUND(J$68,3),0,J$68/J$71))</f>
        <v>29.993599999999997</v>
      </c>
      <c r="K84" s="1406">
        <f>IF(ISERROR(IF(ROUND(SUM(K$82:K83),3)&gt;=ROUND(K$68,3),0,K$68/K$71)),"NA",IF(ROUND(SUM(K$82:K83),3)&gt;=ROUND(K$68,3),0,K$68/K$71))</f>
        <v>31.454000000000001</v>
      </c>
      <c r="L84" s="1406">
        <f>IF(ISERROR(IF(ROUND(SUM(L$82:L83),3)&gt;=ROUND(L$68,3),0,L$68/L$71)),"NA",IF(ROUND(SUM(L$82:L83),3)&gt;=ROUND(L$68,3),0,L$68/L$71))</f>
        <v>46.092599999999997</v>
      </c>
      <c r="M84" s="1406">
        <f>IF(ISERROR(IF(ROUND(SUM(M$82:M83),3)&gt;=ROUND(M$68,3),0,M$68/M$71)),"NA",IF(ROUND(SUM(M$82:M83),3)&gt;=ROUND(M$68,3),0,M$68/M$71))</f>
        <v>59.050400000000003</v>
      </c>
      <c r="N84" s="1406">
        <f>IF(ISERROR(IF(ROUND(SUM(N$82:N83),3)&gt;=ROUND(N$68,3),0,N$68/N$71)),"NA",IF(ROUND(SUM(N$82:N83),3)&gt;=ROUND(N$68,3),0,N$68/N$71))</f>
        <v>64.960599999999999</v>
      </c>
      <c r="O84" s="1406">
        <f>IF(ISERROR(IF(ROUND(SUM(O$82:O83),3)&gt;=ROUND(O$68,3),0,O$68/O$71)),"NA",IF(ROUND(SUM(O$82:O83),3)&gt;=ROUND(O$68,3),0,O$68/O$71))</f>
        <v>0</v>
      </c>
      <c r="P84" s="1406">
        <f>IF(ISERROR(IF(ROUND(SUM(P$82:P83),3)&gt;=ROUND(P$68,3),0,P$68/P$71)),"NA",IF(ROUND(SUM(P$82:P83),3)&gt;=ROUND(P$68,3),0,P$68/P$71))</f>
        <v>36.571199999999997</v>
      </c>
      <c r="Q84" s="1386">
        <f t="shared" si="40"/>
        <v>37.302624000000002</v>
      </c>
      <c r="R84" s="1386">
        <f t="shared" si="40"/>
        <v>38.048676480000005</v>
      </c>
      <c r="S84" s="1386">
        <f t="shared" si="40"/>
        <v>38.809650009600006</v>
      </c>
      <c r="T84" s="1386">
        <f t="shared" si="40"/>
        <v>39.585843009792008</v>
      </c>
      <c r="U84" s="1386">
        <f t="shared" si="40"/>
        <v>40.377559869987849</v>
      </c>
      <c r="V84" s="1386">
        <f t="shared" si="40"/>
        <v>41.185111067387609</v>
      </c>
      <c r="W84" s="1386">
        <f t="shared" si="40"/>
        <v>42.008813288735361</v>
      </c>
      <c r="AA84"/>
      <c r="AB84"/>
      <c r="AC84"/>
      <c r="AD84"/>
      <c r="AE84"/>
      <c r="AF84"/>
      <c r="AJ84" s="1384"/>
    </row>
    <row r="85" spans="1:36" s="1389" customFormat="1" outlineLevel="1">
      <c r="A85" s="1391"/>
      <c r="B85" s="1316"/>
      <c r="C85" s="1407" t="s">
        <v>148</v>
      </c>
      <c r="D85" s="1407"/>
      <c r="E85" s="1407"/>
      <c r="F85" s="1407"/>
      <c r="G85" s="1407"/>
      <c r="H85" s="1406">
        <f>IF(ISERROR(IF(ROUND(SUM(H$82:H84),3)&gt;=ROUND(H$68,3),0,H$68/H$71)),"NA",IF(ROUND(SUM(H$82:H84),3)&gt;=ROUND(H$68,3),0,H$68/H$71))</f>
        <v>50.4</v>
      </c>
      <c r="I85" s="1406">
        <f>IF(ISERROR(IF(ROUND(SUM(I$82:I84),3)&gt;=ROUND(I$68,3),0,I$68/I$71)),"NA",IF(ROUND(SUM(I$82:I84),3)&gt;=ROUND(I$68,3),0,I$68/I$71))</f>
        <v>40.107199999999999</v>
      </c>
      <c r="J85" s="1406">
        <f>IF(ISERROR(IF(ROUND(SUM(J$82:J84),3)&gt;=ROUND(J$68,3),0,J$68/J$71)),"NA",IF(ROUND(SUM(J$82:J84),3)&gt;=ROUND(J$68,3),0,J$68/J$71))</f>
        <v>29.993599999999997</v>
      </c>
      <c r="K85" s="1406">
        <f>IF(ISERROR(IF(ROUND(SUM(K$82:K84),3)&gt;=ROUND(K$68,3),0,K$68/K$71)),"NA",IF(ROUND(SUM(K$82:K84),3)&gt;=ROUND(K$68,3),0,K$68/K$71))</f>
        <v>31.454000000000001</v>
      </c>
      <c r="L85" s="1406">
        <f>IF(ISERROR(IF(ROUND(SUM(L$82:L84),3)&gt;=ROUND(L$68,3),0,L$68/L$71)),"NA",IF(ROUND(SUM(L$82:L84),3)&gt;=ROUND(L$68,3),0,L$68/L$71))</f>
        <v>46.092599999999997</v>
      </c>
      <c r="M85" s="1406">
        <f>IF(ISERROR(IF(ROUND(SUM(M$82:M84),3)&gt;=ROUND(M$68,3),0,M$68/M$71)),"NA",IF(ROUND(SUM(M$82:M84),3)&gt;=ROUND(M$68,3),0,M$68/M$71))</f>
        <v>59.050400000000003</v>
      </c>
      <c r="N85" s="1406">
        <f>IF(ISERROR(IF(ROUND(SUM(N$82:N84),3)&gt;=ROUND(N$68,3),0,N$68/N$71)),"NA",IF(ROUND(SUM(N$82:N84),3)&gt;=ROUND(N$68,3),0,N$68/N$71))</f>
        <v>64.960599999999999</v>
      </c>
      <c r="O85" s="1406">
        <f>IF(ISERROR(IF(ROUND(SUM(O$82:O84),3)&gt;=ROUND(O$68,3),0,O$68/O$71)),"NA",IF(ROUND(SUM(O$82:O84),3)&gt;=ROUND(O$68,3),0,O$68/O$71))</f>
        <v>0</v>
      </c>
      <c r="P85" s="1406">
        <f>IF(ISERROR(IF(ROUND(SUM(P$82:P84),3)&gt;=ROUND(P$68,3),0,P$68/P$71)),"NA",IF(ROUND(SUM(P$82:P84),3)&gt;=ROUND(P$68,3),0,P$68/P$71))</f>
        <v>36.571199999999997</v>
      </c>
      <c r="Q85" s="1386">
        <f t="shared" si="40"/>
        <v>37.302624000000002</v>
      </c>
      <c r="R85" s="1386">
        <f t="shared" si="40"/>
        <v>38.048676480000005</v>
      </c>
      <c r="S85" s="1386">
        <f t="shared" si="40"/>
        <v>38.809650009600006</v>
      </c>
      <c r="T85" s="1386">
        <f t="shared" si="40"/>
        <v>39.585843009792008</v>
      </c>
      <c r="U85" s="1386">
        <f t="shared" si="40"/>
        <v>40.377559869987849</v>
      </c>
      <c r="V85" s="1386">
        <f t="shared" si="40"/>
        <v>41.185111067387609</v>
      </c>
      <c r="W85" s="1386">
        <f t="shared" si="40"/>
        <v>42.008813288735361</v>
      </c>
      <c r="AA85"/>
      <c r="AB85"/>
      <c r="AC85"/>
      <c r="AD85"/>
      <c r="AE85"/>
      <c r="AF85"/>
      <c r="AJ85" s="1384"/>
    </row>
    <row r="86" spans="1:36" s="1389" customFormat="1" outlineLevel="1">
      <c r="A86" s="1391"/>
      <c r="B86" s="1316"/>
      <c r="C86" s="1407" t="s">
        <v>149</v>
      </c>
      <c r="D86" s="1407"/>
      <c r="E86" s="1407"/>
      <c r="F86" s="1407"/>
      <c r="G86" s="1407"/>
      <c r="H86" s="1406">
        <f>IF(ISERROR(IF(ROUND(SUM(H$82:H85),3)&gt;=ROUND(H$68,3),0,H$68/H$71)),"NA",IF(ROUND(SUM(H$82:H85),3)&gt;=ROUND(H$68,3),0,H$68/H$71))</f>
        <v>50.4</v>
      </c>
      <c r="I86" s="1406">
        <f>IF(ISERROR(IF(ROUND(SUM(I$82:I85),3)&gt;=ROUND(I$68,3),0,I$68/I$71)),"NA",IF(ROUND(SUM(I$82:I85),3)&gt;=ROUND(I$68,3),0,I$68/I$71))</f>
        <v>40.107199999999999</v>
      </c>
      <c r="J86" s="1406">
        <f>IF(ISERROR(IF(ROUND(SUM(J$82:J85),3)&gt;=ROUND(J$68,3),0,J$68/J$71)),"NA",IF(ROUND(SUM(J$82:J85),3)&gt;=ROUND(J$68,3),0,J$68/J$71))</f>
        <v>29.993599999999997</v>
      </c>
      <c r="K86" s="1406">
        <f>IF(ISERROR(IF(ROUND(SUM(K$82:K85),3)&gt;=ROUND(K$68,3),0,K$68/K$71)),"NA",IF(ROUND(SUM(K$82:K85),3)&gt;=ROUND(K$68,3),0,K$68/K$71))</f>
        <v>31.454000000000001</v>
      </c>
      <c r="L86" s="1406">
        <f>IF(ISERROR(IF(ROUND(SUM(L$82:L85),3)&gt;=ROUND(L$68,3),0,L$68/L$71)),"NA",IF(ROUND(SUM(L$82:L85),3)&gt;=ROUND(L$68,3),0,L$68/L$71))</f>
        <v>46.092599999999997</v>
      </c>
      <c r="M86" s="1406">
        <f>IF(ISERROR(IF(ROUND(SUM(M$82:M85),3)&gt;=ROUND(M$68,3),0,M$68/M$71)),"NA",IF(ROUND(SUM(M$82:M85),3)&gt;=ROUND(M$68,3),0,M$68/M$71))</f>
        <v>59.050400000000003</v>
      </c>
      <c r="N86" s="1406">
        <f>IF(ISERROR(IF(ROUND(SUM(N$82:N85),3)&gt;=ROUND(N$68,3),0,N$68/N$71)),"NA",IF(ROUND(SUM(N$82:N85),3)&gt;=ROUND(N$68,3),0,N$68/N$71))</f>
        <v>64.960599999999999</v>
      </c>
      <c r="O86" s="1406">
        <f>IF(ISERROR(IF(ROUND(SUM(O$82:O85),3)&gt;=ROUND(O$68,3),0,O$68/O$71)),"NA",IF(ROUND(SUM(O$82:O85),3)&gt;=ROUND(O$68,3),0,O$68/O$71))</f>
        <v>0</v>
      </c>
      <c r="P86" s="1406">
        <f>IF(ISERROR(IF(ROUND(SUM(P$82:P85),3)&gt;=ROUND(P$68,3),0,P$68/P$71)),"NA",IF(ROUND(SUM(P$82:P85),3)&gt;=ROUND(P$68,3),0,P$68/P$71))</f>
        <v>36.571199999999997</v>
      </c>
      <c r="Q86" s="1386">
        <f t="shared" ref="Q86:W95" si="42">P86*(1+Q$64)</f>
        <v>37.302624000000002</v>
      </c>
      <c r="R86" s="1386">
        <f t="shared" si="42"/>
        <v>38.048676480000005</v>
      </c>
      <c r="S86" s="1386">
        <f t="shared" si="42"/>
        <v>38.809650009600006</v>
      </c>
      <c r="T86" s="1386">
        <f t="shared" si="42"/>
        <v>39.585843009792008</v>
      </c>
      <c r="U86" s="1386">
        <f t="shared" si="42"/>
        <v>40.377559869987849</v>
      </c>
      <c r="V86" s="1386">
        <f t="shared" si="42"/>
        <v>41.185111067387609</v>
      </c>
      <c r="W86" s="1386">
        <f t="shared" si="42"/>
        <v>42.008813288735361</v>
      </c>
      <c r="AA86"/>
      <c r="AB86"/>
      <c r="AC86"/>
      <c r="AD86"/>
      <c r="AE86"/>
      <c r="AF86"/>
      <c r="AJ86" s="1384"/>
    </row>
    <row r="87" spans="1:36" s="1389" customFormat="1" outlineLevel="1">
      <c r="A87" s="1391"/>
      <c r="B87" s="1316"/>
      <c r="C87" s="1407" t="s">
        <v>655</v>
      </c>
      <c r="D87" s="1407"/>
      <c r="E87" s="1407"/>
      <c r="F87" s="1407"/>
      <c r="G87" s="1407"/>
      <c r="H87" s="1406">
        <f>IF(ISERROR(IF(ROUND(SUM(H$82:H86),3)&gt;=ROUND(H$68,3),0,H$68/H$71)),"NA",IF(ROUND(SUM(H$82:H86),3)&gt;=ROUND(H$68,3),0,H$68/H$71))</f>
        <v>0</v>
      </c>
      <c r="I87" s="1406">
        <f>IF(ISERROR(IF(ROUND(SUM(I$82:I86),3)&gt;=ROUND(I$68,3),0,I$68/I$71)),"NA",IF(ROUND(SUM(I$82:I86),3)&gt;=ROUND(I$68,3),0,I$68/I$71))</f>
        <v>0</v>
      </c>
      <c r="J87" s="1406">
        <f>IF(ISERROR(IF(ROUND(SUM(J$82:J86),3)&gt;=ROUND(J$68,3),0,J$68/J$71)),"NA",IF(ROUND(SUM(J$82:J86),3)&gt;=ROUND(J$68,3),0,J$68/J$71))</f>
        <v>0</v>
      </c>
      <c r="K87" s="1406">
        <f>IF(ISERROR(IF(ROUND(SUM(K$82:K86),3)&gt;=ROUND(K$68,3),0,K$68/K$71)),"NA",IF(ROUND(SUM(K$82:K86),3)&gt;=ROUND(K$68,3),0,K$68/K$71))</f>
        <v>0</v>
      </c>
      <c r="L87" s="1406">
        <f>IF(ISERROR(IF(ROUND(SUM(L$82:L86),3)&gt;=ROUND(L$68,3),0,L$68/L$71)),"NA",IF(ROUND(SUM(L$82:L86),3)&gt;=ROUND(L$68,3),0,L$68/L$71))</f>
        <v>0</v>
      </c>
      <c r="M87" s="1406">
        <f>IF(ISERROR(IF(ROUND(SUM(M$82:M86),3)&gt;=ROUND(M$68,3),0,M$68/M$71)),"NA",IF(ROUND(SUM(M$82:M86),3)&gt;=ROUND(M$68,3),0,M$68/M$71))</f>
        <v>0</v>
      </c>
      <c r="N87" s="1406">
        <f>IF(ISERROR(IF(ROUND(SUM(N$82:N86),3)&gt;=ROUND(N$68,3),0,N$68/N$71)),"NA",IF(ROUND(SUM(N$82:N86),3)&gt;=ROUND(N$68,3),0,N$68/N$71))</f>
        <v>0</v>
      </c>
      <c r="O87" s="1406">
        <f>IF(ISERROR(IF(ROUND(SUM(O$82:O86),3)&gt;=ROUND(O$68,3),0,O$68/O$71)),"NA",IF(ROUND(SUM(O$82:O86),3)&gt;=ROUND(O$68,3),0,O$68/O$71))</f>
        <v>0</v>
      </c>
      <c r="P87" s="1406">
        <f>IF(ISERROR(IF(ROUND(SUM(P$82:P86),3)&gt;=ROUND(P$68,3),0,P$68/P$71)),"NA",IF(ROUND(SUM(P$82:P86),3)&gt;=ROUND(P$68,3),0,P$68/P$71))</f>
        <v>0</v>
      </c>
      <c r="Q87" s="1386">
        <f t="shared" si="42"/>
        <v>0</v>
      </c>
      <c r="R87" s="1386">
        <f t="shared" si="42"/>
        <v>0</v>
      </c>
      <c r="S87" s="1386">
        <f t="shared" si="42"/>
        <v>0</v>
      </c>
      <c r="T87" s="1386">
        <f t="shared" si="42"/>
        <v>0</v>
      </c>
      <c r="U87" s="1386">
        <f t="shared" si="42"/>
        <v>0</v>
      </c>
      <c r="V87" s="1386">
        <f t="shared" si="42"/>
        <v>0</v>
      </c>
      <c r="W87" s="1386">
        <f t="shared" si="42"/>
        <v>0</v>
      </c>
      <c r="AA87"/>
      <c r="AB87"/>
      <c r="AC87"/>
      <c r="AD87"/>
      <c r="AE87"/>
      <c r="AF87"/>
      <c r="AJ87" s="1384"/>
    </row>
    <row r="88" spans="1:36" s="1389" customFormat="1" outlineLevel="1">
      <c r="A88" s="1391"/>
      <c r="B88" s="1316"/>
      <c r="C88" s="1407" t="s">
        <v>656</v>
      </c>
      <c r="D88" s="1407"/>
      <c r="E88" s="1407"/>
      <c r="F88" s="1407"/>
      <c r="G88" s="1407"/>
      <c r="H88" s="1406">
        <f>IF(ISERROR(IF(ROUND(SUM(H$82:H87),3)&gt;=ROUND(H$68,3),0,H$68/H$71)),"NA",IF(ROUND(SUM(H$82:H87),3)&gt;=ROUND(H$68,3),0,H$68/H$71))</f>
        <v>0</v>
      </c>
      <c r="I88" s="1406">
        <f>IF(ISERROR(IF(ROUND(SUM(I$82:I87),3)&gt;=ROUND(I$68,3),0,I$68/I$71)),"NA",IF(ROUND(SUM(I$82:I87),3)&gt;=ROUND(I$68,3),0,I$68/I$71))</f>
        <v>0</v>
      </c>
      <c r="J88" s="1406">
        <f>IF(ISERROR(IF(ROUND(SUM(J$82:J87),3)&gt;=ROUND(J$68,3),0,J$68/J$71)),"NA",IF(ROUND(SUM(J$82:J87),3)&gt;=ROUND(J$68,3),0,J$68/J$71))</f>
        <v>0</v>
      </c>
      <c r="K88" s="1406">
        <f>IF(ISERROR(IF(ROUND(SUM(K$82:K87),3)&gt;=ROUND(K$68,3),0,K$68/K$71)),"NA",IF(ROUND(SUM(K$82:K87),3)&gt;=ROUND(K$68,3),0,K$68/K$71))</f>
        <v>0</v>
      </c>
      <c r="L88" s="1406">
        <f>IF(ISERROR(IF(ROUND(SUM(L$82:L87),3)&gt;=ROUND(L$68,3),0,L$68/L$71)),"NA",IF(ROUND(SUM(L$82:L87),3)&gt;=ROUND(L$68,3),0,L$68/L$71))</f>
        <v>0</v>
      </c>
      <c r="M88" s="1406">
        <f>IF(ISERROR(IF(ROUND(SUM(M$82:M87),3)&gt;=ROUND(M$68,3),0,M$68/M$71)),"NA",IF(ROUND(SUM(M$82:M87),3)&gt;=ROUND(M$68,3),0,M$68/M$71))</f>
        <v>0</v>
      </c>
      <c r="N88" s="1406">
        <f>IF(ISERROR(IF(ROUND(SUM(N$82:N87),3)&gt;=ROUND(N$68,3),0,N$68/N$71)),"NA",IF(ROUND(SUM(N$82:N87),3)&gt;=ROUND(N$68,3),0,N$68/N$71))</f>
        <v>0</v>
      </c>
      <c r="O88" s="1406">
        <f>IF(ISERROR(IF(ROUND(SUM(O$82:O87),3)&gt;=ROUND(O$68,3),0,O$68/O$71)),"NA",IF(ROUND(SUM(O$82:O87),3)&gt;=ROUND(O$68,3),0,O$68/O$71))</f>
        <v>0</v>
      </c>
      <c r="P88" s="1406">
        <f>IF(ISERROR(IF(ROUND(SUM(P$82:P87),3)&gt;=ROUND(P$68,3),0,P$68/P$71)),"NA",IF(ROUND(SUM(P$82:P87),3)&gt;=ROUND(P$68,3),0,P$68/P$71))</f>
        <v>0</v>
      </c>
      <c r="Q88" s="1386">
        <f t="shared" si="42"/>
        <v>0</v>
      </c>
      <c r="R88" s="1386">
        <f t="shared" si="42"/>
        <v>0</v>
      </c>
      <c r="S88" s="1386">
        <f t="shared" si="42"/>
        <v>0</v>
      </c>
      <c r="T88" s="1386">
        <f t="shared" si="42"/>
        <v>0</v>
      </c>
      <c r="U88" s="1386">
        <f t="shared" si="42"/>
        <v>0</v>
      </c>
      <c r="V88" s="1386">
        <f t="shared" si="42"/>
        <v>0</v>
      </c>
      <c r="W88" s="1386">
        <f t="shared" si="42"/>
        <v>0</v>
      </c>
      <c r="AA88"/>
      <c r="AB88"/>
      <c r="AC88"/>
      <c r="AD88"/>
      <c r="AE88"/>
      <c r="AF88"/>
      <c r="AJ88" s="1384"/>
    </row>
    <row r="89" spans="1:36" s="1389" customFormat="1" outlineLevel="1">
      <c r="A89" s="1391"/>
      <c r="B89" s="1316"/>
      <c r="C89" s="1407" t="s">
        <v>657</v>
      </c>
      <c r="D89" s="1407"/>
      <c r="E89" s="1407"/>
      <c r="F89" s="1407"/>
      <c r="G89" s="1407"/>
      <c r="H89" s="1406">
        <f>IF(ISERROR(IF(ROUND(SUM(H$82:H88),3)&gt;=ROUND(H$68,3),0,H$68/H$71)),"NA",IF(ROUND(SUM(H$82:H88),3)&gt;=ROUND(H$68,3),0,H$68/H$71))</f>
        <v>0</v>
      </c>
      <c r="I89" s="1406">
        <f>IF(ISERROR(IF(ROUND(SUM(I$82:I88),3)&gt;=ROUND(I$68,3),0,I$68/I$71)),"NA",IF(ROUND(SUM(I$82:I88),3)&gt;=ROUND(I$68,3),0,I$68/I$71))</f>
        <v>0</v>
      </c>
      <c r="J89" s="1406">
        <f>IF(ISERROR(IF(ROUND(SUM(J$82:J88),3)&gt;=ROUND(J$68,3),0,J$68/J$71)),"NA",IF(ROUND(SUM(J$82:J88),3)&gt;=ROUND(J$68,3),0,J$68/J$71))</f>
        <v>0</v>
      </c>
      <c r="K89" s="1406">
        <f>IF(ISERROR(IF(ROUND(SUM(K$82:K88),3)&gt;=ROUND(K$68,3),0,K$68/K$71)),"NA",IF(ROUND(SUM(K$82:K88),3)&gt;=ROUND(K$68,3),0,K$68/K$71))</f>
        <v>0</v>
      </c>
      <c r="L89" s="1406">
        <f>IF(ISERROR(IF(ROUND(SUM(L$82:L88),3)&gt;=ROUND(L$68,3),0,L$68/L$71)),"NA",IF(ROUND(SUM(L$82:L88),3)&gt;=ROUND(L$68,3),0,L$68/L$71))</f>
        <v>0</v>
      </c>
      <c r="M89" s="1406">
        <f>IF(ISERROR(IF(ROUND(SUM(M$82:M88),3)&gt;=ROUND(M$68,3),0,M$68/M$71)),"NA",IF(ROUND(SUM(M$82:M88),3)&gt;=ROUND(M$68,3),0,M$68/M$71))</f>
        <v>0</v>
      </c>
      <c r="N89" s="1406">
        <f>IF(ISERROR(IF(ROUND(SUM(N$82:N88),3)&gt;=ROUND(N$68,3),0,N$68/N$71)),"NA",IF(ROUND(SUM(N$82:N88),3)&gt;=ROUND(N$68,3),0,N$68/N$71))</f>
        <v>0</v>
      </c>
      <c r="O89" s="1406">
        <f>IF(ISERROR(IF(ROUND(SUM(O$82:O88),3)&gt;=ROUND(O$68,3),0,O$68/O$71)),"NA",IF(ROUND(SUM(O$82:O88),3)&gt;=ROUND(O$68,3),0,O$68/O$71))</f>
        <v>0</v>
      </c>
      <c r="P89" s="1406">
        <f>IF(ISERROR(IF(ROUND(SUM(P$82:P88),3)&gt;=ROUND(P$68,3),0,P$68/P$71)),"NA",IF(ROUND(SUM(P$82:P88),3)&gt;=ROUND(P$68,3),0,P$68/P$71))</f>
        <v>0</v>
      </c>
      <c r="Q89" s="1386">
        <f t="shared" si="42"/>
        <v>0</v>
      </c>
      <c r="R89" s="1386">
        <f t="shared" si="42"/>
        <v>0</v>
      </c>
      <c r="S89" s="1386">
        <f t="shared" si="42"/>
        <v>0</v>
      </c>
      <c r="T89" s="1386">
        <f t="shared" si="42"/>
        <v>0</v>
      </c>
      <c r="U89" s="1386">
        <f t="shared" si="42"/>
        <v>0</v>
      </c>
      <c r="V89" s="1386">
        <f t="shared" si="42"/>
        <v>0</v>
      </c>
      <c r="W89" s="1386">
        <f t="shared" si="42"/>
        <v>0</v>
      </c>
      <c r="AA89"/>
      <c r="AB89"/>
      <c r="AC89"/>
      <c r="AD89"/>
      <c r="AE89"/>
      <c r="AF89"/>
      <c r="AJ89" s="1384"/>
    </row>
    <row r="90" spans="1:36" s="1389" customFormat="1" outlineLevel="1">
      <c r="A90" s="1391"/>
      <c r="B90" s="1316"/>
      <c r="C90" s="1407" t="s">
        <v>658</v>
      </c>
      <c r="D90" s="1407"/>
      <c r="E90" s="1407"/>
      <c r="F90" s="1407"/>
      <c r="G90" s="1407"/>
      <c r="H90" s="1406">
        <f>IF(ISERROR(IF(ROUND(SUM(H$82:H89),3)&gt;=ROUND(H$68,3),0,H$68/H$71)),"NA",IF(ROUND(SUM(H$82:H89),3)&gt;=ROUND(H$68,3),0,H$68/H$71))</f>
        <v>0</v>
      </c>
      <c r="I90" s="1406">
        <f>IF(ISERROR(IF(ROUND(SUM(I$82:I89),3)&gt;=ROUND(I$68,3),0,I$68/I$71)),"NA",IF(ROUND(SUM(I$82:I89),3)&gt;=ROUND(I$68,3),0,I$68/I$71))</f>
        <v>0</v>
      </c>
      <c r="J90" s="1406">
        <f>IF(ISERROR(IF(ROUND(SUM(J$82:J89),3)&gt;=ROUND(J$68,3),0,J$68/J$71)),"NA",IF(ROUND(SUM(J$82:J89),3)&gt;=ROUND(J$68,3),0,J$68/J$71))</f>
        <v>0</v>
      </c>
      <c r="K90" s="1406">
        <f>IF(ISERROR(IF(ROUND(SUM(K$82:K89),3)&gt;=ROUND(K$68,3),0,K$68/K$71)),"NA",IF(ROUND(SUM(K$82:K89),3)&gt;=ROUND(K$68,3),0,K$68/K$71))</f>
        <v>0</v>
      </c>
      <c r="L90" s="1406">
        <f>IF(ISERROR(IF(ROUND(SUM(L$82:L89),3)&gt;=ROUND(L$68,3),0,L$68/L$71)),"NA",IF(ROUND(SUM(L$82:L89),3)&gt;=ROUND(L$68,3),0,L$68/L$71))</f>
        <v>0</v>
      </c>
      <c r="M90" s="1406">
        <f>IF(ISERROR(IF(ROUND(SUM(M$82:M89),3)&gt;=ROUND(M$68,3),0,M$68/M$71)),"NA",IF(ROUND(SUM(M$82:M89),3)&gt;=ROUND(M$68,3),0,M$68/M$71))</f>
        <v>0</v>
      </c>
      <c r="N90" s="1406">
        <f>IF(ISERROR(IF(ROUND(SUM(N$82:N89),3)&gt;=ROUND(N$68,3),0,N$68/N$71)),"NA",IF(ROUND(SUM(N$82:N89),3)&gt;=ROUND(N$68,3),0,N$68/N$71))</f>
        <v>0</v>
      </c>
      <c r="O90" s="1406">
        <f>IF(ISERROR(IF(ROUND(SUM(O$82:O89),3)&gt;=ROUND(O$68,3),0,O$68/O$71)),"NA",IF(ROUND(SUM(O$82:O89),3)&gt;=ROUND(O$68,3),0,O$68/O$71))</f>
        <v>0</v>
      </c>
      <c r="P90" s="1406">
        <f>IF(ISERROR(IF(ROUND(SUM(P$82:P89),3)&gt;=ROUND(P$68,3),0,P$68/P$71)),"NA",IF(ROUND(SUM(P$82:P89),3)&gt;=ROUND(P$68,3),0,P$68/P$71))</f>
        <v>0</v>
      </c>
      <c r="Q90" s="1386">
        <f t="shared" si="42"/>
        <v>0</v>
      </c>
      <c r="R90" s="1386">
        <f t="shared" si="42"/>
        <v>0</v>
      </c>
      <c r="S90" s="1386">
        <f t="shared" si="42"/>
        <v>0</v>
      </c>
      <c r="T90" s="1386">
        <f t="shared" si="42"/>
        <v>0</v>
      </c>
      <c r="U90" s="1386">
        <f t="shared" si="42"/>
        <v>0</v>
      </c>
      <c r="V90" s="1386">
        <f t="shared" si="42"/>
        <v>0</v>
      </c>
      <c r="W90" s="1386">
        <f t="shared" si="42"/>
        <v>0</v>
      </c>
      <c r="AA90"/>
      <c r="AB90"/>
      <c r="AC90"/>
      <c r="AD90"/>
      <c r="AE90"/>
      <c r="AF90"/>
      <c r="AJ90" s="1384"/>
    </row>
    <row r="91" spans="1:36" s="1389" customFormat="1" outlineLevel="1">
      <c r="A91" s="1391"/>
      <c r="B91" s="1316"/>
      <c r="C91" s="1407" t="s">
        <v>659</v>
      </c>
      <c r="D91" s="1407"/>
      <c r="E91" s="1407"/>
      <c r="F91" s="1407"/>
      <c r="G91" s="1407"/>
      <c r="H91" s="1406">
        <f>IF(ISERROR(IF(ROUND(SUM(H$82:H90),3)&gt;=ROUND(H$68,3),0,H$68/H$71)),"NA",IF(ROUND(SUM(H$82:H90),3)&gt;=ROUND(H$68,3),0,H$68/H$71))</f>
        <v>0</v>
      </c>
      <c r="I91" s="1406">
        <f>IF(ISERROR(IF(ROUND(SUM(I$82:I90),3)&gt;=ROUND(I$68,3),0,I$68/I$71)),"NA",IF(ROUND(SUM(I$82:I90),3)&gt;=ROUND(I$68,3),0,I$68/I$71))</f>
        <v>0</v>
      </c>
      <c r="J91" s="1406">
        <f>IF(ISERROR(IF(ROUND(SUM(J$82:J90),3)&gt;=ROUND(J$68,3),0,J$68/J$71)),"NA",IF(ROUND(SUM(J$82:J90),3)&gt;=ROUND(J$68,3),0,J$68/J$71))</f>
        <v>0</v>
      </c>
      <c r="K91" s="1406">
        <f>IF(ISERROR(IF(ROUND(SUM(K$82:K90),3)&gt;=ROUND(K$68,3),0,K$68/K$71)),"NA",IF(ROUND(SUM(K$82:K90),3)&gt;=ROUND(K$68,3),0,K$68/K$71))</f>
        <v>0</v>
      </c>
      <c r="L91" s="1406">
        <f>IF(ISERROR(IF(ROUND(SUM(L$82:L90),3)&gt;=ROUND(L$68,3),0,L$68/L$71)),"NA",IF(ROUND(SUM(L$82:L90),3)&gt;=ROUND(L$68,3),0,L$68/L$71))</f>
        <v>0</v>
      </c>
      <c r="M91" s="1406">
        <f>IF(ISERROR(IF(ROUND(SUM(M$82:M90),3)&gt;=ROUND(M$68,3),0,M$68/M$71)),"NA",IF(ROUND(SUM(M$82:M90),3)&gt;=ROUND(M$68,3),0,M$68/M$71))</f>
        <v>0</v>
      </c>
      <c r="N91" s="1406">
        <f>IF(ISERROR(IF(ROUND(SUM(N$82:N90),3)&gt;=ROUND(N$68,3),0,N$68/N$71)),"NA",IF(ROUND(SUM(N$82:N90),3)&gt;=ROUND(N$68,3),0,N$68/N$71))</f>
        <v>0</v>
      </c>
      <c r="O91" s="1406">
        <f>IF(ISERROR(IF(ROUND(SUM(O$82:O90),3)&gt;=ROUND(O$68,3),0,O$68/O$71)),"NA",IF(ROUND(SUM(O$82:O90),3)&gt;=ROUND(O$68,3),0,O$68/O$71))</f>
        <v>0</v>
      </c>
      <c r="P91" s="1406">
        <f>IF(ISERROR(IF(ROUND(SUM(P$82:P90),3)&gt;=ROUND(P$68,3),0,P$68/P$71)),"NA",IF(ROUND(SUM(P$82:P90),3)&gt;=ROUND(P$68,3),0,P$68/P$71))</f>
        <v>0</v>
      </c>
      <c r="Q91" s="1386">
        <f t="shared" si="42"/>
        <v>0</v>
      </c>
      <c r="R91" s="1386">
        <f t="shared" si="42"/>
        <v>0</v>
      </c>
      <c r="S91" s="1386">
        <f t="shared" si="42"/>
        <v>0</v>
      </c>
      <c r="T91" s="1386">
        <f t="shared" si="42"/>
        <v>0</v>
      </c>
      <c r="U91" s="1386">
        <f t="shared" si="42"/>
        <v>0</v>
      </c>
      <c r="V91" s="1386">
        <f t="shared" si="42"/>
        <v>0</v>
      </c>
      <c r="W91" s="1386">
        <f t="shared" si="42"/>
        <v>0</v>
      </c>
      <c r="AA91"/>
      <c r="AB91"/>
      <c r="AC91"/>
      <c r="AD91"/>
      <c r="AE91"/>
      <c r="AF91"/>
      <c r="AJ91" s="1384"/>
    </row>
    <row r="92" spans="1:36" s="1389" customFormat="1" outlineLevel="1">
      <c r="A92" s="1391"/>
      <c r="B92" s="1316"/>
      <c r="C92" s="1407" t="s">
        <v>660</v>
      </c>
      <c r="D92" s="1407"/>
      <c r="E92" s="1407"/>
      <c r="F92" s="1407"/>
      <c r="G92" s="1407"/>
      <c r="H92" s="1406">
        <f>IF(ISERROR(IF(ROUND(SUM(H$82:H91),3)&gt;=ROUND(H$68,3),0,H$68/H$71)),"NA",IF(ROUND(SUM(H$82:H91),3)&gt;=ROUND(H$68,3),0,H$68/H$71))</f>
        <v>0</v>
      </c>
      <c r="I92" s="1406">
        <f>IF(ISERROR(IF(ROUND(SUM(I$82:I91),3)&gt;=ROUND(I$68,3),0,I$68/I$71)),"NA",IF(ROUND(SUM(I$82:I91),3)&gt;=ROUND(I$68,3),0,I$68/I$71))</f>
        <v>0</v>
      </c>
      <c r="J92" s="1406">
        <f>IF(ISERROR(IF(ROUND(SUM(J$82:J91),3)&gt;=ROUND(J$68,3),0,J$68/J$71)),"NA",IF(ROUND(SUM(J$82:J91),3)&gt;=ROUND(J$68,3),0,J$68/J$71))</f>
        <v>0</v>
      </c>
      <c r="K92" s="1406">
        <f>IF(ISERROR(IF(ROUND(SUM(K$82:K91),3)&gt;=ROUND(K$68,3),0,K$68/K$71)),"NA",IF(ROUND(SUM(K$82:K91),3)&gt;=ROUND(K$68,3),0,K$68/K$71))</f>
        <v>0</v>
      </c>
      <c r="L92" s="1406">
        <f>IF(ISERROR(IF(ROUND(SUM(L$82:L91),3)&gt;=ROUND(L$68,3),0,L$68/L$71)),"NA",IF(ROUND(SUM(L$82:L91),3)&gt;=ROUND(L$68,3),0,L$68/L$71))</f>
        <v>0</v>
      </c>
      <c r="M92" s="1406">
        <f>IF(ISERROR(IF(ROUND(SUM(M$82:M91),3)&gt;=ROUND(M$68,3),0,M$68/M$71)),"NA",IF(ROUND(SUM(M$82:M91),3)&gt;=ROUND(M$68,3),0,M$68/M$71))</f>
        <v>0</v>
      </c>
      <c r="N92" s="1406">
        <f>IF(ISERROR(IF(ROUND(SUM(N$82:N91),3)&gt;=ROUND(N$68,3),0,N$68/N$71)),"NA",IF(ROUND(SUM(N$82:N91),3)&gt;=ROUND(N$68,3),0,N$68/N$71))</f>
        <v>0</v>
      </c>
      <c r="O92" s="1406">
        <f>IF(ISERROR(IF(ROUND(SUM(O$82:O91),3)&gt;=ROUND(O$68,3),0,O$68/O$71)),"NA",IF(ROUND(SUM(O$82:O91),3)&gt;=ROUND(O$68,3),0,O$68/O$71))</f>
        <v>0</v>
      </c>
      <c r="P92" s="1406">
        <f>IF(ISERROR(IF(ROUND(SUM(P$82:P91),3)&gt;=ROUND(P$68,3),0,P$68/P$71)),"NA",IF(ROUND(SUM(P$82:P91),3)&gt;=ROUND(P$68,3),0,P$68/P$71))</f>
        <v>0</v>
      </c>
      <c r="Q92" s="1386">
        <f t="shared" si="42"/>
        <v>0</v>
      </c>
      <c r="R92" s="1386">
        <f t="shared" si="42"/>
        <v>0</v>
      </c>
      <c r="S92" s="1386">
        <f t="shared" si="42"/>
        <v>0</v>
      </c>
      <c r="T92" s="1386">
        <f t="shared" si="42"/>
        <v>0</v>
      </c>
      <c r="U92" s="1386">
        <f t="shared" si="42"/>
        <v>0</v>
      </c>
      <c r="V92" s="1386">
        <f t="shared" si="42"/>
        <v>0</v>
      </c>
      <c r="W92" s="1386">
        <f t="shared" si="42"/>
        <v>0</v>
      </c>
      <c r="AA92"/>
      <c r="AB92"/>
      <c r="AC92"/>
      <c r="AD92"/>
      <c r="AE92"/>
      <c r="AF92"/>
      <c r="AJ92" s="1384"/>
    </row>
    <row r="93" spans="1:36" s="1389" customFormat="1" outlineLevel="1">
      <c r="A93" s="1391"/>
      <c r="B93" s="1316"/>
      <c r="C93" s="1407" t="s">
        <v>661</v>
      </c>
      <c r="D93" s="1407"/>
      <c r="E93" s="1407"/>
      <c r="F93" s="1407"/>
      <c r="G93" s="1407"/>
      <c r="H93" s="1406">
        <f>IF(ISERROR(IF(ROUND(SUM(H$82:H92),3)&gt;=ROUND(H$68,3),0,H$68/H$71)),"NA",IF(ROUND(SUM(H$82:H92),3)&gt;=ROUND(H$68,3),0,H$68/H$71))</f>
        <v>0</v>
      </c>
      <c r="I93" s="1406">
        <f>IF(ISERROR(IF(ROUND(SUM(I$82:I92),3)&gt;=ROUND(I$68,3),0,I$68/I$71)),"NA",IF(ROUND(SUM(I$82:I92),3)&gt;=ROUND(I$68,3),0,I$68/I$71))</f>
        <v>0</v>
      </c>
      <c r="J93" s="1406">
        <f>IF(ISERROR(IF(ROUND(SUM(J$82:J92),3)&gt;=ROUND(J$68,3),0,J$68/J$71)),"NA",IF(ROUND(SUM(J$82:J92),3)&gt;=ROUND(J$68,3),0,J$68/J$71))</f>
        <v>0</v>
      </c>
      <c r="K93" s="1406">
        <f>IF(ISERROR(IF(ROUND(SUM(K$82:K92),3)&gt;=ROUND(K$68,3),0,K$68/K$71)),"NA",IF(ROUND(SUM(K$82:K92),3)&gt;=ROUND(K$68,3),0,K$68/K$71))</f>
        <v>0</v>
      </c>
      <c r="L93" s="1406">
        <f>IF(ISERROR(IF(ROUND(SUM(L$82:L92),3)&gt;=ROUND(L$68,3),0,L$68/L$71)),"NA",IF(ROUND(SUM(L$82:L92),3)&gt;=ROUND(L$68,3),0,L$68/L$71))</f>
        <v>0</v>
      </c>
      <c r="M93" s="1406">
        <f>IF(ISERROR(IF(ROUND(SUM(M$82:M92),3)&gt;=ROUND(M$68,3),0,M$68/M$71)),"NA",IF(ROUND(SUM(M$82:M92),3)&gt;=ROUND(M$68,3),0,M$68/M$71))</f>
        <v>0</v>
      </c>
      <c r="N93" s="1406">
        <f>IF(ISERROR(IF(ROUND(SUM(N$82:N92),3)&gt;=ROUND(N$68,3),0,N$68/N$71)),"NA",IF(ROUND(SUM(N$82:N92),3)&gt;=ROUND(N$68,3),0,N$68/N$71))</f>
        <v>0</v>
      </c>
      <c r="O93" s="1406">
        <f>IF(ISERROR(IF(ROUND(SUM(O$82:O92),3)&gt;=ROUND(O$68,3),0,O$68/O$71)),"NA",IF(ROUND(SUM(O$82:O92),3)&gt;=ROUND(O$68,3),0,O$68/O$71))</f>
        <v>0</v>
      </c>
      <c r="P93" s="1406">
        <f>IF(ISERROR(IF(ROUND(SUM(P$82:P92),3)&gt;=ROUND(P$68,3),0,P$68/P$71)),"NA",IF(ROUND(SUM(P$82:P92),3)&gt;=ROUND(P$68,3),0,P$68/P$71))</f>
        <v>0</v>
      </c>
      <c r="Q93" s="1386">
        <f t="shared" si="42"/>
        <v>0</v>
      </c>
      <c r="R93" s="1386">
        <f t="shared" si="42"/>
        <v>0</v>
      </c>
      <c r="S93" s="1386">
        <f t="shared" si="42"/>
        <v>0</v>
      </c>
      <c r="T93" s="1386">
        <f t="shared" si="42"/>
        <v>0</v>
      </c>
      <c r="U93" s="1386">
        <f t="shared" si="42"/>
        <v>0</v>
      </c>
      <c r="V93" s="1386">
        <f t="shared" si="42"/>
        <v>0</v>
      </c>
      <c r="W93" s="1386">
        <f t="shared" si="42"/>
        <v>0</v>
      </c>
      <c r="AA93"/>
      <c r="AB93"/>
      <c r="AC93"/>
      <c r="AD93"/>
      <c r="AE93"/>
      <c r="AF93"/>
      <c r="AJ93" s="1384"/>
    </row>
    <row r="94" spans="1:36" s="1389" customFormat="1" outlineLevel="1">
      <c r="A94" s="1391"/>
      <c r="B94" s="1316"/>
      <c r="C94" s="1407" t="s">
        <v>662</v>
      </c>
      <c r="D94" s="1407"/>
      <c r="E94" s="1407"/>
      <c r="F94" s="1407"/>
      <c r="G94" s="1407"/>
      <c r="H94" s="1406">
        <f>IF(ISERROR(IF(ROUND(SUM(H$82:H93),3)&gt;=ROUND(H$68,3),0,H$68/H$71)),"NA",IF(ROUND(SUM(H$82:H93),3)&gt;=ROUND(H$68,3),0,H$68/H$71))</f>
        <v>0</v>
      </c>
      <c r="I94" s="1406">
        <f>IF(ISERROR(IF(ROUND(SUM(I$82:I93),3)&gt;=ROUND(I$68,3),0,I$68/I$71)),"NA",IF(ROUND(SUM(I$82:I93),3)&gt;=ROUND(I$68,3),0,I$68/I$71))</f>
        <v>0</v>
      </c>
      <c r="J94" s="1406">
        <f>IF(ISERROR(IF(ROUND(SUM(J$82:J93),3)&gt;=ROUND(J$68,3),0,J$68/J$71)),"NA",IF(ROUND(SUM(J$82:J93),3)&gt;=ROUND(J$68,3),0,J$68/J$71))</f>
        <v>0</v>
      </c>
      <c r="K94" s="1406">
        <f>IF(ISERROR(IF(ROUND(SUM(K$82:K93),3)&gt;=ROUND(K$68,3),0,K$68/K$71)),"NA",IF(ROUND(SUM(K$82:K93),3)&gt;=ROUND(K$68,3),0,K$68/K$71))</f>
        <v>0</v>
      </c>
      <c r="L94" s="1406">
        <f>IF(ISERROR(IF(ROUND(SUM(L$82:L93),3)&gt;=ROUND(L$68,3),0,L$68/L$71)),"NA",IF(ROUND(SUM(L$82:L93),3)&gt;=ROUND(L$68,3),0,L$68/L$71))</f>
        <v>0</v>
      </c>
      <c r="M94" s="1406">
        <f>IF(ISERROR(IF(ROUND(SUM(M$82:M93),3)&gt;=ROUND(M$68,3),0,M$68/M$71)),"NA",IF(ROUND(SUM(M$82:M93),3)&gt;=ROUND(M$68,3),0,M$68/M$71))</f>
        <v>0</v>
      </c>
      <c r="N94" s="1406">
        <f>IF(ISERROR(IF(ROUND(SUM(N$82:N93),3)&gt;=ROUND(N$68,3),0,N$68/N$71)),"NA",IF(ROUND(SUM(N$82:N93),3)&gt;=ROUND(N$68,3),0,N$68/N$71))</f>
        <v>0</v>
      </c>
      <c r="O94" s="1406">
        <f>IF(ISERROR(IF(ROUND(SUM(O$82:O93),3)&gt;=ROUND(O$68,3),0,O$68/O$71)),"NA",IF(ROUND(SUM(O$82:O93),3)&gt;=ROUND(O$68,3),0,O$68/O$71))</f>
        <v>0</v>
      </c>
      <c r="P94" s="1406">
        <f>IF(ISERROR(IF(ROUND(SUM(P$82:P93),3)&gt;=ROUND(P$68,3),0,P$68/P$71)),"NA",IF(ROUND(SUM(P$82:P93),3)&gt;=ROUND(P$68,3),0,P$68/P$71))</f>
        <v>0</v>
      </c>
      <c r="Q94" s="1386">
        <f t="shared" si="42"/>
        <v>0</v>
      </c>
      <c r="R94" s="1386">
        <f t="shared" si="42"/>
        <v>0</v>
      </c>
      <c r="S94" s="1386">
        <f t="shared" si="42"/>
        <v>0</v>
      </c>
      <c r="T94" s="1386">
        <f t="shared" si="42"/>
        <v>0</v>
      </c>
      <c r="U94" s="1386">
        <f t="shared" si="42"/>
        <v>0</v>
      </c>
      <c r="V94" s="1386">
        <f t="shared" si="42"/>
        <v>0</v>
      </c>
      <c r="W94" s="1386">
        <f t="shared" si="42"/>
        <v>0</v>
      </c>
      <c r="AA94"/>
      <c r="AB94"/>
      <c r="AC94"/>
      <c r="AD94"/>
      <c r="AE94"/>
      <c r="AF94"/>
      <c r="AJ94" s="1384"/>
    </row>
    <row r="95" spans="1:36" s="1389" customFormat="1" outlineLevel="1">
      <c r="A95" s="1391"/>
      <c r="B95" s="1316"/>
      <c r="C95" s="1407" t="s">
        <v>663</v>
      </c>
      <c r="D95" s="1407"/>
      <c r="E95" s="1407"/>
      <c r="F95" s="1407"/>
      <c r="G95" s="1407"/>
      <c r="H95" s="1406">
        <f>IF(ISERROR(IF(ROUND(SUM(H$82:H94),3)&gt;=ROUND(H$68,3),0,H$68/H$71)),"NA",IF(ROUND(SUM(H$82:H94),3)&gt;=ROUND(H$68,3),0,H$68/H$71))</f>
        <v>0</v>
      </c>
      <c r="I95" s="1406">
        <f>IF(ISERROR(IF(ROUND(SUM(I$82:I94),3)&gt;=ROUND(I$68,3),0,I$68/I$71)),"NA",IF(ROUND(SUM(I$82:I94),3)&gt;=ROUND(I$68,3),0,I$68/I$71))</f>
        <v>0</v>
      </c>
      <c r="J95" s="1406">
        <f>IF(ISERROR(IF(ROUND(SUM(J$82:J94),3)&gt;=ROUND(J$68,3),0,J$68/J$71)),"NA",IF(ROUND(SUM(J$82:J94),3)&gt;=ROUND(J$68,3),0,J$68/J$71))</f>
        <v>0</v>
      </c>
      <c r="K95" s="1406">
        <f>IF(ISERROR(IF(ROUND(SUM(K$82:K94),3)&gt;=ROUND(K$68,3),0,K$68/K$71)),"NA",IF(ROUND(SUM(K$82:K94),3)&gt;=ROUND(K$68,3),0,K$68/K$71))</f>
        <v>0</v>
      </c>
      <c r="L95" s="1406">
        <f>IF(ISERROR(IF(ROUND(SUM(L$82:L94),3)&gt;=ROUND(L$68,3),0,L$68/L$71)),"NA",IF(ROUND(SUM(L$82:L94),3)&gt;=ROUND(L$68,3),0,L$68/L$71))</f>
        <v>0</v>
      </c>
      <c r="M95" s="1406">
        <f>IF(ISERROR(IF(ROUND(SUM(M$82:M94),3)&gt;=ROUND(M$68,3),0,M$68/M$71)),"NA",IF(ROUND(SUM(M$82:M94),3)&gt;=ROUND(M$68,3),0,M$68/M$71))</f>
        <v>0</v>
      </c>
      <c r="N95" s="1406">
        <f>IF(ISERROR(IF(ROUND(SUM(N$82:N94),3)&gt;=ROUND(N$68,3),0,N$68/N$71)),"NA",IF(ROUND(SUM(N$82:N94),3)&gt;=ROUND(N$68,3),0,N$68/N$71))</f>
        <v>0</v>
      </c>
      <c r="O95" s="1406">
        <f>IF(ISERROR(IF(ROUND(SUM(O$82:O94),3)&gt;=ROUND(O$68,3),0,O$68/O$71)),"NA",IF(ROUND(SUM(O$82:O94),3)&gt;=ROUND(O$68,3),0,O$68/O$71))</f>
        <v>0</v>
      </c>
      <c r="P95" s="1406">
        <f>IF(ISERROR(IF(ROUND(SUM(P$82:P94),3)&gt;=ROUND(P$68,3),0,P$68/P$71)),"NA",IF(ROUND(SUM(P$82:P94),3)&gt;=ROUND(P$68,3),0,P$68/P$71))</f>
        <v>0</v>
      </c>
      <c r="Q95" s="1386">
        <f t="shared" si="42"/>
        <v>0</v>
      </c>
      <c r="R95" s="1386">
        <f t="shared" si="42"/>
        <v>0</v>
      </c>
      <c r="S95" s="1386">
        <f t="shared" si="42"/>
        <v>0</v>
      </c>
      <c r="T95" s="1386">
        <f t="shared" si="42"/>
        <v>0</v>
      </c>
      <c r="U95" s="1386">
        <f t="shared" si="42"/>
        <v>0</v>
      </c>
      <c r="V95" s="1386">
        <f t="shared" si="42"/>
        <v>0</v>
      </c>
      <c r="W95" s="1386">
        <f t="shared" si="42"/>
        <v>0</v>
      </c>
      <c r="AA95"/>
      <c r="AB95"/>
      <c r="AC95"/>
      <c r="AD95"/>
      <c r="AE95"/>
      <c r="AF95"/>
      <c r="AJ95" s="1384"/>
    </row>
    <row r="96" spans="1:36" s="1389" customFormat="1" outlineLevel="1">
      <c r="A96" s="1391"/>
      <c r="B96" s="1316"/>
      <c r="C96" s="1407" t="s">
        <v>665</v>
      </c>
      <c r="D96" s="1407"/>
      <c r="E96" s="1407"/>
      <c r="F96" s="1407"/>
      <c r="G96" s="1407"/>
      <c r="H96" s="1406">
        <f>IF(ISERROR(IF(ROUND(SUM(H$82:H95),3)&gt;=ROUND(H$68,3),0,H$68/H$71)),"NA",IF(ROUND(SUM(H$82:H95),3)&gt;=ROUND(H$68,3),0,H$68/H$71))</f>
        <v>0</v>
      </c>
      <c r="I96" s="1406">
        <f>IF(ISERROR(IF(ROUND(SUM(I$82:I95),3)&gt;=ROUND(I$68,3),0,I$68/I$71)),"NA",IF(ROUND(SUM(I$82:I95),3)&gt;=ROUND(I$68,3),0,I$68/I$71))</f>
        <v>0</v>
      </c>
      <c r="J96" s="1406">
        <f>IF(ISERROR(IF(ROUND(SUM(J$82:J95),3)&gt;=ROUND(J$68,3),0,J$68/J$71)),"NA",IF(ROUND(SUM(J$82:J95),3)&gt;=ROUND(J$68,3),0,J$68/J$71))</f>
        <v>0</v>
      </c>
      <c r="K96" s="1406">
        <f>IF(ISERROR(IF(ROUND(SUM(K$82:K95),3)&gt;=ROUND(K$68,3),0,K$68/K$71)),"NA",IF(ROUND(SUM(K$82:K95),3)&gt;=ROUND(K$68,3),0,K$68/K$71))</f>
        <v>0</v>
      </c>
      <c r="L96" s="1406">
        <f>IF(ISERROR(IF(ROUND(SUM(L$82:L95),3)&gt;=ROUND(L$68,3),0,L$68/L$71)),"NA",IF(ROUND(SUM(L$82:L95),3)&gt;=ROUND(L$68,3),0,L$68/L$71))</f>
        <v>0</v>
      </c>
      <c r="M96" s="1406">
        <f>IF(ISERROR(IF(ROUND(SUM(M$82:M95),3)&gt;=ROUND(M$68,3),0,M$68/M$71)),"NA",IF(ROUND(SUM(M$82:M95),3)&gt;=ROUND(M$68,3),0,M$68/M$71))</f>
        <v>0</v>
      </c>
      <c r="N96" s="1406">
        <f>IF(ISERROR(IF(ROUND(SUM(N$82:N95),3)&gt;=ROUND(N$68,3),0,N$68/N$71)),"NA",IF(ROUND(SUM(N$82:N95),3)&gt;=ROUND(N$68,3),0,N$68/N$71))</f>
        <v>0</v>
      </c>
      <c r="O96" s="1406">
        <f>IF(ISERROR(IF(ROUND(SUM(O$82:O95),3)&gt;=ROUND(O$68,3),0,O$68/O$71)),"NA",IF(ROUND(SUM(O$82:O95),3)&gt;=ROUND(O$68,3),0,O$68/O$71))</f>
        <v>0</v>
      </c>
      <c r="P96" s="1406">
        <f>IF(ISERROR(IF(ROUND(SUM(P$82:P95),3)&gt;=ROUND(P$68,3),0,P$68/P$71)),"NA",IF(ROUND(SUM(P$82:P95),3)&gt;=ROUND(P$68,3),0,P$68/P$71))</f>
        <v>0</v>
      </c>
      <c r="Q96" s="1386">
        <f t="shared" ref="Q96:W105" si="43">P96*(1+Q$64)</f>
        <v>0</v>
      </c>
      <c r="R96" s="1386">
        <f t="shared" si="43"/>
        <v>0</v>
      </c>
      <c r="S96" s="1386">
        <f t="shared" si="43"/>
        <v>0</v>
      </c>
      <c r="T96" s="1386">
        <f t="shared" si="43"/>
        <v>0</v>
      </c>
      <c r="U96" s="1386">
        <f t="shared" si="43"/>
        <v>0</v>
      </c>
      <c r="V96" s="1386">
        <f t="shared" si="43"/>
        <v>0</v>
      </c>
      <c r="W96" s="1386">
        <f t="shared" si="43"/>
        <v>0</v>
      </c>
      <c r="AA96"/>
      <c r="AB96"/>
      <c r="AC96"/>
      <c r="AD96"/>
      <c r="AE96"/>
      <c r="AF96"/>
      <c r="AJ96" s="1384"/>
    </row>
    <row r="97" spans="1:36" s="1389" customFormat="1" outlineLevel="1">
      <c r="A97" s="1391"/>
      <c r="B97" s="1316"/>
      <c r="C97" s="1407" t="s">
        <v>666</v>
      </c>
      <c r="D97" s="1407"/>
      <c r="E97" s="1407"/>
      <c r="F97" s="1407"/>
      <c r="G97" s="1407"/>
      <c r="H97" s="1406">
        <f>IF(ISERROR(IF(ROUND(SUM(H$82:H96),3)&gt;=ROUND(H$68,3),0,H$68/H$71)),"NA",IF(ROUND(SUM(H$82:H96),3)&gt;=ROUND(H$68,3),0,H$68/H$71))</f>
        <v>0</v>
      </c>
      <c r="I97" s="1406">
        <f>IF(ISERROR(IF(ROUND(SUM(I$82:I96),3)&gt;=ROUND(I$68,3),0,I$68/I$71)),"NA",IF(ROUND(SUM(I$82:I96),3)&gt;=ROUND(I$68,3),0,I$68/I$71))</f>
        <v>0</v>
      </c>
      <c r="J97" s="1406">
        <f>IF(ISERROR(IF(ROUND(SUM(J$82:J96),3)&gt;=ROUND(J$68,3),0,J$68/J$71)),"NA",IF(ROUND(SUM(J$82:J96),3)&gt;=ROUND(J$68,3),0,J$68/J$71))</f>
        <v>0</v>
      </c>
      <c r="K97" s="1406">
        <f>IF(ISERROR(IF(ROUND(SUM(K$82:K96),3)&gt;=ROUND(K$68,3),0,K$68/K$71)),"NA",IF(ROUND(SUM(K$82:K96),3)&gt;=ROUND(K$68,3),0,K$68/K$71))</f>
        <v>0</v>
      </c>
      <c r="L97" s="1406">
        <f>IF(ISERROR(IF(ROUND(SUM(L$82:L96),3)&gt;=ROUND(L$68,3),0,L$68/L$71)),"NA",IF(ROUND(SUM(L$82:L96),3)&gt;=ROUND(L$68,3),0,L$68/L$71))</f>
        <v>0</v>
      </c>
      <c r="M97" s="1406">
        <f>IF(ISERROR(IF(ROUND(SUM(M$82:M96),3)&gt;=ROUND(M$68,3),0,M$68/M$71)),"NA",IF(ROUND(SUM(M$82:M96),3)&gt;=ROUND(M$68,3),0,M$68/M$71))</f>
        <v>0</v>
      </c>
      <c r="N97" s="1406">
        <f>IF(ISERROR(IF(ROUND(SUM(N$82:N96),3)&gt;=ROUND(N$68,3),0,N$68/N$71)),"NA",IF(ROUND(SUM(N$82:N96),3)&gt;=ROUND(N$68,3),0,N$68/N$71))</f>
        <v>0</v>
      </c>
      <c r="O97" s="1406">
        <f>IF(ISERROR(IF(ROUND(SUM(O$82:O96),3)&gt;=ROUND(O$68,3),0,O$68/O$71)),"NA",IF(ROUND(SUM(O$82:O96),3)&gt;=ROUND(O$68,3),0,O$68/O$71))</f>
        <v>0</v>
      </c>
      <c r="P97" s="1406">
        <f>IF(ISERROR(IF(ROUND(SUM(P$82:P96),3)&gt;=ROUND(P$68,3),0,P$68/P$71)),"NA",IF(ROUND(SUM(P$82:P96),3)&gt;=ROUND(P$68,3),0,P$68/P$71))</f>
        <v>0</v>
      </c>
      <c r="Q97" s="1386">
        <f t="shared" si="43"/>
        <v>0</v>
      </c>
      <c r="R97" s="1386">
        <f t="shared" si="43"/>
        <v>0</v>
      </c>
      <c r="S97" s="1386">
        <f t="shared" si="43"/>
        <v>0</v>
      </c>
      <c r="T97" s="1386">
        <f t="shared" si="43"/>
        <v>0</v>
      </c>
      <c r="U97" s="1386">
        <f t="shared" si="43"/>
        <v>0</v>
      </c>
      <c r="V97" s="1386">
        <f t="shared" si="43"/>
        <v>0</v>
      </c>
      <c r="W97" s="1386">
        <f t="shared" si="43"/>
        <v>0</v>
      </c>
      <c r="AA97"/>
      <c r="AB97"/>
      <c r="AC97"/>
      <c r="AD97"/>
      <c r="AE97"/>
      <c r="AF97"/>
      <c r="AJ97" s="1384"/>
    </row>
    <row r="98" spans="1:36" s="1389" customFormat="1" outlineLevel="1">
      <c r="A98" s="1391"/>
      <c r="B98" s="1316"/>
      <c r="C98" s="1407" t="s">
        <v>667</v>
      </c>
      <c r="D98" s="1407"/>
      <c r="E98" s="1407"/>
      <c r="F98" s="1407"/>
      <c r="G98" s="1407"/>
      <c r="H98" s="1406">
        <f>IF(ISERROR(IF(ROUND(SUM(H$82:H97),3)&gt;=ROUND(H$68,3),0,H$68/H$71)),"NA",IF(ROUND(SUM(H$82:H97),3)&gt;=ROUND(H$68,3),0,H$68/H$71))</f>
        <v>0</v>
      </c>
      <c r="I98" s="1406">
        <f>IF(ISERROR(IF(ROUND(SUM(I$82:I97),3)&gt;=ROUND(I$68,3),0,I$68/I$71)),"NA",IF(ROUND(SUM(I$82:I97),3)&gt;=ROUND(I$68,3),0,I$68/I$71))</f>
        <v>0</v>
      </c>
      <c r="J98" s="1406">
        <f>IF(ISERROR(IF(ROUND(SUM(J$82:J97),3)&gt;=ROUND(J$68,3),0,J$68/J$71)),"NA",IF(ROUND(SUM(J$82:J97),3)&gt;=ROUND(J$68,3),0,J$68/J$71))</f>
        <v>0</v>
      </c>
      <c r="K98" s="1406">
        <f>IF(ISERROR(IF(ROUND(SUM(K$82:K97),3)&gt;=ROUND(K$68,3),0,K$68/K$71)),"NA",IF(ROUND(SUM(K$82:K97),3)&gt;=ROUND(K$68,3),0,K$68/K$71))</f>
        <v>0</v>
      </c>
      <c r="L98" s="1406">
        <f>IF(ISERROR(IF(ROUND(SUM(L$82:L97),3)&gt;=ROUND(L$68,3),0,L$68/L$71)),"NA",IF(ROUND(SUM(L$82:L97),3)&gt;=ROUND(L$68,3),0,L$68/L$71))</f>
        <v>0</v>
      </c>
      <c r="M98" s="1406">
        <f>IF(ISERROR(IF(ROUND(SUM(M$82:M97),3)&gt;=ROUND(M$68,3),0,M$68/M$71)),"NA",IF(ROUND(SUM(M$82:M97),3)&gt;=ROUND(M$68,3),0,M$68/M$71))</f>
        <v>0</v>
      </c>
      <c r="N98" s="1406">
        <f>IF(ISERROR(IF(ROUND(SUM(N$82:N97),3)&gt;=ROUND(N$68,3),0,N$68/N$71)),"NA",IF(ROUND(SUM(N$82:N97),3)&gt;=ROUND(N$68,3),0,N$68/N$71))</f>
        <v>0</v>
      </c>
      <c r="O98" s="1406">
        <f>IF(ISERROR(IF(ROUND(SUM(O$82:O97),3)&gt;=ROUND(O$68,3),0,O$68/O$71)),"NA",IF(ROUND(SUM(O$82:O97),3)&gt;=ROUND(O$68,3),0,O$68/O$71))</f>
        <v>0</v>
      </c>
      <c r="P98" s="1406">
        <f>IF(ISERROR(IF(ROUND(SUM(P$82:P97),3)&gt;=ROUND(P$68,3),0,P$68/P$71)),"NA",IF(ROUND(SUM(P$82:P97),3)&gt;=ROUND(P$68,3),0,P$68/P$71))</f>
        <v>0</v>
      </c>
      <c r="Q98" s="1386">
        <f t="shared" si="43"/>
        <v>0</v>
      </c>
      <c r="R98" s="1386">
        <f t="shared" si="43"/>
        <v>0</v>
      </c>
      <c r="S98" s="1386">
        <f t="shared" si="43"/>
        <v>0</v>
      </c>
      <c r="T98" s="1386">
        <f t="shared" si="43"/>
        <v>0</v>
      </c>
      <c r="U98" s="1386">
        <f t="shared" si="43"/>
        <v>0</v>
      </c>
      <c r="V98" s="1386">
        <f t="shared" si="43"/>
        <v>0</v>
      </c>
      <c r="W98" s="1386">
        <f t="shared" si="43"/>
        <v>0</v>
      </c>
      <c r="AA98"/>
      <c r="AB98"/>
      <c r="AC98"/>
      <c r="AD98"/>
      <c r="AE98"/>
      <c r="AF98"/>
      <c r="AJ98" s="1384"/>
    </row>
    <row r="99" spans="1:36" s="1389" customFormat="1" outlineLevel="1">
      <c r="A99" s="1391"/>
      <c r="B99" s="1316"/>
      <c r="C99" s="1407" t="s">
        <v>668</v>
      </c>
      <c r="D99" s="1407"/>
      <c r="E99" s="1407"/>
      <c r="F99" s="1407"/>
      <c r="G99" s="1407"/>
      <c r="H99" s="1406">
        <f>IF(ISERROR(IF(ROUND(SUM(H$82:H98),3)&gt;=ROUND(H$68,3),0,H$68/H$71)),"NA",IF(ROUND(SUM(H$82:H98),3)&gt;=ROUND(H$68,3),0,H$68/H$71))</f>
        <v>0</v>
      </c>
      <c r="I99" s="1406">
        <f>IF(ISERROR(IF(ROUND(SUM(I$82:I98),3)&gt;=ROUND(I$68,3),0,I$68/I$71)),"NA",IF(ROUND(SUM(I$82:I98),3)&gt;=ROUND(I$68,3),0,I$68/I$71))</f>
        <v>0</v>
      </c>
      <c r="J99" s="1406">
        <f>IF(ISERROR(IF(ROUND(SUM(J$82:J98),3)&gt;=ROUND(J$68,3),0,J$68/J$71)),"NA",IF(ROUND(SUM(J$82:J98),3)&gt;=ROUND(J$68,3),0,J$68/J$71))</f>
        <v>0</v>
      </c>
      <c r="K99" s="1406">
        <f>IF(ISERROR(IF(ROUND(SUM(K$82:K98),3)&gt;=ROUND(K$68,3),0,K$68/K$71)),"NA",IF(ROUND(SUM(K$82:K98),3)&gt;=ROUND(K$68,3),0,K$68/K$71))</f>
        <v>0</v>
      </c>
      <c r="L99" s="1406">
        <f>IF(ISERROR(IF(ROUND(SUM(L$82:L98),3)&gt;=ROUND(L$68,3),0,L$68/L$71)),"NA",IF(ROUND(SUM(L$82:L98),3)&gt;=ROUND(L$68,3),0,L$68/L$71))</f>
        <v>0</v>
      </c>
      <c r="M99" s="1406">
        <f>IF(ISERROR(IF(ROUND(SUM(M$82:M98),3)&gt;=ROUND(M$68,3),0,M$68/M$71)),"NA",IF(ROUND(SUM(M$82:M98),3)&gt;=ROUND(M$68,3),0,M$68/M$71))</f>
        <v>0</v>
      </c>
      <c r="N99" s="1406">
        <f>IF(ISERROR(IF(ROUND(SUM(N$82:N98),3)&gt;=ROUND(N$68,3),0,N$68/N$71)),"NA",IF(ROUND(SUM(N$82:N98),3)&gt;=ROUND(N$68,3),0,N$68/N$71))</f>
        <v>0</v>
      </c>
      <c r="O99" s="1406">
        <f>IF(ISERROR(IF(ROUND(SUM(O$82:O98),3)&gt;=ROUND(O$68,3),0,O$68/O$71)),"NA",IF(ROUND(SUM(O$82:O98),3)&gt;=ROUND(O$68,3),0,O$68/O$71))</f>
        <v>0</v>
      </c>
      <c r="P99" s="1406">
        <f>IF(ISERROR(IF(ROUND(SUM(P$82:P98),3)&gt;=ROUND(P$68,3),0,P$68/P$71)),"NA",IF(ROUND(SUM(P$82:P98),3)&gt;=ROUND(P$68,3),0,P$68/P$71))</f>
        <v>0</v>
      </c>
      <c r="Q99" s="1386">
        <f t="shared" si="43"/>
        <v>0</v>
      </c>
      <c r="R99" s="1386">
        <f t="shared" si="43"/>
        <v>0</v>
      </c>
      <c r="S99" s="1386">
        <f t="shared" si="43"/>
        <v>0</v>
      </c>
      <c r="T99" s="1386">
        <f t="shared" si="43"/>
        <v>0</v>
      </c>
      <c r="U99" s="1386">
        <f t="shared" si="43"/>
        <v>0</v>
      </c>
      <c r="V99" s="1386">
        <f t="shared" si="43"/>
        <v>0</v>
      </c>
      <c r="W99" s="1386">
        <f t="shared" si="43"/>
        <v>0</v>
      </c>
      <c r="AA99"/>
      <c r="AB99"/>
      <c r="AC99"/>
      <c r="AD99"/>
      <c r="AE99"/>
      <c r="AF99"/>
      <c r="AJ99" s="1384"/>
    </row>
    <row r="100" spans="1:36" s="1389" customFormat="1" outlineLevel="1">
      <c r="A100" s="1391"/>
      <c r="B100" s="1316"/>
      <c r="C100" s="1407" t="s">
        <v>669</v>
      </c>
      <c r="D100" s="1407"/>
      <c r="E100" s="1407"/>
      <c r="F100" s="1407"/>
      <c r="G100" s="1407"/>
      <c r="H100" s="1406">
        <f>IF(ISERROR(IF(ROUND(SUM(H$82:H99),3)&gt;=ROUND(H$68,3),0,H$68/H$71)),"NA",IF(ROUND(SUM(H$82:H99),3)&gt;=ROUND(H$68,3),0,H$68/H$71))</f>
        <v>0</v>
      </c>
      <c r="I100" s="1406">
        <f>IF(ISERROR(IF(ROUND(SUM(I$82:I99),3)&gt;=ROUND(I$68,3),0,I$68/I$71)),"NA",IF(ROUND(SUM(I$82:I99),3)&gt;=ROUND(I$68,3),0,I$68/I$71))</f>
        <v>0</v>
      </c>
      <c r="J100" s="1406">
        <f>IF(ISERROR(IF(ROUND(SUM(J$82:J99),3)&gt;=ROUND(J$68,3),0,J$68/J$71)),"NA",IF(ROUND(SUM(J$82:J99),3)&gt;=ROUND(J$68,3),0,J$68/J$71))</f>
        <v>0</v>
      </c>
      <c r="K100" s="1406">
        <f>IF(ISERROR(IF(ROUND(SUM(K$82:K99),3)&gt;=ROUND(K$68,3),0,K$68/K$71)),"NA",IF(ROUND(SUM(K$82:K99),3)&gt;=ROUND(K$68,3),0,K$68/K$71))</f>
        <v>0</v>
      </c>
      <c r="L100" s="1406">
        <f>IF(ISERROR(IF(ROUND(SUM(L$82:L99),3)&gt;=ROUND(L$68,3),0,L$68/L$71)),"NA",IF(ROUND(SUM(L$82:L99),3)&gt;=ROUND(L$68,3),0,L$68/L$71))</f>
        <v>0</v>
      </c>
      <c r="M100" s="1406">
        <f>IF(ISERROR(IF(ROUND(SUM(M$82:M99),3)&gt;=ROUND(M$68,3),0,M$68/M$71)),"NA",IF(ROUND(SUM(M$82:M99),3)&gt;=ROUND(M$68,3),0,M$68/M$71))</f>
        <v>0</v>
      </c>
      <c r="N100" s="1406">
        <f>IF(ISERROR(IF(ROUND(SUM(N$82:N99),3)&gt;=ROUND(N$68,3),0,N$68/N$71)),"NA",IF(ROUND(SUM(N$82:N99),3)&gt;=ROUND(N$68,3),0,N$68/N$71))</f>
        <v>0</v>
      </c>
      <c r="O100" s="1406">
        <f>IF(ISERROR(IF(ROUND(SUM(O$82:O99),3)&gt;=ROUND(O$68,3),0,O$68/O$71)),"NA",IF(ROUND(SUM(O$82:O99),3)&gt;=ROUND(O$68,3),0,O$68/O$71))</f>
        <v>0</v>
      </c>
      <c r="P100" s="1406">
        <f>IF(ISERROR(IF(ROUND(SUM(P$82:P99),3)&gt;=ROUND(P$68,3),0,P$68/P$71)),"NA",IF(ROUND(SUM(P$82:P99),3)&gt;=ROUND(P$68,3),0,P$68/P$71))</f>
        <v>0</v>
      </c>
      <c r="Q100" s="1386">
        <f t="shared" si="43"/>
        <v>0</v>
      </c>
      <c r="R100" s="1386">
        <f t="shared" si="43"/>
        <v>0</v>
      </c>
      <c r="S100" s="1386">
        <f t="shared" si="43"/>
        <v>0</v>
      </c>
      <c r="T100" s="1386">
        <f t="shared" si="43"/>
        <v>0</v>
      </c>
      <c r="U100" s="1386">
        <f t="shared" si="43"/>
        <v>0</v>
      </c>
      <c r="V100" s="1386">
        <f t="shared" si="43"/>
        <v>0</v>
      </c>
      <c r="W100" s="1386">
        <f t="shared" si="43"/>
        <v>0</v>
      </c>
      <c r="AA100"/>
      <c r="AB100"/>
      <c r="AC100"/>
      <c r="AD100"/>
      <c r="AE100"/>
      <c r="AF100"/>
      <c r="AJ100" s="1384"/>
    </row>
    <row r="101" spans="1:36" s="1389" customFormat="1" outlineLevel="1">
      <c r="A101" s="1391"/>
      <c r="B101" s="1316"/>
      <c r="C101" s="1407" t="s">
        <v>670</v>
      </c>
      <c r="D101" s="1407"/>
      <c r="E101" s="1407"/>
      <c r="F101" s="1407"/>
      <c r="G101" s="1407"/>
      <c r="H101" s="1406">
        <f>IF(ISERROR(IF(ROUND(SUM(H$82:H100),3)&gt;=ROUND(H$68,3),0,H$68/H$71)),"NA",IF(ROUND(SUM(H$82:H100),3)&gt;=ROUND(H$68,3),0,H$68/H$71))</f>
        <v>0</v>
      </c>
      <c r="I101" s="1406">
        <f>IF(ISERROR(IF(ROUND(SUM(I$82:I100),3)&gt;=ROUND(I$68,3),0,I$68/I$71)),"NA",IF(ROUND(SUM(I$82:I100),3)&gt;=ROUND(I$68,3),0,I$68/I$71))</f>
        <v>0</v>
      </c>
      <c r="J101" s="1406">
        <f>IF(ISERROR(IF(ROUND(SUM(J$82:J100),3)&gt;=ROUND(J$68,3),0,J$68/J$71)),"NA",IF(ROUND(SUM(J$82:J100),3)&gt;=ROUND(J$68,3),0,J$68/J$71))</f>
        <v>0</v>
      </c>
      <c r="K101" s="1406">
        <f>IF(ISERROR(IF(ROUND(SUM(K$82:K100),3)&gt;=ROUND(K$68,3),0,K$68/K$71)),"NA",IF(ROUND(SUM(K$82:K100),3)&gt;=ROUND(K$68,3),0,K$68/K$71))</f>
        <v>0</v>
      </c>
      <c r="L101" s="1406">
        <f>IF(ISERROR(IF(ROUND(SUM(L$82:L100),3)&gt;=ROUND(L$68,3),0,L$68/L$71)),"NA",IF(ROUND(SUM(L$82:L100),3)&gt;=ROUND(L$68,3),0,L$68/L$71))</f>
        <v>0</v>
      </c>
      <c r="M101" s="1406">
        <f>IF(ISERROR(IF(ROUND(SUM(M$82:M100),3)&gt;=ROUND(M$68,3),0,M$68/M$71)),"NA",IF(ROUND(SUM(M$82:M100),3)&gt;=ROUND(M$68,3),0,M$68/M$71))</f>
        <v>0</v>
      </c>
      <c r="N101" s="1406">
        <f>IF(ISERROR(IF(ROUND(SUM(N$82:N100),3)&gt;=ROUND(N$68,3),0,N$68/N$71)),"NA",IF(ROUND(SUM(N$82:N100),3)&gt;=ROUND(N$68,3),0,N$68/N$71))</f>
        <v>0</v>
      </c>
      <c r="O101" s="1406">
        <f>IF(ISERROR(IF(ROUND(SUM(O$82:O100),3)&gt;=ROUND(O$68,3),0,O$68/O$71)),"NA",IF(ROUND(SUM(O$82:O100),3)&gt;=ROUND(O$68,3),0,O$68/O$71))</f>
        <v>0</v>
      </c>
      <c r="P101" s="1406">
        <f>IF(ISERROR(IF(ROUND(SUM(P$82:P100),3)&gt;=ROUND(P$68,3),0,P$68/P$71)),"NA",IF(ROUND(SUM(P$82:P100),3)&gt;=ROUND(P$68,3),0,P$68/P$71))</f>
        <v>0</v>
      </c>
      <c r="Q101" s="1386">
        <f t="shared" si="43"/>
        <v>0</v>
      </c>
      <c r="R101" s="1386">
        <f t="shared" si="43"/>
        <v>0</v>
      </c>
      <c r="S101" s="1386">
        <f t="shared" si="43"/>
        <v>0</v>
      </c>
      <c r="T101" s="1386">
        <f t="shared" si="43"/>
        <v>0</v>
      </c>
      <c r="U101" s="1386">
        <f t="shared" si="43"/>
        <v>0</v>
      </c>
      <c r="V101" s="1386">
        <f t="shared" si="43"/>
        <v>0</v>
      </c>
      <c r="W101" s="1386">
        <f t="shared" si="43"/>
        <v>0</v>
      </c>
      <c r="AA101"/>
      <c r="AB101"/>
      <c r="AC101"/>
      <c r="AD101"/>
      <c r="AE101"/>
      <c r="AF101"/>
      <c r="AJ101" s="1384"/>
    </row>
    <row r="102" spans="1:36" s="1389" customFormat="1" outlineLevel="1">
      <c r="A102" s="1391"/>
      <c r="B102" s="1316"/>
      <c r="C102" s="1407" t="s">
        <v>671</v>
      </c>
      <c r="D102" s="1407"/>
      <c r="E102" s="1407"/>
      <c r="F102" s="1407"/>
      <c r="G102" s="1407"/>
      <c r="H102" s="1406">
        <f>IF(ISERROR(IF(ROUND(SUM(H$82:H101),3)&gt;=ROUND(H$68,3),0,H$68/H$71)),"NA",IF(ROUND(SUM(H$82:H101),3)&gt;=ROUND(H$68,3),0,H$68/H$71))</f>
        <v>0</v>
      </c>
      <c r="I102" s="1406">
        <f>IF(ISERROR(IF(ROUND(SUM(I$82:I101),3)&gt;=ROUND(I$68,3),0,I$68/I$71)),"NA",IF(ROUND(SUM(I$82:I101),3)&gt;=ROUND(I$68,3),0,I$68/I$71))</f>
        <v>0</v>
      </c>
      <c r="J102" s="1406">
        <f>IF(ISERROR(IF(ROUND(SUM(J$82:J101),3)&gt;=ROUND(J$68,3),0,J$68/J$71)),"NA",IF(ROUND(SUM(J$82:J101),3)&gt;=ROUND(J$68,3),0,J$68/J$71))</f>
        <v>0</v>
      </c>
      <c r="K102" s="1406">
        <f>IF(ISERROR(IF(ROUND(SUM(K$82:K101),3)&gt;=ROUND(K$68,3),0,K$68/K$71)),"NA",IF(ROUND(SUM(K$82:K101),3)&gt;=ROUND(K$68,3),0,K$68/K$71))</f>
        <v>0</v>
      </c>
      <c r="L102" s="1406">
        <f>IF(ISERROR(IF(ROUND(SUM(L$82:L101),3)&gt;=ROUND(L$68,3),0,L$68/L$71)),"NA",IF(ROUND(SUM(L$82:L101),3)&gt;=ROUND(L$68,3),0,L$68/L$71))</f>
        <v>0</v>
      </c>
      <c r="M102" s="1406">
        <f>IF(ISERROR(IF(ROUND(SUM(M$82:M101),3)&gt;=ROUND(M$68,3),0,M$68/M$71)),"NA",IF(ROUND(SUM(M$82:M101),3)&gt;=ROUND(M$68,3),0,M$68/M$71))</f>
        <v>0</v>
      </c>
      <c r="N102" s="1406">
        <f>IF(ISERROR(IF(ROUND(SUM(N$82:N101),3)&gt;=ROUND(N$68,3),0,N$68/N$71)),"NA",IF(ROUND(SUM(N$82:N101),3)&gt;=ROUND(N$68,3),0,N$68/N$71))</f>
        <v>0</v>
      </c>
      <c r="O102" s="1406">
        <f>IF(ISERROR(IF(ROUND(SUM(O$82:O101),3)&gt;=ROUND(O$68,3),0,O$68/O$71)),"NA",IF(ROUND(SUM(O$82:O101),3)&gt;=ROUND(O$68,3),0,O$68/O$71))</f>
        <v>0</v>
      </c>
      <c r="P102" s="1406">
        <f>IF(ISERROR(IF(ROUND(SUM(P$82:P101),3)&gt;=ROUND(P$68,3),0,P$68/P$71)),"NA",IF(ROUND(SUM(P$82:P101),3)&gt;=ROUND(P$68,3),0,P$68/P$71))</f>
        <v>0</v>
      </c>
      <c r="Q102" s="1386">
        <f t="shared" si="43"/>
        <v>0</v>
      </c>
      <c r="R102" s="1386">
        <f t="shared" si="43"/>
        <v>0</v>
      </c>
      <c r="S102" s="1386">
        <f t="shared" si="43"/>
        <v>0</v>
      </c>
      <c r="T102" s="1386">
        <f t="shared" si="43"/>
        <v>0</v>
      </c>
      <c r="U102" s="1386">
        <f t="shared" si="43"/>
        <v>0</v>
      </c>
      <c r="V102" s="1386">
        <f t="shared" si="43"/>
        <v>0</v>
      </c>
      <c r="W102" s="1386">
        <f t="shared" si="43"/>
        <v>0</v>
      </c>
      <c r="AA102"/>
      <c r="AB102"/>
      <c r="AC102"/>
      <c r="AD102"/>
      <c r="AE102"/>
      <c r="AF102"/>
      <c r="AJ102" s="1384"/>
    </row>
    <row r="103" spans="1:36" s="1389" customFormat="1" outlineLevel="1">
      <c r="A103" s="1391"/>
      <c r="B103" s="1316"/>
      <c r="C103" s="1407" t="s">
        <v>672</v>
      </c>
      <c r="D103" s="1407"/>
      <c r="E103" s="1407"/>
      <c r="F103" s="1407"/>
      <c r="G103" s="1407"/>
      <c r="H103" s="1406">
        <f>IF(ISERROR(IF(ROUND(SUM(H$82:H102),3)&gt;=ROUND(H$68,3),0,H$68/H$71)),"NA",IF(ROUND(SUM(H$82:H102),3)&gt;=ROUND(H$68,3),0,H$68/H$71))</f>
        <v>0</v>
      </c>
      <c r="I103" s="1406">
        <f>IF(ISERROR(IF(ROUND(SUM(I$82:I102),3)&gt;=ROUND(I$68,3),0,I$68/I$71)),"NA",IF(ROUND(SUM(I$82:I102),3)&gt;=ROUND(I$68,3),0,I$68/I$71))</f>
        <v>0</v>
      </c>
      <c r="J103" s="1406">
        <f>IF(ISERROR(IF(ROUND(SUM(J$82:J102),3)&gt;=ROUND(J$68,3),0,J$68/J$71)),"NA",IF(ROUND(SUM(J$82:J102),3)&gt;=ROUND(J$68,3),0,J$68/J$71))</f>
        <v>0</v>
      </c>
      <c r="K103" s="1406">
        <f>IF(ISERROR(IF(ROUND(SUM(K$82:K102),3)&gt;=ROUND(K$68,3),0,K$68/K$71)),"NA",IF(ROUND(SUM(K$82:K102),3)&gt;=ROUND(K$68,3),0,K$68/K$71))</f>
        <v>0</v>
      </c>
      <c r="L103" s="1406">
        <f>IF(ISERROR(IF(ROUND(SUM(L$82:L102),3)&gt;=ROUND(L$68,3),0,L$68/L$71)),"NA",IF(ROUND(SUM(L$82:L102),3)&gt;=ROUND(L$68,3),0,L$68/L$71))</f>
        <v>0</v>
      </c>
      <c r="M103" s="1406">
        <f>IF(ISERROR(IF(ROUND(SUM(M$82:M102),3)&gt;=ROUND(M$68,3),0,M$68/M$71)),"NA",IF(ROUND(SUM(M$82:M102),3)&gt;=ROUND(M$68,3),0,M$68/M$71))</f>
        <v>0</v>
      </c>
      <c r="N103" s="1406">
        <f>IF(ISERROR(IF(ROUND(SUM(N$82:N102),3)&gt;=ROUND(N$68,3),0,N$68/N$71)),"NA",IF(ROUND(SUM(N$82:N102),3)&gt;=ROUND(N$68,3),0,N$68/N$71))</f>
        <v>0</v>
      </c>
      <c r="O103" s="1406">
        <f>IF(ISERROR(IF(ROUND(SUM(O$82:O102),3)&gt;=ROUND(O$68,3),0,O$68/O$71)),"NA",IF(ROUND(SUM(O$82:O102),3)&gt;=ROUND(O$68,3),0,O$68/O$71))</f>
        <v>0</v>
      </c>
      <c r="P103" s="1406">
        <f>IF(ISERROR(IF(ROUND(SUM(P$82:P102),3)&gt;=ROUND(P$68,3),0,P$68/P$71)),"NA",IF(ROUND(SUM(P$82:P102),3)&gt;=ROUND(P$68,3),0,P$68/P$71))</f>
        <v>0</v>
      </c>
      <c r="Q103" s="1386">
        <f t="shared" si="43"/>
        <v>0</v>
      </c>
      <c r="R103" s="1386">
        <f t="shared" si="43"/>
        <v>0</v>
      </c>
      <c r="S103" s="1386">
        <f t="shared" si="43"/>
        <v>0</v>
      </c>
      <c r="T103" s="1386">
        <f t="shared" si="43"/>
        <v>0</v>
      </c>
      <c r="U103" s="1386">
        <f t="shared" si="43"/>
        <v>0</v>
      </c>
      <c r="V103" s="1386">
        <f t="shared" si="43"/>
        <v>0</v>
      </c>
      <c r="W103" s="1386">
        <f t="shared" si="43"/>
        <v>0</v>
      </c>
      <c r="AA103"/>
      <c r="AB103"/>
      <c r="AC103"/>
      <c r="AD103"/>
      <c r="AE103"/>
      <c r="AF103"/>
      <c r="AJ103" s="1384"/>
    </row>
    <row r="104" spans="1:36" s="1389" customFormat="1" outlineLevel="1">
      <c r="A104" s="1391"/>
      <c r="B104" s="1316"/>
      <c r="C104" s="1407" t="s">
        <v>673</v>
      </c>
      <c r="D104" s="1407"/>
      <c r="E104" s="1407"/>
      <c r="F104" s="1407"/>
      <c r="G104" s="1407"/>
      <c r="H104" s="1406">
        <f>IF(ISERROR(IF(ROUND(SUM(H$82:H103),3)&gt;=ROUND(H$68,3),0,H$68/H$71)),"NA",IF(ROUND(SUM(H$82:H103),3)&gt;=ROUND(H$68,3),0,H$68/H$71))</f>
        <v>0</v>
      </c>
      <c r="I104" s="1406">
        <f>IF(ISERROR(IF(ROUND(SUM(I$82:I103),3)&gt;=ROUND(I$68,3),0,I$68/I$71)),"NA",IF(ROUND(SUM(I$82:I103),3)&gt;=ROUND(I$68,3),0,I$68/I$71))</f>
        <v>0</v>
      </c>
      <c r="J104" s="1406">
        <f>IF(ISERROR(IF(ROUND(SUM(J$82:J103),3)&gt;=ROUND(J$68,3),0,J$68/J$71)),"NA",IF(ROUND(SUM(J$82:J103),3)&gt;=ROUND(J$68,3),0,J$68/J$71))</f>
        <v>0</v>
      </c>
      <c r="K104" s="1406">
        <f>IF(ISERROR(IF(ROUND(SUM(K$82:K103),3)&gt;=ROUND(K$68,3),0,K$68/K$71)),"NA",IF(ROUND(SUM(K$82:K103),3)&gt;=ROUND(K$68,3),0,K$68/K$71))</f>
        <v>0</v>
      </c>
      <c r="L104" s="1406">
        <f>IF(ISERROR(IF(ROUND(SUM(L$82:L103),3)&gt;=ROUND(L$68,3),0,L$68/L$71)),"NA",IF(ROUND(SUM(L$82:L103),3)&gt;=ROUND(L$68,3),0,L$68/L$71))</f>
        <v>0</v>
      </c>
      <c r="M104" s="1406">
        <f>IF(ISERROR(IF(ROUND(SUM(M$82:M103),3)&gt;=ROUND(M$68,3),0,M$68/M$71)),"NA",IF(ROUND(SUM(M$82:M103),3)&gt;=ROUND(M$68,3),0,M$68/M$71))</f>
        <v>0</v>
      </c>
      <c r="N104" s="1406">
        <f>IF(ISERROR(IF(ROUND(SUM(N$82:N103),3)&gt;=ROUND(N$68,3),0,N$68/N$71)),"NA",IF(ROUND(SUM(N$82:N103),3)&gt;=ROUND(N$68,3),0,N$68/N$71))</f>
        <v>0</v>
      </c>
      <c r="O104" s="1406">
        <f>IF(ISERROR(IF(ROUND(SUM(O$82:O103),3)&gt;=ROUND(O$68,3),0,O$68/O$71)),"NA",IF(ROUND(SUM(O$82:O103),3)&gt;=ROUND(O$68,3),0,O$68/O$71))</f>
        <v>0</v>
      </c>
      <c r="P104" s="1406">
        <f>IF(ISERROR(IF(ROUND(SUM(P$82:P103),3)&gt;=ROUND(P$68,3),0,P$68/P$71)),"NA",IF(ROUND(SUM(P$82:P103),3)&gt;=ROUND(P$68,3),0,P$68/P$71))</f>
        <v>0</v>
      </c>
      <c r="Q104" s="1386">
        <f t="shared" si="43"/>
        <v>0</v>
      </c>
      <c r="R104" s="1386">
        <f t="shared" si="43"/>
        <v>0</v>
      </c>
      <c r="S104" s="1386">
        <f t="shared" si="43"/>
        <v>0</v>
      </c>
      <c r="T104" s="1386">
        <f t="shared" si="43"/>
        <v>0</v>
      </c>
      <c r="U104" s="1386">
        <f t="shared" si="43"/>
        <v>0</v>
      </c>
      <c r="V104" s="1386">
        <f t="shared" si="43"/>
        <v>0</v>
      </c>
      <c r="W104" s="1386">
        <f t="shared" si="43"/>
        <v>0</v>
      </c>
      <c r="AA104"/>
      <c r="AB104"/>
      <c r="AC104"/>
      <c r="AD104"/>
      <c r="AE104"/>
      <c r="AF104"/>
      <c r="AJ104" s="1384"/>
    </row>
    <row r="105" spans="1:36" s="1389" customFormat="1" outlineLevel="1">
      <c r="A105" s="1391"/>
      <c r="B105" s="1316"/>
      <c r="C105" s="1407" t="s">
        <v>674</v>
      </c>
      <c r="D105" s="1407"/>
      <c r="E105" s="1407"/>
      <c r="F105" s="1407"/>
      <c r="G105" s="1407"/>
      <c r="H105" s="1406">
        <f>IF(ISERROR(IF(ROUND(SUM(H$82:H104),3)&gt;=ROUND(H$68,3),0,H$68/H$71)),"NA",IF(ROUND(SUM(H$82:H104),3)&gt;=ROUND(H$68,3),0,H$68/H$71))</f>
        <v>0</v>
      </c>
      <c r="I105" s="1406">
        <f>IF(ISERROR(IF(ROUND(SUM(I$82:I104),3)&gt;=ROUND(I$68,3),0,I$68/I$71)),"NA",IF(ROUND(SUM(I$82:I104),3)&gt;=ROUND(I$68,3),0,I$68/I$71))</f>
        <v>0</v>
      </c>
      <c r="J105" s="1406">
        <f>IF(ISERROR(IF(ROUND(SUM(J$82:J104),3)&gt;=ROUND(J$68,3),0,J$68/J$71)),"NA",IF(ROUND(SUM(J$82:J104),3)&gt;=ROUND(J$68,3),0,J$68/J$71))</f>
        <v>0</v>
      </c>
      <c r="K105" s="1406">
        <f>IF(ISERROR(IF(ROUND(SUM(K$82:K104),3)&gt;=ROUND(K$68,3),0,K$68/K$71)),"NA",IF(ROUND(SUM(K$82:K104),3)&gt;=ROUND(K$68,3),0,K$68/K$71))</f>
        <v>0</v>
      </c>
      <c r="L105" s="1406">
        <f>IF(ISERROR(IF(ROUND(SUM(L$82:L104),3)&gt;=ROUND(L$68,3),0,L$68/L$71)),"NA",IF(ROUND(SUM(L$82:L104),3)&gt;=ROUND(L$68,3),0,L$68/L$71))</f>
        <v>0</v>
      </c>
      <c r="M105" s="1406">
        <f>IF(ISERROR(IF(ROUND(SUM(M$82:M104),3)&gt;=ROUND(M$68,3),0,M$68/M$71)),"NA",IF(ROUND(SUM(M$82:M104),3)&gt;=ROUND(M$68,3),0,M$68/M$71))</f>
        <v>0</v>
      </c>
      <c r="N105" s="1406">
        <f>IF(ISERROR(IF(ROUND(SUM(N$82:N104),3)&gt;=ROUND(N$68,3),0,N$68/N$71)),"NA",IF(ROUND(SUM(N$82:N104),3)&gt;=ROUND(N$68,3),0,N$68/N$71))</f>
        <v>0</v>
      </c>
      <c r="O105" s="1406">
        <f>IF(ISERROR(IF(ROUND(SUM(O$82:O104),3)&gt;=ROUND(O$68,3),0,O$68/O$71)),"NA",IF(ROUND(SUM(O$82:O104),3)&gt;=ROUND(O$68,3),0,O$68/O$71))</f>
        <v>0</v>
      </c>
      <c r="P105" s="1406">
        <f>IF(ISERROR(IF(ROUND(SUM(P$82:P104),3)&gt;=ROUND(P$68,3),0,P$68/P$71)),"NA",IF(ROUND(SUM(P$82:P104),3)&gt;=ROUND(P$68,3),0,P$68/P$71))</f>
        <v>0</v>
      </c>
      <c r="Q105" s="1386">
        <f t="shared" si="43"/>
        <v>0</v>
      </c>
      <c r="R105" s="1386">
        <f t="shared" si="43"/>
        <v>0</v>
      </c>
      <c r="S105" s="1386">
        <f t="shared" si="43"/>
        <v>0</v>
      </c>
      <c r="T105" s="1386">
        <f t="shared" si="43"/>
        <v>0</v>
      </c>
      <c r="U105" s="1386">
        <f t="shared" si="43"/>
        <v>0</v>
      </c>
      <c r="V105" s="1386">
        <f t="shared" si="43"/>
        <v>0</v>
      </c>
      <c r="W105" s="1386">
        <f t="shared" si="43"/>
        <v>0</v>
      </c>
      <c r="AA105"/>
      <c r="AB105"/>
      <c r="AC105"/>
      <c r="AD105"/>
      <c r="AE105"/>
      <c r="AF105"/>
      <c r="AJ105" s="1384"/>
    </row>
    <row r="106" spans="1:36" s="1389" customFormat="1" outlineLevel="1">
      <c r="A106" s="1391"/>
      <c r="B106" s="1316"/>
      <c r="C106" s="1407" t="s">
        <v>675</v>
      </c>
      <c r="D106" s="1407"/>
      <c r="E106" s="1407"/>
      <c r="F106" s="1407"/>
      <c r="G106" s="1407"/>
      <c r="H106" s="1406">
        <f>IF(ISERROR(IF(ROUND(SUM(H$82:H105),3)&gt;=ROUND(H$68,3),0,H$68/H$71)),"NA",IF(ROUND(SUM(H$82:H105),3)&gt;=ROUND(H$68,3),0,H$68/H$71))</f>
        <v>0</v>
      </c>
      <c r="I106" s="1406">
        <f>IF(ISERROR(IF(ROUND(SUM(I$82:I105),3)&gt;=ROUND(I$68,3),0,I$68/I$71)),"NA",IF(ROUND(SUM(I$82:I105),3)&gt;=ROUND(I$68,3),0,I$68/I$71))</f>
        <v>0</v>
      </c>
      <c r="J106" s="1406">
        <f>IF(ISERROR(IF(ROUND(SUM(J$82:J105),3)&gt;=ROUND(J$68,3),0,J$68/J$71)),"NA",IF(ROUND(SUM(J$82:J105),3)&gt;=ROUND(J$68,3),0,J$68/J$71))</f>
        <v>0</v>
      </c>
      <c r="K106" s="1406">
        <f>IF(ISERROR(IF(ROUND(SUM(K$82:K105),3)&gt;=ROUND(K$68,3),0,K$68/K$71)),"NA",IF(ROUND(SUM(K$82:K105),3)&gt;=ROUND(K$68,3),0,K$68/K$71))</f>
        <v>0</v>
      </c>
      <c r="L106" s="1406">
        <f>IF(ISERROR(IF(ROUND(SUM(L$82:L105),3)&gt;=ROUND(L$68,3),0,L$68/L$71)),"NA",IF(ROUND(SUM(L$82:L105),3)&gt;=ROUND(L$68,3),0,L$68/L$71))</f>
        <v>0</v>
      </c>
      <c r="M106" s="1406">
        <f>IF(ISERROR(IF(ROUND(SUM(M$82:M105),3)&gt;=ROUND(M$68,3),0,M$68/M$71)),"NA",IF(ROUND(SUM(M$82:M105),3)&gt;=ROUND(M$68,3),0,M$68/M$71))</f>
        <v>0</v>
      </c>
      <c r="N106" s="1406">
        <f>IF(ISERROR(IF(ROUND(SUM(N$82:N105),3)&gt;=ROUND(N$68,3),0,N$68/N$71)),"NA",IF(ROUND(SUM(N$82:N105),3)&gt;=ROUND(N$68,3),0,N$68/N$71))</f>
        <v>0</v>
      </c>
      <c r="O106" s="1406">
        <f>IF(ISERROR(IF(ROUND(SUM(O$82:O105),3)&gt;=ROUND(O$68,3),0,O$68/O$71)),"NA",IF(ROUND(SUM(O$82:O105),3)&gt;=ROUND(O$68,3),0,O$68/O$71))</f>
        <v>0</v>
      </c>
      <c r="P106" s="1406">
        <f>IF(ISERROR(IF(ROUND(SUM(P$82:P105),3)&gt;=ROUND(P$68,3),0,P$68/P$71)),"NA",IF(ROUND(SUM(P$82:P105),3)&gt;=ROUND(P$68,3),0,P$68/P$71))</f>
        <v>0</v>
      </c>
      <c r="Q106" s="1386">
        <f t="shared" ref="Q106:W106" si="44">P106*(1+Q$64)</f>
        <v>0</v>
      </c>
      <c r="R106" s="1386">
        <f t="shared" si="44"/>
        <v>0</v>
      </c>
      <c r="S106" s="1386">
        <f t="shared" si="44"/>
        <v>0</v>
      </c>
      <c r="T106" s="1386">
        <f t="shared" si="44"/>
        <v>0</v>
      </c>
      <c r="U106" s="1386">
        <f t="shared" si="44"/>
        <v>0</v>
      </c>
      <c r="V106" s="1386">
        <f t="shared" si="44"/>
        <v>0</v>
      </c>
      <c r="W106" s="1386">
        <f t="shared" si="44"/>
        <v>0</v>
      </c>
      <c r="AA106"/>
      <c r="AB106"/>
      <c r="AC106"/>
      <c r="AD106"/>
      <c r="AE106"/>
      <c r="AF106"/>
      <c r="AJ106" s="1384"/>
    </row>
    <row r="107" spans="1:36" s="1389" customFormat="1" ht="11.25" customHeight="1">
      <c r="A107" s="1391"/>
      <c r="B107" s="1402"/>
      <c r="C107" s="1403" t="s">
        <v>676</v>
      </c>
      <c r="D107" s="1403"/>
      <c r="E107" s="1403"/>
      <c r="F107" s="1403"/>
      <c r="G107" s="1403"/>
      <c r="H107" s="1405"/>
      <c r="I107" s="1405"/>
      <c r="J107" s="1405"/>
      <c r="K107" s="1405"/>
      <c r="L107" s="1405"/>
      <c r="M107" s="1405"/>
      <c r="N107" s="1405"/>
      <c r="O107" s="1405"/>
      <c r="P107" s="1405"/>
      <c r="AA107"/>
      <c r="AB107"/>
      <c r="AC107"/>
      <c r="AD107"/>
      <c r="AE107"/>
      <c r="AF107"/>
      <c r="AJ107" s="1384"/>
    </row>
    <row r="108" spans="1:36" s="1383" customFormat="1" ht="11.25" customHeight="1">
      <c r="A108" s="1388"/>
      <c r="B108" s="1404"/>
      <c r="C108" s="1403"/>
      <c r="D108" s="1403"/>
      <c r="E108" s="1403"/>
      <c r="F108" s="1403"/>
      <c r="G108" s="1403"/>
      <c r="AA108"/>
      <c r="AB108"/>
      <c r="AC108"/>
      <c r="AD108"/>
      <c r="AE108"/>
      <c r="AF108"/>
      <c r="AJ108" s="1384"/>
    </row>
    <row r="109" spans="1:36" s="1389" customFormat="1" outlineLevel="1">
      <c r="A109" s="1391"/>
      <c r="B109" s="1402"/>
      <c r="C109" s="1401"/>
      <c r="D109" s="1401"/>
      <c r="E109" s="1401"/>
      <c r="F109" s="1401"/>
      <c r="G109" s="1401"/>
      <c r="H109" s="1400"/>
      <c r="I109" s="1386"/>
      <c r="J109" s="1386"/>
      <c r="K109" s="1386"/>
      <c r="L109" s="1386"/>
      <c r="M109" s="1386"/>
      <c r="N109" s="1386"/>
      <c r="O109" s="1386"/>
      <c r="P109" s="1386"/>
      <c r="Q109" s="1386"/>
      <c r="R109" s="1386"/>
      <c r="S109" s="1386"/>
      <c r="T109" s="1386"/>
      <c r="U109" s="1386"/>
      <c r="V109" s="1386"/>
      <c r="W109" s="1386"/>
      <c r="AA109"/>
      <c r="AB109"/>
      <c r="AC109"/>
      <c r="AD109"/>
      <c r="AE109"/>
      <c r="AF109"/>
      <c r="AJ109" s="1384"/>
    </row>
    <row r="110" spans="1:36" s="1389" customFormat="1" ht="12.75" customHeight="1" outlineLevel="1">
      <c r="A110" s="1391"/>
      <c r="B110" s="1399" t="s">
        <v>650</v>
      </c>
      <c r="C110" s="1372" t="s">
        <v>677</v>
      </c>
      <c r="D110" s="1372"/>
      <c r="E110" s="1372"/>
      <c r="F110" s="1372"/>
      <c r="G110" s="1372"/>
      <c r="H110" s="1378">
        <f t="shared" ref="H110:W110" si="45">H74</f>
        <v>39841</v>
      </c>
      <c r="I110" s="1378">
        <f t="shared" si="45"/>
        <v>40206</v>
      </c>
      <c r="J110" s="1378">
        <f t="shared" si="45"/>
        <v>40571</v>
      </c>
      <c r="K110" s="1378">
        <f t="shared" si="45"/>
        <v>40936</v>
      </c>
      <c r="L110" s="1378">
        <f t="shared" si="45"/>
        <v>41302</v>
      </c>
      <c r="M110" s="1378">
        <f t="shared" si="45"/>
        <v>41667</v>
      </c>
      <c r="N110" s="1378">
        <f t="shared" si="45"/>
        <v>42032</v>
      </c>
      <c r="O110" s="1378">
        <f t="shared" si="45"/>
        <v>42397</v>
      </c>
      <c r="P110" s="1378">
        <f t="shared" si="45"/>
        <v>42763</v>
      </c>
      <c r="Q110" s="1378">
        <f t="shared" si="45"/>
        <v>43128</v>
      </c>
      <c r="R110" s="1378">
        <f t="shared" si="45"/>
        <v>43493</v>
      </c>
      <c r="S110" s="1378">
        <f t="shared" si="45"/>
        <v>43858</v>
      </c>
      <c r="T110" s="1378">
        <f t="shared" si="45"/>
        <v>44224</v>
      </c>
      <c r="U110" s="1378">
        <f t="shared" si="45"/>
        <v>44589</v>
      </c>
      <c r="V110" s="1378">
        <f t="shared" si="45"/>
        <v>44954</v>
      </c>
      <c r="W110" s="1378">
        <f t="shared" si="45"/>
        <v>45319</v>
      </c>
      <c r="AA110"/>
      <c r="AB110"/>
      <c r="AC110"/>
      <c r="AD110"/>
      <c r="AE110"/>
      <c r="AF110"/>
      <c r="AJ110" s="1384"/>
    </row>
    <row r="111" spans="1:36" s="1389" customFormat="1" ht="12.75" customHeight="1" outlineLevel="1">
      <c r="A111" s="1391"/>
      <c r="B111" s="1399"/>
      <c r="C111" s="1372"/>
      <c r="D111" s="1372"/>
      <c r="E111" s="1372"/>
      <c r="F111" s="1372"/>
      <c r="G111" s="1372"/>
      <c r="H111" s="1398"/>
      <c r="I111" s="1398"/>
      <c r="J111" s="1398"/>
      <c r="K111" s="1398"/>
      <c r="L111" s="1398"/>
      <c r="M111" s="1398"/>
      <c r="N111" s="1398"/>
      <c r="O111" s="1398"/>
      <c r="P111" s="1397"/>
      <c r="Q111" s="1397"/>
      <c r="R111" s="1397"/>
      <c r="S111" s="1397"/>
      <c r="T111" s="1397"/>
      <c r="U111" s="1397"/>
      <c r="V111" s="1397"/>
      <c r="W111" s="1397"/>
      <c r="AA111"/>
      <c r="AB111"/>
      <c r="AC111"/>
      <c r="AD111"/>
      <c r="AE111"/>
      <c r="AF111"/>
      <c r="AJ111" s="1384"/>
    </row>
    <row r="112" spans="1:36" s="1389" customFormat="1" ht="11.25" customHeight="1" outlineLevel="1">
      <c r="A112" s="1391"/>
      <c r="B112" s="1396">
        <v>1</v>
      </c>
      <c r="C112" s="1315" t="s">
        <v>678</v>
      </c>
      <c r="D112" s="1315"/>
      <c r="E112" s="1315"/>
      <c r="F112" s="1315"/>
      <c r="G112" s="1315"/>
      <c r="H112" s="1392">
        <f t="shared" ref="H112:H141" si="46">IF(ISERROR(H76/(POWER((1+$H$44),B112))),"NA",H76/(POWER((1+$H$44),B112)))</f>
        <v>143.38575393154488</v>
      </c>
      <c r="I112" s="1392">
        <f t="shared" ref="I112:W112" si="47">IF(ISERROR((I76-H77)/(POWER((1+I$45),$B112))),"NA",(I76-H77)/(POWER((1+I$45),$B112)))</f>
        <v>32.941176470588232</v>
      </c>
      <c r="J112" s="1392">
        <f t="shared" si="47"/>
        <v>42.015686274509797</v>
      </c>
      <c r="K112" s="1392">
        <f t="shared" si="47"/>
        <v>50.299019607843142</v>
      </c>
      <c r="L112" s="1392">
        <f t="shared" si="47"/>
        <v>61.606862745098034</v>
      </c>
      <c r="M112" s="1392">
        <f t="shared" si="47"/>
        <v>64.696078431372555</v>
      </c>
      <c r="N112" s="1392">
        <f t="shared" si="47"/>
        <v>71.595098039215671</v>
      </c>
      <c r="O112" s="1392">
        <f t="shared" si="47"/>
        <v>70.407293785670987</v>
      </c>
      <c r="P112" s="1392">
        <f t="shared" si="47"/>
        <v>262.39392909011269</v>
      </c>
      <c r="Q112" s="1392">
        <f t="shared" si="47"/>
        <v>82.8089831485281</v>
      </c>
      <c r="R112" s="1392">
        <f t="shared" si="47"/>
        <v>84.465162811498658</v>
      </c>
      <c r="S112" s="1392">
        <f t="shared" si="47"/>
        <v>86.15446606772862</v>
      </c>
      <c r="T112" s="1392">
        <f t="shared" si="47"/>
        <v>87.877555389083213</v>
      </c>
      <c r="U112" s="1392">
        <f t="shared" si="47"/>
        <v>89.635106496864893</v>
      </c>
      <c r="V112" s="1392">
        <f t="shared" si="47"/>
        <v>91.427808626802218</v>
      </c>
      <c r="W112" s="1392">
        <f t="shared" si="47"/>
        <v>93.256364799338272</v>
      </c>
      <c r="AA112"/>
      <c r="AB112"/>
      <c r="AC112"/>
      <c r="AD112"/>
      <c r="AE112"/>
      <c r="AF112"/>
      <c r="AJ112" s="1384"/>
    </row>
    <row r="113" spans="1:36" s="1393" customFormat="1" ht="11.25" customHeight="1" outlineLevel="1">
      <c r="A113" s="1395"/>
      <c r="B113" s="1316">
        <v>2</v>
      </c>
      <c r="C113" s="1315" t="str">
        <f t="shared" ref="C113:C141" si="48">"PV of Increase in forecast year "&amp;B112&amp;" lease commitments"</f>
        <v>PV of Increase in forecast year 1 lease commitments</v>
      </c>
      <c r="D113" s="1315"/>
      <c r="E113" s="1315"/>
      <c r="F113" s="1315"/>
      <c r="G113" s="1315"/>
      <c r="H113" s="1392">
        <f t="shared" si="46"/>
        <v>109.53642984833483</v>
      </c>
      <c r="I113" s="1392">
        <f t="shared" ref="I113:W113" si="49">IF(ISERROR((I77-H78)/(POWER((1+I$45),$B113))),"NA",(I77-H78)/(POWER((1+I$45),$B113)))</f>
        <v>6.9627066512879656</v>
      </c>
      <c r="J113" s="1392">
        <f t="shared" si="49"/>
        <v>12.477893118031526</v>
      </c>
      <c r="K113" s="1392">
        <f t="shared" si="49"/>
        <v>23.494809688581316</v>
      </c>
      <c r="L113" s="1392">
        <f t="shared" si="49"/>
        <v>33.675509419454059</v>
      </c>
      <c r="M113" s="1392">
        <f t="shared" si="49"/>
        <v>20.551710880430608</v>
      </c>
      <c r="N113" s="1392">
        <f t="shared" si="49"/>
        <v>20.840061514802017</v>
      </c>
      <c r="O113" s="1392">
        <f t="shared" si="49"/>
        <v>-171.71152425329518</v>
      </c>
      <c r="P113" s="1392">
        <f t="shared" si="49"/>
        <v>180.62946387901238</v>
      </c>
      <c r="Q113" s="1392">
        <f t="shared" si="49"/>
        <v>29.493064716461436</v>
      </c>
      <c r="R113" s="1392">
        <f t="shared" si="49"/>
        <v>30.082926010790672</v>
      </c>
      <c r="S113" s="1392">
        <f t="shared" si="49"/>
        <v>30.684584531006482</v>
      </c>
      <c r="T113" s="1392">
        <f t="shared" si="49"/>
        <v>31.298276221626633</v>
      </c>
      <c r="U113" s="1392">
        <f t="shared" si="49"/>
        <v>31.92424174605916</v>
      </c>
      <c r="V113" s="1392">
        <f t="shared" si="49"/>
        <v>32.562726580980353</v>
      </c>
      <c r="W113" s="1392">
        <f t="shared" si="49"/>
        <v>33.213981112599974</v>
      </c>
      <c r="AA113"/>
      <c r="AB113"/>
      <c r="AC113"/>
      <c r="AD113"/>
      <c r="AE113"/>
      <c r="AF113"/>
      <c r="AJ113" s="1394"/>
    </row>
    <row r="114" spans="1:36" s="1393" customFormat="1" ht="11.25" customHeight="1" outlineLevel="1">
      <c r="A114" s="1395"/>
      <c r="B114" s="1316">
        <v>3</v>
      </c>
      <c r="C114" s="1315" t="str">
        <f t="shared" si="48"/>
        <v>PV of Increase in forecast year 2 lease commitments</v>
      </c>
      <c r="D114" s="1315"/>
      <c r="E114" s="1315"/>
      <c r="F114" s="1315"/>
      <c r="G114" s="1315"/>
      <c r="H114" s="1392">
        <f t="shared" si="46"/>
        <v>96.579009897496903</v>
      </c>
      <c r="I114" s="1392">
        <f t="shared" ref="I114:W114" si="50">IF(ISERROR((I78-H79)/(POWER((1+I$45),$B114))),"NA",(I78-H79)/(POWER((1+I$45),$B114)))</f>
        <v>6.7969709990878266</v>
      </c>
      <c r="J114" s="1392">
        <f t="shared" si="50"/>
        <v>11.002555578171295</v>
      </c>
      <c r="K114" s="1392">
        <f t="shared" si="50"/>
        <v>23.507172957610557</v>
      </c>
      <c r="L114" s="1392">
        <f t="shared" si="50"/>
        <v>37.441293318557712</v>
      </c>
      <c r="M114" s="1392">
        <f t="shared" si="50"/>
        <v>24.662460139765248</v>
      </c>
      <c r="N114" s="1392">
        <f t="shared" si="50"/>
        <v>23.148148148148149</v>
      </c>
      <c r="O114" s="1392">
        <f t="shared" si="50"/>
        <v>-138.60786697766031</v>
      </c>
      <c r="P114" s="1392">
        <f t="shared" si="50"/>
        <v>151.22977690698866</v>
      </c>
      <c r="Q114" s="1392">
        <f t="shared" si="50"/>
        <v>22.498223428190197</v>
      </c>
      <c r="R114" s="1392">
        <f t="shared" si="50"/>
        <v>22.948187896754025</v>
      </c>
      <c r="S114" s="1392">
        <f t="shared" si="50"/>
        <v>23.407151654689081</v>
      </c>
      <c r="T114" s="1392">
        <f t="shared" si="50"/>
        <v>23.875294687782869</v>
      </c>
      <c r="U114" s="1392">
        <f t="shared" si="50"/>
        <v>24.352800581538517</v>
      </c>
      <c r="V114" s="1392">
        <f t="shared" si="50"/>
        <v>24.839856593169291</v>
      </c>
      <c r="W114" s="1392">
        <f t="shared" si="50"/>
        <v>25.336653725032658</v>
      </c>
      <c r="AA114"/>
      <c r="AB114"/>
      <c r="AC114"/>
      <c r="AD114"/>
      <c r="AE114"/>
      <c r="AF114"/>
      <c r="AJ114" s="1394"/>
    </row>
    <row r="115" spans="1:36" s="1393" customFormat="1" outlineLevel="1">
      <c r="A115" s="1395"/>
      <c r="B115" s="1316">
        <v>4</v>
      </c>
      <c r="C115" s="1315" t="str">
        <f t="shared" si="48"/>
        <v>PV of Increase in forecast year 3 lease commitments</v>
      </c>
      <c r="D115" s="1315"/>
      <c r="E115" s="1315"/>
      <c r="F115" s="1315"/>
      <c r="G115" s="1315"/>
      <c r="H115" s="1392">
        <f t="shared" si="46"/>
        <v>82.751460536063675</v>
      </c>
      <c r="I115" s="1392">
        <f t="shared" ref="I115:W115" si="51">IF(ISERROR((I79-H80)/(POWER((1+I$45),$B115))),"NA",(I79-H80)/(POWER((1+I$45),$B115)))</f>
        <v>6.5047956446526838</v>
      </c>
      <c r="J115" s="1392">
        <f t="shared" si="51"/>
        <v>9.9378052477672174</v>
      </c>
      <c r="K115" s="1392">
        <f t="shared" si="51"/>
        <v>22.151965625263767</v>
      </c>
      <c r="L115" s="1392">
        <f t="shared" si="51"/>
        <v>35.840583302698619</v>
      </c>
      <c r="M115" s="1392">
        <f t="shared" si="51"/>
        <v>25.257933947564915</v>
      </c>
      <c r="N115" s="1392">
        <f t="shared" si="51"/>
        <v>23.862927354264848</v>
      </c>
      <c r="O115" s="1392">
        <f t="shared" si="51"/>
        <v>-109.83360086086067</v>
      </c>
      <c r="P115" s="1392">
        <f t="shared" si="51"/>
        <v>128.75982727127308</v>
      </c>
      <c r="Q115" s="1392">
        <f t="shared" si="51"/>
        <v>14.989661438740583</v>
      </c>
      <c r="R115" s="1392">
        <f t="shared" si="51"/>
        <v>15.289454667515422</v>
      </c>
      <c r="S115" s="1392">
        <f t="shared" si="51"/>
        <v>15.595243760865737</v>
      </c>
      <c r="T115" s="1392">
        <f t="shared" si="51"/>
        <v>15.907148636083061</v>
      </c>
      <c r="U115" s="1392">
        <f t="shared" si="51"/>
        <v>16.225291608804724</v>
      </c>
      <c r="V115" s="1392">
        <f t="shared" si="51"/>
        <v>16.549797440980822</v>
      </c>
      <c r="W115" s="1392">
        <f t="shared" si="51"/>
        <v>16.880793389800434</v>
      </c>
      <c r="AA115"/>
      <c r="AB115"/>
      <c r="AC115"/>
      <c r="AD115"/>
      <c r="AE115"/>
      <c r="AF115"/>
      <c r="AJ115" s="1394"/>
    </row>
    <row r="116" spans="1:36" s="1389" customFormat="1" outlineLevel="1">
      <c r="A116" s="1391"/>
      <c r="B116" s="1316">
        <v>5</v>
      </c>
      <c r="C116" s="1315" t="str">
        <f t="shared" si="48"/>
        <v>PV of Increase in forecast year 4 lease commitments</v>
      </c>
      <c r="D116" s="1315"/>
      <c r="E116" s="1315"/>
      <c r="F116" s="1315"/>
      <c r="G116" s="1315"/>
      <c r="H116" s="1392">
        <f t="shared" si="46"/>
        <v>67.744108238081481</v>
      </c>
      <c r="I116" s="1392">
        <f t="shared" ref="I116:W116" si="52">IF(ISERROR((I80-H81)/(POWER((1+I$45),$B116))),"NA",(I80-H81)/(POWER((1+I$45),$B116)))</f>
        <v>6.5855687182733194</v>
      </c>
      <c r="J116" s="1392">
        <f t="shared" si="52"/>
        <v>9.2167167208292256</v>
      </c>
      <c r="K116" s="1392">
        <f t="shared" si="52"/>
        <v>21.10715079227635</v>
      </c>
      <c r="L116" s="1392">
        <f t="shared" si="52"/>
        <v>34.825349637960258</v>
      </c>
      <c r="M116" s="1392">
        <f t="shared" si="52"/>
        <v>25.566063569069041</v>
      </c>
      <c r="N116" s="1392">
        <f t="shared" si="52"/>
        <v>23.761847795887842</v>
      </c>
      <c r="O116" s="1392">
        <f t="shared" si="52"/>
        <v>-93.365033143275738</v>
      </c>
      <c r="P116" s="1392">
        <f t="shared" si="52"/>
        <v>113.69950378311123</v>
      </c>
      <c r="Q116" s="1392">
        <f t="shared" si="52"/>
        <v>18.646276511650161</v>
      </c>
      <c r="R116" s="1392">
        <f t="shared" si="52"/>
        <v>19.019202041883162</v>
      </c>
      <c r="S116" s="1392">
        <f t="shared" si="52"/>
        <v>19.399586082720816</v>
      </c>
      <c r="T116" s="1392">
        <f t="shared" si="52"/>
        <v>19.787577804375221</v>
      </c>
      <c r="U116" s="1392">
        <f t="shared" si="52"/>
        <v>20.183329360462729</v>
      </c>
      <c r="V116" s="1392">
        <f t="shared" si="52"/>
        <v>20.586995947671994</v>
      </c>
      <c r="W116" s="1392">
        <f t="shared" si="52"/>
        <v>20.998735866625434</v>
      </c>
      <c r="AA116"/>
      <c r="AB116"/>
      <c r="AC116"/>
      <c r="AD116"/>
      <c r="AE116"/>
      <c r="AF116"/>
      <c r="AJ116" s="1384"/>
    </row>
    <row r="117" spans="1:36" s="1389" customFormat="1" outlineLevel="1">
      <c r="A117" s="1391"/>
      <c r="B117" s="1316">
        <v>6</v>
      </c>
      <c r="C117" s="1315" t="str">
        <f t="shared" si="48"/>
        <v>PV of Increase in forecast year 5 lease commitments</v>
      </c>
      <c r="D117" s="1315"/>
      <c r="E117" s="1315"/>
      <c r="F117" s="1315"/>
      <c r="G117" s="1315"/>
      <c r="H117" s="1392">
        <f t="shared" si="46"/>
        <v>53.894480189408029</v>
      </c>
      <c r="I117" s="1392">
        <f t="shared" ref="I117:W117" si="53">IF(ISERROR((I81-H82)/(POWER((1+I$45),$B117))),"NA",(I81-H82)/(POWER((1+I$45),$B117)))</f>
        <v>30.638564570952369</v>
      </c>
      <c r="J117" s="1392">
        <f t="shared" si="53"/>
        <v>39.341394493482802</v>
      </c>
      <c r="K117" s="1392">
        <f t="shared" si="53"/>
        <v>51.855219994079931</v>
      </c>
      <c r="L117" s="1392">
        <f t="shared" si="53"/>
        <v>54.788722252270233</v>
      </c>
      <c r="M117" s="1392">
        <f t="shared" si="53"/>
        <v>41.458851051443993</v>
      </c>
      <c r="N117" s="1392">
        <f t="shared" si="53"/>
        <v>39.224004676757779</v>
      </c>
      <c r="O117" s="1392">
        <f t="shared" si="53"/>
        <v>-57.588976762304007</v>
      </c>
      <c r="P117" s="1392">
        <f t="shared" si="53"/>
        <v>95.113858350536518</v>
      </c>
      <c r="Q117" s="1392">
        <f t="shared" si="53"/>
        <v>65.159774310953836</v>
      </c>
      <c r="R117" s="1392">
        <f t="shared" si="53"/>
        <v>66.462969797172917</v>
      </c>
      <c r="S117" s="1392">
        <f t="shared" si="53"/>
        <v>67.792229193116384</v>
      </c>
      <c r="T117" s="1392">
        <f t="shared" si="53"/>
        <v>69.148073776978705</v>
      </c>
      <c r="U117" s="1392">
        <f t="shared" si="53"/>
        <v>70.531035252518279</v>
      </c>
      <c r="V117" s="1392">
        <f t="shared" si="53"/>
        <v>71.941655957568642</v>
      </c>
      <c r="W117" s="1392">
        <f t="shared" si="53"/>
        <v>73.380489076720011</v>
      </c>
      <c r="AA117"/>
      <c r="AB117"/>
      <c r="AC117"/>
      <c r="AD117"/>
      <c r="AE117"/>
      <c r="AF117"/>
      <c r="AJ117" s="1384"/>
    </row>
    <row r="118" spans="1:36" s="1389" customFormat="1" outlineLevel="1">
      <c r="A118" s="1391"/>
      <c r="B118" s="1316">
        <v>7</v>
      </c>
      <c r="C118" s="1315" t="str">
        <f t="shared" si="48"/>
        <v>PV of Increase in forecast year 6 lease commitments</v>
      </c>
      <c r="D118" s="1315"/>
      <c r="E118" s="1315"/>
      <c r="F118" s="1315"/>
      <c r="G118" s="1315"/>
      <c r="H118" s="1392">
        <f t="shared" si="46"/>
        <v>29.218013053655795</v>
      </c>
      <c r="I118" s="1392">
        <f t="shared" ref="I118:W118" si="54">IF(ISERROR((I82-H83)/(POWER((1+I$45),$B118))),"NA",(I82-H83)/(POWER((1+I$45),$B118)))</f>
        <v>-8.9605018064372928</v>
      </c>
      <c r="J118" s="1392">
        <f t="shared" si="54"/>
        <v>-8.8044974224296819</v>
      </c>
      <c r="K118" s="1392">
        <f t="shared" si="54"/>
        <v>1.2713660848477628</v>
      </c>
      <c r="L118" s="1392">
        <f t="shared" si="54"/>
        <v>12.743782230657638</v>
      </c>
      <c r="M118" s="1392">
        <f t="shared" si="54"/>
        <v>11.280544682443379</v>
      </c>
      <c r="N118" s="1392">
        <f t="shared" si="54"/>
        <v>5.1451847676439506</v>
      </c>
      <c r="O118" s="1392">
        <f t="shared" si="54"/>
        <v>-56.444407401958919</v>
      </c>
      <c r="P118" s="1392">
        <f t="shared" si="54"/>
        <v>31.131902359448372</v>
      </c>
      <c r="Q118" s="1392">
        <f t="shared" si="54"/>
        <v>0.62263804718897098</v>
      </c>
      <c r="R118" s="1392">
        <f t="shared" si="54"/>
        <v>0.63509080813274943</v>
      </c>
      <c r="S118" s="1392">
        <f t="shared" si="54"/>
        <v>0.64779262429540263</v>
      </c>
      <c r="T118" s="1392">
        <f t="shared" si="54"/>
        <v>0.66074847678131154</v>
      </c>
      <c r="U118" s="1392">
        <f t="shared" si="54"/>
        <v>0.67396344631693672</v>
      </c>
      <c r="V118" s="1392">
        <f t="shared" si="54"/>
        <v>0.68744271524327805</v>
      </c>
      <c r="W118" s="1392">
        <f t="shared" si="54"/>
        <v>0.70119156954813988</v>
      </c>
      <c r="AA118"/>
      <c r="AB118"/>
      <c r="AC118"/>
      <c r="AD118"/>
      <c r="AE118"/>
      <c r="AF118"/>
      <c r="AJ118" s="1384"/>
    </row>
    <row r="119" spans="1:36" s="1389" customFormat="1" outlineLevel="1">
      <c r="A119" s="1391"/>
      <c r="B119" s="1316">
        <v>8</v>
      </c>
      <c r="C119" s="1315" t="str">
        <f t="shared" si="48"/>
        <v>PV of Increase in forecast year 7 lease commitments</v>
      </c>
      <c r="D119" s="1315"/>
      <c r="E119" s="1315"/>
      <c r="F119" s="1315"/>
      <c r="G119" s="1315"/>
      <c r="H119" s="1392">
        <f t="shared" si="46"/>
        <v>27.028689226323582</v>
      </c>
      <c r="I119" s="1392">
        <f t="shared" ref="I119:W119" si="55">IF(ISERROR((I83-H84)/(POWER((1+I$45),$B119))),"NA",(I83-H84)/(POWER((1+I$45),$B119)))</f>
        <v>-8.7848056925855804</v>
      </c>
      <c r="J119" s="1392">
        <f t="shared" si="55"/>
        <v>-8.631860218068315</v>
      </c>
      <c r="K119" s="1392">
        <f t="shared" si="55"/>
        <v>1.2464373380860418</v>
      </c>
      <c r="L119" s="1392">
        <f t="shared" si="55"/>
        <v>12.493904147703565</v>
      </c>
      <c r="M119" s="1392">
        <f t="shared" si="55"/>
        <v>11.059357531807233</v>
      </c>
      <c r="N119" s="1392">
        <f t="shared" si="55"/>
        <v>5.0442987918077939</v>
      </c>
      <c r="O119" s="1392">
        <f t="shared" si="55"/>
        <v>-55.322586128040996</v>
      </c>
      <c r="P119" s="1392">
        <f t="shared" si="55"/>
        <v>30.423918734247337</v>
      </c>
      <c r="Q119" s="1392">
        <f t="shared" si="55"/>
        <v>0.60847837468495014</v>
      </c>
      <c r="R119" s="1392">
        <f t="shared" si="55"/>
        <v>0.62064794217864827</v>
      </c>
      <c r="S119" s="1392">
        <f t="shared" si="55"/>
        <v>0.63306090102221957</v>
      </c>
      <c r="T119" s="1392">
        <f t="shared" si="55"/>
        <v>0.64572211904266474</v>
      </c>
      <c r="U119" s="1392">
        <f t="shared" si="55"/>
        <v>0.65863656142351701</v>
      </c>
      <c r="V119" s="1392">
        <f t="shared" si="55"/>
        <v>0.67180929265198974</v>
      </c>
      <c r="W119" s="1392">
        <f t="shared" si="55"/>
        <v>0.68524547850502604</v>
      </c>
      <c r="AA119"/>
      <c r="AB119"/>
      <c r="AC119"/>
      <c r="AD119"/>
      <c r="AE119"/>
      <c r="AF119"/>
      <c r="AJ119" s="1384"/>
    </row>
    <row r="120" spans="1:36" s="1389" customFormat="1" outlineLevel="1">
      <c r="A120" s="1391"/>
      <c r="B120" s="1316">
        <v>9</v>
      </c>
      <c r="C120" s="1315" t="str">
        <f t="shared" si="48"/>
        <v>PV of Increase in forecast year 8 lease commitments</v>
      </c>
      <c r="D120" s="1315"/>
      <c r="E120" s="1315"/>
      <c r="F120" s="1315"/>
      <c r="G120" s="1315"/>
      <c r="H120" s="1392">
        <f t="shared" si="46"/>
        <v>25.003412790308591</v>
      </c>
      <c r="I120" s="1392">
        <f t="shared" ref="I120:W120" si="56">IF(ISERROR((I84-H85)/(POWER((1+I$45),$B120))),"NA",(I84-H85)/(POWER((1+I$45),$B120)))</f>
        <v>-8.6125546005740983</v>
      </c>
      <c r="J120" s="1392">
        <f t="shared" si="56"/>
        <v>-8.4626080569297191</v>
      </c>
      <c r="K120" s="1392">
        <f t="shared" si="56"/>
        <v>1.2219973902804333</v>
      </c>
      <c r="L120" s="1392">
        <f t="shared" si="56"/>
        <v>12.248925635003495</v>
      </c>
      <c r="M120" s="1392">
        <f t="shared" si="56"/>
        <v>10.842507384124739</v>
      </c>
      <c r="N120" s="1392">
        <f t="shared" si="56"/>
        <v>4.9453909723605829</v>
      </c>
      <c r="O120" s="1392">
        <f t="shared" si="56"/>
        <v>-54.223060826895939</v>
      </c>
      <c r="P120" s="1392">
        <f t="shared" si="56"/>
        <v>29.732035661070565</v>
      </c>
      <c r="Q120" s="1392">
        <f t="shared" si="56"/>
        <v>0.59464071322141465</v>
      </c>
      <c r="R120" s="1392">
        <f t="shared" si="56"/>
        <v>0.60653352748584199</v>
      </c>
      <c r="S120" s="1392">
        <f t="shared" si="56"/>
        <v>0.61866419803555728</v>
      </c>
      <c r="T120" s="1392">
        <f t="shared" si="56"/>
        <v>0.63103748199626919</v>
      </c>
      <c r="U120" s="1392">
        <f t="shared" si="56"/>
        <v>0.64365823163619351</v>
      </c>
      <c r="V120" s="1392">
        <f t="shared" si="56"/>
        <v>0.65653139626891988</v>
      </c>
      <c r="W120" s="1392">
        <f t="shared" si="56"/>
        <v>0.66966202419429477</v>
      </c>
      <c r="AA120"/>
      <c r="AB120"/>
      <c r="AC120"/>
      <c r="AD120"/>
      <c r="AE120"/>
      <c r="AF120"/>
      <c r="AJ120" s="1384"/>
    </row>
    <row r="121" spans="1:36" s="1389" customFormat="1" outlineLevel="1">
      <c r="A121" s="1391"/>
      <c r="B121" s="1316">
        <v>10</v>
      </c>
      <c r="C121" s="1315" t="str">
        <f t="shared" si="48"/>
        <v>PV of Increase in forecast year 9 lease commitments</v>
      </c>
      <c r="D121" s="1315"/>
      <c r="E121" s="1315"/>
      <c r="F121" s="1315"/>
      <c r="G121" s="1315"/>
      <c r="H121" s="1392">
        <f t="shared" si="46"/>
        <v>23.129891572903414</v>
      </c>
      <c r="I121" s="1392">
        <f t="shared" ref="I121:W121" si="57">IF(ISERROR((I85-H86)/(POWER((1+I$45),$B121))),"NA",(I85-H86)/(POWER((1+I$45),$B121)))</f>
        <v>-8.4436809809549978</v>
      </c>
      <c r="J121" s="1392">
        <f t="shared" si="57"/>
        <v>-8.2966745656173728</v>
      </c>
      <c r="K121" s="1392">
        <f t="shared" si="57"/>
        <v>1.1980366571376797</v>
      </c>
      <c r="L121" s="1392">
        <f t="shared" si="57"/>
        <v>12.008750622552446</v>
      </c>
      <c r="M121" s="1392">
        <f t="shared" si="57"/>
        <v>10.629909200122292</v>
      </c>
      <c r="N121" s="1392">
        <f t="shared" si="57"/>
        <v>4.8484225219221395</v>
      </c>
      <c r="O121" s="1392">
        <f t="shared" si="57"/>
        <v>-53.145388370537638</v>
      </c>
      <c r="P121" s="1392">
        <f t="shared" si="57"/>
        <v>29.055886990523849</v>
      </c>
      <c r="Q121" s="1392">
        <f t="shared" si="57"/>
        <v>0.5811177398104802</v>
      </c>
      <c r="R121" s="1392">
        <f t="shared" si="57"/>
        <v>0.59274009460668897</v>
      </c>
      <c r="S121" s="1392">
        <f t="shared" si="57"/>
        <v>0.60459489649882114</v>
      </c>
      <c r="T121" s="1392">
        <f t="shared" si="57"/>
        <v>0.61668679442879837</v>
      </c>
      <c r="U121" s="1392">
        <f t="shared" si="57"/>
        <v>0.62902053031737337</v>
      </c>
      <c r="V121" s="1392">
        <f t="shared" si="57"/>
        <v>0.64160094092372311</v>
      </c>
      <c r="W121" s="1392">
        <f t="shared" si="57"/>
        <v>0.65443295974219429</v>
      </c>
      <c r="AA121"/>
      <c r="AB121"/>
      <c r="AC121"/>
      <c r="AD121"/>
      <c r="AE121"/>
      <c r="AF121"/>
      <c r="AJ121" s="1384"/>
    </row>
    <row r="122" spans="1:36" s="1389" customFormat="1" outlineLevel="1">
      <c r="A122" s="1391"/>
      <c r="B122" s="1316">
        <v>11</v>
      </c>
      <c r="C122" s="1315" t="str">
        <f t="shared" si="48"/>
        <v>PV of Increase in forecast year 10 lease commitments</v>
      </c>
      <c r="D122" s="1315"/>
      <c r="E122" s="1315"/>
      <c r="F122" s="1315"/>
      <c r="G122" s="1315"/>
      <c r="H122" s="1392">
        <f t="shared" si="46"/>
        <v>21.39675446152027</v>
      </c>
      <c r="I122" s="1392">
        <f t="shared" ref="I122:W122" si="58">IF(ISERROR((I86-H87)/(POWER((1+I$45),$B122))),"NA",(I86-H87)/(POWER((1+I$45),$B122)))</f>
        <v>32.256738561522383</v>
      </c>
      <c r="J122" s="1392">
        <f t="shared" si="58"/>
        <v>24.122743889348492</v>
      </c>
      <c r="K122" s="1392">
        <f t="shared" si="58"/>
        <v>25.297289631640332</v>
      </c>
      <c r="L122" s="1392">
        <f t="shared" si="58"/>
        <v>37.07057455571136</v>
      </c>
      <c r="M122" s="1392">
        <f t="shared" si="58"/>
        <v>47.492054163674396</v>
      </c>
      <c r="N122" s="1392">
        <f t="shared" si="58"/>
        <v>52.245409577323549</v>
      </c>
      <c r="O122" s="1392">
        <f t="shared" si="58"/>
        <v>0</v>
      </c>
      <c r="P122" s="1392">
        <f t="shared" si="58"/>
        <v>28.39511489996962</v>
      </c>
      <c r="Q122" s="1392">
        <f t="shared" si="58"/>
        <v>28.963017197969016</v>
      </c>
      <c r="R122" s="1392">
        <f t="shared" si="58"/>
        <v>29.542277541928399</v>
      </c>
      <c r="S122" s="1392">
        <f t="shared" si="58"/>
        <v>30.133123092766969</v>
      </c>
      <c r="T122" s="1392">
        <f t="shared" si="58"/>
        <v>30.735785554622311</v>
      </c>
      <c r="U122" s="1392">
        <f t="shared" si="58"/>
        <v>31.350501265714755</v>
      </c>
      <c r="V122" s="1392">
        <f t="shared" si="58"/>
        <v>31.977511291029053</v>
      </c>
      <c r="W122" s="1392">
        <f t="shared" si="58"/>
        <v>32.617061516849638</v>
      </c>
      <c r="AA122"/>
      <c r="AB122"/>
      <c r="AC122"/>
      <c r="AD122"/>
      <c r="AE122"/>
      <c r="AF122"/>
      <c r="AJ122" s="1384"/>
    </row>
    <row r="123" spans="1:36" s="1389" customFormat="1" outlineLevel="1">
      <c r="A123" s="1391"/>
      <c r="B123" s="1316">
        <v>12</v>
      </c>
      <c r="C123" s="1315" t="str">
        <f t="shared" si="48"/>
        <v>PV of Increase in forecast year 11 lease commitments</v>
      </c>
      <c r="D123" s="1315"/>
      <c r="E123" s="1315"/>
      <c r="F123" s="1315"/>
      <c r="G123" s="1315"/>
      <c r="H123" s="1392">
        <f t="shared" si="46"/>
        <v>0</v>
      </c>
      <c r="I123" s="1392">
        <f t="shared" ref="I123:W123" si="59">IF(ISERROR((I87-H88)/(POWER((1+I$45),$B123))),"NA",(I87-H88)/(POWER((1+I$45),$B123)))</f>
        <v>0</v>
      </c>
      <c r="J123" s="1392">
        <f t="shared" si="59"/>
        <v>0</v>
      </c>
      <c r="K123" s="1392">
        <f t="shared" si="59"/>
        <v>0</v>
      </c>
      <c r="L123" s="1392">
        <f t="shared" si="59"/>
        <v>0</v>
      </c>
      <c r="M123" s="1392">
        <f t="shared" si="59"/>
        <v>0</v>
      </c>
      <c r="N123" s="1392">
        <f t="shared" si="59"/>
        <v>0</v>
      </c>
      <c r="O123" s="1392">
        <f t="shared" si="59"/>
        <v>0</v>
      </c>
      <c r="P123" s="1392">
        <f t="shared" si="59"/>
        <v>0</v>
      </c>
      <c r="Q123" s="1392">
        <f t="shared" si="59"/>
        <v>0</v>
      </c>
      <c r="R123" s="1392">
        <f t="shared" si="59"/>
        <v>0</v>
      </c>
      <c r="S123" s="1392">
        <f t="shared" si="59"/>
        <v>0</v>
      </c>
      <c r="T123" s="1392">
        <f t="shared" si="59"/>
        <v>0</v>
      </c>
      <c r="U123" s="1392">
        <f t="shared" si="59"/>
        <v>0</v>
      </c>
      <c r="V123" s="1392">
        <f t="shared" si="59"/>
        <v>0</v>
      </c>
      <c r="W123" s="1392">
        <f t="shared" si="59"/>
        <v>0</v>
      </c>
      <c r="AA123"/>
      <c r="AB123"/>
      <c r="AC123"/>
      <c r="AD123"/>
      <c r="AE123"/>
      <c r="AF123"/>
      <c r="AJ123" s="1384"/>
    </row>
    <row r="124" spans="1:36" s="1389" customFormat="1" outlineLevel="1">
      <c r="A124" s="1391"/>
      <c r="B124" s="1316">
        <v>13</v>
      </c>
      <c r="C124" s="1315" t="str">
        <f t="shared" si="48"/>
        <v>PV of Increase in forecast year 12 lease commitments</v>
      </c>
      <c r="D124" s="1315"/>
      <c r="E124" s="1315"/>
      <c r="F124" s="1315"/>
      <c r="G124" s="1315"/>
      <c r="H124" s="1392">
        <f t="shared" si="46"/>
        <v>0</v>
      </c>
      <c r="I124" s="1392">
        <f t="shared" ref="I124:W124" si="60">IF(ISERROR((I88-H89)/(POWER((1+I$45),$B124))),"NA",(I88-H89)/(POWER((1+I$45),$B124)))</f>
        <v>0</v>
      </c>
      <c r="J124" s="1392">
        <f t="shared" si="60"/>
        <v>0</v>
      </c>
      <c r="K124" s="1392">
        <f t="shared" si="60"/>
        <v>0</v>
      </c>
      <c r="L124" s="1392">
        <f t="shared" si="60"/>
        <v>0</v>
      </c>
      <c r="M124" s="1392">
        <f t="shared" si="60"/>
        <v>0</v>
      </c>
      <c r="N124" s="1392">
        <f t="shared" si="60"/>
        <v>0</v>
      </c>
      <c r="O124" s="1392">
        <f t="shared" si="60"/>
        <v>0</v>
      </c>
      <c r="P124" s="1392">
        <f t="shared" si="60"/>
        <v>0</v>
      </c>
      <c r="Q124" s="1392">
        <f t="shared" si="60"/>
        <v>0</v>
      </c>
      <c r="R124" s="1392">
        <f t="shared" si="60"/>
        <v>0</v>
      </c>
      <c r="S124" s="1392">
        <f t="shared" si="60"/>
        <v>0</v>
      </c>
      <c r="T124" s="1392">
        <f t="shared" si="60"/>
        <v>0</v>
      </c>
      <c r="U124" s="1392">
        <f t="shared" si="60"/>
        <v>0</v>
      </c>
      <c r="V124" s="1392">
        <f t="shared" si="60"/>
        <v>0</v>
      </c>
      <c r="W124" s="1392">
        <f t="shared" si="60"/>
        <v>0</v>
      </c>
      <c r="AA124"/>
      <c r="AB124"/>
      <c r="AC124"/>
      <c r="AD124"/>
      <c r="AE124"/>
      <c r="AF124"/>
      <c r="AJ124" s="1384"/>
    </row>
    <row r="125" spans="1:36" s="1389" customFormat="1" outlineLevel="1">
      <c r="A125" s="1391"/>
      <c r="B125" s="1316">
        <v>14</v>
      </c>
      <c r="C125" s="1315" t="str">
        <f t="shared" si="48"/>
        <v>PV of Increase in forecast year 13 lease commitments</v>
      </c>
      <c r="D125" s="1315"/>
      <c r="E125" s="1315"/>
      <c r="F125" s="1315"/>
      <c r="G125" s="1315"/>
      <c r="H125" s="1392">
        <f t="shared" si="46"/>
        <v>0</v>
      </c>
      <c r="I125" s="1392">
        <f t="shared" ref="I125:W125" si="61">IF(ISERROR((I89-H90)/(POWER((1+I$45),$B125))),"NA",(I89-H90)/(POWER((1+I$45),$B125)))</f>
        <v>0</v>
      </c>
      <c r="J125" s="1392">
        <f t="shared" si="61"/>
        <v>0</v>
      </c>
      <c r="K125" s="1392">
        <f t="shared" si="61"/>
        <v>0</v>
      </c>
      <c r="L125" s="1392">
        <f t="shared" si="61"/>
        <v>0</v>
      </c>
      <c r="M125" s="1392">
        <f t="shared" si="61"/>
        <v>0</v>
      </c>
      <c r="N125" s="1392">
        <f t="shared" si="61"/>
        <v>0</v>
      </c>
      <c r="O125" s="1392">
        <f t="shared" si="61"/>
        <v>0</v>
      </c>
      <c r="P125" s="1392">
        <f t="shared" si="61"/>
        <v>0</v>
      </c>
      <c r="Q125" s="1392">
        <f t="shared" si="61"/>
        <v>0</v>
      </c>
      <c r="R125" s="1392">
        <f t="shared" si="61"/>
        <v>0</v>
      </c>
      <c r="S125" s="1392">
        <f t="shared" si="61"/>
        <v>0</v>
      </c>
      <c r="T125" s="1392">
        <f t="shared" si="61"/>
        <v>0</v>
      </c>
      <c r="U125" s="1392">
        <f t="shared" si="61"/>
        <v>0</v>
      </c>
      <c r="V125" s="1392">
        <f t="shared" si="61"/>
        <v>0</v>
      </c>
      <c r="W125" s="1392">
        <f t="shared" si="61"/>
        <v>0</v>
      </c>
      <c r="AA125"/>
      <c r="AB125"/>
      <c r="AC125"/>
      <c r="AD125"/>
      <c r="AE125"/>
      <c r="AF125"/>
      <c r="AJ125" s="1384"/>
    </row>
    <row r="126" spans="1:36" s="1389" customFormat="1" outlineLevel="1">
      <c r="A126" s="1391"/>
      <c r="B126" s="1316">
        <v>15</v>
      </c>
      <c r="C126" s="1315" t="str">
        <f t="shared" si="48"/>
        <v>PV of Increase in forecast year 14 lease commitments</v>
      </c>
      <c r="D126" s="1315"/>
      <c r="E126" s="1315"/>
      <c r="F126" s="1315"/>
      <c r="G126" s="1315"/>
      <c r="H126" s="1392">
        <f t="shared" si="46"/>
        <v>0</v>
      </c>
      <c r="I126" s="1392">
        <f t="shared" ref="I126:W126" si="62">IF(ISERROR((I90-H91)/(POWER((1+I$45),$B126))),"NA",(I90-H91)/(POWER((1+I$45),$B126)))</f>
        <v>0</v>
      </c>
      <c r="J126" s="1392">
        <f t="shared" si="62"/>
        <v>0</v>
      </c>
      <c r="K126" s="1392">
        <f t="shared" si="62"/>
        <v>0</v>
      </c>
      <c r="L126" s="1392">
        <f t="shared" si="62"/>
        <v>0</v>
      </c>
      <c r="M126" s="1392">
        <f t="shared" si="62"/>
        <v>0</v>
      </c>
      <c r="N126" s="1392">
        <f t="shared" si="62"/>
        <v>0</v>
      </c>
      <c r="O126" s="1392">
        <f t="shared" si="62"/>
        <v>0</v>
      </c>
      <c r="P126" s="1392">
        <f t="shared" si="62"/>
        <v>0</v>
      </c>
      <c r="Q126" s="1392">
        <f t="shared" si="62"/>
        <v>0</v>
      </c>
      <c r="R126" s="1392">
        <f t="shared" si="62"/>
        <v>0</v>
      </c>
      <c r="S126" s="1392">
        <f t="shared" si="62"/>
        <v>0</v>
      </c>
      <c r="T126" s="1392">
        <f t="shared" si="62"/>
        <v>0</v>
      </c>
      <c r="U126" s="1392">
        <f t="shared" si="62"/>
        <v>0</v>
      </c>
      <c r="V126" s="1392">
        <f t="shared" si="62"/>
        <v>0</v>
      </c>
      <c r="W126" s="1392">
        <f t="shared" si="62"/>
        <v>0</v>
      </c>
      <c r="AA126"/>
      <c r="AB126"/>
      <c r="AC126"/>
      <c r="AD126"/>
      <c r="AE126"/>
      <c r="AF126"/>
      <c r="AJ126" s="1384"/>
    </row>
    <row r="127" spans="1:36" s="1389" customFormat="1" outlineLevel="1">
      <c r="A127" s="1391"/>
      <c r="B127" s="1316">
        <v>16</v>
      </c>
      <c r="C127" s="1315" t="str">
        <f t="shared" si="48"/>
        <v>PV of Increase in forecast year 15 lease commitments</v>
      </c>
      <c r="D127" s="1315"/>
      <c r="E127" s="1315"/>
      <c r="F127" s="1315"/>
      <c r="G127" s="1315"/>
      <c r="H127" s="1392">
        <f t="shared" si="46"/>
        <v>0</v>
      </c>
      <c r="I127" s="1392">
        <f t="shared" ref="I127:W127" si="63">IF(ISERROR((I91-H92)/(POWER((1+I$45),$B127))),"NA",(I91-H92)/(POWER((1+I$45),$B127)))</f>
        <v>0</v>
      </c>
      <c r="J127" s="1392">
        <f t="shared" si="63"/>
        <v>0</v>
      </c>
      <c r="K127" s="1392">
        <f t="shared" si="63"/>
        <v>0</v>
      </c>
      <c r="L127" s="1392">
        <f t="shared" si="63"/>
        <v>0</v>
      </c>
      <c r="M127" s="1392">
        <f t="shared" si="63"/>
        <v>0</v>
      </c>
      <c r="N127" s="1392">
        <f t="shared" si="63"/>
        <v>0</v>
      </c>
      <c r="O127" s="1392">
        <f t="shared" si="63"/>
        <v>0</v>
      </c>
      <c r="P127" s="1392">
        <f t="shared" si="63"/>
        <v>0</v>
      </c>
      <c r="Q127" s="1392">
        <f t="shared" si="63"/>
        <v>0</v>
      </c>
      <c r="R127" s="1392">
        <f t="shared" si="63"/>
        <v>0</v>
      </c>
      <c r="S127" s="1392">
        <f t="shared" si="63"/>
        <v>0</v>
      </c>
      <c r="T127" s="1392">
        <f t="shared" si="63"/>
        <v>0</v>
      </c>
      <c r="U127" s="1392">
        <f t="shared" si="63"/>
        <v>0</v>
      </c>
      <c r="V127" s="1392">
        <f t="shared" si="63"/>
        <v>0</v>
      </c>
      <c r="W127" s="1392">
        <f t="shared" si="63"/>
        <v>0</v>
      </c>
      <c r="AA127"/>
      <c r="AB127"/>
      <c r="AC127"/>
      <c r="AD127"/>
      <c r="AE127"/>
      <c r="AF127"/>
      <c r="AJ127" s="1384"/>
    </row>
    <row r="128" spans="1:36" s="1389" customFormat="1" outlineLevel="1">
      <c r="A128" s="1391"/>
      <c r="B128" s="1316">
        <v>17</v>
      </c>
      <c r="C128" s="1315" t="str">
        <f t="shared" si="48"/>
        <v>PV of Increase in forecast year 16 lease commitments</v>
      </c>
      <c r="D128" s="1315"/>
      <c r="E128" s="1315"/>
      <c r="F128" s="1315"/>
      <c r="G128" s="1315"/>
      <c r="H128" s="1392">
        <f t="shared" si="46"/>
        <v>0</v>
      </c>
      <c r="I128" s="1392">
        <f t="shared" ref="I128:W128" si="64">IF(ISERROR((I92-H93)/(POWER((1+I$45),$B128))),"NA",(I92-H93)/(POWER((1+I$45),$B128)))</f>
        <v>0</v>
      </c>
      <c r="J128" s="1392">
        <f t="shared" si="64"/>
        <v>0</v>
      </c>
      <c r="K128" s="1392">
        <f t="shared" si="64"/>
        <v>0</v>
      </c>
      <c r="L128" s="1392">
        <f t="shared" si="64"/>
        <v>0</v>
      </c>
      <c r="M128" s="1392">
        <f t="shared" si="64"/>
        <v>0</v>
      </c>
      <c r="N128" s="1392">
        <f t="shared" si="64"/>
        <v>0</v>
      </c>
      <c r="O128" s="1392">
        <f t="shared" si="64"/>
        <v>0</v>
      </c>
      <c r="P128" s="1392">
        <f t="shared" si="64"/>
        <v>0</v>
      </c>
      <c r="Q128" s="1392">
        <f t="shared" si="64"/>
        <v>0</v>
      </c>
      <c r="R128" s="1392">
        <f t="shared" si="64"/>
        <v>0</v>
      </c>
      <c r="S128" s="1392">
        <f t="shared" si="64"/>
        <v>0</v>
      </c>
      <c r="T128" s="1392">
        <f t="shared" si="64"/>
        <v>0</v>
      </c>
      <c r="U128" s="1392">
        <f t="shared" si="64"/>
        <v>0</v>
      </c>
      <c r="V128" s="1392">
        <f t="shared" si="64"/>
        <v>0</v>
      </c>
      <c r="W128" s="1392">
        <f t="shared" si="64"/>
        <v>0</v>
      </c>
      <c r="AA128"/>
      <c r="AB128"/>
      <c r="AC128"/>
      <c r="AD128"/>
      <c r="AE128"/>
      <c r="AF128"/>
      <c r="AJ128" s="1384"/>
    </row>
    <row r="129" spans="1:36" s="1389" customFormat="1" outlineLevel="1">
      <c r="A129" s="1391"/>
      <c r="B129" s="1316">
        <v>18</v>
      </c>
      <c r="C129" s="1315" t="str">
        <f t="shared" si="48"/>
        <v>PV of Increase in forecast year 17 lease commitments</v>
      </c>
      <c r="D129" s="1315"/>
      <c r="E129" s="1315"/>
      <c r="F129" s="1315"/>
      <c r="G129" s="1315"/>
      <c r="H129" s="1392">
        <f t="shared" si="46"/>
        <v>0</v>
      </c>
      <c r="I129" s="1392">
        <f t="shared" ref="I129:W129" si="65">IF(ISERROR((I93-H94)/(POWER((1+I$45),$B129))),"NA",(I93-H94)/(POWER((1+I$45),$B129)))</f>
        <v>0</v>
      </c>
      <c r="J129" s="1392">
        <f t="shared" si="65"/>
        <v>0</v>
      </c>
      <c r="K129" s="1392">
        <f t="shared" si="65"/>
        <v>0</v>
      </c>
      <c r="L129" s="1392">
        <f t="shared" si="65"/>
        <v>0</v>
      </c>
      <c r="M129" s="1392">
        <f t="shared" si="65"/>
        <v>0</v>
      </c>
      <c r="N129" s="1392">
        <f t="shared" si="65"/>
        <v>0</v>
      </c>
      <c r="O129" s="1392">
        <f t="shared" si="65"/>
        <v>0</v>
      </c>
      <c r="P129" s="1392">
        <f t="shared" si="65"/>
        <v>0</v>
      </c>
      <c r="Q129" s="1392">
        <f t="shared" si="65"/>
        <v>0</v>
      </c>
      <c r="R129" s="1392">
        <f t="shared" si="65"/>
        <v>0</v>
      </c>
      <c r="S129" s="1392">
        <f t="shared" si="65"/>
        <v>0</v>
      </c>
      <c r="T129" s="1392">
        <f t="shared" si="65"/>
        <v>0</v>
      </c>
      <c r="U129" s="1392">
        <f t="shared" si="65"/>
        <v>0</v>
      </c>
      <c r="V129" s="1392">
        <f t="shared" si="65"/>
        <v>0</v>
      </c>
      <c r="W129" s="1392">
        <f t="shared" si="65"/>
        <v>0</v>
      </c>
      <c r="AA129"/>
      <c r="AB129"/>
      <c r="AC129"/>
      <c r="AD129"/>
      <c r="AE129"/>
      <c r="AF129"/>
      <c r="AJ129" s="1384"/>
    </row>
    <row r="130" spans="1:36" s="1389" customFormat="1" outlineLevel="1">
      <c r="A130" s="1391"/>
      <c r="B130" s="1316">
        <v>19</v>
      </c>
      <c r="C130" s="1315" t="str">
        <f t="shared" si="48"/>
        <v>PV of Increase in forecast year 18 lease commitments</v>
      </c>
      <c r="D130" s="1315"/>
      <c r="E130" s="1315"/>
      <c r="F130" s="1315"/>
      <c r="G130" s="1315"/>
      <c r="H130" s="1392">
        <f t="shared" si="46"/>
        <v>0</v>
      </c>
      <c r="I130" s="1392">
        <f t="shared" ref="I130:W130" si="66">IF(ISERROR((I94-H95)/(POWER((1+I$45),$B130))),"NA",(I94-H95)/(POWER((1+I$45),$B130)))</f>
        <v>0</v>
      </c>
      <c r="J130" s="1392">
        <f t="shared" si="66"/>
        <v>0</v>
      </c>
      <c r="K130" s="1392">
        <f t="shared" si="66"/>
        <v>0</v>
      </c>
      <c r="L130" s="1392">
        <f t="shared" si="66"/>
        <v>0</v>
      </c>
      <c r="M130" s="1392">
        <f t="shared" si="66"/>
        <v>0</v>
      </c>
      <c r="N130" s="1392">
        <f t="shared" si="66"/>
        <v>0</v>
      </c>
      <c r="O130" s="1392">
        <f t="shared" si="66"/>
        <v>0</v>
      </c>
      <c r="P130" s="1392">
        <f t="shared" si="66"/>
        <v>0</v>
      </c>
      <c r="Q130" s="1392">
        <f t="shared" si="66"/>
        <v>0</v>
      </c>
      <c r="R130" s="1392">
        <f t="shared" si="66"/>
        <v>0</v>
      </c>
      <c r="S130" s="1392">
        <f t="shared" si="66"/>
        <v>0</v>
      </c>
      <c r="T130" s="1392">
        <f t="shared" si="66"/>
        <v>0</v>
      </c>
      <c r="U130" s="1392">
        <f t="shared" si="66"/>
        <v>0</v>
      </c>
      <c r="V130" s="1392">
        <f t="shared" si="66"/>
        <v>0</v>
      </c>
      <c r="W130" s="1392">
        <f t="shared" si="66"/>
        <v>0</v>
      </c>
      <c r="AA130"/>
      <c r="AB130"/>
      <c r="AC130"/>
      <c r="AD130"/>
      <c r="AE130"/>
      <c r="AF130"/>
      <c r="AJ130" s="1384"/>
    </row>
    <row r="131" spans="1:36" s="1389" customFormat="1" outlineLevel="1">
      <c r="A131" s="1391"/>
      <c r="B131" s="1316">
        <f t="shared" ref="B131:B141" si="67">B130+1</f>
        <v>20</v>
      </c>
      <c r="C131" s="1315" t="str">
        <f t="shared" si="48"/>
        <v>PV of Increase in forecast year 19 lease commitments</v>
      </c>
      <c r="D131" s="1315"/>
      <c r="E131" s="1315"/>
      <c r="F131" s="1315"/>
      <c r="G131" s="1315"/>
      <c r="H131" s="1392">
        <f t="shared" si="46"/>
        <v>0</v>
      </c>
      <c r="I131" s="1392">
        <f t="shared" ref="I131:W131" si="68">IF(ISERROR((I95-H96)/(POWER((1+I$45),$B131))),"NA",(I95-H96)/(POWER((1+I$45),$B131)))</f>
        <v>0</v>
      </c>
      <c r="J131" s="1392">
        <f t="shared" si="68"/>
        <v>0</v>
      </c>
      <c r="K131" s="1392">
        <f t="shared" si="68"/>
        <v>0</v>
      </c>
      <c r="L131" s="1392">
        <f t="shared" si="68"/>
        <v>0</v>
      </c>
      <c r="M131" s="1392">
        <f t="shared" si="68"/>
        <v>0</v>
      </c>
      <c r="N131" s="1392">
        <f t="shared" si="68"/>
        <v>0</v>
      </c>
      <c r="O131" s="1392">
        <f t="shared" si="68"/>
        <v>0</v>
      </c>
      <c r="P131" s="1392">
        <f t="shared" si="68"/>
        <v>0</v>
      </c>
      <c r="Q131" s="1392">
        <f t="shared" si="68"/>
        <v>0</v>
      </c>
      <c r="R131" s="1392">
        <f t="shared" si="68"/>
        <v>0</v>
      </c>
      <c r="S131" s="1392">
        <f t="shared" si="68"/>
        <v>0</v>
      </c>
      <c r="T131" s="1392">
        <f t="shared" si="68"/>
        <v>0</v>
      </c>
      <c r="U131" s="1392">
        <f t="shared" si="68"/>
        <v>0</v>
      </c>
      <c r="V131" s="1392">
        <f t="shared" si="68"/>
        <v>0</v>
      </c>
      <c r="W131" s="1392">
        <f t="shared" si="68"/>
        <v>0</v>
      </c>
      <c r="AA131"/>
      <c r="AB131"/>
      <c r="AC131"/>
      <c r="AD131"/>
      <c r="AE131"/>
      <c r="AF131"/>
      <c r="AJ131" s="1384"/>
    </row>
    <row r="132" spans="1:36" s="1389" customFormat="1" outlineLevel="1">
      <c r="A132" s="1391"/>
      <c r="B132" s="1316">
        <f t="shared" si="67"/>
        <v>21</v>
      </c>
      <c r="C132" s="1315" t="str">
        <f t="shared" si="48"/>
        <v>PV of Increase in forecast year 20 lease commitments</v>
      </c>
      <c r="D132" s="1315"/>
      <c r="E132" s="1315"/>
      <c r="F132" s="1315"/>
      <c r="G132" s="1315"/>
      <c r="H132" s="1392">
        <f t="shared" si="46"/>
        <v>0</v>
      </c>
      <c r="I132" s="1392">
        <f t="shared" ref="I132:W132" si="69">IF(ISERROR((I96-H97)/(POWER((1+I$45),$B132))),"NA",(I96-H97)/(POWER((1+I$45),$B132)))</f>
        <v>0</v>
      </c>
      <c r="J132" s="1392">
        <f t="shared" si="69"/>
        <v>0</v>
      </c>
      <c r="K132" s="1392">
        <f t="shared" si="69"/>
        <v>0</v>
      </c>
      <c r="L132" s="1392">
        <f t="shared" si="69"/>
        <v>0</v>
      </c>
      <c r="M132" s="1392">
        <f t="shared" si="69"/>
        <v>0</v>
      </c>
      <c r="N132" s="1392">
        <f t="shared" si="69"/>
        <v>0</v>
      </c>
      <c r="O132" s="1392">
        <f t="shared" si="69"/>
        <v>0</v>
      </c>
      <c r="P132" s="1392">
        <f t="shared" si="69"/>
        <v>0</v>
      </c>
      <c r="Q132" s="1392">
        <f t="shared" si="69"/>
        <v>0</v>
      </c>
      <c r="R132" s="1392">
        <f t="shared" si="69"/>
        <v>0</v>
      </c>
      <c r="S132" s="1392">
        <f t="shared" si="69"/>
        <v>0</v>
      </c>
      <c r="T132" s="1392">
        <f t="shared" si="69"/>
        <v>0</v>
      </c>
      <c r="U132" s="1392">
        <f t="shared" si="69"/>
        <v>0</v>
      </c>
      <c r="V132" s="1392">
        <f t="shared" si="69"/>
        <v>0</v>
      </c>
      <c r="W132" s="1392">
        <f t="shared" si="69"/>
        <v>0</v>
      </c>
      <c r="AA132"/>
      <c r="AB132"/>
      <c r="AC132"/>
      <c r="AD132"/>
      <c r="AE132"/>
      <c r="AF132"/>
      <c r="AJ132" s="1384"/>
    </row>
    <row r="133" spans="1:36" s="1389" customFormat="1" outlineLevel="1">
      <c r="A133" s="1391"/>
      <c r="B133" s="1316">
        <f t="shared" si="67"/>
        <v>22</v>
      </c>
      <c r="C133" s="1315" t="str">
        <f t="shared" si="48"/>
        <v>PV of Increase in forecast year 21 lease commitments</v>
      </c>
      <c r="D133" s="1315"/>
      <c r="E133" s="1315"/>
      <c r="F133" s="1315"/>
      <c r="G133" s="1315"/>
      <c r="H133" s="1392">
        <f t="shared" si="46"/>
        <v>0</v>
      </c>
      <c r="I133" s="1392">
        <f t="shared" ref="I133:W133" si="70">IF(ISERROR((I97-H98)/(POWER((1+I$45),$B133))),"NA",(I97-H98)/(POWER((1+I$45),$B133)))</f>
        <v>0</v>
      </c>
      <c r="J133" s="1392">
        <f t="shared" si="70"/>
        <v>0</v>
      </c>
      <c r="K133" s="1392">
        <f t="shared" si="70"/>
        <v>0</v>
      </c>
      <c r="L133" s="1392">
        <f t="shared" si="70"/>
        <v>0</v>
      </c>
      <c r="M133" s="1392">
        <f t="shared" si="70"/>
        <v>0</v>
      </c>
      <c r="N133" s="1392">
        <f t="shared" si="70"/>
        <v>0</v>
      </c>
      <c r="O133" s="1392">
        <f t="shared" si="70"/>
        <v>0</v>
      </c>
      <c r="P133" s="1392">
        <f t="shared" si="70"/>
        <v>0</v>
      </c>
      <c r="Q133" s="1392">
        <f t="shared" si="70"/>
        <v>0</v>
      </c>
      <c r="R133" s="1392">
        <f t="shared" si="70"/>
        <v>0</v>
      </c>
      <c r="S133" s="1392">
        <f t="shared" si="70"/>
        <v>0</v>
      </c>
      <c r="T133" s="1392">
        <f t="shared" si="70"/>
        <v>0</v>
      </c>
      <c r="U133" s="1392">
        <f t="shared" si="70"/>
        <v>0</v>
      </c>
      <c r="V133" s="1392">
        <f t="shared" si="70"/>
        <v>0</v>
      </c>
      <c r="W133" s="1392">
        <f t="shared" si="70"/>
        <v>0</v>
      </c>
      <c r="AA133"/>
      <c r="AB133"/>
      <c r="AC133"/>
      <c r="AD133"/>
      <c r="AE133"/>
      <c r="AF133"/>
      <c r="AJ133" s="1384"/>
    </row>
    <row r="134" spans="1:36" s="1389" customFormat="1" outlineLevel="1">
      <c r="A134" s="1391"/>
      <c r="B134" s="1316">
        <f t="shared" si="67"/>
        <v>23</v>
      </c>
      <c r="C134" s="1315" t="str">
        <f t="shared" si="48"/>
        <v>PV of Increase in forecast year 22 lease commitments</v>
      </c>
      <c r="D134" s="1315"/>
      <c r="E134" s="1315"/>
      <c r="F134" s="1315"/>
      <c r="G134" s="1315"/>
      <c r="H134" s="1392">
        <f t="shared" si="46"/>
        <v>0</v>
      </c>
      <c r="I134" s="1392">
        <f t="shared" ref="I134:W134" si="71">IF(ISERROR((I98-H99)/(POWER((1+I$45),$B134))),"NA",(I98-H99)/(POWER((1+I$45),$B134)))</f>
        <v>0</v>
      </c>
      <c r="J134" s="1392">
        <f t="shared" si="71"/>
        <v>0</v>
      </c>
      <c r="K134" s="1392">
        <f t="shared" si="71"/>
        <v>0</v>
      </c>
      <c r="L134" s="1392">
        <f t="shared" si="71"/>
        <v>0</v>
      </c>
      <c r="M134" s="1392">
        <f t="shared" si="71"/>
        <v>0</v>
      </c>
      <c r="N134" s="1392">
        <f t="shared" si="71"/>
        <v>0</v>
      </c>
      <c r="O134" s="1392">
        <f t="shared" si="71"/>
        <v>0</v>
      </c>
      <c r="P134" s="1392">
        <f t="shared" si="71"/>
        <v>0</v>
      </c>
      <c r="Q134" s="1392">
        <f t="shared" si="71"/>
        <v>0</v>
      </c>
      <c r="R134" s="1392">
        <f t="shared" si="71"/>
        <v>0</v>
      </c>
      <c r="S134" s="1392">
        <f t="shared" si="71"/>
        <v>0</v>
      </c>
      <c r="T134" s="1392">
        <f t="shared" si="71"/>
        <v>0</v>
      </c>
      <c r="U134" s="1392">
        <f t="shared" si="71"/>
        <v>0</v>
      </c>
      <c r="V134" s="1392">
        <f t="shared" si="71"/>
        <v>0</v>
      </c>
      <c r="W134" s="1392">
        <f t="shared" si="71"/>
        <v>0</v>
      </c>
      <c r="AA134"/>
      <c r="AB134"/>
      <c r="AC134"/>
      <c r="AD134"/>
      <c r="AE134"/>
      <c r="AF134"/>
      <c r="AJ134" s="1384"/>
    </row>
    <row r="135" spans="1:36" s="1389" customFormat="1" outlineLevel="1">
      <c r="A135" s="1391"/>
      <c r="B135" s="1316">
        <f t="shared" si="67"/>
        <v>24</v>
      </c>
      <c r="C135" s="1315" t="str">
        <f t="shared" si="48"/>
        <v>PV of Increase in forecast year 23 lease commitments</v>
      </c>
      <c r="D135" s="1315"/>
      <c r="E135" s="1315"/>
      <c r="F135" s="1315"/>
      <c r="G135" s="1315"/>
      <c r="H135" s="1392">
        <f t="shared" si="46"/>
        <v>0</v>
      </c>
      <c r="I135" s="1392">
        <f t="shared" ref="I135:W135" si="72">IF(ISERROR((I99-H100)/(POWER((1+I$45),$B135))),"NA",(I99-H100)/(POWER((1+I$45),$B135)))</f>
        <v>0</v>
      </c>
      <c r="J135" s="1392">
        <f t="shared" si="72"/>
        <v>0</v>
      </c>
      <c r="K135" s="1392">
        <f t="shared" si="72"/>
        <v>0</v>
      </c>
      <c r="L135" s="1392">
        <f t="shared" si="72"/>
        <v>0</v>
      </c>
      <c r="M135" s="1392">
        <f t="shared" si="72"/>
        <v>0</v>
      </c>
      <c r="N135" s="1392">
        <f t="shared" si="72"/>
        <v>0</v>
      </c>
      <c r="O135" s="1392">
        <f t="shared" si="72"/>
        <v>0</v>
      </c>
      <c r="P135" s="1392">
        <f t="shared" si="72"/>
        <v>0</v>
      </c>
      <c r="Q135" s="1392">
        <f t="shared" si="72"/>
        <v>0</v>
      </c>
      <c r="R135" s="1392">
        <f t="shared" si="72"/>
        <v>0</v>
      </c>
      <c r="S135" s="1392">
        <f t="shared" si="72"/>
        <v>0</v>
      </c>
      <c r="T135" s="1392">
        <f t="shared" si="72"/>
        <v>0</v>
      </c>
      <c r="U135" s="1392">
        <f t="shared" si="72"/>
        <v>0</v>
      </c>
      <c r="V135" s="1392">
        <f t="shared" si="72"/>
        <v>0</v>
      </c>
      <c r="W135" s="1392">
        <f t="shared" si="72"/>
        <v>0</v>
      </c>
      <c r="AA135"/>
      <c r="AB135"/>
      <c r="AC135"/>
      <c r="AD135"/>
      <c r="AE135"/>
      <c r="AF135"/>
      <c r="AJ135" s="1384"/>
    </row>
    <row r="136" spans="1:36" s="1389" customFormat="1" outlineLevel="1">
      <c r="A136" s="1391"/>
      <c r="B136" s="1316">
        <f t="shared" si="67"/>
        <v>25</v>
      </c>
      <c r="C136" s="1315" t="str">
        <f t="shared" si="48"/>
        <v>PV of Increase in forecast year 24 lease commitments</v>
      </c>
      <c r="D136" s="1315"/>
      <c r="E136" s="1315"/>
      <c r="F136" s="1315"/>
      <c r="G136" s="1315"/>
      <c r="H136" s="1392">
        <f t="shared" si="46"/>
        <v>0</v>
      </c>
      <c r="I136" s="1392">
        <f t="shared" ref="I136:W136" si="73">IF(ISERROR((I100-H101)/(POWER((1+I$45),$B136))),"NA",(I100-H101)/(POWER((1+I$45),$B136)))</f>
        <v>0</v>
      </c>
      <c r="J136" s="1392">
        <f t="shared" si="73"/>
        <v>0</v>
      </c>
      <c r="K136" s="1392">
        <f t="shared" si="73"/>
        <v>0</v>
      </c>
      <c r="L136" s="1392">
        <f t="shared" si="73"/>
        <v>0</v>
      </c>
      <c r="M136" s="1392">
        <f t="shared" si="73"/>
        <v>0</v>
      </c>
      <c r="N136" s="1392">
        <f t="shared" si="73"/>
        <v>0</v>
      </c>
      <c r="O136" s="1392">
        <f t="shared" si="73"/>
        <v>0</v>
      </c>
      <c r="P136" s="1392">
        <f t="shared" si="73"/>
        <v>0</v>
      </c>
      <c r="Q136" s="1392">
        <f t="shared" si="73"/>
        <v>0</v>
      </c>
      <c r="R136" s="1392">
        <f t="shared" si="73"/>
        <v>0</v>
      </c>
      <c r="S136" s="1392">
        <f t="shared" si="73"/>
        <v>0</v>
      </c>
      <c r="T136" s="1392">
        <f t="shared" si="73"/>
        <v>0</v>
      </c>
      <c r="U136" s="1392">
        <f t="shared" si="73"/>
        <v>0</v>
      </c>
      <c r="V136" s="1392">
        <f t="shared" si="73"/>
        <v>0</v>
      </c>
      <c r="W136" s="1392">
        <f t="shared" si="73"/>
        <v>0</v>
      </c>
      <c r="AA136"/>
      <c r="AB136"/>
      <c r="AC136"/>
      <c r="AD136"/>
      <c r="AE136"/>
      <c r="AF136"/>
      <c r="AJ136" s="1384"/>
    </row>
    <row r="137" spans="1:36" s="1389" customFormat="1" outlineLevel="1">
      <c r="A137" s="1391"/>
      <c r="B137" s="1316">
        <f t="shared" si="67"/>
        <v>26</v>
      </c>
      <c r="C137" s="1315" t="str">
        <f t="shared" si="48"/>
        <v>PV of Increase in forecast year 25 lease commitments</v>
      </c>
      <c r="D137" s="1315"/>
      <c r="E137" s="1315"/>
      <c r="F137" s="1315"/>
      <c r="G137" s="1315"/>
      <c r="H137" s="1392">
        <f t="shared" si="46"/>
        <v>0</v>
      </c>
      <c r="I137" s="1392">
        <f t="shared" ref="I137:W137" si="74">IF(ISERROR((I101-H102)/(POWER((1+I$45),$B137))),"NA",(I101-H102)/(POWER((1+I$45),$B137)))</f>
        <v>0</v>
      </c>
      <c r="J137" s="1392">
        <f t="shared" si="74"/>
        <v>0</v>
      </c>
      <c r="K137" s="1392">
        <f t="shared" si="74"/>
        <v>0</v>
      </c>
      <c r="L137" s="1392">
        <f t="shared" si="74"/>
        <v>0</v>
      </c>
      <c r="M137" s="1392">
        <f t="shared" si="74"/>
        <v>0</v>
      </c>
      <c r="N137" s="1392">
        <f t="shared" si="74"/>
        <v>0</v>
      </c>
      <c r="O137" s="1392">
        <f t="shared" si="74"/>
        <v>0</v>
      </c>
      <c r="P137" s="1392">
        <f t="shared" si="74"/>
        <v>0</v>
      </c>
      <c r="Q137" s="1392">
        <f t="shared" si="74"/>
        <v>0</v>
      </c>
      <c r="R137" s="1392">
        <f t="shared" si="74"/>
        <v>0</v>
      </c>
      <c r="S137" s="1392">
        <f t="shared" si="74"/>
        <v>0</v>
      </c>
      <c r="T137" s="1392">
        <f t="shared" si="74"/>
        <v>0</v>
      </c>
      <c r="U137" s="1392">
        <f t="shared" si="74"/>
        <v>0</v>
      </c>
      <c r="V137" s="1392">
        <f t="shared" si="74"/>
        <v>0</v>
      </c>
      <c r="W137" s="1392">
        <f t="shared" si="74"/>
        <v>0</v>
      </c>
      <c r="AA137"/>
      <c r="AB137"/>
      <c r="AC137"/>
      <c r="AD137"/>
      <c r="AE137"/>
      <c r="AF137"/>
      <c r="AJ137" s="1384"/>
    </row>
    <row r="138" spans="1:36" s="1389" customFormat="1" outlineLevel="1">
      <c r="A138" s="1391"/>
      <c r="B138" s="1316">
        <f t="shared" si="67"/>
        <v>27</v>
      </c>
      <c r="C138" s="1315" t="str">
        <f t="shared" si="48"/>
        <v>PV of Increase in forecast year 26 lease commitments</v>
      </c>
      <c r="D138" s="1315"/>
      <c r="E138" s="1315"/>
      <c r="F138" s="1315"/>
      <c r="G138" s="1315"/>
      <c r="H138" s="1392">
        <f t="shared" si="46"/>
        <v>0</v>
      </c>
      <c r="I138" s="1392">
        <f t="shared" ref="I138:W138" si="75">IF(ISERROR((I102-H103)/(POWER((1+I$45),$B138))),"NA",(I102-H103)/(POWER((1+I$45),$B138)))</f>
        <v>0</v>
      </c>
      <c r="J138" s="1392">
        <f t="shared" si="75"/>
        <v>0</v>
      </c>
      <c r="K138" s="1392">
        <f t="shared" si="75"/>
        <v>0</v>
      </c>
      <c r="L138" s="1392">
        <f t="shared" si="75"/>
        <v>0</v>
      </c>
      <c r="M138" s="1392">
        <f t="shared" si="75"/>
        <v>0</v>
      </c>
      <c r="N138" s="1392">
        <f t="shared" si="75"/>
        <v>0</v>
      </c>
      <c r="O138" s="1392">
        <f t="shared" si="75"/>
        <v>0</v>
      </c>
      <c r="P138" s="1392">
        <f t="shared" si="75"/>
        <v>0</v>
      </c>
      <c r="Q138" s="1392">
        <f t="shared" si="75"/>
        <v>0</v>
      </c>
      <c r="R138" s="1392">
        <f t="shared" si="75"/>
        <v>0</v>
      </c>
      <c r="S138" s="1392">
        <f t="shared" si="75"/>
        <v>0</v>
      </c>
      <c r="T138" s="1392">
        <f t="shared" si="75"/>
        <v>0</v>
      </c>
      <c r="U138" s="1392">
        <f t="shared" si="75"/>
        <v>0</v>
      </c>
      <c r="V138" s="1392">
        <f t="shared" si="75"/>
        <v>0</v>
      </c>
      <c r="W138" s="1392">
        <f t="shared" si="75"/>
        <v>0</v>
      </c>
      <c r="AA138"/>
      <c r="AB138"/>
      <c r="AC138"/>
      <c r="AD138"/>
      <c r="AE138"/>
      <c r="AF138"/>
      <c r="AJ138" s="1384"/>
    </row>
    <row r="139" spans="1:36" s="1389" customFormat="1" outlineLevel="1">
      <c r="A139" s="1391"/>
      <c r="B139" s="1316">
        <f t="shared" si="67"/>
        <v>28</v>
      </c>
      <c r="C139" s="1315" t="str">
        <f t="shared" si="48"/>
        <v>PV of Increase in forecast year 27 lease commitments</v>
      </c>
      <c r="D139" s="1315"/>
      <c r="E139" s="1315"/>
      <c r="F139" s="1315"/>
      <c r="G139" s="1315"/>
      <c r="H139" s="1392">
        <f t="shared" si="46"/>
        <v>0</v>
      </c>
      <c r="I139" s="1392">
        <f t="shared" ref="I139:W139" si="76">IF(ISERROR((I103-H104)/(POWER((1+I$45),$B139))),"NA",(I103-H104)/(POWER((1+I$45),$B139)))</f>
        <v>0</v>
      </c>
      <c r="J139" s="1392">
        <f t="shared" si="76"/>
        <v>0</v>
      </c>
      <c r="K139" s="1392">
        <f t="shared" si="76"/>
        <v>0</v>
      </c>
      <c r="L139" s="1392">
        <f t="shared" si="76"/>
        <v>0</v>
      </c>
      <c r="M139" s="1392">
        <f t="shared" si="76"/>
        <v>0</v>
      </c>
      <c r="N139" s="1392">
        <f t="shared" si="76"/>
        <v>0</v>
      </c>
      <c r="O139" s="1392">
        <f t="shared" si="76"/>
        <v>0</v>
      </c>
      <c r="P139" s="1392">
        <f t="shared" si="76"/>
        <v>0</v>
      </c>
      <c r="Q139" s="1392">
        <f t="shared" si="76"/>
        <v>0</v>
      </c>
      <c r="R139" s="1392">
        <f t="shared" si="76"/>
        <v>0</v>
      </c>
      <c r="S139" s="1392">
        <f t="shared" si="76"/>
        <v>0</v>
      </c>
      <c r="T139" s="1392">
        <f t="shared" si="76"/>
        <v>0</v>
      </c>
      <c r="U139" s="1392">
        <f t="shared" si="76"/>
        <v>0</v>
      </c>
      <c r="V139" s="1392">
        <f t="shared" si="76"/>
        <v>0</v>
      </c>
      <c r="W139" s="1392">
        <f t="shared" si="76"/>
        <v>0</v>
      </c>
      <c r="AA139"/>
      <c r="AB139"/>
      <c r="AC139"/>
      <c r="AD139"/>
      <c r="AE139"/>
      <c r="AF139"/>
      <c r="AJ139" s="1384"/>
    </row>
    <row r="140" spans="1:36" s="1389" customFormat="1" outlineLevel="1">
      <c r="A140" s="1391"/>
      <c r="B140" s="1316">
        <f t="shared" si="67"/>
        <v>29</v>
      </c>
      <c r="C140" s="1315" t="str">
        <f t="shared" si="48"/>
        <v>PV of Increase in forecast year 28 lease commitments</v>
      </c>
      <c r="D140" s="1315"/>
      <c r="E140" s="1315"/>
      <c r="F140" s="1315"/>
      <c r="G140" s="1315"/>
      <c r="H140" s="1392">
        <f t="shared" si="46"/>
        <v>0</v>
      </c>
      <c r="I140" s="1392">
        <f t="shared" ref="I140:W140" si="77">IF(ISERROR((I104-H105)/(POWER((1+I$45),$B140))),"NA",(I104-H105)/(POWER((1+I$45),$B140)))</f>
        <v>0</v>
      </c>
      <c r="J140" s="1392">
        <f t="shared" si="77"/>
        <v>0</v>
      </c>
      <c r="K140" s="1392">
        <f t="shared" si="77"/>
        <v>0</v>
      </c>
      <c r="L140" s="1392">
        <f t="shared" si="77"/>
        <v>0</v>
      </c>
      <c r="M140" s="1392">
        <f t="shared" si="77"/>
        <v>0</v>
      </c>
      <c r="N140" s="1392">
        <f t="shared" si="77"/>
        <v>0</v>
      </c>
      <c r="O140" s="1392">
        <f t="shared" si="77"/>
        <v>0</v>
      </c>
      <c r="P140" s="1392">
        <f t="shared" si="77"/>
        <v>0</v>
      </c>
      <c r="Q140" s="1392">
        <f t="shared" si="77"/>
        <v>0</v>
      </c>
      <c r="R140" s="1392">
        <f t="shared" si="77"/>
        <v>0</v>
      </c>
      <c r="S140" s="1392">
        <f t="shared" si="77"/>
        <v>0</v>
      </c>
      <c r="T140" s="1392">
        <f t="shared" si="77"/>
        <v>0</v>
      </c>
      <c r="U140" s="1392">
        <f t="shared" si="77"/>
        <v>0</v>
      </c>
      <c r="V140" s="1392">
        <f t="shared" si="77"/>
        <v>0</v>
      </c>
      <c r="W140" s="1392">
        <f t="shared" si="77"/>
        <v>0</v>
      </c>
      <c r="AA140"/>
      <c r="AB140"/>
      <c r="AC140"/>
      <c r="AD140"/>
      <c r="AE140"/>
      <c r="AF140"/>
      <c r="AJ140" s="1384"/>
    </row>
    <row r="141" spans="1:36" s="1389" customFormat="1" outlineLevel="1">
      <c r="A141" s="1391"/>
      <c r="B141" s="1316">
        <f t="shared" si="67"/>
        <v>30</v>
      </c>
      <c r="C141" s="1315" t="str">
        <f t="shared" si="48"/>
        <v>PV of Increase in forecast year 29 lease commitments</v>
      </c>
      <c r="D141" s="1315"/>
      <c r="E141" s="1315"/>
      <c r="F141" s="1315"/>
      <c r="G141" s="1315"/>
      <c r="H141" s="1392">
        <f t="shared" si="46"/>
        <v>0</v>
      </c>
      <c r="I141" s="1392">
        <f t="shared" ref="I141:W141" si="78">IF(ISERROR((I105-H106)/(POWER((1+I$45),$B141))),"NA",(I105-H106)/(POWER((1+I$45),$B141)))</f>
        <v>0</v>
      </c>
      <c r="J141" s="1392">
        <f t="shared" si="78"/>
        <v>0</v>
      </c>
      <c r="K141" s="1392">
        <f t="shared" si="78"/>
        <v>0</v>
      </c>
      <c r="L141" s="1392">
        <f t="shared" si="78"/>
        <v>0</v>
      </c>
      <c r="M141" s="1392">
        <f t="shared" si="78"/>
        <v>0</v>
      </c>
      <c r="N141" s="1392">
        <f t="shared" si="78"/>
        <v>0</v>
      </c>
      <c r="O141" s="1392">
        <f t="shared" si="78"/>
        <v>0</v>
      </c>
      <c r="P141" s="1392">
        <f t="shared" si="78"/>
        <v>0</v>
      </c>
      <c r="Q141" s="1392">
        <f t="shared" si="78"/>
        <v>0</v>
      </c>
      <c r="R141" s="1392">
        <f t="shared" si="78"/>
        <v>0</v>
      </c>
      <c r="S141" s="1392">
        <f t="shared" si="78"/>
        <v>0</v>
      </c>
      <c r="T141" s="1392">
        <f t="shared" si="78"/>
        <v>0</v>
      </c>
      <c r="U141" s="1392">
        <f t="shared" si="78"/>
        <v>0</v>
      </c>
      <c r="V141" s="1392">
        <f t="shared" si="78"/>
        <v>0</v>
      </c>
      <c r="W141" s="1392">
        <f t="shared" si="78"/>
        <v>0</v>
      </c>
      <c r="AA141"/>
      <c r="AB141"/>
      <c r="AC141"/>
      <c r="AD141"/>
      <c r="AE141"/>
      <c r="AF141"/>
      <c r="AJ141" s="1384"/>
    </row>
    <row r="142" spans="1:36" s="1389" customFormat="1" outlineLevel="1">
      <c r="A142" s="1391"/>
      <c r="B142" s="1390"/>
      <c r="C142" s="1315"/>
      <c r="D142" s="1315"/>
      <c r="E142" s="1315"/>
      <c r="F142" s="1315"/>
      <c r="G142" s="1315"/>
      <c r="H142" s="1386"/>
      <c r="I142" s="1386"/>
      <c r="J142" s="1385"/>
      <c r="K142" s="1385"/>
      <c r="L142" s="1385"/>
      <c r="M142" s="1385"/>
      <c r="N142" s="1385"/>
      <c r="O142" s="1385"/>
      <c r="P142" s="1385"/>
      <c r="Q142" s="1385"/>
      <c r="R142" s="1385"/>
      <c r="S142" s="1385"/>
      <c r="T142" s="1385"/>
      <c r="U142" s="1385"/>
      <c r="V142" s="1385"/>
      <c r="W142" s="1385"/>
      <c r="AA142"/>
      <c r="AB142"/>
      <c r="AC142"/>
      <c r="AD142"/>
      <c r="AE142"/>
      <c r="AF142"/>
      <c r="AJ142" s="1384"/>
    </row>
    <row r="143" spans="1:36" s="1383" customFormat="1" outlineLevel="1">
      <c r="A143" s="1388"/>
      <c r="B143" s="1387"/>
      <c r="C143" s="1315" t="s">
        <v>679</v>
      </c>
      <c r="D143" s="1315"/>
      <c r="E143" s="1315"/>
      <c r="F143" s="1315"/>
      <c r="G143" s="1315"/>
      <c r="H143" s="1386">
        <f t="shared" ref="H143:W143" si="79">SUM(H112:H142)</f>
        <v>679.66800374564139</v>
      </c>
      <c r="I143" s="1386">
        <f t="shared" si="79"/>
        <v>87.88497853581282</v>
      </c>
      <c r="J143" s="1385">
        <f t="shared" si="79"/>
        <v>113.91915505909529</v>
      </c>
      <c r="K143" s="1385">
        <f t="shared" si="79"/>
        <v>222.65046576764732</v>
      </c>
      <c r="L143" s="1385">
        <f t="shared" si="79"/>
        <v>344.74425786766744</v>
      </c>
      <c r="M143" s="1385">
        <f t="shared" si="79"/>
        <v>293.49747098181831</v>
      </c>
      <c r="N143" s="1385">
        <f t="shared" si="79"/>
        <v>274.66079416013429</v>
      </c>
      <c r="O143" s="1385">
        <f t="shared" si="79"/>
        <v>-719.83515093915832</v>
      </c>
      <c r="P143" s="1385">
        <f t="shared" si="79"/>
        <v>1080.5652179262945</v>
      </c>
      <c r="Q143" s="1385">
        <f t="shared" si="79"/>
        <v>264.96587562739916</v>
      </c>
      <c r="R143" s="1385">
        <f t="shared" si="79"/>
        <v>270.2651931399472</v>
      </c>
      <c r="S143" s="1385">
        <f t="shared" si="79"/>
        <v>275.67049700274606</v>
      </c>
      <c r="T143" s="1385">
        <f t="shared" si="79"/>
        <v>281.18390694280106</v>
      </c>
      <c r="U143" s="1385">
        <f t="shared" si="79"/>
        <v>286.80758508165707</v>
      </c>
      <c r="V143" s="1385">
        <f t="shared" si="79"/>
        <v>292.54373678329023</v>
      </c>
      <c r="W143" s="1385">
        <f t="shared" si="79"/>
        <v>298.39461151895597</v>
      </c>
      <c r="AA143"/>
      <c r="AB143"/>
      <c r="AC143"/>
      <c r="AD143"/>
      <c r="AE143"/>
      <c r="AF143"/>
      <c r="AJ143" s="1384"/>
    </row>
    <row r="144" spans="1:36">
      <c r="C144" s="1382"/>
      <c r="D144" s="1382"/>
      <c r="E144" s="1382"/>
      <c r="F144" s="1382"/>
      <c r="G144" s="1382"/>
      <c r="H144" s="1380"/>
      <c r="I144" s="1380"/>
      <c r="J144" s="1380"/>
      <c r="K144" s="1380"/>
      <c r="L144" s="1380"/>
      <c r="M144" s="1380"/>
      <c r="N144" s="1380"/>
      <c r="O144" s="1380"/>
      <c r="P144" s="1380"/>
      <c r="Q144" s="1380"/>
      <c r="R144" s="1380"/>
      <c r="S144" s="1380"/>
      <c r="T144" s="1380"/>
      <c r="U144" s="1380"/>
      <c r="V144" s="1380"/>
      <c r="W144" s="1380"/>
    </row>
    <row r="145" spans="1:36">
      <c r="H145" s="1380"/>
      <c r="I145" s="1380"/>
      <c r="J145" s="1381"/>
      <c r="K145" s="1380"/>
      <c r="L145" s="1380"/>
      <c r="M145" s="1380"/>
      <c r="N145" s="1380"/>
      <c r="O145" s="1380"/>
      <c r="P145" s="1380"/>
      <c r="Q145" s="1380"/>
      <c r="R145" s="1380"/>
      <c r="S145" s="1380"/>
      <c r="T145" s="1380"/>
      <c r="U145" s="1380"/>
      <c r="V145" s="1380"/>
      <c r="W145" s="1380"/>
    </row>
    <row r="146" spans="1:36">
      <c r="H146" s="1380"/>
      <c r="I146" s="1380"/>
      <c r="J146" s="1380"/>
      <c r="K146" s="1380"/>
      <c r="L146" s="1380"/>
      <c r="M146" s="1380"/>
      <c r="N146" s="1380"/>
      <c r="O146" s="1380"/>
      <c r="P146" s="1380"/>
      <c r="Q146" s="1380"/>
      <c r="R146" s="1380"/>
      <c r="T146" s="1314"/>
      <c r="U146" s="1314"/>
      <c r="V146" s="1314"/>
      <c r="W146" s="1314"/>
    </row>
    <row r="147" spans="1:36" ht="12.75" customHeight="1" outlineLevel="1">
      <c r="C147" s="1379" t="s">
        <v>680</v>
      </c>
      <c r="D147" s="1379"/>
      <c r="E147" s="1379"/>
      <c r="F147" s="1379"/>
      <c r="G147" s="1379"/>
      <c r="H147" s="1378">
        <f t="shared" ref="H147:W147" si="80">H110</f>
        <v>39841</v>
      </c>
      <c r="I147" s="1378">
        <f t="shared" si="80"/>
        <v>40206</v>
      </c>
      <c r="J147" s="1378">
        <f t="shared" si="80"/>
        <v>40571</v>
      </c>
      <c r="K147" s="1378">
        <f t="shared" si="80"/>
        <v>40936</v>
      </c>
      <c r="L147" s="1378">
        <f t="shared" si="80"/>
        <v>41302</v>
      </c>
      <c r="M147" s="1378">
        <f t="shared" si="80"/>
        <v>41667</v>
      </c>
      <c r="N147" s="1378">
        <f t="shared" si="80"/>
        <v>42032</v>
      </c>
      <c r="O147" s="1378">
        <f t="shared" si="80"/>
        <v>42397</v>
      </c>
      <c r="P147" s="1378">
        <f t="shared" si="80"/>
        <v>42763</v>
      </c>
      <c r="Q147" s="1378">
        <f t="shared" si="80"/>
        <v>43128</v>
      </c>
      <c r="R147" s="1378">
        <f t="shared" si="80"/>
        <v>43493</v>
      </c>
      <c r="S147" s="1378">
        <f t="shared" si="80"/>
        <v>43858</v>
      </c>
      <c r="T147" s="1378">
        <f t="shared" si="80"/>
        <v>44224</v>
      </c>
      <c r="U147" s="1378">
        <f t="shared" si="80"/>
        <v>44589</v>
      </c>
      <c r="V147" s="1378">
        <f t="shared" si="80"/>
        <v>44954</v>
      </c>
      <c r="W147" s="1378">
        <f t="shared" si="80"/>
        <v>45319</v>
      </c>
    </row>
    <row r="148" spans="1:36" ht="11.25" customHeight="1" outlineLevel="1">
      <c r="H148" s="1377"/>
      <c r="I148" s="1377"/>
      <c r="J148" s="1377"/>
      <c r="K148" s="1377"/>
      <c r="L148" s="1377"/>
      <c r="M148" s="1377"/>
      <c r="N148" s="1377"/>
      <c r="O148" s="1376"/>
      <c r="P148" s="1376"/>
      <c r="Q148" s="1376"/>
      <c r="R148" s="1376"/>
      <c r="S148" s="1376"/>
      <c r="T148" s="1376"/>
      <c r="U148" s="1376"/>
      <c r="V148" s="1376"/>
      <c r="W148" s="1376"/>
    </row>
    <row r="149" spans="1:36" s="1334" customFormat="1" ht="11.25" customHeight="1" outlineLevel="1">
      <c r="A149" s="1337"/>
      <c r="C149" s="1335" t="s">
        <v>681</v>
      </c>
      <c r="D149" s="1335"/>
      <c r="E149" s="1335"/>
      <c r="F149" s="1335"/>
      <c r="G149" s="1335"/>
      <c r="H149" s="1375">
        <f t="shared" ref="H149:N149" si="81">H70</f>
        <v>10</v>
      </c>
      <c r="I149" s="1368">
        <f t="shared" si="81"/>
        <v>10</v>
      </c>
      <c r="J149" s="1368">
        <f t="shared" si="81"/>
        <v>10</v>
      </c>
      <c r="K149" s="1368">
        <f t="shared" si="81"/>
        <v>10</v>
      </c>
      <c r="L149" s="1368">
        <f t="shared" si="81"/>
        <v>10</v>
      </c>
      <c r="M149" s="1368">
        <f t="shared" si="81"/>
        <v>10</v>
      </c>
      <c r="N149" s="1368">
        <f t="shared" si="81"/>
        <v>10</v>
      </c>
      <c r="O149" s="1368">
        <f t="shared" ref="O149:W149" si="82">N149</f>
        <v>10</v>
      </c>
      <c r="P149" s="1368">
        <f t="shared" si="82"/>
        <v>10</v>
      </c>
      <c r="Q149" s="1368">
        <f t="shared" si="82"/>
        <v>10</v>
      </c>
      <c r="R149" s="1368">
        <f t="shared" si="82"/>
        <v>10</v>
      </c>
      <c r="S149" s="1368">
        <f t="shared" si="82"/>
        <v>10</v>
      </c>
      <c r="T149" s="1368">
        <f t="shared" si="82"/>
        <v>10</v>
      </c>
      <c r="U149" s="1368">
        <f t="shared" si="82"/>
        <v>10</v>
      </c>
      <c r="V149" s="1368">
        <f t="shared" si="82"/>
        <v>10</v>
      </c>
      <c r="W149" s="1368">
        <f t="shared" si="82"/>
        <v>10</v>
      </c>
      <c r="AA149"/>
      <c r="AB149"/>
      <c r="AC149"/>
      <c r="AD149"/>
      <c r="AE149"/>
      <c r="AF149"/>
      <c r="AJ149" s="1345"/>
    </row>
    <row r="150" spans="1:36" s="1334" customFormat="1" ht="11.25" customHeight="1" outlineLevel="1">
      <c r="A150" s="1337"/>
      <c r="C150" s="1335" t="s">
        <v>682</v>
      </c>
      <c r="D150" s="1372"/>
      <c r="E150" s="1372"/>
      <c r="F150" s="1372"/>
      <c r="G150" s="1372"/>
      <c r="H150" s="1374">
        <v>0</v>
      </c>
      <c r="I150" s="1373"/>
      <c r="J150" s="1373"/>
      <c r="K150" s="1368"/>
      <c r="L150" s="1368"/>
      <c r="M150" s="1368"/>
      <c r="N150" s="1368"/>
      <c r="O150" s="1368"/>
      <c r="P150" s="1368"/>
      <c r="Q150" s="1368"/>
      <c r="R150" s="1368"/>
      <c r="S150" s="1368"/>
      <c r="T150" s="1368"/>
      <c r="U150" s="1368"/>
      <c r="V150" s="1368"/>
      <c r="W150" s="1368"/>
      <c r="AA150"/>
      <c r="AB150"/>
      <c r="AC150"/>
      <c r="AD150"/>
      <c r="AE150"/>
      <c r="AF150"/>
      <c r="AJ150" s="1345"/>
    </row>
    <row r="151" spans="1:36" s="1334" customFormat="1" ht="11.25" customHeight="1" outlineLevel="1">
      <c r="A151" s="1337"/>
      <c r="C151" s="1335" t="s">
        <v>683</v>
      </c>
      <c r="D151" s="1372"/>
      <c r="E151" s="1372"/>
      <c r="F151" s="1372"/>
      <c r="G151" s="1372"/>
      <c r="H151" s="1371">
        <v>0.98</v>
      </c>
      <c r="AA151"/>
      <c r="AB151"/>
      <c r="AC151"/>
      <c r="AD151"/>
      <c r="AE151"/>
      <c r="AF151"/>
      <c r="AJ151" s="1345"/>
    </row>
    <row r="152" spans="1:36" s="1335" customFormat="1" ht="11.25" customHeight="1" outlineLevel="1">
      <c r="A152" s="1363"/>
      <c r="C152" s="1335" t="s">
        <v>423</v>
      </c>
      <c r="H152" s="1370">
        <v>2</v>
      </c>
      <c r="AA152"/>
      <c r="AB152"/>
      <c r="AC152"/>
      <c r="AD152"/>
      <c r="AE152"/>
      <c r="AF152"/>
      <c r="AJ152" s="1345"/>
    </row>
    <row r="153" spans="1:36" s="1335" customFormat="1" ht="11.25" customHeight="1" outlineLevel="1">
      <c r="A153" s="1363"/>
      <c r="C153" s="1335" t="s">
        <v>424</v>
      </c>
      <c r="H153" s="1369">
        <f>H24*(1-H150)</f>
        <v>515.95178972364408</v>
      </c>
      <c r="I153" s="1369">
        <f t="shared" ref="I153:W153" si="83">I143*(1-$H$150)</f>
        <v>87.88497853581282</v>
      </c>
      <c r="J153" s="1369">
        <f t="shared" si="83"/>
        <v>113.91915505909529</v>
      </c>
      <c r="K153" s="1369">
        <f t="shared" si="83"/>
        <v>222.65046576764732</v>
      </c>
      <c r="L153" s="1369">
        <f t="shared" si="83"/>
        <v>344.74425786766744</v>
      </c>
      <c r="M153" s="1369">
        <f t="shared" si="83"/>
        <v>293.49747098181831</v>
      </c>
      <c r="N153" s="1369">
        <f t="shared" si="83"/>
        <v>274.66079416013429</v>
      </c>
      <c r="O153" s="1369">
        <f t="shared" si="83"/>
        <v>-719.83515093915832</v>
      </c>
      <c r="P153" s="1369">
        <f t="shared" si="83"/>
        <v>1080.5652179262945</v>
      </c>
      <c r="Q153" s="1369">
        <f t="shared" si="83"/>
        <v>264.96587562739916</v>
      </c>
      <c r="R153" s="1369">
        <f t="shared" si="83"/>
        <v>270.2651931399472</v>
      </c>
      <c r="S153" s="1369">
        <f t="shared" si="83"/>
        <v>275.67049700274606</v>
      </c>
      <c r="T153" s="1369">
        <f t="shared" si="83"/>
        <v>281.18390694280106</v>
      </c>
      <c r="U153" s="1369">
        <f t="shared" si="83"/>
        <v>286.80758508165707</v>
      </c>
      <c r="V153" s="1369">
        <f t="shared" si="83"/>
        <v>292.54373678329023</v>
      </c>
      <c r="W153" s="1369">
        <f t="shared" si="83"/>
        <v>298.39461151895597</v>
      </c>
      <c r="AA153"/>
      <c r="AB153"/>
      <c r="AC153"/>
      <c r="AD153"/>
      <c r="AE153"/>
      <c r="AF153"/>
      <c r="AJ153" s="1345"/>
    </row>
    <row r="154" spans="1:36" s="1335" customFormat="1" ht="11.25" customHeight="1" outlineLevel="1">
      <c r="A154" s="1363"/>
      <c r="B154" s="1369"/>
      <c r="C154" s="1335" t="s">
        <v>425</v>
      </c>
      <c r="H154" s="1361">
        <f>$H$24/$H$149*H152*(1-H150)</f>
        <v>103.19035794472882</v>
      </c>
      <c r="I154" s="1364">
        <f>IF(SUM($H154:H154)+H154*$H$151&lt;$H$153,H154*$H$151,$H$153-SUM($H154:H154))</f>
        <v>101.12655078583424</v>
      </c>
      <c r="J154" s="1364">
        <f>IF(SUM($H154:I154)+I154*$H$151&lt;$H$153,I154*$H$151,$H$153-SUM($H154:I154))</f>
        <v>99.10401977011756</v>
      </c>
      <c r="K154" s="1364">
        <f>IF(SUM($H154:J154)+J154*$H$151&lt;$H$153,J154*$H$151,$H$153-SUM($H154:J154))</f>
        <v>97.121939374715211</v>
      </c>
      <c r="L154" s="1364">
        <f>IF(SUM($H154:K154)+K154*$H$151&lt;$H$153,K154*$H$151,$H$153-SUM($H154:K154))</f>
        <v>95.1795005872209</v>
      </c>
      <c r="M154" s="1364">
        <f>IF(SUM($H154:L154)+L154*$H$151&lt;$H$153,L154*$H$151,$H$153-SUM($H154:L154))</f>
        <v>20.229421261027369</v>
      </c>
      <c r="N154" s="1364">
        <f>IF(SUM($H154:M154)+M154*$H$151&lt;$H$153,M154*$H$151,$H$153-SUM($H154:M154))</f>
        <v>0</v>
      </c>
      <c r="O154" s="1364">
        <f>IF(SUM($H154:N154)+N154*$H$151&lt;$H$153,N154*$H$151,$H$153-SUM($H154:N154))</f>
        <v>0</v>
      </c>
      <c r="P154" s="1364">
        <f>IF(SUM($H154:O154)+O154*$H$151&lt;$H$153,O154*$H$151,$H$153-SUM($H154:O154))</f>
        <v>0</v>
      </c>
      <c r="Q154" s="1364">
        <f>IF(SUM($H154:P154)+P154*$H$151&lt;$H$153,P154*$H$151,$H$153-SUM($H154:P154))</f>
        <v>0</v>
      </c>
      <c r="R154" s="1364">
        <f>IF(SUM($H154:Q154)+Q154*$H$151&lt;$H$153,Q154*$H$151,$H$153-SUM($H154:Q154))</f>
        <v>0</v>
      </c>
      <c r="S154" s="1364">
        <f>IF(SUM($H154:R154)+R154*$H$151&lt;$H$153,R154*$H$151,$H$153-SUM($H154:R154))</f>
        <v>0</v>
      </c>
      <c r="T154" s="1364">
        <f>IF(SUM($H154:S154)+S154*$H$151&lt;$H$153,S154*$H$151,$H$153-SUM($H154:S154))</f>
        <v>0</v>
      </c>
      <c r="U154" s="1364">
        <f>IF(SUM($H154:T154)+T154*$H$151&lt;$H$153,T154*$H$151,$H$153-SUM($H154:T154))</f>
        <v>0</v>
      </c>
      <c r="V154" s="1364">
        <f>IF(SUM($H154:U154)+U154*$H$151&lt;$H$153,U154*$H$151,$H$153-SUM($H154:U154))</f>
        <v>0</v>
      </c>
      <c r="W154" s="1364">
        <f>IF(SUM($H154:V154)+V154*$H$151&lt;$H$153,V154*$H$151,$H$153-SUM($H154:V154))</f>
        <v>0</v>
      </c>
      <c r="AA154"/>
      <c r="AB154"/>
      <c r="AC154"/>
      <c r="AD154"/>
      <c r="AE154"/>
      <c r="AF154"/>
      <c r="AJ154" s="1345"/>
    </row>
    <row r="155" spans="1:36" s="1334" customFormat="1" ht="11.25" customHeight="1" outlineLevel="1">
      <c r="A155" s="1337"/>
      <c r="B155" s="1368"/>
      <c r="C155" s="1367">
        <f t="array" ref="C155:C169">TRANSPOSE(H147:W147)</f>
        <v>39841</v>
      </c>
      <c r="D155" s="1356"/>
      <c r="E155" s="1356"/>
      <c r="F155" s="1356"/>
      <c r="G155" s="1356"/>
      <c r="H155" s="1366"/>
      <c r="I155" s="1366">
        <f>I$22/I$149*(1-$H$150)</f>
        <v>8.7884978535812817</v>
      </c>
      <c r="J155" s="1366">
        <f>(IF(COUNT($I155:I155)&lt;$I$149,I155,0))</f>
        <v>8.7884978535812817</v>
      </c>
      <c r="K155" s="1366">
        <f>(IF(COUNT($I155:J155)&lt;$I$149,J155,0))</f>
        <v>8.7884978535812817</v>
      </c>
      <c r="L155" s="1366">
        <f>(IF(COUNT($I155:K155)&lt;$I$149,K155,0))</f>
        <v>8.7884978535812817</v>
      </c>
      <c r="M155" s="1366">
        <f>(IF(COUNT($I155:L155)&lt;$I$149,L155,0))</f>
        <v>8.7884978535812817</v>
      </c>
      <c r="N155" s="1366">
        <f>(IF(COUNT($I155:M155)&lt;$I$149,M155,0))</f>
        <v>8.7884978535812817</v>
      </c>
      <c r="O155" s="1366">
        <f>(IF(COUNT($I155:N155)&lt;$I$149,N155,0))</f>
        <v>8.7884978535812817</v>
      </c>
      <c r="P155" s="1366">
        <f>(IF(COUNT($I155:O155)&lt;$I$149,O155,0))</f>
        <v>8.7884978535812817</v>
      </c>
      <c r="Q155" s="1366">
        <f>(IF(COUNT($I155:P155)&lt;$I$149,P155,0))</f>
        <v>8.7884978535812817</v>
      </c>
      <c r="R155" s="1366">
        <f>(IF(COUNT($I155:Q155)&lt;$I$149,Q155,0))</f>
        <v>8.7884978535812817</v>
      </c>
      <c r="S155" s="1366">
        <f>(IF(COUNT($I155:R155)&lt;$I$149,R155,0))</f>
        <v>0</v>
      </c>
      <c r="T155" s="1366">
        <f>(IF(COUNT($I155:S155)&lt;$I$149,S155,0))</f>
        <v>0</v>
      </c>
      <c r="U155" s="1366">
        <f>(IF(COUNT($I155:T155)&lt;$I$149,T155,0))</f>
        <v>0</v>
      </c>
      <c r="V155" s="1366">
        <f>(IF(COUNT($I155:U155)&lt;$I$149,U155,0))</f>
        <v>0</v>
      </c>
      <c r="W155" s="1366">
        <f>(IF(COUNT($I155:V155)&lt;$I$149,V155,0))</f>
        <v>0</v>
      </c>
      <c r="X155" s="1366"/>
      <c r="Y155" s="1366"/>
      <c r="Z155" s="1366"/>
      <c r="AA155"/>
      <c r="AB155"/>
      <c r="AC155"/>
      <c r="AD155"/>
      <c r="AE155"/>
      <c r="AF155"/>
      <c r="AJ155" s="1345"/>
    </row>
    <row r="156" spans="1:36" s="1334" customFormat="1" ht="11.25" customHeight="1" outlineLevel="1">
      <c r="A156" s="1337"/>
      <c r="B156" s="1368"/>
      <c r="C156" s="1367">
        <v>40206</v>
      </c>
      <c r="D156" s="1356"/>
      <c r="E156" s="1356"/>
      <c r="F156" s="1356"/>
      <c r="G156" s="1356"/>
      <c r="H156" s="1366"/>
      <c r="I156" s="1366"/>
      <c r="J156" s="1366">
        <f>J$22/J$149*(1-$H$150)</f>
        <v>11.391915505909529</v>
      </c>
      <c r="K156" s="1366">
        <f>(IF(COUNT($J156:J156)&lt;$J$149,J156,0))</f>
        <v>11.391915505909529</v>
      </c>
      <c r="L156" s="1366">
        <f>(IF(COUNT($J156:K156)&lt;$J$149,K156,0))</f>
        <v>11.391915505909529</v>
      </c>
      <c r="M156" s="1366">
        <f>(IF(COUNT($J156:L156)&lt;$J$149,L156,0))</f>
        <v>11.391915505909529</v>
      </c>
      <c r="N156" s="1366">
        <f>(IF(COUNT($J156:M156)&lt;$J$149,M156,0))</f>
        <v>11.391915505909529</v>
      </c>
      <c r="O156" s="1366">
        <f>(IF(COUNT($J156:N156)&lt;$J$149,N156,0))</f>
        <v>11.391915505909529</v>
      </c>
      <c r="P156" s="1366">
        <f>(IF(COUNT($J156:O156)&lt;$J$149,O156,0))</f>
        <v>11.391915505909529</v>
      </c>
      <c r="Q156" s="1366">
        <f>(IF(COUNT($J156:P156)&lt;$J$149,P156,0))</f>
        <v>11.391915505909529</v>
      </c>
      <c r="R156" s="1366">
        <f>(IF(COUNT($J156:Q156)&lt;$J$149,Q156,0))</f>
        <v>11.391915505909529</v>
      </c>
      <c r="S156" s="1366">
        <f>(IF(COUNT($J156:R156)&lt;$J$149,R156,0))</f>
        <v>11.391915505909529</v>
      </c>
      <c r="T156" s="1366">
        <f>(IF(COUNT($J156:S156)&lt;$J$149,S156,0))</f>
        <v>0</v>
      </c>
      <c r="U156" s="1366">
        <f>(IF(COUNT($J156:T156)&lt;$J$149,T156,0))</f>
        <v>0</v>
      </c>
      <c r="V156" s="1366">
        <f>(IF(COUNT($J156:U156)&lt;$J$149,U156,0))</f>
        <v>0</v>
      </c>
      <c r="W156" s="1366">
        <f>(IF(COUNT($J156:V156)&lt;$J$149,V156,0))</f>
        <v>0</v>
      </c>
      <c r="X156" s="1366"/>
      <c r="Y156" s="1366"/>
      <c r="Z156" s="1366"/>
      <c r="AA156"/>
      <c r="AB156"/>
      <c r="AC156"/>
      <c r="AD156"/>
      <c r="AE156"/>
      <c r="AF156"/>
      <c r="AJ156" s="1345"/>
    </row>
    <row r="157" spans="1:36" s="1334" customFormat="1" ht="11.25" customHeight="1" outlineLevel="1">
      <c r="A157" s="1337"/>
      <c r="B157" s="1368"/>
      <c r="C157" s="1367">
        <v>40571</v>
      </c>
      <c r="D157" s="1356"/>
      <c r="E157" s="1356"/>
      <c r="F157" s="1356"/>
      <c r="G157" s="1356"/>
      <c r="H157" s="1366"/>
      <c r="I157" s="1366"/>
      <c r="J157" s="1366"/>
      <c r="K157" s="1366">
        <f>K$22/K$149*(1-$H$150)</f>
        <v>22.265046576764732</v>
      </c>
      <c r="L157" s="1366">
        <f>(IF(COUNT($J157:K157)&lt;$K$149,K157,0))</f>
        <v>22.265046576764732</v>
      </c>
      <c r="M157" s="1366">
        <f>(IF(COUNT($J157:L157)&lt;$K$149,L157,0))</f>
        <v>22.265046576764732</v>
      </c>
      <c r="N157" s="1366">
        <f>(IF(COUNT($J157:M157)&lt;$K$149,M157,0))</f>
        <v>22.265046576764732</v>
      </c>
      <c r="O157" s="1366">
        <f>(IF(COUNT($J157:N157)&lt;$K$149,N157,0))</f>
        <v>22.265046576764732</v>
      </c>
      <c r="P157" s="1366">
        <f>(IF(COUNT($J157:O157)&lt;$K$149,O157,0))</f>
        <v>22.265046576764732</v>
      </c>
      <c r="Q157" s="1366">
        <f>(IF(COUNT($J157:P157)&lt;$K$149,P157,0))</f>
        <v>22.265046576764732</v>
      </c>
      <c r="R157" s="1366">
        <f>(IF(COUNT($J157:Q157)&lt;$K$149,Q157,0))</f>
        <v>22.265046576764732</v>
      </c>
      <c r="S157" s="1366">
        <f>(IF(COUNT($J157:R157)&lt;$K$149,R157,0))</f>
        <v>22.265046576764732</v>
      </c>
      <c r="T157" s="1366">
        <f>(IF(COUNT($J157:S157)&lt;$K$149,S157,0))</f>
        <v>22.265046576764732</v>
      </c>
      <c r="U157" s="1366">
        <f>(IF(COUNT($J157:T157)&lt;$K$149,T157,0))</f>
        <v>0</v>
      </c>
      <c r="V157" s="1366">
        <f>(IF(COUNT($J157:U157)&lt;$K$149,U157,0))</f>
        <v>0</v>
      </c>
      <c r="W157" s="1366">
        <f>(IF(COUNT($J157:V157)&lt;$K$149,V157,0))</f>
        <v>0</v>
      </c>
      <c r="AA157"/>
      <c r="AB157"/>
      <c r="AC157"/>
      <c r="AD157"/>
      <c r="AE157"/>
      <c r="AF157"/>
      <c r="AJ157" s="1345"/>
    </row>
    <row r="158" spans="1:36" s="1334" customFormat="1" ht="11.25" customHeight="1" outlineLevel="1">
      <c r="A158" s="1337"/>
      <c r="B158" s="1368"/>
      <c r="C158" s="1367">
        <v>40936</v>
      </c>
      <c r="D158" s="1356"/>
      <c r="E158" s="1356"/>
      <c r="F158" s="1356"/>
      <c r="G158" s="1356"/>
      <c r="H158" s="1366"/>
      <c r="I158" s="1366"/>
      <c r="J158" s="1366"/>
      <c r="K158" s="1366"/>
      <c r="L158" s="1366">
        <f>L$22/L$149*(1-$H$150)</f>
        <v>34.474425786766744</v>
      </c>
      <c r="M158" s="1366">
        <f>(IF(COUNT($L158:L158)&lt;$L$149,L158,0))</f>
        <v>34.474425786766744</v>
      </c>
      <c r="N158" s="1366">
        <f>(IF(COUNT($L158:M158)&lt;$L$149,M158,0))</f>
        <v>34.474425786766744</v>
      </c>
      <c r="O158" s="1366">
        <f>(IF(COUNT($L158:N158)&lt;$L$149,N158,0))</f>
        <v>34.474425786766744</v>
      </c>
      <c r="P158" s="1366">
        <f>(IF(COUNT($L158:O158)&lt;$L$149,O158,0))</f>
        <v>34.474425786766744</v>
      </c>
      <c r="Q158" s="1366">
        <f>(IF(COUNT($L158:P158)&lt;$L$149,P158,0))</f>
        <v>34.474425786766744</v>
      </c>
      <c r="R158" s="1366">
        <f>(IF(COUNT($L158:Q158)&lt;$L$149,Q158,0))</f>
        <v>34.474425786766744</v>
      </c>
      <c r="S158" s="1366">
        <f>(IF(COUNT($L158:R158)&lt;$L$149,R158,0))</f>
        <v>34.474425786766744</v>
      </c>
      <c r="T158" s="1366">
        <f>(IF(COUNT($L158:S158)&lt;$L$149,S158,0))</f>
        <v>34.474425786766744</v>
      </c>
      <c r="U158" s="1366">
        <f>(IF(COUNT($L158:T158)&lt;$L$149,T158,0))</f>
        <v>34.474425786766744</v>
      </c>
      <c r="V158" s="1366">
        <f>(IF(COUNT($L158:U158)&lt;$L$149,U158,0))</f>
        <v>0</v>
      </c>
      <c r="W158" s="1366">
        <f>(IF(COUNT($L158:V158)&lt;$L$149,V158,0))</f>
        <v>0</v>
      </c>
      <c r="X158" s="1366"/>
      <c r="Y158" s="1366"/>
      <c r="Z158" s="1366"/>
      <c r="AA158"/>
      <c r="AB158"/>
      <c r="AC158"/>
      <c r="AD158"/>
      <c r="AE158"/>
      <c r="AF158"/>
      <c r="AJ158" s="1345"/>
    </row>
    <row r="159" spans="1:36" s="1334" customFormat="1" ht="11.25" customHeight="1" outlineLevel="1">
      <c r="A159" s="1337"/>
      <c r="B159" s="1368"/>
      <c r="C159" s="1367">
        <v>41302</v>
      </c>
      <c r="D159" s="1356"/>
      <c r="E159" s="1356"/>
      <c r="F159" s="1356"/>
      <c r="G159" s="1356"/>
      <c r="H159" s="1366"/>
      <c r="I159" s="1366"/>
      <c r="J159" s="1366"/>
      <c r="K159" s="1366"/>
      <c r="L159" s="1366"/>
      <c r="M159" s="1366">
        <f>M$22/M$149*(1-$H$150)</f>
        <v>29.34974709818183</v>
      </c>
      <c r="N159" s="1366">
        <f>(IF(COUNT($M159:M159)&lt;$M$149,M159,0))</f>
        <v>29.34974709818183</v>
      </c>
      <c r="O159" s="1366">
        <f>(IF(COUNT($M159:N159)&lt;$M$149,N159,0))</f>
        <v>29.34974709818183</v>
      </c>
      <c r="P159" s="1366">
        <f>(IF(COUNT($M159:O159)&lt;$M$149,O159,0))</f>
        <v>29.34974709818183</v>
      </c>
      <c r="Q159" s="1366">
        <f>(IF(COUNT($M159:P159)&lt;$M$149,P159,0))</f>
        <v>29.34974709818183</v>
      </c>
      <c r="R159" s="1366">
        <f>(IF(COUNT($M159:Q159)&lt;$M$149,Q159,0))</f>
        <v>29.34974709818183</v>
      </c>
      <c r="S159" s="1366">
        <f>(IF(COUNT($M159:R159)&lt;$M$149,R159,0))</f>
        <v>29.34974709818183</v>
      </c>
      <c r="T159" s="1366">
        <f>(IF(COUNT($M159:S159)&lt;$M$149,S159,0))</f>
        <v>29.34974709818183</v>
      </c>
      <c r="U159" s="1366">
        <f>(IF(COUNT($M159:T159)&lt;$M$149,T159,0))</f>
        <v>29.34974709818183</v>
      </c>
      <c r="V159" s="1366">
        <f>(IF(COUNT($M159:U159)&lt;$M$149,U159,0))</f>
        <v>29.34974709818183</v>
      </c>
      <c r="W159" s="1366">
        <f>(IF(COUNT($M159:V159)&lt;$M$149,V159,0))</f>
        <v>0</v>
      </c>
      <c r="AA159"/>
      <c r="AB159"/>
      <c r="AC159"/>
      <c r="AD159"/>
      <c r="AE159"/>
      <c r="AF159"/>
      <c r="AJ159" s="1345"/>
    </row>
    <row r="160" spans="1:36" s="1334" customFormat="1" ht="11.25" customHeight="1" outlineLevel="1">
      <c r="A160" s="1337"/>
      <c r="B160" s="1368"/>
      <c r="C160" s="1367">
        <v>41667</v>
      </c>
      <c r="D160" s="1356"/>
      <c r="E160" s="1356"/>
      <c r="F160" s="1356"/>
      <c r="G160" s="1356"/>
      <c r="H160" s="1366"/>
      <c r="I160" s="1366"/>
      <c r="J160" s="1366"/>
      <c r="K160" s="1366"/>
      <c r="L160" s="1366"/>
      <c r="M160" s="1366"/>
      <c r="N160" s="1366">
        <f>N$22/N$149*(1-$H$150)</f>
        <v>27.466079416013429</v>
      </c>
      <c r="O160" s="1366">
        <f>(IF(COUNT($N160:N160)&lt;$N$149,N160,0))</f>
        <v>27.466079416013429</v>
      </c>
      <c r="P160" s="1366">
        <f>(IF(COUNT($N160:O160)&lt;$N$149,O160,0))</f>
        <v>27.466079416013429</v>
      </c>
      <c r="Q160" s="1366">
        <f>(IF(COUNT($N160:P160)&lt;$N$149,P160,0))</f>
        <v>27.466079416013429</v>
      </c>
      <c r="R160" s="1366">
        <f>(IF(COUNT($N160:Q160)&lt;$N$149,Q160,0))</f>
        <v>27.466079416013429</v>
      </c>
      <c r="S160" s="1366">
        <f>(IF(COUNT($N160:R160)&lt;$N$149,R160,0))</f>
        <v>27.466079416013429</v>
      </c>
      <c r="T160" s="1366">
        <f>(IF(COUNT($N160:S160)&lt;$N$149,S160,0))</f>
        <v>27.466079416013429</v>
      </c>
      <c r="U160" s="1366">
        <f>(IF(COUNT($N160:T160)&lt;$N$149,T160,0))</f>
        <v>27.466079416013429</v>
      </c>
      <c r="V160" s="1366">
        <f>(IF(COUNT($N160:U160)&lt;$N$149,U160,0))</f>
        <v>27.466079416013429</v>
      </c>
      <c r="W160" s="1366">
        <f>(IF(COUNT($N160:V160)&lt;$N$149,V160,0))</f>
        <v>27.466079416013429</v>
      </c>
      <c r="X160" s="1366"/>
      <c r="Y160" s="1366"/>
      <c r="Z160" s="1366"/>
      <c r="AA160"/>
      <c r="AB160"/>
      <c r="AC160"/>
      <c r="AD160"/>
      <c r="AE160"/>
      <c r="AF160"/>
      <c r="AJ160" s="1345"/>
    </row>
    <row r="161" spans="1:36" s="1334" customFormat="1" ht="11.25" customHeight="1" outlineLevel="1">
      <c r="A161" s="1337"/>
      <c r="B161" s="1368"/>
      <c r="C161" s="1367">
        <v>42032</v>
      </c>
      <c r="D161" s="1356"/>
      <c r="E161" s="1356"/>
      <c r="F161" s="1356"/>
      <c r="G161" s="1356"/>
      <c r="H161" s="1366"/>
      <c r="I161" s="1366"/>
      <c r="J161" s="1366"/>
      <c r="K161" s="1366"/>
      <c r="L161" s="1366"/>
      <c r="M161" s="1366"/>
      <c r="N161" s="1366"/>
      <c r="O161" s="1366">
        <f>O$22/O$149*(1-$H$150)</f>
        <v>-71.983515093915827</v>
      </c>
      <c r="P161" s="1366">
        <f>(IF(COUNT($O161:O161)&lt;$O$149,O161,0))</f>
        <v>-71.983515093915827</v>
      </c>
      <c r="Q161" s="1366">
        <f>(IF(COUNT($O161:P161)&lt;$O$149,P161,0))</f>
        <v>-71.983515093915827</v>
      </c>
      <c r="R161" s="1366">
        <f>(IF(COUNT($O161:Q161)&lt;$O$149,Q161,0))</f>
        <v>-71.983515093915827</v>
      </c>
      <c r="S161" s="1366">
        <f>(IF(COUNT($O161:R161)&lt;$O$149,R161,0))</f>
        <v>-71.983515093915827</v>
      </c>
      <c r="T161" s="1366">
        <f>(IF(COUNT($O161:S161)&lt;$O$149,S161,0))</f>
        <v>-71.983515093915827</v>
      </c>
      <c r="U161" s="1366">
        <f>(IF(COUNT($O161:T161)&lt;$O$149,T161,0))</f>
        <v>-71.983515093915827</v>
      </c>
      <c r="V161" s="1366">
        <f>(IF(COUNT($O161:U161)&lt;$O$149,U161,0))</f>
        <v>-71.983515093915827</v>
      </c>
      <c r="W161" s="1366">
        <f>(IF(COUNT($O161:V161)&lt;$O$149,V161,0))</f>
        <v>-71.983515093915827</v>
      </c>
      <c r="AA161"/>
      <c r="AB161"/>
      <c r="AC161"/>
      <c r="AD161"/>
      <c r="AE161"/>
      <c r="AF161"/>
      <c r="AJ161" s="1345"/>
    </row>
    <row r="162" spans="1:36" s="1334" customFormat="1" ht="11.25" customHeight="1" outlineLevel="1">
      <c r="A162" s="1337"/>
      <c r="B162" s="1368"/>
      <c r="C162" s="1367">
        <v>42397</v>
      </c>
      <c r="D162" s="1356"/>
      <c r="E162" s="1356"/>
      <c r="F162" s="1356"/>
      <c r="G162" s="1356"/>
      <c r="H162" s="1366"/>
      <c r="I162" s="1366"/>
      <c r="J162" s="1366"/>
      <c r="K162" s="1366"/>
      <c r="L162" s="1366"/>
      <c r="M162" s="1366"/>
      <c r="N162" s="1366"/>
      <c r="O162" s="1366"/>
      <c r="P162" s="1366">
        <f>P$22/P$149*(1-$H$150)</f>
        <v>108.05652179262945</v>
      </c>
      <c r="Q162" s="1366">
        <f>(IF(COUNT($P162:P162)&lt;$P$149,P162,0))</f>
        <v>108.05652179262945</v>
      </c>
      <c r="R162" s="1366">
        <f>(IF(COUNT($P162:Q162)&lt;$P$149,Q162,0))</f>
        <v>108.05652179262945</v>
      </c>
      <c r="S162" s="1366">
        <f>(IF(COUNT($P162:R162)&lt;$P$149,R162,0))</f>
        <v>108.05652179262945</v>
      </c>
      <c r="T162" s="1366">
        <f>(IF(COUNT($P162:S162)&lt;$P$149,S162,0))</f>
        <v>108.05652179262945</v>
      </c>
      <c r="U162" s="1366">
        <f>(IF(COUNT($P162:T162)&lt;$P$149,T162,0))</f>
        <v>108.05652179262945</v>
      </c>
      <c r="V162" s="1366">
        <f>(IF(COUNT($P162:U162)&lt;$P$149,U162,0))</f>
        <v>108.05652179262945</v>
      </c>
      <c r="W162" s="1366">
        <f>(IF(COUNT($P162:V162)&lt;$P$149,V162,0))</f>
        <v>108.05652179262945</v>
      </c>
      <c r="AA162"/>
      <c r="AB162"/>
      <c r="AC162"/>
      <c r="AD162"/>
      <c r="AE162"/>
      <c r="AF162"/>
      <c r="AJ162" s="1345"/>
    </row>
    <row r="163" spans="1:36" s="1334" customFormat="1" ht="11.25" customHeight="1" outlineLevel="1">
      <c r="A163" s="1337"/>
      <c r="B163" s="1368"/>
      <c r="C163" s="1367">
        <v>42763</v>
      </c>
      <c r="D163" s="1356"/>
      <c r="E163" s="1356"/>
      <c r="F163" s="1356"/>
      <c r="G163" s="1356"/>
      <c r="H163" s="1366"/>
      <c r="I163" s="1366"/>
      <c r="J163" s="1366"/>
      <c r="K163" s="1366"/>
      <c r="L163" s="1366"/>
      <c r="M163" s="1366"/>
      <c r="N163" s="1366"/>
      <c r="O163" s="1366"/>
      <c r="P163" s="1366"/>
      <c r="Q163" s="1366">
        <f>Q$22/Q$149*(1-$H$150)</f>
        <v>26.496587562739915</v>
      </c>
      <c r="R163" s="1366">
        <f>(IF(COUNT($Q163:Q163)&lt;$Q$149,Q163,0))</f>
        <v>26.496587562739915</v>
      </c>
      <c r="S163" s="1366">
        <f>(IF(COUNT($Q163:R163)&lt;$Q$149,R163,0))</f>
        <v>26.496587562739915</v>
      </c>
      <c r="T163" s="1366">
        <f>(IF(COUNT($Q163:S163)&lt;$Q$149,S163,0))</f>
        <v>26.496587562739915</v>
      </c>
      <c r="U163" s="1366">
        <f>(IF(COUNT($Q163:T163)&lt;$Q$149,T163,0))</f>
        <v>26.496587562739915</v>
      </c>
      <c r="V163" s="1366">
        <f>(IF(COUNT($Q163:U163)&lt;$Q$149,U163,0))</f>
        <v>26.496587562739915</v>
      </c>
      <c r="W163" s="1366">
        <f>(IF(COUNT($Q163:V163)&lt;$Q$149,V163,0))</f>
        <v>26.496587562739915</v>
      </c>
      <c r="AA163"/>
      <c r="AB163"/>
      <c r="AC163"/>
      <c r="AD163"/>
      <c r="AE163"/>
      <c r="AF163"/>
      <c r="AJ163" s="1345"/>
    </row>
    <row r="164" spans="1:36" s="1334" customFormat="1" ht="11.25" customHeight="1" outlineLevel="1">
      <c r="A164" s="1337"/>
      <c r="B164" s="1368"/>
      <c r="C164" s="1367">
        <v>43128</v>
      </c>
      <c r="D164" s="1356"/>
      <c r="E164" s="1356"/>
      <c r="F164" s="1356"/>
      <c r="G164" s="1356"/>
      <c r="H164" s="1366"/>
      <c r="I164" s="1366"/>
      <c r="J164" s="1366"/>
      <c r="K164" s="1366"/>
      <c r="L164" s="1366"/>
      <c r="M164" s="1366"/>
      <c r="N164" s="1366"/>
      <c r="O164" s="1366"/>
      <c r="P164" s="1366"/>
      <c r="Q164" s="1366"/>
      <c r="R164" s="1366">
        <f>R$22/R$149*(1-$H$150)</f>
        <v>27.026519313994719</v>
      </c>
      <c r="S164" s="1366">
        <f>(IF(COUNT($R164:R164)&lt;$R$149,R164,0))</f>
        <v>27.026519313994719</v>
      </c>
      <c r="T164" s="1366">
        <f>(IF(COUNT($R164:S164)&lt;$R$149,S164,0))</f>
        <v>27.026519313994719</v>
      </c>
      <c r="U164" s="1366">
        <f>(IF(COUNT($R164:T164)&lt;$R$149,T164,0))</f>
        <v>27.026519313994719</v>
      </c>
      <c r="V164" s="1366">
        <f>(IF(COUNT($R164:U164)&lt;$R$149,U164,0))</f>
        <v>27.026519313994719</v>
      </c>
      <c r="W164" s="1366">
        <f>(IF(COUNT($R164:V164)&lt;$R$149,V164,0))</f>
        <v>27.026519313994719</v>
      </c>
      <c r="AA164"/>
      <c r="AB164"/>
      <c r="AC164"/>
      <c r="AD164"/>
      <c r="AE164"/>
      <c r="AF164"/>
      <c r="AJ164" s="1345"/>
    </row>
    <row r="165" spans="1:36" s="1334" customFormat="1" ht="11.25" customHeight="1" outlineLevel="1">
      <c r="A165" s="1337"/>
      <c r="B165" s="1368"/>
      <c r="C165" s="1367">
        <v>43493</v>
      </c>
      <c r="D165" s="1356"/>
      <c r="E165" s="1356"/>
      <c r="F165" s="1356"/>
      <c r="G165" s="1356"/>
      <c r="H165" s="1366"/>
      <c r="I165" s="1366"/>
      <c r="J165" s="1366"/>
      <c r="K165" s="1366"/>
      <c r="L165" s="1366"/>
      <c r="M165" s="1366"/>
      <c r="N165" s="1366"/>
      <c r="O165" s="1366"/>
      <c r="P165" s="1366"/>
      <c r="Q165" s="1366"/>
      <c r="R165" s="1366"/>
      <c r="S165" s="1366">
        <f>S$22/S$149*(1-$H$150)</f>
        <v>27.567049700274605</v>
      </c>
      <c r="T165" s="1366">
        <f>(IF(COUNT($R165:S165)&lt;$R$149,S165,0))</f>
        <v>27.567049700274605</v>
      </c>
      <c r="U165" s="1366">
        <f>(IF(COUNT($R165:T165)&lt;$R$149,T165,0))</f>
        <v>27.567049700274605</v>
      </c>
      <c r="V165" s="1366">
        <f>(IF(COUNT($R165:U165)&lt;$R$149,U165,0))</f>
        <v>27.567049700274605</v>
      </c>
      <c r="W165" s="1366">
        <f>(IF(COUNT($R165:V165)&lt;$R$149,V165,0))</f>
        <v>27.567049700274605</v>
      </c>
      <c r="AA165"/>
      <c r="AB165"/>
      <c r="AC165"/>
      <c r="AD165"/>
      <c r="AE165"/>
      <c r="AF165"/>
      <c r="AJ165" s="1345"/>
    </row>
    <row r="166" spans="1:36" s="1334" customFormat="1" ht="11.25" customHeight="1" outlineLevel="1">
      <c r="A166" s="1337"/>
      <c r="B166" s="1368"/>
      <c r="C166" s="1367">
        <v>43858</v>
      </c>
      <c r="D166" s="1356"/>
      <c r="E166" s="1356"/>
      <c r="F166" s="1356"/>
      <c r="G166" s="1356"/>
      <c r="H166" s="1366"/>
      <c r="I166" s="1366"/>
      <c r="J166" s="1366"/>
      <c r="K166" s="1366"/>
      <c r="L166" s="1366"/>
      <c r="M166" s="1366"/>
      <c r="N166" s="1366"/>
      <c r="O166" s="1366"/>
      <c r="P166" s="1366"/>
      <c r="Q166" s="1366"/>
      <c r="R166" s="1366"/>
      <c r="S166" s="1366"/>
      <c r="T166" s="1366">
        <f>T$22/T$149*(1-$H$150)</f>
        <v>28.118390694280105</v>
      </c>
      <c r="U166" s="1366">
        <f>(IF(COUNT($R166:T166)&lt;$R$149,T166,0))</f>
        <v>28.118390694280105</v>
      </c>
      <c r="V166" s="1366">
        <f>(IF(COUNT($R166:U166)&lt;$R$149,U166,0))</f>
        <v>28.118390694280105</v>
      </c>
      <c r="W166" s="1366">
        <f>(IF(COUNT($R166:V166)&lt;$R$149,V166,0))</f>
        <v>28.118390694280105</v>
      </c>
      <c r="AA166"/>
      <c r="AB166"/>
      <c r="AC166"/>
      <c r="AD166"/>
      <c r="AE166"/>
      <c r="AF166"/>
      <c r="AJ166" s="1345"/>
    </row>
    <row r="167" spans="1:36" s="1334" customFormat="1" ht="11.25" customHeight="1" outlineLevel="1">
      <c r="A167" s="1337"/>
      <c r="B167" s="1368"/>
      <c r="C167" s="1367">
        <v>44224</v>
      </c>
      <c r="D167" s="1356"/>
      <c r="E167" s="1356"/>
      <c r="F167" s="1356"/>
      <c r="G167" s="1356"/>
      <c r="H167" s="1366"/>
      <c r="I167" s="1366"/>
      <c r="J167" s="1366"/>
      <c r="K167" s="1366"/>
      <c r="L167" s="1366"/>
      <c r="M167" s="1366"/>
      <c r="N167" s="1366"/>
      <c r="O167" s="1366"/>
      <c r="P167" s="1366"/>
      <c r="Q167" s="1366"/>
      <c r="R167" s="1366"/>
      <c r="S167" s="1366"/>
      <c r="T167" s="1364"/>
      <c r="U167" s="1366">
        <f>U$22/U$149*(1-$H$150)</f>
        <v>28.680758508165706</v>
      </c>
      <c r="V167" s="1366">
        <f>(IF(COUNT($R167:U167)&lt;$R$149,U167,0))</f>
        <v>28.680758508165706</v>
      </c>
      <c r="W167" s="1366">
        <f>(IF(COUNT($R167:V167)&lt;$R$149,V167,0))</f>
        <v>28.680758508165706</v>
      </c>
      <c r="AA167"/>
      <c r="AB167"/>
      <c r="AC167"/>
      <c r="AD167"/>
      <c r="AE167"/>
      <c r="AF167"/>
      <c r="AJ167" s="1345"/>
    </row>
    <row r="168" spans="1:36" s="1334" customFormat="1" ht="11.25" customHeight="1" outlineLevel="1">
      <c r="A168" s="1337"/>
      <c r="B168" s="1368"/>
      <c r="C168" s="1367">
        <v>44589</v>
      </c>
      <c r="D168" s="1356"/>
      <c r="E168" s="1356"/>
      <c r="F168" s="1356"/>
      <c r="G168" s="1356"/>
      <c r="H168" s="1366"/>
      <c r="I168" s="1366"/>
      <c r="J168" s="1366"/>
      <c r="K168" s="1366"/>
      <c r="L168" s="1366"/>
      <c r="M168" s="1366"/>
      <c r="N168" s="1366"/>
      <c r="O168" s="1366"/>
      <c r="P168" s="1366"/>
      <c r="Q168" s="1366"/>
      <c r="R168" s="1366"/>
      <c r="S168" s="1366"/>
      <c r="T168" s="1364"/>
      <c r="V168" s="1366">
        <f>V$22/V$149*(1-$H$150)</f>
        <v>29.254373678329024</v>
      </c>
      <c r="W168" s="1366">
        <f>(IF(COUNT($R168:V168)&lt;$R$149,V168,0))</f>
        <v>29.254373678329024</v>
      </c>
      <c r="AA168"/>
      <c r="AB168"/>
      <c r="AC168"/>
      <c r="AD168"/>
      <c r="AE168"/>
      <c r="AF168"/>
      <c r="AJ168" s="1345"/>
    </row>
    <row r="169" spans="1:36" s="1334" customFormat="1" ht="11.25" customHeight="1" outlineLevel="1">
      <c r="A169" s="1337"/>
      <c r="B169" s="1368"/>
      <c r="C169" s="1367">
        <v>44954</v>
      </c>
      <c r="D169" s="1356"/>
      <c r="E169" s="1356"/>
      <c r="F169" s="1356"/>
      <c r="G169" s="1356"/>
      <c r="H169" s="1366"/>
      <c r="I169" s="1366"/>
      <c r="J169" s="1366"/>
      <c r="K169" s="1366"/>
      <c r="L169" s="1366"/>
      <c r="M169" s="1366"/>
      <c r="N169" s="1366"/>
      <c r="O169" s="1366"/>
      <c r="P169" s="1366"/>
      <c r="Q169" s="1366"/>
      <c r="R169" s="1366"/>
      <c r="S169" s="1366"/>
      <c r="T169" s="1364"/>
      <c r="W169" s="1366">
        <f>W$22/W$149*(1-$H$150)</f>
        <v>29.839461151895598</v>
      </c>
      <c r="AA169"/>
      <c r="AB169"/>
      <c r="AC169"/>
      <c r="AD169"/>
      <c r="AE169"/>
      <c r="AF169"/>
      <c r="AJ169" s="1345"/>
    </row>
    <row r="170" spans="1:36" s="1334" customFormat="1" ht="11.25" customHeight="1" outlineLevel="1">
      <c r="A170" s="1337"/>
      <c r="B170" s="1365"/>
      <c r="C170" s="1356"/>
      <c r="D170" s="1356"/>
      <c r="E170" s="1356"/>
      <c r="F170" s="1356"/>
      <c r="G170" s="1356"/>
      <c r="H170" s="1364"/>
      <c r="I170" s="1364"/>
      <c r="J170" s="1364"/>
      <c r="K170" s="1364"/>
      <c r="L170" s="1364"/>
      <c r="M170" s="1364"/>
      <c r="N170" s="1364"/>
      <c r="O170" s="1364"/>
      <c r="P170" s="1364"/>
      <c r="Q170" s="1364"/>
      <c r="R170" s="1364"/>
      <c r="S170" s="1335"/>
      <c r="T170" s="1335"/>
      <c r="U170" s="1335"/>
      <c r="V170" s="1335"/>
      <c r="W170" s="1335"/>
      <c r="AA170"/>
      <c r="AB170"/>
      <c r="AC170"/>
      <c r="AD170"/>
      <c r="AE170"/>
      <c r="AF170"/>
      <c r="AJ170" s="1345"/>
    </row>
    <row r="171" spans="1:36" s="1335" customFormat="1" ht="11.25" customHeight="1" outlineLevel="1">
      <c r="A171" s="1363"/>
      <c r="B171" s="1362"/>
      <c r="C171" s="1356"/>
      <c r="D171" s="1356"/>
      <c r="E171" s="1356"/>
      <c r="F171" s="1356"/>
      <c r="G171" s="1356"/>
      <c r="H171" s="1361">
        <f t="shared" ref="H171:W171" si="84">SUM(H154:H169)</f>
        <v>103.19035794472882</v>
      </c>
      <c r="I171" s="1361">
        <f t="shared" si="84"/>
        <v>109.91504863941552</v>
      </c>
      <c r="J171" s="1361">
        <f t="shared" si="84"/>
        <v>119.28443312960836</v>
      </c>
      <c r="K171" s="1361">
        <f t="shared" si="84"/>
        <v>139.56739931097076</v>
      </c>
      <c r="L171" s="1361">
        <f t="shared" si="84"/>
        <v>172.09938631024318</v>
      </c>
      <c r="M171" s="1361">
        <f t="shared" si="84"/>
        <v>126.49905408223148</v>
      </c>
      <c r="N171" s="1361">
        <f t="shared" si="84"/>
        <v>133.73571223721754</v>
      </c>
      <c r="O171" s="1361">
        <f t="shared" si="84"/>
        <v>61.752197143301714</v>
      </c>
      <c r="P171" s="1361">
        <f t="shared" si="84"/>
        <v>169.80871893593115</v>
      </c>
      <c r="Q171" s="1361">
        <f t="shared" si="84"/>
        <v>196.30530649867106</v>
      </c>
      <c r="R171" s="1361">
        <f t="shared" si="84"/>
        <v>223.33182581266578</v>
      </c>
      <c r="S171" s="1361">
        <f t="shared" si="84"/>
        <v>242.11037765935913</v>
      </c>
      <c r="T171" s="1361">
        <f t="shared" si="84"/>
        <v>258.83685284772969</v>
      </c>
      <c r="U171" s="1361">
        <f t="shared" si="84"/>
        <v>265.25256477913069</v>
      </c>
      <c r="V171" s="1361">
        <f t="shared" si="84"/>
        <v>260.03251267069294</v>
      </c>
      <c r="W171" s="1361">
        <f t="shared" si="84"/>
        <v>260.52222672440672</v>
      </c>
      <c r="AA171"/>
      <c r="AB171"/>
      <c r="AC171"/>
      <c r="AD171"/>
      <c r="AE171"/>
      <c r="AF171"/>
      <c r="AJ171" s="1345"/>
    </row>
    <row r="172" spans="1:36" s="1334" customFormat="1">
      <c r="A172" s="1337"/>
      <c r="B172" s="1336"/>
      <c r="C172" s="1360"/>
      <c r="D172" s="1360"/>
      <c r="E172" s="1360"/>
      <c r="F172" s="1360"/>
      <c r="G172" s="1360"/>
      <c r="H172" s="1343"/>
      <c r="I172" s="1343"/>
      <c r="J172" s="1343"/>
      <c r="K172" s="1343"/>
      <c r="L172" s="1343"/>
      <c r="M172" s="1343"/>
      <c r="N172" s="1343"/>
      <c r="O172" s="1343"/>
      <c r="P172" s="1343"/>
      <c r="Q172" s="1343"/>
      <c r="R172" s="1343"/>
      <c r="S172" s="1343"/>
      <c r="T172" s="1359"/>
      <c r="AA172"/>
      <c r="AB172"/>
      <c r="AC172"/>
      <c r="AD172"/>
      <c r="AE172"/>
      <c r="AF172"/>
      <c r="AJ172" s="1345"/>
    </row>
    <row r="173" spans="1:36" s="1334" customFormat="1">
      <c r="A173" s="1337"/>
      <c r="B173" s="1336"/>
      <c r="C173" s="1358"/>
      <c r="D173" s="1358"/>
      <c r="E173" s="1358"/>
      <c r="F173" s="1358"/>
      <c r="G173" s="1358"/>
      <c r="H173" s="1343"/>
      <c r="I173" s="1343"/>
      <c r="J173" s="1343"/>
      <c r="K173" s="1343"/>
      <c r="L173" s="1343"/>
      <c r="M173" s="1343"/>
      <c r="N173" s="1343"/>
      <c r="O173" s="1343"/>
      <c r="P173" s="1343"/>
      <c r="Q173" s="1343"/>
      <c r="R173" s="1343"/>
      <c r="S173" s="1343"/>
      <c r="T173" s="1357"/>
      <c r="AA173"/>
      <c r="AB173"/>
      <c r="AC173"/>
      <c r="AD173"/>
      <c r="AE173"/>
      <c r="AF173"/>
      <c r="AJ173" s="1345"/>
    </row>
    <row r="174" spans="1:36" s="1334" customFormat="1">
      <c r="A174" s="1337"/>
      <c r="B174" s="1336"/>
      <c r="C174" s="1356"/>
      <c r="D174" s="1356"/>
      <c r="E174" s="1356"/>
      <c r="F174" s="1356"/>
      <c r="G174" s="1356"/>
      <c r="H174" s="1343"/>
      <c r="I174" s="1343"/>
      <c r="J174" s="1343"/>
      <c r="K174" s="1343"/>
      <c r="L174" s="1343"/>
      <c r="M174" s="1343"/>
      <c r="N174" s="1343"/>
      <c r="O174" s="1343"/>
      <c r="P174" s="1343"/>
      <c r="Q174" s="1343"/>
      <c r="R174" s="1343"/>
      <c r="S174" s="1343"/>
      <c r="T174" s="1335"/>
      <c r="AA174"/>
      <c r="AB174"/>
      <c r="AC174"/>
      <c r="AD174"/>
      <c r="AE174"/>
      <c r="AF174"/>
      <c r="AJ174" s="1345"/>
    </row>
    <row r="175" spans="1:36" s="1334" customFormat="1" hidden="1" outlineLevel="1">
      <c r="A175" s="1337"/>
      <c r="B175" s="1336"/>
      <c r="C175" s="1356"/>
      <c r="D175" s="1356"/>
      <c r="E175" s="1356"/>
      <c r="F175" s="1356"/>
      <c r="G175" s="1356"/>
      <c r="H175" s="1343"/>
      <c r="I175" s="1343"/>
      <c r="J175" s="1343"/>
      <c r="K175" s="1343"/>
      <c r="L175" s="1343"/>
      <c r="M175" s="1343"/>
      <c r="N175" s="1343"/>
      <c r="O175" s="1343"/>
      <c r="P175" s="1343"/>
      <c r="Q175" s="1343"/>
      <c r="R175" s="1343"/>
      <c r="S175" s="1343"/>
      <c r="T175" s="1335"/>
      <c r="AA175"/>
      <c r="AB175"/>
      <c r="AC175"/>
      <c r="AD175"/>
      <c r="AE175"/>
      <c r="AF175"/>
      <c r="AJ175" s="1345"/>
    </row>
    <row r="176" spans="1:36" s="1334" customFormat="1" hidden="1" outlineLevel="1">
      <c r="A176" s="1337"/>
      <c r="B176" s="1336"/>
      <c r="C176" s="1356"/>
      <c r="D176" s="1356"/>
      <c r="E176" s="1356"/>
      <c r="F176" s="1356"/>
      <c r="G176" s="1356"/>
      <c r="H176" s="1343"/>
      <c r="I176" s="1343"/>
      <c r="J176" s="1343"/>
      <c r="K176" s="1343"/>
      <c r="L176" s="1343"/>
      <c r="M176" s="1343"/>
      <c r="N176" s="1343"/>
      <c r="O176" s="1343"/>
      <c r="P176" s="1343"/>
      <c r="Q176" s="1343"/>
      <c r="R176" s="1343"/>
      <c r="S176" s="1343"/>
      <c r="T176" s="1335"/>
      <c r="AA176"/>
      <c r="AB176"/>
      <c r="AC176"/>
      <c r="AD176"/>
      <c r="AE176"/>
      <c r="AF176"/>
      <c r="AJ176" s="1345"/>
    </row>
    <row r="177" spans="1:36" s="1334" customFormat="1" hidden="1" outlineLevel="1">
      <c r="A177" s="1337"/>
      <c r="B177" s="1336"/>
      <c r="C177" s="1335"/>
      <c r="D177" s="1335"/>
      <c r="E177" s="1335"/>
      <c r="F177" s="1335"/>
      <c r="G177" s="1335"/>
      <c r="H177" s="1343"/>
      <c r="I177" s="1343"/>
      <c r="J177" s="1343"/>
      <c r="K177" s="1343"/>
      <c r="L177" s="1343"/>
      <c r="M177" s="1343"/>
      <c r="N177" s="1343"/>
      <c r="O177" s="1343"/>
      <c r="P177" s="1343"/>
      <c r="Q177" s="1343"/>
      <c r="R177" s="1343"/>
      <c r="S177" s="1343"/>
      <c r="AA177"/>
      <c r="AB177"/>
      <c r="AC177"/>
      <c r="AD177"/>
      <c r="AE177"/>
      <c r="AF177"/>
      <c r="AJ177" s="1345"/>
    </row>
    <row r="178" spans="1:36" hidden="1" outlineLevel="1"/>
    <row r="179" spans="1:36" s="1334" customFormat="1" hidden="1" outlineLevel="1">
      <c r="A179" s="1337"/>
      <c r="B179" s="1336"/>
      <c r="C179" s="1335"/>
      <c r="D179" s="1335"/>
      <c r="E179" s="1335"/>
      <c r="F179" s="1335"/>
      <c r="G179" s="1335"/>
      <c r="H179" s="1343"/>
      <c r="I179" s="1343"/>
      <c r="J179" s="1343"/>
      <c r="K179" s="1343"/>
      <c r="L179" s="1343"/>
      <c r="M179" s="1343"/>
      <c r="N179" s="1343"/>
      <c r="O179" s="1343"/>
      <c r="P179" s="1343"/>
      <c r="Q179" s="1343"/>
      <c r="R179" s="1343"/>
      <c r="S179" s="1343"/>
      <c r="AA179"/>
      <c r="AB179"/>
      <c r="AC179"/>
      <c r="AD179"/>
      <c r="AE179"/>
      <c r="AF179"/>
      <c r="AJ179" s="1345"/>
    </row>
    <row r="180" spans="1:36" s="1334" customFormat="1" hidden="1" outlineLevel="1">
      <c r="A180" s="1337"/>
      <c r="B180" s="1336"/>
      <c r="C180" s="1335"/>
      <c r="D180" s="1335"/>
      <c r="E180" s="1335"/>
      <c r="F180" s="1335"/>
      <c r="G180" s="1335"/>
      <c r="H180" s="1343"/>
      <c r="I180" s="1343"/>
      <c r="J180" s="1343"/>
      <c r="K180" s="1343"/>
      <c r="L180" s="1343"/>
      <c r="M180" s="1343"/>
      <c r="N180" s="1343"/>
      <c r="O180" s="1343"/>
      <c r="P180" s="1343"/>
      <c r="Q180" s="1343"/>
      <c r="R180" s="1343"/>
      <c r="S180" s="1343"/>
      <c r="AA180"/>
      <c r="AB180"/>
      <c r="AC180"/>
      <c r="AD180"/>
      <c r="AE180"/>
      <c r="AF180"/>
      <c r="AJ180" s="1345"/>
    </row>
    <row r="181" spans="1:36" s="1334" customFormat="1" hidden="1" outlineLevel="1">
      <c r="A181" s="1337"/>
      <c r="B181" s="1336"/>
      <c r="C181" s="1335"/>
      <c r="D181" s="1335"/>
      <c r="E181" s="1335"/>
      <c r="F181" s="1335"/>
      <c r="G181" s="1335"/>
      <c r="H181" s="1343"/>
      <c r="I181" s="1343"/>
      <c r="J181" s="1343"/>
      <c r="K181" s="1343"/>
      <c r="L181" s="1343"/>
      <c r="M181" s="1343"/>
      <c r="N181" s="1343"/>
      <c r="O181" s="1343"/>
      <c r="P181" s="1343"/>
      <c r="Q181" s="1343"/>
      <c r="R181" s="1343"/>
      <c r="S181" s="1343"/>
      <c r="AA181"/>
      <c r="AB181"/>
      <c r="AC181"/>
      <c r="AD181"/>
      <c r="AE181"/>
      <c r="AF181"/>
      <c r="AJ181" s="1345"/>
    </row>
    <row r="182" spans="1:36" s="1334" customFormat="1" hidden="1" outlineLevel="1">
      <c r="A182" s="1337"/>
      <c r="B182" s="1336"/>
      <c r="C182" s="1335"/>
      <c r="D182" s="1335"/>
      <c r="E182" s="1335"/>
      <c r="F182" s="1335"/>
      <c r="G182" s="1335"/>
      <c r="H182" s="1343"/>
      <c r="I182" s="1343"/>
      <c r="J182" s="1343"/>
      <c r="K182" s="1343"/>
      <c r="L182" s="1343"/>
      <c r="M182" s="1343"/>
      <c r="N182" s="1343"/>
      <c r="O182" s="1343"/>
      <c r="P182" s="1343"/>
      <c r="Q182" s="1343"/>
      <c r="R182" s="1343"/>
      <c r="S182" s="1343"/>
      <c r="AA182"/>
      <c r="AB182"/>
      <c r="AC182"/>
      <c r="AD182"/>
      <c r="AE182"/>
      <c r="AF182"/>
      <c r="AJ182" s="1345"/>
    </row>
    <row r="183" spans="1:36" s="1334" customFormat="1" hidden="1" outlineLevel="1">
      <c r="A183" s="1337"/>
      <c r="B183" s="1336"/>
      <c r="C183" s="1335"/>
      <c r="D183" s="1335"/>
      <c r="E183" s="1335"/>
      <c r="F183" s="1335"/>
      <c r="G183" s="1335"/>
      <c r="H183" s="1343"/>
      <c r="I183" s="1343"/>
      <c r="J183" s="1343"/>
      <c r="K183" s="1343"/>
      <c r="L183" s="1343"/>
      <c r="M183" s="1343"/>
      <c r="N183" s="1343"/>
      <c r="O183" s="1343"/>
      <c r="P183" s="1343"/>
      <c r="Q183" s="1343"/>
      <c r="R183" s="1343"/>
      <c r="S183" s="1343"/>
      <c r="AA183"/>
      <c r="AB183"/>
      <c r="AC183"/>
      <c r="AD183"/>
      <c r="AE183"/>
      <c r="AF183"/>
      <c r="AJ183" s="1345"/>
    </row>
    <row r="184" spans="1:36" s="1351" customFormat="1" hidden="1" outlineLevel="1">
      <c r="A184" s="1355">
        <v>1</v>
      </c>
      <c r="B184" s="1354"/>
      <c r="C184" s="1353"/>
      <c r="D184" s="1353"/>
      <c r="E184" s="1353"/>
      <c r="F184" s="1353"/>
      <c r="G184" s="1353"/>
      <c r="H184" s="1353"/>
      <c r="I184" s="1353"/>
      <c r="J184" s="1353"/>
      <c r="K184" s="1353"/>
      <c r="L184" s="1353"/>
      <c r="M184" s="1353"/>
      <c r="N184" s="1353"/>
      <c r="O184" s="1353"/>
      <c r="P184" s="1353"/>
      <c r="AA184"/>
      <c r="AB184"/>
      <c r="AC184"/>
      <c r="AD184"/>
      <c r="AE184"/>
      <c r="AF184"/>
      <c r="AJ184" s="1352"/>
    </row>
    <row r="185" spans="1:36" s="1334" customFormat="1" collapsed="1">
      <c r="A185" s="1337"/>
      <c r="B185" s="1336"/>
      <c r="C185" s="1335"/>
      <c r="D185" s="1335"/>
      <c r="E185" s="1335"/>
      <c r="F185" s="1335"/>
      <c r="G185" s="1335"/>
      <c r="H185" s="1343"/>
      <c r="I185" s="1343"/>
      <c r="J185" s="1343"/>
      <c r="K185" s="1343"/>
      <c r="L185" s="1343"/>
      <c r="M185" s="1343"/>
      <c r="N185" s="1343"/>
      <c r="O185" s="1343"/>
      <c r="P185" s="1343"/>
      <c r="Q185" s="1343"/>
      <c r="R185" s="1343"/>
      <c r="S185" s="1343"/>
      <c r="AA185"/>
      <c r="AB185"/>
      <c r="AC185"/>
      <c r="AD185"/>
      <c r="AE185"/>
      <c r="AF185"/>
      <c r="AJ185" s="1345"/>
    </row>
    <row r="186" spans="1:36" s="1334" customFormat="1">
      <c r="A186" s="1337"/>
      <c r="B186" s="1336"/>
      <c r="C186" s="1335"/>
      <c r="D186" s="1335"/>
      <c r="E186" s="1335"/>
      <c r="F186" s="1335"/>
      <c r="G186" s="1335"/>
      <c r="H186" s="1343"/>
      <c r="I186" s="1343"/>
      <c r="J186" s="1343"/>
      <c r="K186" s="1343"/>
      <c r="L186" s="1343"/>
      <c r="M186" s="1343"/>
      <c r="N186" s="1343"/>
      <c r="O186" s="1343"/>
      <c r="P186" s="1343"/>
      <c r="Q186" s="1343"/>
      <c r="R186" s="1343"/>
      <c r="S186" s="1343"/>
      <c r="AA186"/>
      <c r="AB186"/>
      <c r="AC186"/>
      <c r="AD186"/>
      <c r="AE186"/>
      <c r="AF186"/>
      <c r="AJ186" s="1345"/>
    </row>
    <row r="187" spans="1:36" s="1334" customFormat="1" outlineLevel="1">
      <c r="A187" s="1337"/>
      <c r="B187" s="1336"/>
      <c r="C187" s="1350" t="s">
        <v>780</v>
      </c>
      <c r="D187" s="1335"/>
      <c r="E187" s="1335"/>
      <c r="F187" s="1335"/>
      <c r="G187" s="1335"/>
      <c r="H187" s="1349">
        <f t="shared" ref="H187:P187" si="85">H9</f>
        <v>39841</v>
      </c>
      <c r="I187" s="1349">
        <f t="shared" si="85"/>
        <v>40206</v>
      </c>
      <c r="J187" s="1349">
        <f t="shared" si="85"/>
        <v>40571</v>
      </c>
      <c r="K187" s="1349">
        <f t="shared" si="85"/>
        <v>40936</v>
      </c>
      <c r="L187" s="1349">
        <f t="shared" si="85"/>
        <v>41302</v>
      </c>
      <c r="M187" s="1349">
        <f t="shared" si="85"/>
        <v>41667</v>
      </c>
      <c r="N187" s="1349">
        <f t="shared" si="85"/>
        <v>42032</v>
      </c>
      <c r="O187" s="1349">
        <f t="shared" si="85"/>
        <v>42397</v>
      </c>
      <c r="P187" s="1349">
        <f t="shared" si="85"/>
        <v>42763</v>
      </c>
      <c r="Q187" s="1348"/>
      <c r="R187" s="1348"/>
      <c r="S187" s="1348"/>
      <c r="T187" s="1347"/>
      <c r="U187" s="1347"/>
      <c r="V187" s="1347"/>
      <c r="W187" s="1347"/>
      <c r="X187" s="1347"/>
      <c r="AA187"/>
      <c r="AB187"/>
      <c r="AC187"/>
      <c r="AD187"/>
      <c r="AE187"/>
      <c r="AF187"/>
      <c r="AJ187" s="1345"/>
    </row>
    <row r="188" spans="1:36" s="1334" customFormat="1" outlineLevel="1">
      <c r="A188" s="1337"/>
      <c r="B188" s="1336"/>
      <c r="C188" s="1346" t="s">
        <v>779</v>
      </c>
      <c r="D188" s="1335"/>
      <c r="E188" s="1335"/>
      <c r="F188" s="1335"/>
      <c r="G188" s="1335"/>
      <c r="H188" s="1343"/>
      <c r="I188" s="1343"/>
      <c r="J188" s="1343"/>
      <c r="K188" s="1343"/>
      <c r="L188" s="1343"/>
      <c r="M188" s="1343"/>
      <c r="N188" s="1343"/>
      <c r="O188" s="1343"/>
      <c r="P188" s="1343"/>
      <c r="Q188" s="1343"/>
      <c r="R188" s="1343"/>
      <c r="S188" s="1343"/>
      <c r="AA188"/>
      <c r="AB188"/>
      <c r="AC188"/>
      <c r="AD188"/>
      <c r="AE188"/>
      <c r="AF188"/>
      <c r="AJ188" s="1345"/>
    </row>
    <row r="189" spans="1:36" s="1334" customFormat="1" outlineLevel="1">
      <c r="A189" s="1337"/>
      <c r="B189" s="1336"/>
      <c r="C189" s="1335"/>
      <c r="D189" s="1335"/>
      <c r="E189" s="1335"/>
      <c r="F189" s="1335"/>
      <c r="G189" s="1335"/>
      <c r="H189" s="1344"/>
      <c r="I189" s="1344"/>
      <c r="J189" s="1344"/>
      <c r="K189" s="1344"/>
      <c r="L189" s="1344"/>
      <c r="M189" s="1344"/>
      <c r="N189" s="1344"/>
      <c r="O189" s="1344"/>
      <c r="P189" s="1344"/>
      <c r="AA189"/>
      <c r="AB189"/>
      <c r="AC189"/>
      <c r="AD189"/>
      <c r="AE189"/>
      <c r="AF189"/>
    </row>
    <row r="190" spans="1:36" s="1334" customFormat="1" outlineLevel="1">
      <c r="A190" s="1337"/>
      <c r="B190" s="1336"/>
      <c r="C190" s="1324" t="s">
        <v>778</v>
      </c>
      <c r="D190" s="1324"/>
      <c r="E190" s="1323"/>
      <c r="F190" s="1335"/>
      <c r="G190" s="1335"/>
      <c r="H190" s="1332">
        <f>_xll.ThomsonONEAddinShim.SpreadsheetFormulas.TF(SedolTicker,$AJ$190,,H$5,$J$3)</f>
        <v>0</v>
      </c>
      <c r="I190" s="1332">
        <f>_xll.ThomsonONEAddinShim.SpreadsheetFormulas.TF(SedolTicker,$AJ$190,,I$5,$J$3)</f>
        <v>0</v>
      </c>
      <c r="J190" s="1332">
        <f>_xll.ThomsonONEAddinShim.SpreadsheetFormulas.TF(SedolTicker,$AJ$190,,J$5,$J$3)</f>
        <v>0</v>
      </c>
      <c r="K190" s="1332">
        <f>_xll.ThomsonONEAddinShim.SpreadsheetFormulas.TF(SedolTicker,$AJ$190,,K$5,$J$3)</f>
        <v>0</v>
      </c>
      <c r="L190" s="1332">
        <f>_xll.ThomsonONEAddinShim.SpreadsheetFormulas.TF(SedolTicker,$AJ$190,,L$5,$J$3)</f>
        <v>0</v>
      </c>
      <c r="M190" s="1332">
        <f>_xll.ThomsonONEAddinShim.SpreadsheetFormulas.TF(SedolTicker,$AJ$190,,M$5,$J$3)</f>
        <v>0</v>
      </c>
      <c r="N190" s="1332">
        <f>_xll.ThomsonONEAddinShim.SpreadsheetFormulas.TF(SedolTicker,$AJ$190,,N$5,$J$3)</f>
        <v>0</v>
      </c>
      <c r="O190" s="1332">
        <f>_xll.ThomsonONEAddinShim.SpreadsheetFormulas.TF(SedolTicker,$AJ$190,,O$5,$J$3)</f>
        <v>0</v>
      </c>
      <c r="P190" s="1332">
        <f>_xll.ThomsonONEAddinShim.SpreadsheetFormulas.TF(SedolTicker,$AJ$190,,P$5,$J$3)</f>
        <v>0</v>
      </c>
      <c r="Q190" s="1342"/>
      <c r="R190" s="1342"/>
      <c r="S190" s="1342"/>
      <c r="T190" s="1342"/>
      <c r="U190" s="1342"/>
      <c r="W190" s="1342"/>
      <c r="X190" s="1342"/>
      <c r="Y190" s="1342"/>
      <c r="Z190" s="1342"/>
      <c r="AA190"/>
      <c r="AB190"/>
      <c r="AC190"/>
      <c r="AD190"/>
      <c r="AE190"/>
      <c r="AF190"/>
      <c r="AJ190" s="1341" t="s">
        <v>777</v>
      </c>
    </row>
    <row r="191" spans="1:36" s="1334" customFormat="1" outlineLevel="1">
      <c r="A191" s="1337"/>
      <c r="B191" s="1336"/>
      <c r="C191" s="1324" t="s">
        <v>776</v>
      </c>
      <c r="D191" s="1324"/>
      <c r="E191" s="1323"/>
      <c r="F191" s="1335"/>
      <c r="G191" s="1335"/>
      <c r="H191" s="1343"/>
      <c r="I191" s="1332">
        <f>_xll.ThomsonONEAddinShim.SpreadsheetFormulas.TF(SedolTicker,$AJ$191,"dataDir=across",$I$5,$P$5,$J$3)</f>
        <v>0</v>
      </c>
      <c r="J191" s="1332">
        <v>0</v>
      </c>
      <c r="K191" s="1332">
        <v>0</v>
      </c>
      <c r="L191" s="1332">
        <v>0</v>
      </c>
      <c r="M191" s="1332">
        <v>0</v>
      </c>
      <c r="N191" s="1332">
        <v>0</v>
      </c>
      <c r="O191" s="1332">
        <v>2.0277816935772453E-2</v>
      </c>
      <c r="P191" s="1332">
        <v>2.3270625700300761E-2</v>
      </c>
      <c r="Q191" s="1342"/>
      <c r="R191" s="1342"/>
      <c r="S191" s="1342"/>
      <c r="T191" s="1342"/>
      <c r="U191" s="1342"/>
      <c r="W191" s="1342"/>
      <c r="X191" s="1342"/>
      <c r="Y191" s="1342"/>
      <c r="Z191" s="1342"/>
      <c r="AA191"/>
      <c r="AB191"/>
      <c r="AC191"/>
      <c r="AD191"/>
      <c r="AE191"/>
      <c r="AF191"/>
      <c r="AJ191" s="1341" t="s">
        <v>775</v>
      </c>
    </row>
    <row r="192" spans="1:36" s="1334" customFormat="1" outlineLevel="1">
      <c r="A192" s="1337"/>
      <c r="B192" s="1336"/>
      <c r="C192" s="1340"/>
      <c r="D192" s="1340"/>
      <c r="E192" s="1339"/>
      <c r="F192" s="1335"/>
      <c r="G192" s="1335"/>
      <c r="H192" s="1338"/>
      <c r="I192" s="1338"/>
      <c r="J192" s="1338"/>
      <c r="K192" s="1338"/>
      <c r="L192" s="1338"/>
      <c r="M192" s="1338"/>
      <c r="N192" s="1338"/>
      <c r="O192" s="1338"/>
      <c r="P192" s="1338"/>
      <c r="Q192" s="1320"/>
      <c r="R192" s="1320"/>
      <c r="S192" s="1320"/>
      <c r="T192" s="1320"/>
      <c r="U192" s="1320"/>
      <c r="W192" s="1320"/>
      <c r="X192" s="1320"/>
      <c r="Y192" s="1320"/>
      <c r="Z192" s="1320"/>
      <c r="AA192"/>
      <c r="AB192"/>
      <c r="AC192"/>
      <c r="AD192"/>
      <c r="AE192"/>
      <c r="AF192"/>
      <c r="AJ192" s="1320"/>
    </row>
    <row r="193" spans="1:39" s="1334" customFormat="1" outlineLevel="1">
      <c r="A193" s="1337"/>
      <c r="B193" s="1336"/>
      <c r="C193" s="1340"/>
      <c r="D193" s="1340"/>
      <c r="E193" s="1339"/>
      <c r="F193" s="1335"/>
      <c r="G193" s="1335"/>
      <c r="H193" s="1338"/>
      <c r="I193" s="1338"/>
      <c r="J193" s="1338"/>
      <c r="K193" s="1338"/>
      <c r="L193" s="1338"/>
      <c r="M193" s="1338"/>
      <c r="N193" s="1338"/>
      <c r="O193" s="1338"/>
      <c r="P193" s="1338"/>
      <c r="Q193" s="1320"/>
      <c r="R193" s="1320"/>
      <c r="S193" s="1320"/>
      <c r="T193" s="1320"/>
      <c r="U193" s="1320"/>
      <c r="W193" s="1320"/>
      <c r="X193" s="1320"/>
      <c r="Y193" s="1320"/>
      <c r="Z193" s="1320"/>
      <c r="AA193"/>
      <c r="AB193"/>
      <c r="AC193"/>
      <c r="AD193"/>
      <c r="AE193"/>
      <c r="AF193"/>
      <c r="AJ193" s="1320"/>
    </row>
    <row r="194" spans="1:39" s="1334" customFormat="1" outlineLevel="1">
      <c r="A194" s="1337"/>
      <c r="B194" s="1336"/>
      <c r="C194" s="1324" t="s">
        <v>151</v>
      </c>
      <c r="D194" s="1324"/>
      <c r="E194" s="1323"/>
      <c r="F194" s="1335"/>
      <c r="G194" s="1335"/>
      <c r="H194" s="1333" t="str">
        <f>_xll.ThomsonONEAddinShim.SpreadsheetFormulas.TF(SedolTicker,$AJ194,"dataDir=across",$J$3)</f>
        <v xml:space="preserve">                                                    -                                          </v>
      </c>
      <c r="I194" s="1333">
        <v>0</v>
      </c>
      <c r="J194" s="1333">
        <v>0</v>
      </c>
      <c r="K194" s="1333">
        <v>0</v>
      </c>
      <c r="L194" s="1333">
        <v>0</v>
      </c>
      <c r="M194" s="1333">
        <v>0</v>
      </c>
      <c r="N194" s="1333">
        <v>0</v>
      </c>
      <c r="O194" s="1333">
        <v>1.87</v>
      </c>
      <c r="P194" s="1333">
        <v>1.9730000000000001</v>
      </c>
      <c r="Q194" s="1320"/>
      <c r="R194" s="1320"/>
      <c r="S194" s="1320"/>
      <c r="T194" s="1320"/>
      <c r="U194" s="1320"/>
      <c r="W194" s="1320"/>
      <c r="X194" s="1320"/>
      <c r="Y194" s="1320"/>
      <c r="Z194" s="1320"/>
      <c r="AA194"/>
      <c r="AB194"/>
      <c r="AC194"/>
      <c r="AD194"/>
      <c r="AE194"/>
      <c r="AF194"/>
      <c r="AJ194" s="1330" t="s">
        <v>774</v>
      </c>
    </row>
    <row r="195" spans="1:39" outlineLevel="1">
      <c r="C195" s="1324" t="s">
        <v>773</v>
      </c>
      <c r="D195" s="1324"/>
      <c r="E195" s="1323"/>
      <c r="F195" s="1335"/>
      <c r="G195" s="1335"/>
      <c r="H195" s="1333" t="str">
        <f>_xll.ThomsonONEAddinShim.SpreadsheetFormulas.TF(SedolTicker,$AJ195,"dataDir=across",$J$3)</f>
        <v xml:space="preserve">                                                    -                                          </v>
      </c>
      <c r="I195" s="1333">
        <v>0</v>
      </c>
      <c r="J195" s="1333">
        <v>0</v>
      </c>
      <c r="K195" s="1333">
        <v>0</v>
      </c>
      <c r="L195" s="1333">
        <v>0</v>
      </c>
      <c r="M195" s="1333">
        <v>0</v>
      </c>
      <c r="N195" s="1333">
        <v>0</v>
      </c>
      <c r="O195" s="1333">
        <v>10</v>
      </c>
      <c r="P195" s="1333">
        <v>16.25</v>
      </c>
      <c r="Q195" s="1320"/>
      <c r="R195" s="1320"/>
      <c r="S195" s="1320"/>
      <c r="T195" s="1320"/>
      <c r="U195" s="1320"/>
      <c r="V195" s="1334"/>
      <c r="W195" s="1320"/>
      <c r="X195" s="1320"/>
      <c r="Y195" s="1320"/>
      <c r="Z195" s="1320"/>
      <c r="AG195" s="1334"/>
      <c r="AH195" s="1334"/>
      <c r="AI195" s="1334"/>
      <c r="AJ195" s="1330" t="s">
        <v>772</v>
      </c>
      <c r="AK195" s="1334"/>
      <c r="AL195" s="1334"/>
      <c r="AM195" s="1334"/>
    </row>
    <row r="196" spans="1:39" outlineLevel="1">
      <c r="C196" s="1324" t="s">
        <v>771</v>
      </c>
      <c r="D196" s="1324"/>
      <c r="E196" s="1323"/>
      <c r="H196" s="1333" t="str">
        <f>_xll.ThomsonONEAddinShim.SpreadsheetFormulas.TF(SedolTicker,$AJ196,"dataDir=across",$J$3)</f>
        <v xml:space="preserve">                                                    -                                          </v>
      </c>
      <c r="I196" s="1333">
        <v>0</v>
      </c>
      <c r="J196" s="1333">
        <v>0</v>
      </c>
      <c r="K196" s="1333">
        <v>0</v>
      </c>
      <c r="L196" s="1333">
        <v>0</v>
      </c>
      <c r="M196" s="1333">
        <v>0</v>
      </c>
      <c r="N196" s="1333">
        <v>0</v>
      </c>
      <c r="O196" s="1333">
        <v>82.218999999999994</v>
      </c>
      <c r="P196" s="1333">
        <v>68.534999999999997</v>
      </c>
      <c r="Q196" s="1320"/>
      <c r="R196" s="1320"/>
      <c r="S196" s="1320"/>
      <c r="T196" s="1320"/>
      <c r="U196" s="1320"/>
      <c r="W196" s="1320"/>
      <c r="X196" s="1320"/>
      <c r="Y196" s="1320"/>
      <c r="Z196" s="1320"/>
      <c r="AJ196" s="1330" t="s">
        <v>770</v>
      </c>
    </row>
    <row r="197" spans="1:39" outlineLevel="1">
      <c r="C197" s="1324"/>
      <c r="D197" s="1324"/>
      <c r="E197" s="1323"/>
      <c r="H197" s="1332"/>
      <c r="I197" s="1331"/>
      <c r="J197" s="1331"/>
      <c r="K197" s="1331"/>
      <c r="L197" s="1331"/>
      <c r="M197" s="1331"/>
      <c r="N197" s="1331"/>
      <c r="O197" s="1331"/>
      <c r="P197" s="1331"/>
      <c r="Q197" s="1320"/>
      <c r="R197" s="1320"/>
      <c r="S197" s="1320"/>
      <c r="T197" s="1320"/>
      <c r="U197" s="1320"/>
      <c r="W197" s="1320"/>
      <c r="X197" s="1320"/>
      <c r="Y197" s="1320"/>
      <c r="Z197" s="1320"/>
      <c r="AJ197" s="1330"/>
    </row>
    <row r="198" spans="1:39" s="1318" customFormat="1">
      <c r="A198" s="1326"/>
      <c r="B198" s="1325"/>
      <c r="C198" s="1324"/>
      <c r="D198" s="1324"/>
      <c r="E198" s="1323"/>
      <c r="F198" s="1322"/>
      <c r="G198" s="1322"/>
      <c r="H198" s="1321"/>
      <c r="I198" s="1329"/>
      <c r="J198" s="1329"/>
      <c r="K198" s="1329"/>
      <c r="L198" s="1328"/>
      <c r="M198" s="1328"/>
      <c r="N198" s="1328"/>
      <c r="O198" s="1328"/>
      <c r="P198" s="1328"/>
      <c r="Q198" s="1320"/>
      <c r="R198" s="1320"/>
      <c r="S198" s="1320"/>
      <c r="T198" s="1320"/>
      <c r="U198" s="1320"/>
      <c r="W198" s="1320"/>
      <c r="X198" s="1320"/>
      <c r="Y198" s="1320"/>
      <c r="Z198" s="1320"/>
      <c r="AA198"/>
      <c r="AB198"/>
      <c r="AC198"/>
      <c r="AD198"/>
      <c r="AE198"/>
      <c r="AF198"/>
      <c r="AJ198" s="1320"/>
    </row>
    <row r="199" spans="1:39">
      <c r="C199" s="1324"/>
      <c r="D199" s="1324"/>
      <c r="E199" s="1323"/>
      <c r="H199" s="1327"/>
      <c r="I199" s="1327"/>
      <c r="J199" s="1327"/>
      <c r="K199" s="1327"/>
      <c r="L199" s="1327"/>
      <c r="M199" s="1327"/>
      <c r="N199" s="1327"/>
      <c r="O199" s="1327"/>
      <c r="P199" s="1327"/>
      <c r="Q199" s="1320"/>
      <c r="R199" s="1320"/>
      <c r="S199" s="1320"/>
      <c r="T199" s="1320"/>
      <c r="U199" s="1320"/>
      <c r="W199" s="1320"/>
      <c r="X199" s="1320"/>
      <c r="Y199" s="1320"/>
      <c r="Z199" s="1320"/>
      <c r="AJ199" s="1320"/>
    </row>
    <row r="200" spans="1:39">
      <c r="C200" s="1324"/>
      <c r="D200" s="1324"/>
      <c r="E200" s="1323"/>
      <c r="H200" s="1327"/>
      <c r="I200" s="1327"/>
      <c r="J200" s="1327"/>
      <c r="K200" s="1327"/>
      <c r="L200" s="1327"/>
      <c r="M200" s="1327"/>
      <c r="N200" s="1327"/>
      <c r="O200" s="1327"/>
      <c r="P200" s="1327"/>
      <c r="Q200" s="1320"/>
      <c r="R200" s="1320"/>
      <c r="S200" s="1320"/>
      <c r="T200" s="1320"/>
      <c r="U200" s="1320"/>
      <c r="W200" s="1320"/>
      <c r="X200" s="1320"/>
      <c r="Y200" s="1320"/>
      <c r="Z200" s="1320"/>
      <c r="AJ200" s="1320"/>
    </row>
    <row r="201" spans="1:39">
      <c r="C201" s="1324"/>
      <c r="D201" s="1324"/>
      <c r="E201" s="1323"/>
      <c r="H201" s="1327"/>
      <c r="I201" s="1327"/>
      <c r="J201" s="1327"/>
      <c r="K201" s="1327"/>
      <c r="L201" s="1327"/>
      <c r="M201" s="1327"/>
      <c r="N201" s="1327"/>
      <c r="O201" s="1327"/>
      <c r="P201" s="1327"/>
      <c r="Q201" s="1320"/>
      <c r="R201" s="1320"/>
      <c r="S201" s="1320"/>
      <c r="T201" s="1320"/>
      <c r="U201" s="1320"/>
      <c r="W201" s="1320"/>
      <c r="X201" s="1320"/>
      <c r="Y201" s="1320"/>
      <c r="Z201" s="1320"/>
      <c r="AJ201" s="1320"/>
    </row>
    <row r="202" spans="1:39" s="1318" customFormat="1">
      <c r="A202" s="1326"/>
      <c r="B202" s="1325"/>
      <c r="C202" s="1324"/>
      <c r="D202" s="1324"/>
      <c r="E202" s="1323"/>
      <c r="F202" s="1322"/>
      <c r="G202" s="1322"/>
      <c r="H202" s="1321"/>
      <c r="I202" s="1321"/>
      <c r="J202" s="1321"/>
      <c r="K202" s="1321"/>
      <c r="L202" s="1321"/>
      <c r="M202" s="1321"/>
      <c r="N202" s="1321"/>
      <c r="O202" s="1321"/>
      <c r="P202" s="1321"/>
      <c r="Q202" s="1320"/>
      <c r="R202" s="1320"/>
      <c r="S202" s="1320"/>
      <c r="T202" s="1320"/>
      <c r="U202" s="1320"/>
      <c r="V202" s="1320"/>
      <c r="W202" s="1320"/>
      <c r="X202" s="1320"/>
      <c r="Y202" s="1320"/>
      <c r="Z202" s="1320"/>
      <c r="AA202"/>
      <c r="AB202"/>
      <c r="AC202"/>
      <c r="AD202"/>
      <c r="AE202"/>
      <c r="AF202"/>
      <c r="AJ202" s="1319"/>
    </row>
    <row r="203" spans="1:39" s="1318" customFormat="1">
      <c r="A203" s="1326"/>
      <c r="B203" s="1325"/>
      <c r="C203" s="1324"/>
      <c r="D203" s="1324"/>
      <c r="E203" s="1323"/>
      <c r="F203" s="1322"/>
      <c r="G203" s="1322"/>
      <c r="H203" s="1321"/>
      <c r="I203" s="1321"/>
      <c r="J203" s="1321"/>
      <c r="K203" s="1321"/>
      <c r="L203" s="1321"/>
      <c r="M203" s="1321"/>
      <c r="N203" s="1321"/>
      <c r="O203" s="1321"/>
      <c r="P203" s="1321"/>
      <c r="Q203" s="1320"/>
      <c r="R203" s="1320"/>
      <c r="S203" s="1320"/>
      <c r="T203" s="1320"/>
      <c r="U203" s="1320"/>
      <c r="V203" s="1320"/>
      <c r="W203" s="1320"/>
      <c r="X203" s="1320"/>
      <c r="Y203" s="1320"/>
      <c r="Z203" s="1320"/>
      <c r="AA203"/>
      <c r="AB203"/>
      <c r="AC203"/>
      <c r="AD203"/>
      <c r="AE203"/>
      <c r="AF203"/>
      <c r="AJ203" s="1319"/>
    </row>
  </sheetData>
  <conditionalFormatting sqref="A44 C46">
    <cfRule type="cellIs" dxfId="1" priority="1" stopIfTrue="1" operator="equal">
      <formula>"A44=0"</formula>
    </cfRule>
  </conditionalFormatting>
  <conditionalFormatting sqref="I45:P45">
    <cfRule type="cellIs" dxfId="0" priority="2" stopIfTrue="1" operator="equal">
      <formula>0</formula>
    </cfRule>
  </conditionalFormatting>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41" max="16383" man="1"/>
    <brk id="109" max="16383" man="1"/>
  </rowBreaks>
  <drawing r:id="rId2"/>
  <legacyDrawing r:id="rId3"/>
  <controls>
    <mc:AlternateContent xmlns:mc="http://schemas.openxmlformats.org/markup-compatibility/2006">
      <mc:Choice Requires="x14">
        <control shapeId="6955028" r:id="rId4" name="CommandButton2">
          <controlPr defaultSize="0" autoLine="0" r:id="rId5">
            <anchor moveWithCells="1">
              <from>
                <xdr:col>14</xdr:col>
                <xdr:colOff>485775</xdr:colOff>
                <xdr:row>1</xdr:row>
                <xdr:rowOff>57150</xdr:rowOff>
              </from>
              <to>
                <xdr:col>16</xdr:col>
                <xdr:colOff>352425</xdr:colOff>
                <xdr:row>1</xdr:row>
                <xdr:rowOff>381000</xdr:rowOff>
              </to>
            </anchor>
          </controlPr>
        </control>
      </mc:Choice>
      <mc:Fallback>
        <control shapeId="6955028" r:id="rId4" name="CommandButton2"/>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2" bestFit="1" customWidth="1"/>
    <col min="2" max="2" width="19.85546875" style="1703" customWidth="1"/>
    <col min="3" max="3" width="12" style="2" bestFit="1" customWidth="1"/>
    <col min="4" max="256" width="9.140625" style="2"/>
    <col min="257" max="257" width="29.5703125" style="2" bestFit="1" customWidth="1"/>
    <col min="258" max="258" width="19.85546875" style="2" customWidth="1"/>
    <col min="259" max="259" width="12" style="2" bestFit="1" customWidth="1"/>
    <col min="260" max="512" width="9.140625" style="2"/>
    <col min="513" max="513" width="29.5703125" style="2" bestFit="1" customWidth="1"/>
    <col min="514" max="514" width="19.85546875" style="2" customWidth="1"/>
    <col min="515" max="515" width="12" style="2" bestFit="1" customWidth="1"/>
    <col min="516" max="768" width="9.140625" style="2"/>
    <col min="769" max="769" width="29.5703125" style="2" bestFit="1" customWidth="1"/>
    <col min="770" max="770" width="19.85546875" style="2" customWidth="1"/>
    <col min="771" max="771" width="12" style="2" bestFit="1" customWidth="1"/>
    <col min="772" max="1024" width="9.140625" style="2"/>
    <col min="1025" max="1025" width="29.5703125" style="2" bestFit="1" customWidth="1"/>
    <col min="1026" max="1026" width="19.85546875" style="2" customWidth="1"/>
    <col min="1027" max="1027" width="12" style="2" bestFit="1" customWidth="1"/>
    <col min="1028" max="1280" width="9.140625" style="2"/>
    <col min="1281" max="1281" width="29.5703125" style="2" bestFit="1" customWidth="1"/>
    <col min="1282" max="1282" width="19.85546875" style="2" customWidth="1"/>
    <col min="1283" max="1283" width="12" style="2" bestFit="1" customWidth="1"/>
    <col min="1284" max="1536" width="9.140625" style="2"/>
    <col min="1537" max="1537" width="29.5703125" style="2" bestFit="1" customWidth="1"/>
    <col min="1538" max="1538" width="19.85546875" style="2" customWidth="1"/>
    <col min="1539" max="1539" width="12" style="2" bestFit="1" customWidth="1"/>
    <col min="1540" max="1792" width="9.140625" style="2"/>
    <col min="1793" max="1793" width="29.5703125" style="2" bestFit="1" customWidth="1"/>
    <col min="1794" max="1794" width="19.85546875" style="2" customWidth="1"/>
    <col min="1795" max="1795" width="12" style="2" bestFit="1" customWidth="1"/>
    <col min="1796" max="2048" width="9.140625" style="2"/>
    <col min="2049" max="2049" width="29.5703125" style="2" bestFit="1" customWidth="1"/>
    <col min="2050" max="2050" width="19.85546875" style="2" customWidth="1"/>
    <col min="2051" max="2051" width="12" style="2" bestFit="1" customWidth="1"/>
    <col min="2052" max="2304" width="9.140625" style="2"/>
    <col min="2305" max="2305" width="29.5703125" style="2" bestFit="1" customWidth="1"/>
    <col min="2306" max="2306" width="19.85546875" style="2" customWidth="1"/>
    <col min="2307" max="2307" width="12" style="2" bestFit="1" customWidth="1"/>
    <col min="2308" max="2560" width="9.140625" style="2"/>
    <col min="2561" max="2561" width="29.5703125" style="2" bestFit="1" customWidth="1"/>
    <col min="2562" max="2562" width="19.85546875" style="2" customWidth="1"/>
    <col min="2563" max="2563" width="12" style="2" bestFit="1" customWidth="1"/>
    <col min="2564" max="2816" width="9.140625" style="2"/>
    <col min="2817" max="2817" width="29.5703125" style="2" bestFit="1" customWidth="1"/>
    <col min="2818" max="2818" width="19.85546875" style="2" customWidth="1"/>
    <col min="2819" max="2819" width="12" style="2" bestFit="1" customWidth="1"/>
    <col min="2820" max="3072" width="9.140625" style="2"/>
    <col min="3073" max="3073" width="29.5703125" style="2" bestFit="1" customWidth="1"/>
    <col min="3074" max="3074" width="19.85546875" style="2" customWidth="1"/>
    <col min="3075" max="3075" width="12" style="2" bestFit="1" customWidth="1"/>
    <col min="3076" max="3328" width="9.140625" style="2"/>
    <col min="3329" max="3329" width="29.5703125" style="2" bestFit="1" customWidth="1"/>
    <col min="3330" max="3330" width="19.85546875" style="2" customWidth="1"/>
    <col min="3331" max="3331" width="12" style="2" bestFit="1" customWidth="1"/>
    <col min="3332" max="3584" width="9.140625" style="2"/>
    <col min="3585" max="3585" width="29.5703125" style="2" bestFit="1" customWidth="1"/>
    <col min="3586" max="3586" width="19.85546875" style="2" customWidth="1"/>
    <col min="3587" max="3587" width="12" style="2" bestFit="1" customWidth="1"/>
    <col min="3588" max="3840" width="9.140625" style="2"/>
    <col min="3841" max="3841" width="29.5703125" style="2" bestFit="1" customWidth="1"/>
    <col min="3842" max="3842" width="19.85546875" style="2" customWidth="1"/>
    <col min="3843" max="3843" width="12" style="2" bestFit="1" customWidth="1"/>
    <col min="3844" max="4096" width="9.140625" style="2"/>
    <col min="4097" max="4097" width="29.5703125" style="2" bestFit="1" customWidth="1"/>
    <col min="4098" max="4098" width="19.85546875" style="2" customWidth="1"/>
    <col min="4099" max="4099" width="12" style="2" bestFit="1" customWidth="1"/>
    <col min="4100" max="4352" width="9.140625" style="2"/>
    <col min="4353" max="4353" width="29.5703125" style="2" bestFit="1" customWidth="1"/>
    <col min="4354" max="4354" width="19.85546875" style="2" customWidth="1"/>
    <col min="4355" max="4355" width="12" style="2" bestFit="1" customWidth="1"/>
    <col min="4356" max="4608" width="9.140625" style="2"/>
    <col min="4609" max="4609" width="29.5703125" style="2" bestFit="1" customWidth="1"/>
    <col min="4610" max="4610" width="19.85546875" style="2" customWidth="1"/>
    <col min="4611" max="4611" width="12" style="2" bestFit="1" customWidth="1"/>
    <col min="4612" max="4864" width="9.140625" style="2"/>
    <col min="4865" max="4865" width="29.5703125" style="2" bestFit="1" customWidth="1"/>
    <col min="4866" max="4866" width="19.85546875" style="2" customWidth="1"/>
    <col min="4867" max="4867" width="12" style="2" bestFit="1" customWidth="1"/>
    <col min="4868" max="5120" width="9.140625" style="2"/>
    <col min="5121" max="5121" width="29.5703125" style="2" bestFit="1" customWidth="1"/>
    <col min="5122" max="5122" width="19.85546875" style="2" customWidth="1"/>
    <col min="5123" max="5123" width="12" style="2" bestFit="1" customWidth="1"/>
    <col min="5124" max="5376" width="9.140625" style="2"/>
    <col min="5377" max="5377" width="29.5703125" style="2" bestFit="1" customWidth="1"/>
    <col min="5378" max="5378" width="19.85546875" style="2" customWidth="1"/>
    <col min="5379" max="5379" width="12" style="2" bestFit="1" customWidth="1"/>
    <col min="5380" max="5632" width="9.140625" style="2"/>
    <col min="5633" max="5633" width="29.5703125" style="2" bestFit="1" customWidth="1"/>
    <col min="5634" max="5634" width="19.85546875" style="2" customWidth="1"/>
    <col min="5635" max="5635" width="12" style="2" bestFit="1" customWidth="1"/>
    <col min="5636" max="5888" width="9.140625" style="2"/>
    <col min="5889" max="5889" width="29.5703125" style="2" bestFit="1" customWidth="1"/>
    <col min="5890" max="5890" width="19.85546875" style="2" customWidth="1"/>
    <col min="5891" max="5891" width="12" style="2" bestFit="1" customWidth="1"/>
    <col min="5892" max="6144" width="9.140625" style="2"/>
    <col min="6145" max="6145" width="29.5703125" style="2" bestFit="1" customWidth="1"/>
    <col min="6146" max="6146" width="19.85546875" style="2" customWidth="1"/>
    <col min="6147" max="6147" width="12" style="2" bestFit="1" customWidth="1"/>
    <col min="6148" max="6400" width="9.140625" style="2"/>
    <col min="6401" max="6401" width="29.5703125" style="2" bestFit="1" customWidth="1"/>
    <col min="6402" max="6402" width="19.85546875" style="2" customWidth="1"/>
    <col min="6403" max="6403" width="12" style="2" bestFit="1" customWidth="1"/>
    <col min="6404" max="6656" width="9.140625" style="2"/>
    <col min="6657" max="6657" width="29.5703125" style="2" bestFit="1" customWidth="1"/>
    <col min="6658" max="6658" width="19.85546875" style="2" customWidth="1"/>
    <col min="6659" max="6659" width="12" style="2" bestFit="1" customWidth="1"/>
    <col min="6660" max="6912" width="9.140625" style="2"/>
    <col min="6913" max="6913" width="29.5703125" style="2" bestFit="1" customWidth="1"/>
    <col min="6914" max="6914" width="19.85546875" style="2" customWidth="1"/>
    <col min="6915" max="6915" width="12" style="2" bestFit="1" customWidth="1"/>
    <col min="6916" max="7168" width="9.140625" style="2"/>
    <col min="7169" max="7169" width="29.5703125" style="2" bestFit="1" customWidth="1"/>
    <col min="7170" max="7170" width="19.85546875" style="2" customWidth="1"/>
    <col min="7171" max="7171" width="12" style="2" bestFit="1" customWidth="1"/>
    <col min="7172" max="7424" width="9.140625" style="2"/>
    <col min="7425" max="7425" width="29.5703125" style="2" bestFit="1" customWidth="1"/>
    <col min="7426" max="7426" width="19.85546875" style="2" customWidth="1"/>
    <col min="7427" max="7427" width="12" style="2" bestFit="1" customWidth="1"/>
    <col min="7428" max="7680" width="9.140625" style="2"/>
    <col min="7681" max="7681" width="29.5703125" style="2" bestFit="1" customWidth="1"/>
    <col min="7682" max="7682" width="19.85546875" style="2" customWidth="1"/>
    <col min="7683" max="7683" width="12" style="2" bestFit="1" customWidth="1"/>
    <col min="7684" max="7936" width="9.140625" style="2"/>
    <col min="7937" max="7937" width="29.5703125" style="2" bestFit="1" customWidth="1"/>
    <col min="7938" max="7938" width="19.85546875" style="2" customWidth="1"/>
    <col min="7939" max="7939" width="12" style="2" bestFit="1" customWidth="1"/>
    <col min="7940" max="8192" width="9.140625" style="2"/>
    <col min="8193" max="8193" width="29.5703125" style="2" bestFit="1" customWidth="1"/>
    <col min="8194" max="8194" width="19.85546875" style="2" customWidth="1"/>
    <col min="8195" max="8195" width="12" style="2" bestFit="1" customWidth="1"/>
    <col min="8196" max="8448" width="9.140625" style="2"/>
    <col min="8449" max="8449" width="29.5703125" style="2" bestFit="1" customWidth="1"/>
    <col min="8450" max="8450" width="19.85546875" style="2" customWidth="1"/>
    <col min="8451" max="8451" width="12" style="2" bestFit="1" customWidth="1"/>
    <col min="8452" max="8704" width="9.140625" style="2"/>
    <col min="8705" max="8705" width="29.5703125" style="2" bestFit="1" customWidth="1"/>
    <col min="8706" max="8706" width="19.85546875" style="2" customWidth="1"/>
    <col min="8707" max="8707" width="12" style="2" bestFit="1" customWidth="1"/>
    <col min="8708" max="8960" width="9.140625" style="2"/>
    <col min="8961" max="8961" width="29.5703125" style="2" bestFit="1" customWidth="1"/>
    <col min="8962" max="8962" width="19.85546875" style="2" customWidth="1"/>
    <col min="8963" max="8963" width="12" style="2" bestFit="1" customWidth="1"/>
    <col min="8964" max="9216" width="9.140625" style="2"/>
    <col min="9217" max="9217" width="29.5703125" style="2" bestFit="1" customWidth="1"/>
    <col min="9218" max="9218" width="19.85546875" style="2" customWidth="1"/>
    <col min="9219" max="9219" width="12" style="2" bestFit="1" customWidth="1"/>
    <col min="9220" max="9472" width="9.140625" style="2"/>
    <col min="9473" max="9473" width="29.5703125" style="2" bestFit="1" customWidth="1"/>
    <col min="9474" max="9474" width="19.85546875" style="2" customWidth="1"/>
    <col min="9475" max="9475" width="12" style="2" bestFit="1" customWidth="1"/>
    <col min="9476" max="9728" width="9.140625" style="2"/>
    <col min="9729" max="9729" width="29.5703125" style="2" bestFit="1" customWidth="1"/>
    <col min="9730" max="9730" width="19.85546875" style="2" customWidth="1"/>
    <col min="9731" max="9731" width="12" style="2" bestFit="1" customWidth="1"/>
    <col min="9732" max="9984" width="9.140625" style="2"/>
    <col min="9985" max="9985" width="29.5703125" style="2" bestFit="1" customWidth="1"/>
    <col min="9986" max="9986" width="19.85546875" style="2" customWidth="1"/>
    <col min="9987" max="9987" width="12" style="2" bestFit="1" customWidth="1"/>
    <col min="9988" max="10240" width="9.140625" style="2"/>
    <col min="10241" max="10241" width="29.5703125" style="2" bestFit="1" customWidth="1"/>
    <col min="10242" max="10242" width="19.85546875" style="2" customWidth="1"/>
    <col min="10243" max="10243" width="12" style="2" bestFit="1" customWidth="1"/>
    <col min="10244" max="10496" width="9.140625" style="2"/>
    <col min="10497" max="10497" width="29.5703125" style="2" bestFit="1" customWidth="1"/>
    <col min="10498" max="10498" width="19.85546875" style="2" customWidth="1"/>
    <col min="10499" max="10499" width="12" style="2" bestFit="1" customWidth="1"/>
    <col min="10500" max="10752" width="9.140625" style="2"/>
    <col min="10753" max="10753" width="29.5703125" style="2" bestFit="1" customWidth="1"/>
    <col min="10754" max="10754" width="19.85546875" style="2" customWidth="1"/>
    <col min="10755" max="10755" width="12" style="2" bestFit="1" customWidth="1"/>
    <col min="10756" max="11008" width="9.140625" style="2"/>
    <col min="11009" max="11009" width="29.5703125" style="2" bestFit="1" customWidth="1"/>
    <col min="11010" max="11010" width="19.85546875" style="2" customWidth="1"/>
    <col min="11011" max="11011" width="12" style="2" bestFit="1" customWidth="1"/>
    <col min="11012" max="11264" width="9.140625" style="2"/>
    <col min="11265" max="11265" width="29.5703125" style="2" bestFit="1" customWidth="1"/>
    <col min="11266" max="11266" width="19.85546875" style="2" customWidth="1"/>
    <col min="11267" max="11267" width="12" style="2" bestFit="1" customWidth="1"/>
    <col min="11268" max="11520" width="9.140625" style="2"/>
    <col min="11521" max="11521" width="29.5703125" style="2" bestFit="1" customWidth="1"/>
    <col min="11522" max="11522" width="19.85546875" style="2" customWidth="1"/>
    <col min="11523" max="11523" width="12" style="2" bestFit="1" customWidth="1"/>
    <col min="11524" max="11776" width="9.140625" style="2"/>
    <col min="11777" max="11777" width="29.5703125" style="2" bestFit="1" customWidth="1"/>
    <col min="11778" max="11778" width="19.85546875" style="2" customWidth="1"/>
    <col min="11779" max="11779" width="12" style="2" bestFit="1" customWidth="1"/>
    <col min="11780" max="12032" width="9.140625" style="2"/>
    <col min="12033" max="12033" width="29.5703125" style="2" bestFit="1" customWidth="1"/>
    <col min="12034" max="12034" width="19.85546875" style="2" customWidth="1"/>
    <col min="12035" max="12035" width="12" style="2" bestFit="1" customWidth="1"/>
    <col min="12036" max="12288" width="9.140625" style="2"/>
    <col min="12289" max="12289" width="29.5703125" style="2" bestFit="1" customWidth="1"/>
    <col min="12290" max="12290" width="19.85546875" style="2" customWidth="1"/>
    <col min="12291" max="12291" width="12" style="2" bestFit="1" customWidth="1"/>
    <col min="12292" max="12544" width="9.140625" style="2"/>
    <col min="12545" max="12545" width="29.5703125" style="2" bestFit="1" customWidth="1"/>
    <col min="12546" max="12546" width="19.85546875" style="2" customWidth="1"/>
    <col min="12547" max="12547" width="12" style="2" bestFit="1" customWidth="1"/>
    <col min="12548" max="12800" width="9.140625" style="2"/>
    <col min="12801" max="12801" width="29.5703125" style="2" bestFit="1" customWidth="1"/>
    <col min="12802" max="12802" width="19.85546875" style="2" customWidth="1"/>
    <col min="12803" max="12803" width="12" style="2" bestFit="1" customWidth="1"/>
    <col min="12804" max="13056" width="9.140625" style="2"/>
    <col min="13057" max="13057" width="29.5703125" style="2" bestFit="1" customWidth="1"/>
    <col min="13058" max="13058" width="19.85546875" style="2" customWidth="1"/>
    <col min="13059" max="13059" width="12" style="2" bestFit="1" customWidth="1"/>
    <col min="13060" max="13312" width="9.140625" style="2"/>
    <col min="13313" max="13313" width="29.5703125" style="2" bestFit="1" customWidth="1"/>
    <col min="13314" max="13314" width="19.85546875" style="2" customWidth="1"/>
    <col min="13315" max="13315" width="12" style="2" bestFit="1" customWidth="1"/>
    <col min="13316" max="13568" width="9.140625" style="2"/>
    <col min="13569" max="13569" width="29.5703125" style="2" bestFit="1" customWidth="1"/>
    <col min="13570" max="13570" width="19.85546875" style="2" customWidth="1"/>
    <col min="13571" max="13571" width="12" style="2" bestFit="1" customWidth="1"/>
    <col min="13572" max="13824" width="9.140625" style="2"/>
    <col min="13825" max="13825" width="29.5703125" style="2" bestFit="1" customWidth="1"/>
    <col min="13826" max="13826" width="19.85546875" style="2" customWidth="1"/>
    <col min="13827" max="13827" width="12" style="2" bestFit="1" customWidth="1"/>
    <col min="13828" max="14080" width="9.140625" style="2"/>
    <col min="14081" max="14081" width="29.5703125" style="2" bestFit="1" customWidth="1"/>
    <col min="14082" max="14082" width="19.85546875" style="2" customWidth="1"/>
    <col min="14083" max="14083" width="12" style="2" bestFit="1" customWidth="1"/>
    <col min="14084" max="14336" width="9.140625" style="2"/>
    <col min="14337" max="14337" width="29.5703125" style="2" bestFit="1" customWidth="1"/>
    <col min="14338" max="14338" width="19.85546875" style="2" customWidth="1"/>
    <col min="14339" max="14339" width="12" style="2" bestFit="1" customWidth="1"/>
    <col min="14340" max="14592" width="9.140625" style="2"/>
    <col min="14593" max="14593" width="29.5703125" style="2" bestFit="1" customWidth="1"/>
    <col min="14594" max="14594" width="19.85546875" style="2" customWidth="1"/>
    <col min="14595" max="14595" width="12" style="2" bestFit="1" customWidth="1"/>
    <col min="14596" max="14848" width="9.140625" style="2"/>
    <col min="14849" max="14849" width="29.5703125" style="2" bestFit="1" customWidth="1"/>
    <col min="14850" max="14850" width="19.85546875" style="2" customWidth="1"/>
    <col min="14851" max="14851" width="12" style="2" bestFit="1" customWidth="1"/>
    <col min="14852" max="15104" width="9.140625" style="2"/>
    <col min="15105" max="15105" width="29.5703125" style="2" bestFit="1" customWidth="1"/>
    <col min="15106" max="15106" width="19.85546875" style="2" customWidth="1"/>
    <col min="15107" max="15107" width="12" style="2" bestFit="1" customWidth="1"/>
    <col min="15108" max="15360" width="9.140625" style="2"/>
    <col min="15361" max="15361" width="29.5703125" style="2" bestFit="1" customWidth="1"/>
    <col min="15362" max="15362" width="19.85546875" style="2" customWidth="1"/>
    <col min="15363" max="15363" width="12" style="2" bestFit="1" customWidth="1"/>
    <col min="15364" max="15616" width="9.140625" style="2"/>
    <col min="15617" max="15617" width="29.5703125" style="2" bestFit="1" customWidth="1"/>
    <col min="15618" max="15618" width="19.85546875" style="2" customWidth="1"/>
    <col min="15619" max="15619" width="12" style="2" bestFit="1" customWidth="1"/>
    <col min="15620" max="15872" width="9.140625" style="2"/>
    <col min="15873" max="15873" width="29.5703125" style="2" bestFit="1" customWidth="1"/>
    <col min="15874" max="15874" width="19.85546875" style="2" customWidth="1"/>
    <col min="15875" max="15875" width="12" style="2" bestFit="1" customWidth="1"/>
    <col min="15876" max="16128" width="9.140625" style="2"/>
    <col min="16129" max="16129" width="29.5703125" style="2" bestFit="1" customWidth="1"/>
    <col min="16130" max="16130" width="19.85546875" style="2" customWidth="1"/>
    <col min="16131" max="16131" width="12" style="2" bestFit="1" customWidth="1"/>
    <col min="16132" max="16384" width="9.140625" style="2"/>
  </cols>
  <sheetData>
    <row r="1" spans="1:2">
      <c r="A1" s="2" t="s">
        <v>1091</v>
      </c>
      <c r="B1" s="1702">
        <v>6.1</v>
      </c>
    </row>
    <row r="2" spans="1:2">
      <c r="A2" s="2" t="s">
        <v>1092</v>
      </c>
      <c r="B2" s="1706">
        <v>43199.624606481484</v>
      </c>
    </row>
    <row r="3" spans="1:2">
      <c r="A3" s="2" t="s">
        <v>1093</v>
      </c>
      <c r="B3" s="1703" t="s">
        <v>804</v>
      </c>
    </row>
    <row r="4" spans="1:2">
      <c r="A4" s="2" t="s">
        <v>1094</v>
      </c>
      <c r="B4" s="1703" t="s">
        <v>1095</v>
      </c>
    </row>
    <row r="5" spans="1:2">
      <c r="A5" s="2" t="s">
        <v>1096</v>
      </c>
      <c r="B5" s="1703" t="s">
        <v>727</v>
      </c>
    </row>
    <row r="6" spans="1:2">
      <c r="A6" s="2" t="s">
        <v>1097</v>
      </c>
    </row>
    <row r="7" spans="1:2">
      <c r="A7" s="2" t="s">
        <v>1098</v>
      </c>
      <c r="B7" s="1703" t="s">
        <v>654</v>
      </c>
    </row>
    <row r="8" spans="1:2">
      <c r="A8" s="2" t="s">
        <v>1099</v>
      </c>
      <c r="B8" s="1703" t="s">
        <v>1100</v>
      </c>
    </row>
    <row r="9" spans="1:2">
      <c r="A9" s="2" t="s">
        <v>1101</v>
      </c>
      <c r="B9" s="1703" t="s">
        <v>1138</v>
      </c>
    </row>
    <row r="10" spans="1:2">
      <c r="A10" s="2" t="s">
        <v>1102</v>
      </c>
    </row>
    <row r="11" spans="1:2">
      <c r="A11" s="2" t="s">
        <v>1103</v>
      </c>
    </row>
    <row r="12" spans="1:2">
      <c r="A12" s="2" t="s">
        <v>1104</v>
      </c>
    </row>
    <row r="13" spans="1:2">
      <c r="A13" s="2" t="s">
        <v>1105</v>
      </c>
    </row>
    <row r="14" spans="1:2">
      <c r="A14" s="2" t="s">
        <v>1106</v>
      </c>
    </row>
    <row r="15" spans="1:2">
      <c r="A15" s="2" t="s">
        <v>1107</v>
      </c>
    </row>
    <row r="16" spans="1:2">
      <c r="A16" s="2" t="s">
        <v>1108</v>
      </c>
    </row>
    <row r="17" spans="1:4">
      <c r="A17" s="2" t="s">
        <v>1109</v>
      </c>
      <c r="B17" s="1703" t="s">
        <v>1139</v>
      </c>
    </row>
    <row r="18" spans="1:4">
      <c r="A18" s="2" t="s">
        <v>1110</v>
      </c>
      <c r="B18" s="1703" t="s">
        <v>803</v>
      </c>
    </row>
    <row r="19" spans="1:4">
      <c r="A19" s="2" t="s">
        <v>1111</v>
      </c>
      <c r="B19" s="1703" t="s">
        <v>455</v>
      </c>
    </row>
    <row r="20" spans="1:4">
      <c r="A20" s="2" t="s">
        <v>1112</v>
      </c>
      <c r="B20" s="1704">
        <v>168615102</v>
      </c>
    </row>
    <row r="21" spans="1:4">
      <c r="A21" s="2" t="s">
        <v>1113</v>
      </c>
      <c r="B21" s="1703" t="s">
        <v>455</v>
      </c>
    </row>
    <row r="22" spans="1:4">
      <c r="A22" s="2" t="s">
        <v>1114</v>
      </c>
      <c r="B22" s="1704">
        <v>2196781</v>
      </c>
    </row>
    <row r="23" spans="1:4">
      <c r="A23" s="2" t="s">
        <v>520</v>
      </c>
      <c r="B23" s="1702">
        <v>10</v>
      </c>
    </row>
    <row r="24" spans="1:4">
      <c r="A24" s="2" t="s">
        <v>399</v>
      </c>
      <c r="B24" s="1703" t="s">
        <v>225</v>
      </c>
      <c r="D24" s="2" t="s">
        <v>367</v>
      </c>
    </row>
    <row r="25" spans="1:4">
      <c r="A25" s="2" t="s">
        <v>1115</v>
      </c>
      <c r="B25" s="1703" t="s">
        <v>1142</v>
      </c>
    </row>
    <row r="26" spans="1:4">
      <c r="A26" s="2" t="s">
        <v>1116</v>
      </c>
      <c r="B26" s="1703">
        <v>0</v>
      </c>
    </row>
    <row r="27" spans="1:4">
      <c r="A27" s="2" t="s">
        <v>1117</v>
      </c>
      <c r="B27" s="1703" t="s">
        <v>1118</v>
      </c>
    </row>
    <row r="28" spans="1:4">
      <c r="A28" s="2" t="s">
        <v>1119</v>
      </c>
      <c r="B28" s="1703" t="s">
        <v>1120</v>
      </c>
    </row>
    <row r="29" spans="1:4">
      <c r="A29" s="2" t="s">
        <v>1121</v>
      </c>
    </row>
    <row r="30" spans="1:4">
      <c r="A30" s="2" t="s">
        <v>1122</v>
      </c>
    </row>
    <row r="31" spans="1:4">
      <c r="A31" s="2" t="s">
        <v>1123</v>
      </c>
    </row>
    <row r="32" spans="1:4">
      <c r="A32" s="2" t="s">
        <v>1124</v>
      </c>
      <c r="B32" s="1702"/>
    </row>
    <row r="33" spans="1:2">
      <c r="A33" s="2" t="s">
        <v>1125</v>
      </c>
      <c r="B33" s="1702"/>
    </row>
    <row r="34" spans="1:2">
      <c r="A34" s="2" t="s">
        <v>1126</v>
      </c>
      <c r="B34" s="1702"/>
    </row>
    <row r="35" spans="1:2">
      <c r="A35" s="2" t="s">
        <v>1127</v>
      </c>
      <c r="B35" s="1703">
        <v>1000000</v>
      </c>
    </row>
    <row r="36" spans="1:2">
      <c r="A36" s="2" t="s">
        <v>1128</v>
      </c>
      <c r="B36" s="1703" t="s">
        <v>1140</v>
      </c>
    </row>
    <row r="37" spans="1:2">
      <c r="A37" s="2" t="s">
        <v>1129</v>
      </c>
      <c r="B37" s="1703" t="s">
        <v>1130</v>
      </c>
    </row>
    <row r="38" spans="1:2">
      <c r="A38" s="2" t="s">
        <v>1131</v>
      </c>
      <c r="B38" s="1703" t="s">
        <v>1132</v>
      </c>
    </row>
    <row r="39" spans="1:2">
      <c r="A39" s="2" t="s">
        <v>1133</v>
      </c>
      <c r="B39" s="1703" t="s">
        <v>1141</v>
      </c>
    </row>
    <row r="40" spans="1:2">
      <c r="A40" s="2" t="s">
        <v>1134</v>
      </c>
      <c r="B40" s="1703">
        <v>5208</v>
      </c>
    </row>
    <row r="41" spans="1:2">
      <c r="A41" s="2" t="s">
        <v>1135</v>
      </c>
      <c r="B41" s="1703">
        <v>1</v>
      </c>
    </row>
    <row r="42" spans="1:2">
      <c r="A42" s="1705" t="s">
        <v>1136</v>
      </c>
      <c r="B42" s="1703" t="s">
        <v>1143</v>
      </c>
    </row>
    <row r="43" spans="1:2">
      <c r="A43" s="2" t="s">
        <v>1137</v>
      </c>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2" bestFit="1" customWidth="1"/>
    <col min="2" max="256" width="9.140625" style="2"/>
    <col min="257" max="257" width="28.5703125" style="2" bestFit="1" customWidth="1"/>
    <col min="258" max="512" width="9.140625" style="2"/>
    <col min="513" max="513" width="28.5703125" style="2" bestFit="1" customWidth="1"/>
    <col min="514" max="768" width="9.140625" style="2"/>
    <col min="769" max="769" width="28.5703125" style="2" bestFit="1" customWidth="1"/>
    <col min="770" max="1024" width="9.140625" style="2"/>
    <col min="1025" max="1025" width="28.5703125" style="2" bestFit="1" customWidth="1"/>
    <col min="1026" max="1280" width="9.140625" style="2"/>
    <col min="1281" max="1281" width="28.5703125" style="2" bestFit="1" customWidth="1"/>
    <col min="1282" max="1536" width="9.140625" style="2"/>
    <col min="1537" max="1537" width="28.5703125" style="2" bestFit="1" customWidth="1"/>
    <col min="1538" max="1792" width="9.140625" style="2"/>
    <col min="1793" max="1793" width="28.5703125" style="2" bestFit="1" customWidth="1"/>
    <col min="1794" max="2048" width="9.140625" style="2"/>
    <col min="2049" max="2049" width="28.5703125" style="2" bestFit="1" customWidth="1"/>
    <col min="2050" max="2304" width="9.140625" style="2"/>
    <col min="2305" max="2305" width="28.5703125" style="2" bestFit="1" customWidth="1"/>
    <col min="2306" max="2560" width="9.140625" style="2"/>
    <col min="2561" max="2561" width="28.5703125" style="2" bestFit="1" customWidth="1"/>
    <col min="2562" max="2816" width="9.140625" style="2"/>
    <col min="2817" max="2817" width="28.5703125" style="2" bestFit="1" customWidth="1"/>
    <col min="2818" max="3072" width="9.140625" style="2"/>
    <col min="3073" max="3073" width="28.5703125" style="2" bestFit="1" customWidth="1"/>
    <col min="3074" max="3328" width="9.140625" style="2"/>
    <col min="3329" max="3329" width="28.5703125" style="2" bestFit="1" customWidth="1"/>
    <col min="3330" max="3584" width="9.140625" style="2"/>
    <col min="3585" max="3585" width="28.5703125" style="2" bestFit="1" customWidth="1"/>
    <col min="3586" max="3840" width="9.140625" style="2"/>
    <col min="3841" max="3841" width="28.5703125" style="2" bestFit="1" customWidth="1"/>
    <col min="3842" max="4096" width="9.140625" style="2"/>
    <col min="4097" max="4097" width="28.5703125" style="2" bestFit="1" customWidth="1"/>
    <col min="4098" max="4352" width="9.140625" style="2"/>
    <col min="4353" max="4353" width="28.5703125" style="2" bestFit="1" customWidth="1"/>
    <col min="4354" max="4608" width="9.140625" style="2"/>
    <col min="4609" max="4609" width="28.5703125" style="2" bestFit="1" customWidth="1"/>
    <col min="4610" max="4864" width="9.140625" style="2"/>
    <col min="4865" max="4865" width="28.5703125" style="2" bestFit="1" customWidth="1"/>
    <col min="4866" max="5120" width="9.140625" style="2"/>
    <col min="5121" max="5121" width="28.5703125" style="2" bestFit="1" customWidth="1"/>
    <col min="5122" max="5376" width="9.140625" style="2"/>
    <col min="5377" max="5377" width="28.5703125" style="2" bestFit="1" customWidth="1"/>
    <col min="5378" max="5632" width="9.140625" style="2"/>
    <col min="5633" max="5633" width="28.5703125" style="2" bestFit="1" customWidth="1"/>
    <col min="5634" max="5888" width="9.140625" style="2"/>
    <col min="5889" max="5889" width="28.5703125" style="2" bestFit="1" customWidth="1"/>
    <col min="5890" max="6144" width="9.140625" style="2"/>
    <col min="6145" max="6145" width="28.5703125" style="2" bestFit="1" customWidth="1"/>
    <col min="6146" max="6400" width="9.140625" style="2"/>
    <col min="6401" max="6401" width="28.5703125" style="2" bestFit="1" customWidth="1"/>
    <col min="6402" max="6656" width="9.140625" style="2"/>
    <col min="6657" max="6657" width="28.5703125" style="2" bestFit="1" customWidth="1"/>
    <col min="6658" max="6912" width="9.140625" style="2"/>
    <col min="6913" max="6913" width="28.5703125" style="2" bestFit="1" customWidth="1"/>
    <col min="6914" max="7168" width="9.140625" style="2"/>
    <col min="7169" max="7169" width="28.5703125" style="2" bestFit="1" customWidth="1"/>
    <col min="7170" max="7424" width="9.140625" style="2"/>
    <col min="7425" max="7425" width="28.5703125" style="2" bestFit="1" customWidth="1"/>
    <col min="7426" max="7680" width="9.140625" style="2"/>
    <col min="7681" max="7681" width="28.5703125" style="2" bestFit="1" customWidth="1"/>
    <col min="7682" max="7936" width="9.140625" style="2"/>
    <col min="7937" max="7937" width="28.5703125" style="2" bestFit="1" customWidth="1"/>
    <col min="7938" max="8192" width="9.140625" style="2"/>
    <col min="8193" max="8193" width="28.5703125" style="2" bestFit="1" customWidth="1"/>
    <col min="8194" max="8448" width="9.140625" style="2"/>
    <col min="8449" max="8449" width="28.5703125" style="2" bestFit="1" customWidth="1"/>
    <col min="8450" max="8704" width="9.140625" style="2"/>
    <col min="8705" max="8705" width="28.5703125" style="2" bestFit="1" customWidth="1"/>
    <col min="8706" max="8960" width="9.140625" style="2"/>
    <col min="8961" max="8961" width="28.5703125" style="2" bestFit="1" customWidth="1"/>
    <col min="8962" max="9216" width="9.140625" style="2"/>
    <col min="9217" max="9217" width="28.5703125" style="2" bestFit="1" customWidth="1"/>
    <col min="9218" max="9472" width="9.140625" style="2"/>
    <col min="9473" max="9473" width="28.5703125" style="2" bestFit="1" customWidth="1"/>
    <col min="9474" max="9728" width="9.140625" style="2"/>
    <col min="9729" max="9729" width="28.5703125" style="2" bestFit="1" customWidth="1"/>
    <col min="9730" max="9984" width="9.140625" style="2"/>
    <col min="9985" max="9985" width="28.5703125" style="2" bestFit="1" customWidth="1"/>
    <col min="9986" max="10240" width="9.140625" style="2"/>
    <col min="10241" max="10241" width="28.5703125" style="2" bestFit="1" customWidth="1"/>
    <col min="10242" max="10496" width="9.140625" style="2"/>
    <col min="10497" max="10497" width="28.5703125" style="2" bestFit="1" customWidth="1"/>
    <col min="10498" max="10752" width="9.140625" style="2"/>
    <col min="10753" max="10753" width="28.5703125" style="2" bestFit="1" customWidth="1"/>
    <col min="10754" max="11008" width="9.140625" style="2"/>
    <col min="11009" max="11009" width="28.5703125" style="2" bestFit="1" customWidth="1"/>
    <col min="11010" max="11264" width="9.140625" style="2"/>
    <col min="11265" max="11265" width="28.5703125" style="2" bestFit="1" customWidth="1"/>
    <col min="11266" max="11520" width="9.140625" style="2"/>
    <col min="11521" max="11521" width="28.5703125" style="2" bestFit="1" customWidth="1"/>
    <col min="11522" max="11776" width="9.140625" style="2"/>
    <col min="11777" max="11777" width="28.5703125" style="2" bestFit="1" customWidth="1"/>
    <col min="11778" max="12032" width="9.140625" style="2"/>
    <col min="12033" max="12033" width="28.5703125" style="2" bestFit="1" customWidth="1"/>
    <col min="12034" max="12288" width="9.140625" style="2"/>
    <col min="12289" max="12289" width="28.5703125" style="2" bestFit="1" customWidth="1"/>
    <col min="12290" max="12544" width="9.140625" style="2"/>
    <col min="12545" max="12545" width="28.5703125" style="2" bestFit="1" customWidth="1"/>
    <col min="12546" max="12800" width="9.140625" style="2"/>
    <col min="12801" max="12801" width="28.5703125" style="2" bestFit="1" customWidth="1"/>
    <col min="12802" max="13056" width="9.140625" style="2"/>
    <col min="13057" max="13057" width="28.5703125" style="2" bestFit="1" customWidth="1"/>
    <col min="13058" max="13312" width="9.140625" style="2"/>
    <col min="13313" max="13313" width="28.5703125" style="2" bestFit="1" customWidth="1"/>
    <col min="13314" max="13568" width="9.140625" style="2"/>
    <col min="13569" max="13569" width="28.5703125" style="2" bestFit="1" customWidth="1"/>
    <col min="13570" max="13824" width="9.140625" style="2"/>
    <col min="13825" max="13825" width="28.5703125" style="2" bestFit="1" customWidth="1"/>
    <col min="13826" max="14080" width="9.140625" style="2"/>
    <col min="14081" max="14081" width="28.5703125" style="2" bestFit="1" customWidth="1"/>
    <col min="14082" max="14336" width="9.140625" style="2"/>
    <col min="14337" max="14337" width="28.5703125" style="2" bestFit="1" customWidth="1"/>
    <col min="14338" max="14592" width="9.140625" style="2"/>
    <col min="14593" max="14593" width="28.5703125" style="2" bestFit="1" customWidth="1"/>
    <col min="14594" max="14848" width="9.140625" style="2"/>
    <col min="14849" max="14849" width="28.5703125" style="2" bestFit="1" customWidth="1"/>
    <col min="14850" max="15104" width="9.140625" style="2"/>
    <col min="15105" max="15105" width="28.5703125" style="2" bestFit="1" customWidth="1"/>
    <col min="15106" max="15360" width="9.140625" style="2"/>
    <col min="15361" max="15361" width="28.5703125" style="2" bestFit="1" customWidth="1"/>
    <col min="15362" max="15616" width="9.140625" style="2"/>
    <col min="15617" max="15617" width="28.5703125" style="2" bestFit="1" customWidth="1"/>
    <col min="15618" max="15872" width="9.140625" style="2"/>
    <col min="15873" max="15873" width="28.5703125" style="2" bestFit="1" customWidth="1"/>
    <col min="15874" max="16128" width="9.140625" style="2"/>
    <col min="16129" max="16129" width="28.5703125" style="2" bestFit="1" customWidth="1"/>
    <col min="16130" max="16384" width="9.140625" style="2"/>
  </cols>
  <sheetData>
    <row r="1" spans="1:1">
      <c r="A1" s="1707" t="s">
        <v>1144</v>
      </c>
    </row>
    <row r="2" spans="1:1">
      <c r="A2" s="1707" t="s">
        <v>1149</v>
      </c>
    </row>
    <row r="3" spans="1:1">
      <c r="A3" s="1707" t="s">
        <v>1150</v>
      </c>
    </row>
    <row r="4" spans="1:1">
      <c r="A4" s="1707" t="s">
        <v>1151</v>
      </c>
    </row>
    <row r="5" spans="1:1">
      <c r="A5" s="1707" t="s">
        <v>1152</v>
      </c>
    </row>
    <row r="6" spans="1:1">
      <c r="A6" s="1707" t="s">
        <v>1145</v>
      </c>
    </row>
    <row r="7" spans="1:1">
      <c r="A7" s="1707" t="s">
        <v>1153</v>
      </c>
    </row>
    <row r="8" spans="1:1">
      <c r="A8" s="1707" t="s">
        <v>1154</v>
      </c>
    </row>
    <row r="9" spans="1:1">
      <c r="A9" s="1707" t="s">
        <v>1155</v>
      </c>
    </row>
    <row r="10" spans="1:1">
      <c r="A10" s="1707" t="s">
        <v>1146</v>
      </c>
    </row>
    <row r="11" spans="1:1">
      <c r="A11" s="1707" t="s">
        <v>1156</v>
      </c>
    </row>
    <row r="12" spans="1:1">
      <c r="A12" s="1707" t="s">
        <v>1147</v>
      </c>
    </row>
    <row r="13" spans="1:1">
      <c r="A13" s="1707" t="s">
        <v>1148</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3c26ecf5-1e34-4e46-a60b-6d142145abf0</GUID>
    <SOURCE_ALTADDRESS>$C$2:$I$18</SOURCE_ALTADDRESS>
    <SOURCETYPE>Table</SOURCETYPE>
    <SOURCE_OBJECTNAME>Linking_Range_16</SOURCE_OBJECTNAME>
    <OBJECTTYPE>Native</OBJECTTYPE>
    <SOURCE_SHEETCODE>Sheet40</SOURCE_SHEETCODE>
    <SOURCE_SHEETNAME>valuation</SOURCE_SHEETNAME>
    <SOURCEAPPLICATION>EXCEL_SOURCE</SOURCEAPPLICATION>
    <UPDATEDAT>2/28/2015 6:45:04 PM</UPDATEDAT>
    <SOURCE_ISOUTOFDATE>False</SOURCE_ISOUTOFDATE>
    <SOURCE_WORKBOOKNAME>CHS.xls</SOURCE_WORKBOOKNAME>
    <SOURCE_WORKBOOKPATH>\\MSAD\ROOT\NA\NY\LIB\ER\RETAIL\Greenberger\Companies\CHS\Models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/MSResearch/Content/ExternalAssets/2015-02/Images/zQZ-GkYvTEmsV7zhfF_ABg--.png</TARGET_BINARYFULLNAME>
    <TARGET_STORYFULLNAME>/MSResearch/Content/ExternalAssets/2015-02/Sections/20150228_064438_Linking_Range_16.xml</TARGET_STORYFULLNAME>
    <TARGET_UUID>c234e4b2-bfa3-11e4-9f70-7ee6b35d6546</TARGET_UUID>
    <TRANSPARENTBACKGROUND>False</TRANSPARENTBACKGROUND>
    <TRANSPARENTPLOTAREA>False</TRANSPARENTPLOTAREA>
  </Link>
  <Link>
    <GUID>e82a7274-7005-4323-a9ce-5d5981017a17</GUID>
    <SOURCETYPE>Chart</SOURCETYPE>
    <SOURCE_OBJECTNAME>MWA_Risk_Reward</SOURCE_OBJECTNAME>
    <SOURCE_SHEETCODE>MWRSSData</SOURCE_SHEETCODE>
    <SOURCE_SHEETNAME>MWA RR</SOURCE_SHEETNAME>
    <OBJECTTYPE>Native</OBJECTTYPE>
    <SOURCEAPPLICATION>EXCEL_SOURCE</SOURCEAPPLICATION>
    <UPDATEDAT>5/27/2015 8:07:25 PM</UPDATEDAT>
    <SOURCE_ISOUTOFDATE>False</SOURCE_ISOUTOFDATE>
    <SOURCE_WORKBOOKNAME>CHS.xls</SOURCE_WORKBOOKNAME>
    <SOURCE_WORKBOOKPATH>\\MSAD\ROOT\NA\NY\LIB\ER\RETAIL\Greenberger\Companies\CHS\Models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/MSResearch/Content/ExternalAssets/2014-08/Images/e82a7274-7005-4323-a9ce-5d5981017a17.png</TARGET_BINARYFULLNAME>
    <TARGET_UUID>b27c910e-2233-11e4-803a-c0bd75be15d6</TARGET_UUID>
    <TARGET_STORYFULLNAME>/MSResearch/Content/ExternalAssets/2014-08/Sections/MWA_Risk_Reward-5194.xml</TARGET_STORYFULLNAME>
    <TARGET_LOID>4.0.2130494655</TARGET_LOID>
    <LINKSTATUS>Unknown</LINKSTATUS>
    <HIDEGRIDLINES>False</HIDEGRIDLINES>
  </Link>
  <Link>
    <GUID>179a6669-0b02-42a2-a514-c4a2ec9c6e76</GUID>
    <SOURCE_ALTADDRESS>$A$5:$CP$60</SOURCE_ALTADDRESS>
    <SOURCETYPE>Table</SOURCETYPE>
    <SOURCE_OBJECTNAME>Linking_Range_9</SOURCE_OBJECTNAME>
    <OBJECTTYPE>Native</OBJECTTYPE>
    <SOURCE_SHEETCODE>Sheet3</SOURCE_SHEETCODE>
    <SOURCE_SHEETNAME>sumry</SOURCE_SHEETNAME>
    <SOURCEAPPLICATION>EXCEL_SOURCE</SOURCEAPPLICATION>
    <UPDATEDAT>5/27/2015 8:30:58 PM</UPDATEDAT>
    <SOURCE_ISOUTOFDATE>False</SOURCE_ISOUTOFDATE>
    <SOURCE_WORKBOOKNAME>CHS.xls</SOURCE_WORKBOOKNAME>
    <SOURCE_WORKBOOKPATH>\\MSAD\ROOT\NA\NY\LIB\ER\RETAIL\Greenberger\Companies\CHS\Models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/MSResearch/Content/ExternalAssets/2014-08/Images/179a6669-0b02-42a2-a514-c4a2ec9c6e76.png</TARGET_BINARYFULLNAME>
    <TARGET_UUID>967cb054-223a-11e4-803a-c0bd75be15d6</TARGET_UUID>
    <TARGET_STORYFULLNAME>/MSResearch/Content/ExternalAssets/2014-08/Sections/Linking_Range_9-5229.xml</TARGET_STORYFULLNAME>
    <TARGET_LOID>4.0.2130495075</TARGET_LOID>
    <TRANSPARENTBACKGROUND>False</TRANSPARENTBACKGROUND>
    <TRANSPARENTPLOTAREA>False</TRANSPARENTPLOTAREA>
    <LINKSTATUS>Unknown</LINKSTATUS>
  </Link>
  <Link>
    <GUID>20eac1bc-e032-499e-affe-1c353814c6da</GUID>
    <SOURCE_ALTADDRESS>$A$5:$CV$60</SOURCE_ALTADDRESS>
    <SOURCETYPE>Table</SOURCETYPE>
    <SOURCE_OBJECTNAME>Linking_Range_13</SOURCE_OBJECTNAME>
    <OBJECTTYPE>Native</OBJECTTYPE>
    <SOURCE_SHEETCODE>Sheet3</SOURCE_SHEETCODE>
    <SOURCE_SHEETNAME>sumry</SOURCE_SHEETNAME>
    <SOURCEAPPLICATION>EXCEL_SOURCE</SOURCEAPPLICATION>
    <UPDATEDAT>5/27/2015 8:31:01 PM</UPDATEDAT>
    <SOURCE_ISOUTOFDATE>False</SOURCE_ISOUTOFDATE>
    <SOURCE_WORKBOOKNAME>CHS.xls</SOURCE_WORKBOOKNAME>
    <SOURCE_WORKBOOKPATH>\\MSAD\ROOT\NA\NY\LIB\ER\RETAIL\Greenberger\Companies\CHS\Models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/MSResearch/Content/ExternalAssets/2014-11/Images/GlbYbxDfkyKQefZKrwiQ--.png</TARGET_BINARYFULLNAME>
    <TARGET_STORYFULLNAME>/MSResearch/Content/ExternalAssets/2014-11/Sections/20141125_054344_Linking_Range_13.xml</TARGET_STORYFULLNAME>
    <TARGET_UUID>82e57398-74f4-11e4-b425-7f75cf12bb5f</TARGET_UUID>
    <LINKSTATUS>Unknown</LINKSTATUS>
  </Link>
  <Link>
    <GUID>4420e1d0-e4cf-4609-a369-e6a906ec050e</GUID>
    <SOURCE_ALTADDRESS>$A$5:$CW$60</SOURCE_ALTADDRESS>
    <SOURCETYPE>Table</SOURCETYPE>
    <SOURCE_OBJECTNAME>Linking_Range_17</SOURCE_OBJECTNAME>
    <OBJECTTYPE>Native</OBJECTTYPE>
    <SOURCE_SHEETCODE>Sheet3</SOURCE_SHEETCODE>
    <SOURCE_SHEETNAME>sumry</SOURCE_SHEETNAME>
    <SOURCEAPPLICATION>EXCEL_SOURCE</SOURCEAPPLICATION>
    <UPDATEDAT>5/27/2015 8:31:04 PM</UPDATEDAT>
    <SOURCE_ISOUTOFDATE>False</SOURCE_ISOUTOFDATE>
    <SOURCE_WORKBOOKNAME>CHS.xls</SOURCE_WORKBOOKNAME>
    <SOURCE_WORKBOOKPATH>\\MSAD\ROOT\NA\NY\LIB\ER\RETAIL\Greenberger\Companies\CHS\Models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/MSResearch/Content/ExternalAssets/2015-02/Images/db6LFkJPcU2PfIVtSGjtiQ--.png</TARGET_BINARYFULLNAME>
    <TARGET_STORYFULLNAME>/MSResearch/Content/ExternalAssets/2015-02/Sections/20150228_064542_Linking_Range_17.xml</TARGET_STORYFULLNAME>
    <TARGET_UUID>e80aaf64-bfa3-11e4-9f70-7ee6b35d6546</TARGET_UUID>
    <LINKSTATUS>Unknown</LINKSTATUS>
  </Link>
  <Link>
    <GUID>6019f6f8-9a15-48a5-b6ba-89559c812984</GUID>
    <SOURCE_ALTADDRESS>$A$6:$BA$53</SOURCE_ALTADDRESS>
    <SOURCETYPE>Table</SOURCETYPE>
    <SOURCE_OBJECTNAME>Linking_Range_11</SOURCE_OBJECTNAME>
    <OBJECTTYPE>Native</OBJECTTYPE>
    <SOURCE_SHEETCODE>Sheet13</SOURCE_SHEETCODE>
    <SOURCE_SHEETNAME>bal</SOURCE_SHEETNAME>
    <SOURCEAPPLICATION>EXCEL_SOURCE</SOURCEAPPLICATION>
    <UPDATEDAT>5/27/2015 8:32:05 PM</UPDATEDAT>
    <SOURCE_ISOUTOFDATE>False</SOURCE_ISOUTOFDATE>
    <SOURCE_WORKBOOKNAME>CHS.xls</SOURCE_WORKBOOKNAME>
    <SOURCE_WORKBOOKPATH>\\MSAD\ROOT\NA\NY\LIB\ER\RETAIL\Greenberger\Companies\CHS\Models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/MSResearch/Content/ExternalAssets/2014-08/Images/6019f6f8-9a15-48a5-b6ba-89559c812984.png</TARGET_BINARYFULLNAME>
    <TARGET_UUID>e30c2844-223c-11e4-803a-c0bd75be15d6</TARGET_UUID>
    <TARGET_STORYFULLNAME>/MSResearch/Content/ExternalAssets/2014-08/Sections/Linking_Range_11-5248.xml</TARGET_STORYFULLNAME>
    <TARGET_LOID>4.0.2131584920</TARGET_LOID>
    <LINKSTATUS>Unknown</LINKSTATUS>
  </Link>
  <Link>
    <GUID>59d1a178-1cf2-44c8-b045-cc9086b7f734</GUID>
    <SOURCE_ALTADDRESS>$A$6:$BC$53</SOURCE_ALTADDRESS>
    <SOURCETYPE>Table</SOURCETYPE>
    <SOURCE_OBJECTNAME>Linking_Range_14</SOURCE_OBJECTNAME>
    <OBJECTTYPE>Native</OBJECTTYPE>
    <SOURCE_SHEETCODE>Sheet13</SOURCE_SHEETCODE>
    <SOURCE_SHEETNAME>bal</SOURCE_SHEETNAME>
    <SOURCEAPPLICATION>EXCEL_SOURCE</SOURCEAPPLICATION>
    <UPDATEDAT>5/27/2015 8:32:09 PM</UPDATEDAT>
    <SOURCE_ISOUTOFDATE>False</SOURCE_ISOUTOFDATE>
    <SOURCE_WORKBOOKNAME>CHS.xls</SOURCE_WORKBOOKNAME>
    <SOURCE_WORKBOOKPATH>\\MSAD\ROOT\NA\NY\LIB\ER\RETAIL\Greenberger\Companies\CHS\Models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/MSResearch/Content/ExternalAssets/2014-11/Images/6mRTZ6lzGmR8aFo8znw--.png</TARGET_BINARYFULLNAME>
    <TARGET_STORYFULLNAME>/MSResearch/Content/ExternalAssets/2014-11/Sections/20141125_054436_Linking_Range_14.xml</TARGET_STORYFULLNAME>
    <TARGET_UUID>a1dc1b1c-74f4-11e4-b425-7f75cf12bb5f</TARGET_UUID>
    <TRANSPARENTBACKGROUND>False</TRANSPARENTBACKGROUND>
    <TRANSPARENTPLOTAREA>False</TRANSPARENTPLOTAREA>
    <EXTRACTSOURCEMODE>CopyToClipboard</EXTRACTSOURCEMODE>
    <LINKSTATUS>Unknown</LINKSTATUS>
  </Link>
  <Link>
    <GUID>f55d7815-d601-4471-b300-4ecacb65be81</GUID>
    <SOURCE_ALTADDRESS>$A$8:$AX$54</SOURCE_ALTADDRESS>
    <SOURCETYPE>Table</SOURCETYPE>
    <SOURCE_OBJECTNAME>Linking_Range_12</SOURCE_OBJECTNAME>
    <OBJECTTYPE>Native</OBJECTTYPE>
    <SOURCE_SHEETCODE>Sheet14</SOURCE_SHEETCODE>
    <SOURCE_SHEETNAME>flow</SOURCE_SHEETNAME>
    <SOURCEAPPLICATION>EXCEL_SOURCE</SOURCEAPPLICATION>
    <UPDATEDAT>5/27/2015 8:33:31 PM</UPDATEDAT>
    <SOURCE_ISOUTOFDATE>False</SOURCE_ISOUTOFDATE>
    <SOURCE_WORKBOOKNAME>CHS.xls</SOURCE_WORKBOOKNAME>
    <SOURCE_WORKBOOKPATH>\\MSAD\ROOT\NA\NY\LIB\ER\RETAIL\Greenberger\Companies\CHS\Models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/MSResearch/Content/ExternalAssets/2014-08/Images/f55d7815-d601-4471-b300-4ecacb65be81.png</TARGET_BINARYFULLNAME>
    <TARGET_UUID>0d700dda-223d-11e4-803a-c0bd75be15d6</TARGET_UUID>
    <TARGET_STORYFULLNAME>/MSResearch/Content/ExternalAssets/2014-08/Sections/Linking_Range_12-5249.xml</TARGET_STORYFULLNAME>
    <TARGET_LOID>4.0.2131585099</TARGET_LOID>
    <LINKSTATUS>Unknown</LINKSTATUS>
  </Link>
  <Link>
    <GUID>65ce6e03-04a1-4fc4-88fb-85fe5b467ef2</GUID>
    <SOURCE_ALTADDRESS>$A$8:$AZ$54</SOURCE_ALTADDRESS>
    <SOURCETYPE>Table</SOURCETYPE>
    <SOURCE_OBJECTNAME>Linking_Range_15</SOURCE_OBJECTNAME>
    <OBJECTTYPE>Native</OBJECTTYPE>
    <SOURCE_SHEETCODE>Sheet14</SOURCE_SHEETCODE>
    <SOURCE_SHEETNAME>flow</SOURCE_SHEETNAME>
    <SOURCEAPPLICATION>EXCEL_SOURCE</SOURCEAPPLICATION>
    <UPDATEDAT>5/27/2015 8:33:34 PM</UPDATEDAT>
    <SOURCE_ISOUTOFDATE>False</SOURCE_ISOUTOFDATE>
    <SOURCE_WORKBOOKNAME>CHS.xls</SOURCE_WORKBOOKNAME>
    <SOURCE_WORKBOOKPATH>\\MSAD\ROOT\NA\NY\LIB\ER\RETAIL\Greenberger\Companies\CHS\Models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/MSResearch/Content/ExternalAssets/2014-11/Images/v5nVOxpaekCvDSiPnXzNQ--.png</TARGET_BINARYFULLNAME>
    <TARGET_STORYFULLNAME>/MSResearch/Content/ExternalAssets/2014-11/Sections/20141125_054506_Linking_Range_15.xml</TARGET_STORYFULLNAME>
    <TARGET_UUID>b414b41a-74f4-11e4-b425-7f75cf12bb5f</TARGET_UUID>
    <TRANSPARENTBACKGROUND>False</TRANSPARENTBACKGROUND>
    <TRANSPARENTPLOTAREA>False</TRANSPARENTPLOTAREA>
    <EXTRACTSOURCEMODE>CopyToClipboard</EXTRACTSOURCEMODE>
    <LINKSTATUS>Unknown</LINKSTATUS>
  </Link>
</lk:Links>
</file>

<file path=customXml/item2.xml><?xml version="1.0" encoding="utf-8"?>
<lkmtd:Metadata xmlns:lkmtd="thomsonreuters.linking.metadatachange">
  <MetadataChanged>1</MetadataChanged>
</lkmtd:Metadata>
</file>

<file path=customXml/itemProps1.xml><?xml version="1.0" encoding="utf-8"?>
<ds:datastoreItem xmlns:ds="http://schemas.openxmlformats.org/officeDocument/2006/customXml" ds:itemID="{3947F38F-D92C-44AD-AB57-B2CB126C6B63}">
  <ds:schemaRefs>
    <ds:schemaRef ds:uri="thomsonreuters.linking.metadata"/>
  </ds:schemaRefs>
</ds:datastoreItem>
</file>

<file path=customXml/itemProps2.xml><?xml version="1.0" encoding="utf-8"?>
<ds:datastoreItem xmlns:ds="http://schemas.openxmlformats.org/officeDocument/2006/customXml" ds:itemID="{7AED3723-C6A4-44D3-969A-06BA599BEA5A}">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121</vt:i4>
      </vt:variant>
    </vt:vector>
  </HeadingPairs>
  <TitlesOfParts>
    <vt:vector size="140" baseType="lpstr">
      <vt:lpstr>ImportantDisclosures</vt:lpstr>
      <vt:lpstr>BullBaseBear</vt:lpstr>
      <vt:lpstr>earnings</vt:lpstr>
      <vt:lpstr>sumry</vt:lpstr>
      <vt:lpstr>segQtrSales</vt:lpstr>
      <vt:lpstr>qtrSales</vt:lpstr>
      <vt:lpstr>qtrP&amp;L</vt:lpstr>
      <vt:lpstr>yrSales</vt:lpstr>
      <vt:lpstr>yrP&amp;L</vt:lpstr>
      <vt:lpstr>bal</vt:lpstr>
      <vt:lpstr>flow</vt:lpstr>
      <vt:lpstr>turn</vt:lpstr>
      <vt:lpstr>dtc</vt:lpstr>
      <vt:lpstr>work</vt:lpstr>
      <vt:lpstr>DCF</vt:lpstr>
      <vt:lpstr>valuation</vt:lpstr>
      <vt:lpstr>MWA Lease</vt:lpstr>
      <vt:lpstr>IndexInformation</vt:lpstr>
      <vt:lpstr>ModPubIndex</vt:lpstr>
      <vt:lpstr>flow!_bdm.120A6CD7BBA043F1B92D8520E23CB84B.edm</vt:lpstr>
      <vt:lpstr>_bdm.4FEEBEF4482944F2ACBBD6254ED033B8.edm</vt:lpstr>
      <vt:lpstr>_bdm.5A83112C29EC4C69A48721E38A1BFD32.edm</vt:lpstr>
      <vt:lpstr>flow!_bdm.64050905C6744CC7AA6C4FC93BDCEAE5.edm</vt:lpstr>
      <vt:lpstr>_bdm.82DE466B2822439DAA29C1CD467BDF3A.edm</vt:lpstr>
      <vt:lpstr>sumry!_bdm.87A284D940C446AD91946159E6CF1627.edm</vt:lpstr>
      <vt:lpstr>bal!_bdm.891E1CD31091472985F208F6CBFD955B.edm</vt:lpstr>
      <vt:lpstr>sumry!_bdm.9280AC3F9F7C4C4DBA4D9C6414A1F504.edm</vt:lpstr>
      <vt:lpstr>flow!_bdm.9FE9C8C243E64742BDD82BE514C99289.edm</vt:lpstr>
      <vt:lpstr>sumry!_bdm.ACB5FDEFB23449D0A31DB42371EF4F3B.edm</vt:lpstr>
      <vt:lpstr>bal!_bdm.D1498A7BEDD14B6AB492DE0F97893C72.edm</vt:lpstr>
      <vt:lpstr>bal!_bdm.F423A6AE5A8649509F62F904E14CB3AE.edm</vt:lpstr>
      <vt:lpstr>AdditionalInstructions</vt:lpstr>
      <vt:lpstr>ImportantDisclosures!Address</vt:lpstr>
      <vt:lpstr>ModPubIndex!ANA</vt:lpstr>
      <vt:lpstr>ImportantDisclosures!Authors</vt:lpstr>
      <vt:lpstr>IndexInformation!Authors</vt:lpstr>
      <vt:lpstr>ModPubIndex!BRO</vt:lpstr>
      <vt:lpstr>'MWA Lease'!check</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DCF!Linking_1</vt:lpstr>
      <vt:lpstr>Linking_1</vt:lpstr>
      <vt:lpstr>Linking_3</vt:lpstr>
      <vt:lpstr>Linking_4</vt:lpstr>
      <vt:lpstr>Linking_5</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Linking_Range_2</vt:lpstr>
      <vt:lpstr>Linking_Range_3</vt:lpstr>
      <vt:lpstr>Linking_Range_4</vt:lpstr>
      <vt:lpstr>Linking_Range_5</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dtc!Print_Area</vt:lpstr>
      <vt:lpstr>flow!Print_Area</vt:lpstr>
      <vt:lpstr>'qtrP&amp;L'!Print_Area</vt:lpstr>
      <vt:lpstr>qtrSales!Print_Area</vt:lpstr>
      <vt:lpstr>segQtrSales!Print_Area</vt:lpstr>
      <vt:lpstr>sumry!Print_Area</vt:lpstr>
      <vt:lpstr>turn!Print_Area</vt:lpstr>
      <vt:lpstr>work!Print_Area</vt:lpstr>
      <vt:lpstr>'yrP&amp;L'!Print_Area</vt:lpstr>
      <vt:lpstr>yrSales!Print_Area</vt:lpstr>
      <vt:lpstr>bal!Print_Titles</vt:lpstr>
      <vt:lpstr>'qtrP&amp;L'!Print_Titles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'MWA Lease'!rngAppName</vt:lpstr>
      <vt:lpstr>'MWA Lease'!rngCompany</vt:lpstr>
      <vt:lpstr>'MWA Lease'!rngTicker</vt:lpstr>
      <vt:lpstr>IndexInformation!SEDOL</vt:lpstr>
      <vt:lpstr>'MWA Lease'!SedolTicker</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2000-03-06T17:12:04Z</dcterms:created>
  <dc:creator>Cassel, Lauren (Research)</dc:creator>
  <cp:lastModifiedBy>De Courreges, Edouard (Research)</cp:lastModifiedBy>
  <cp:lastPrinted>2018-02-28T23:28:30Z</cp:lastPrinted>
  <dcterms:modified xsi:type="dcterms:W3CDTF">2018-04-09T18:59:28Z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IndustryType" pid="2">
    <vt:lpwstr>Industrial</vt:lpwstr>
  </property>
  <property fmtid="{D5CDD505-2E9C-101B-9397-08002B2CF9AE}" name="DealMaven.PresLink.LastVersion" pid="3">
    <vt:lpwstr/>
  </property>
  <property fmtid="{D5CDD505-2E9C-101B-9397-08002B2CF9AE}" name="LinkingAutoNameNumberLinking_Range_" pid="4">
    <vt:lpwstr>17</vt:lpwstr>
  </property>
  <property fmtid="{D5CDD505-2E9C-101B-9397-08002B2CF9AE}" name="LinkingAutoNameNumberLinking_Text_" pid="5">
    <vt:lpwstr>1</vt:lpwstr>
  </property>
  <property fmtid="{D5CDD505-2E9C-101B-9397-08002B2CF9AE}" name="ERModPubTicket" pid="6">
    <vt:lpwstr>NA</vt:lpwstr>
  </property>
  <property fmtid="{D5CDD505-2E9C-101B-9397-08002B2CF9AE}" name="ERCompanyUploadState" pid="7">
    <vt:lpwstr>P</vt:lpwstr>
  </property>
  <property fmtid="{D5CDD505-2E9C-101B-9397-08002B2CF9AE}" name="ModelId" pid="8">
    <vt:lpwstr>760310</vt:lpwstr>
  </property>
  <property fmtid="{D5CDD505-2E9C-101B-9397-08002B2CF9AE}" name="ERModPubCompanyName" pid="9">
    <vt:lpwstr>Chico's FAS Inc.</vt:lpwstr>
  </property>
  <property fmtid="{D5CDD505-2E9C-101B-9397-08002B2CF9AE}" name="MSDH34TAG" pid="10">
    <vt:lpwstr>.TEZUF76X5TAHATHESADREYAK-00-INB160+*94600-06=24ef408a/-3c28/-11e8/-b3f7/-7a79cfe26848,MD=20180409151815/-0400,ZZ=000Z-4206.</vt:lpwstr>
  </property>
</Properties>
</file>